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Axis\Dump\Excel\"/>
    </mc:Choice>
  </mc:AlternateContent>
  <xr:revisionPtr revIDLastSave="0" documentId="13_ncr:1_{9672D489-946C-4640-AA96-CE4BA07681B0}"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s>
  <definedNames>
    <definedName name="_xlnm.Print_Area" localSheetId="0">Report!$A$1:$H$393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2" i="1" l="1"/>
  <c r="D243" i="1"/>
  <c r="F243" i="1" s="1"/>
  <c r="H243" i="1" s="1"/>
  <c r="D241" i="1"/>
  <c r="F241" i="1" s="1"/>
  <c r="H241" i="1" s="1"/>
  <c r="D240" i="1"/>
  <c r="F240" i="1" s="1"/>
  <c r="H240" i="1" s="1"/>
  <c r="D239" i="1"/>
  <c r="F239" i="1" s="1"/>
  <c r="H239" i="1" s="1"/>
  <c r="D238" i="1"/>
  <c r="F238" i="1" s="1"/>
  <c r="H238" i="1" s="1"/>
  <c r="D237" i="1"/>
  <c r="F237" i="1" s="1"/>
  <c r="H237" i="1" s="1"/>
  <c r="D236" i="1"/>
  <c r="F236" i="1" s="1"/>
  <c r="H236" i="1" s="1"/>
  <c r="D235" i="1"/>
  <c r="F235" i="1" s="1"/>
  <c r="H235" i="1" s="1"/>
  <c r="D234" i="1"/>
  <c r="F234" i="1" s="1"/>
  <c r="H234" i="1" s="1"/>
  <c r="D233" i="1"/>
  <c r="F233" i="1" s="1"/>
  <c r="H233" i="1" s="1"/>
  <c r="A233" i="1"/>
  <c r="A234" i="1" s="1"/>
  <c r="A235" i="1" s="1"/>
  <c r="A236" i="1" s="1"/>
  <c r="A237" i="1" s="1"/>
  <c r="A238" i="1" s="1"/>
  <c r="A239" i="1" s="1"/>
  <c r="A240" i="1" s="1"/>
  <c r="A241" i="1" s="1"/>
  <c r="A242" i="1" s="1"/>
  <c r="A243" i="1" s="1"/>
  <c r="D232" i="1"/>
  <c r="F232" i="1" s="1"/>
  <c r="H232" i="1" s="1"/>
  <c r="D230" i="1"/>
  <c r="F230" i="1" s="1"/>
  <c r="H230" i="1" s="1"/>
  <c r="D229" i="1"/>
  <c r="F229" i="1" s="1"/>
  <c r="H229" i="1" s="1"/>
  <c r="D228" i="1"/>
  <c r="F228" i="1" s="1"/>
  <c r="H228" i="1" s="1"/>
  <c r="D227" i="1"/>
  <c r="F227" i="1" s="1"/>
  <c r="H227" i="1" s="1"/>
  <c r="D226" i="1"/>
  <c r="F226" i="1" s="1"/>
  <c r="H226" i="1" s="1"/>
  <c r="D225" i="1"/>
  <c r="F225" i="1" s="1"/>
  <c r="H225" i="1" s="1"/>
  <c r="D224" i="1"/>
  <c r="F224" i="1" s="1"/>
  <c r="H224" i="1" s="1"/>
  <c r="D223" i="1"/>
  <c r="F223" i="1" s="1"/>
  <c r="H223" i="1" s="1"/>
  <c r="D222" i="1"/>
  <c r="F222" i="1" s="1"/>
  <c r="H222" i="1" s="1"/>
  <c r="D221" i="1"/>
  <c r="F221" i="1" s="1"/>
  <c r="H221" i="1" s="1"/>
  <c r="D220" i="1"/>
  <c r="F220" i="1" s="1"/>
  <c r="H220" i="1" s="1"/>
  <c r="A220" i="1"/>
  <c r="A221" i="1" s="1"/>
  <c r="A222" i="1" s="1"/>
  <c r="A223" i="1" s="1"/>
  <c r="A224" i="1" s="1"/>
  <c r="A225" i="1" s="1"/>
  <c r="A226" i="1" s="1"/>
  <c r="A227" i="1" s="1"/>
  <c r="A228" i="1" s="1"/>
  <c r="A229" i="1" s="1"/>
  <c r="A230" i="1" s="1"/>
  <c r="D219" i="1"/>
  <c r="F219" i="1" s="1"/>
  <c r="H219" i="1" s="1"/>
  <c r="I15" i="1" l="1"/>
  <c r="A207" i="1" l="1"/>
  <c r="A208" i="1" s="1"/>
  <c r="A209" i="1" s="1"/>
  <c r="A210" i="1" s="1"/>
  <c r="A211" i="1" s="1"/>
  <c r="A212" i="1" s="1"/>
  <c r="A213" i="1" s="1"/>
  <c r="A214" i="1" s="1"/>
  <c r="A215" i="1" s="1"/>
  <c r="A216" i="1" s="1"/>
  <c r="A217" i="1" s="1"/>
  <c r="A168" i="1"/>
  <c r="A169" i="1" s="1"/>
  <c r="A170" i="1" s="1"/>
  <c r="A171" i="1" s="1"/>
  <c r="A172" i="1" s="1"/>
  <c r="A173" i="1" s="1"/>
  <c r="A174" i="1" s="1"/>
  <c r="A175" i="1" s="1"/>
  <c r="A176" i="1" s="1"/>
  <c r="A177" i="1" s="1"/>
  <c r="A178" i="1" s="1"/>
  <c r="G159" i="1" l="1"/>
  <c r="D217" i="1"/>
  <c r="D215" i="1"/>
  <c r="D214" i="1"/>
  <c r="D213" i="1"/>
  <c r="D212" i="1"/>
  <c r="D211" i="1"/>
  <c r="D210" i="1"/>
  <c r="D209" i="1"/>
  <c r="D208" i="1"/>
  <c r="D207" i="1"/>
  <c r="D206" i="1"/>
  <c r="D200" i="1"/>
  <c r="D199" i="1"/>
  <c r="D198" i="1"/>
  <c r="D197" i="1"/>
  <c r="D196" i="1"/>
  <c r="D195" i="1"/>
  <c r="D194" i="1"/>
  <c r="D193" i="1"/>
  <c r="D187" i="1"/>
  <c r="D186" i="1"/>
  <c r="D185" i="1"/>
  <c r="D184" i="1"/>
  <c r="D183" i="1"/>
  <c r="D182" i="1"/>
  <c r="D181" i="1"/>
  <c r="D180" i="1"/>
  <c r="G158" i="1"/>
  <c r="G157" i="1"/>
  <c r="D178" i="1"/>
  <c r="D177" i="1"/>
  <c r="D176" i="1"/>
  <c r="D175" i="1"/>
  <c r="D174" i="1"/>
  <c r="D173" i="1"/>
  <c r="D172" i="1"/>
  <c r="D171" i="1"/>
  <c r="D170" i="1"/>
  <c r="D169" i="1"/>
  <c r="D168" i="1"/>
  <c r="D167" i="1"/>
  <c r="D165" i="1"/>
  <c r="D164" i="1"/>
  <c r="D163" i="1"/>
  <c r="D162" i="1"/>
  <c r="F162" i="1" s="1"/>
  <c r="D161" i="1"/>
  <c r="F161" i="1" s="1"/>
  <c r="H161" i="1" s="1"/>
  <c r="M161" i="1" s="1"/>
  <c r="D160" i="1"/>
  <c r="D159" i="1"/>
  <c r="D158" i="1"/>
  <c r="D157" i="1"/>
  <c r="D156" i="1"/>
  <c r="D155" i="1"/>
  <c r="D154" i="1"/>
  <c r="F154" i="1" s="1"/>
  <c r="H154" i="1" s="1"/>
  <c r="M154" i="1" s="1"/>
  <c r="D152" i="1"/>
  <c r="D151" i="1"/>
  <c r="D150" i="1"/>
  <c r="D149" i="1"/>
  <c r="D148" i="1"/>
  <c r="D142" i="1"/>
  <c r="D141" i="1"/>
  <c r="C122" i="1" l="1"/>
  <c r="F170" i="1"/>
  <c r="H170" i="1" s="1"/>
  <c r="F172" i="1"/>
  <c r="H172" i="1" s="1"/>
  <c r="A155" i="1"/>
  <c r="A156" i="1" s="1"/>
  <c r="A157" i="1" s="1"/>
  <c r="A158" i="1" s="1"/>
  <c r="A159" i="1" s="1"/>
  <c r="A160" i="1" s="1"/>
  <c r="A161" i="1" s="1"/>
  <c r="A162" i="1" s="1"/>
  <c r="A163" i="1" s="1"/>
  <c r="A164" i="1" s="1"/>
  <c r="A165" i="1" s="1"/>
  <c r="F178" i="1"/>
  <c r="H178" i="1" s="1"/>
  <c r="F176" i="1"/>
  <c r="H176" i="1" s="1"/>
  <c r="F175" i="1"/>
  <c r="H175" i="1" s="1"/>
  <c r="F174" i="1"/>
  <c r="H174" i="1" s="1"/>
  <c r="F168" i="1"/>
  <c r="H168" i="1" s="1"/>
  <c r="F167" i="1"/>
  <c r="H167" i="1" s="1"/>
  <c r="I142" i="1"/>
  <c r="I141" i="1"/>
  <c r="F217" i="1"/>
  <c r="H217" i="1" s="1"/>
  <c r="F215" i="1"/>
  <c r="H215" i="1" s="1"/>
  <c r="F214" i="1"/>
  <c r="H214" i="1" s="1"/>
  <c r="F213" i="1"/>
  <c r="H213" i="1" s="1"/>
  <c r="F212" i="1"/>
  <c r="H212" i="1" s="1"/>
  <c r="F211" i="1"/>
  <c r="H211" i="1" s="1"/>
  <c r="F210" i="1"/>
  <c r="H210" i="1" s="1"/>
  <c r="F209" i="1"/>
  <c r="H209" i="1" s="1"/>
  <c r="F208" i="1"/>
  <c r="H208" i="1" s="1"/>
  <c r="F207" i="1"/>
  <c r="H207" i="1" s="1"/>
  <c r="F206" i="1"/>
  <c r="H206" i="1" s="1"/>
  <c r="F197" i="1"/>
  <c r="H197" i="1" s="1"/>
  <c r="F198" i="1"/>
  <c r="H198" i="1" s="1"/>
  <c r="F199" i="1"/>
  <c r="H199" i="1" s="1"/>
  <c r="F195" i="1"/>
  <c r="H195" i="1" s="1"/>
  <c r="F194" i="1"/>
  <c r="H194" i="1" s="1"/>
  <c r="F200" i="1"/>
  <c r="H200" i="1" s="1"/>
  <c r="F196" i="1"/>
  <c r="H196" i="1" s="1"/>
  <c r="A194" i="1"/>
  <c r="A195" i="1" s="1"/>
  <c r="A196" i="1" s="1"/>
  <c r="A197" i="1" s="1"/>
  <c r="A198" i="1" s="1"/>
  <c r="A199" i="1" s="1"/>
  <c r="A200" i="1" s="1"/>
  <c r="A201" i="1" s="1"/>
  <c r="A202" i="1" s="1"/>
  <c r="A203" i="1" s="1"/>
  <c r="A204" i="1" s="1"/>
  <c r="F193" i="1"/>
  <c r="A181" i="1"/>
  <c r="A182" i="1" s="1"/>
  <c r="A183" i="1" s="1"/>
  <c r="A184" i="1" s="1"/>
  <c r="A185" i="1" s="1"/>
  <c r="A186" i="1" s="1"/>
  <c r="A187" i="1" s="1"/>
  <c r="A188" i="1" s="1"/>
  <c r="A189" i="1" s="1"/>
  <c r="A190" i="1" s="1"/>
  <c r="A191" i="1" s="1"/>
  <c r="F187" i="1"/>
  <c r="H187" i="1" s="1"/>
  <c r="F186" i="1"/>
  <c r="H186" i="1" s="1"/>
  <c r="F185" i="1"/>
  <c r="H185" i="1" s="1"/>
  <c r="F184" i="1"/>
  <c r="H184" i="1" s="1"/>
  <c r="F183" i="1"/>
  <c r="H183" i="1" s="1"/>
  <c r="F182" i="1"/>
  <c r="H182" i="1" s="1"/>
  <c r="F181" i="1"/>
  <c r="H181" i="1" s="1"/>
  <c r="F180" i="1"/>
  <c r="H180" i="1" s="1"/>
  <c r="H162" i="1"/>
  <c r="I161" i="1"/>
  <c r="F159" i="1"/>
  <c r="H159" i="1" s="1"/>
  <c r="M159" i="1" s="1"/>
  <c r="F160" i="1"/>
  <c r="H160" i="1" s="1"/>
  <c r="F152" i="1"/>
  <c r="H152" i="1" s="1"/>
  <c r="E43" i="1"/>
  <c r="I162" i="1" l="1"/>
  <c r="M160" i="1"/>
  <c r="I160" i="1"/>
  <c r="M162" i="1"/>
  <c r="J161" i="1"/>
  <c r="J160" i="1"/>
  <c r="I163" i="1"/>
  <c r="H193" i="1"/>
  <c r="G123" i="1" s="1"/>
  <c r="C123" i="1"/>
  <c r="E123" i="1"/>
  <c r="F171" i="1"/>
  <c r="H171" i="1" s="1"/>
  <c r="F169" i="1"/>
  <c r="H169" i="1" s="1"/>
  <c r="F173" i="1"/>
  <c r="H173" i="1" s="1"/>
  <c r="F177" i="1"/>
  <c r="H177" i="1" s="1"/>
  <c r="F163" i="1"/>
  <c r="H163" i="1" s="1"/>
  <c r="M163" i="1" s="1"/>
  <c r="F165" i="1"/>
  <c r="H165" i="1" s="1"/>
  <c r="M165" i="1" s="1"/>
  <c r="F164" i="1"/>
  <c r="H164" i="1" s="1"/>
  <c r="M164" i="1" s="1"/>
  <c r="F151" i="1"/>
  <c r="H151" i="1" s="1"/>
  <c r="F150" i="1"/>
  <c r="H150" i="1" s="1"/>
  <c r="F149" i="1"/>
  <c r="H149" i="1" s="1"/>
  <c r="F148" i="1"/>
  <c r="H148" i="1" s="1"/>
  <c r="B246" i="1"/>
  <c r="J162" i="1" l="1"/>
  <c r="G58" i="1"/>
  <c r="C58" i="1"/>
  <c r="C54" i="1"/>
  <c r="S33" i="1" l="1"/>
  <c r="F11" i="5" l="1"/>
  <c r="G11" i="5" s="1"/>
  <c r="F10" i="5"/>
  <c r="G10" i="5" s="1"/>
  <c r="F9" i="5"/>
  <c r="G9" i="5" s="1"/>
  <c r="F8" i="5"/>
  <c r="G8" i="5" s="1"/>
  <c r="F7" i="5"/>
  <c r="G7" i="5" s="1"/>
  <c r="F6" i="5"/>
  <c r="G6" i="5" s="1"/>
  <c r="F5" i="5"/>
  <c r="G5" i="5" s="1"/>
  <c r="G12" i="5" s="1"/>
  <c r="D268" i="1"/>
  <c r="B247" i="1"/>
  <c r="F158" i="1"/>
  <c r="H158" i="1" s="1"/>
  <c r="M158" i="1" s="1"/>
  <c r="F157" i="1"/>
  <c r="F156" i="1"/>
  <c r="H156" i="1" s="1"/>
  <c r="F155" i="1"/>
  <c r="H155" i="1" s="1"/>
  <c r="F142" i="1"/>
  <c r="H142" i="1" s="1"/>
  <c r="A142" i="1"/>
  <c r="A143" i="1" s="1"/>
  <c r="A144" i="1" s="1"/>
  <c r="A145" i="1" s="1"/>
  <c r="A146" i="1" s="1"/>
  <c r="A147" i="1" s="1"/>
  <c r="A148" i="1" s="1"/>
  <c r="A149" i="1" s="1"/>
  <c r="A150" i="1" s="1"/>
  <c r="A151" i="1" s="1"/>
  <c r="A152" i="1" s="1"/>
  <c r="F141" i="1"/>
  <c r="H133" i="1"/>
  <c r="F133" i="1"/>
  <c r="H132" i="1"/>
  <c r="F132" i="1"/>
  <c r="H131" i="1"/>
  <c r="F131" i="1"/>
  <c r="A131" i="1"/>
  <c r="A132" i="1" s="1"/>
  <c r="A133" i="1" s="1"/>
  <c r="H130" i="1"/>
  <c r="F130" i="1"/>
  <c r="F114" i="1"/>
  <c r="D67" i="1"/>
  <c r="G51" i="1"/>
  <c r="G52" i="1" s="1"/>
  <c r="C51" i="1"/>
  <c r="C52" i="1" s="1"/>
  <c r="E44" i="1"/>
  <c r="E45" i="1" s="1"/>
  <c r="E31" i="1"/>
  <c r="E28" i="1"/>
  <c r="E26" i="1"/>
  <c r="C16" i="1"/>
  <c r="Z13" i="1"/>
  <c r="E8" i="1"/>
  <c r="E3" i="1"/>
  <c r="H74" i="1"/>
  <c r="E122" i="1" l="1"/>
  <c r="E124" i="1" s="1"/>
  <c r="K161" i="1"/>
  <c r="M156" i="1"/>
  <c r="M155" i="1"/>
  <c r="N155" i="1"/>
  <c r="H141" i="1"/>
  <c r="C124" i="1"/>
  <c r="K160" i="1"/>
  <c r="H157" i="1"/>
  <c r="M157" i="1" s="1"/>
  <c r="J73" i="1"/>
  <c r="J75" i="1" s="1"/>
  <c r="J76" i="1"/>
  <c r="J77" i="1"/>
  <c r="J78" i="1"/>
  <c r="D81" i="1"/>
  <c r="D83" i="1"/>
  <c r="D82" i="1"/>
  <c r="D86" i="1"/>
  <c r="D80" i="1"/>
  <c r="D85" i="1"/>
  <c r="D79" i="1"/>
  <c r="D84" i="1"/>
  <c r="B74" i="1"/>
  <c r="J79" i="1" s="1"/>
  <c r="G122" i="1" l="1"/>
  <c r="G124" i="1" s="1"/>
  <c r="B88" i="1"/>
  <c r="D77" i="1"/>
  <c r="J83" i="1"/>
  <c r="J81" i="1"/>
  <c r="J82" i="1"/>
  <c r="J80" i="1"/>
  <c r="J85" i="1" s="1"/>
  <c r="J84" i="1"/>
  <c r="H88" i="1"/>
  <c r="D91" i="1" l="1"/>
  <c r="D97" i="1"/>
  <c r="D93" i="1"/>
  <c r="J90" i="1"/>
  <c r="J87" i="1"/>
  <c r="J89" i="1" s="1"/>
  <c r="J92" i="1"/>
  <c r="D100" i="1"/>
  <c r="D96" i="1"/>
  <c r="D99" i="1"/>
  <c r="D95" i="1"/>
  <c r="J91" i="1"/>
  <c r="D98" i="1"/>
  <c r="D94" i="1"/>
  <c r="J97" i="1"/>
  <c r="J93" i="1"/>
  <c r="J94" i="1" s="1"/>
  <c r="J99" i="1" s="1"/>
  <c r="J96" i="1"/>
  <c r="J95" i="1"/>
  <c r="J98" i="1"/>
  <c r="J86" i="1"/>
  <c r="C78" i="1" l="1"/>
  <c r="D78" i="1" s="1"/>
  <c r="I74" i="1" s="1"/>
  <c r="I75" i="1" s="1"/>
  <c r="J100" i="1"/>
  <c r="C92" i="1" l="1"/>
  <c r="D92" i="1" s="1"/>
  <c r="I88" i="1" s="1"/>
  <c r="J101" i="1"/>
  <c r="G77" i="1"/>
  <c r="J74" i="1"/>
  <c r="I73" i="1" s="1"/>
  <c r="C75" i="1" s="1"/>
  <c r="E77" i="1"/>
  <c r="D71" i="1" l="1"/>
  <c r="F72" i="1" s="1"/>
  <c r="G91" i="1"/>
  <c r="G101" i="1" s="1"/>
  <c r="E91" i="1"/>
  <c r="C101" i="1" s="1"/>
  <c r="J88" i="1"/>
  <c r="I89" i="1"/>
  <c r="D72" i="1" l="1"/>
  <c r="I87" i="1"/>
  <c r="C8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6"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<sst xmlns="http://schemas.openxmlformats.org/spreadsheetml/2006/main" count="762" uniqueCount="376">
  <si>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</si>
  <si>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</si>
  <si>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</si>
  <si>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</si>
  <si>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</si>
  <si>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</si>
  <si>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</si>
  <si>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</si>
  <si>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</si>
  <si>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</si>
  <si>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</si>
  <si>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</si>
  <si>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</si>
  <si>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</si>
  <si>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</si>
  <si>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</si>
  <si>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</si>
  <si>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</si>
  <si>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</si>
  <si>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</si>
  <si>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</si>
  <si>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</si>
  <si>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</si>
  <si>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</si>
  <si>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</si>
  <si>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</si>
  <si>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</si>
  <si>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</si>
  <si>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</si>
  <si>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</si>
  <si>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</si>
  <si>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</si>
  <si>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</si>
  <si>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</si>
  <si>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</si>
  <si>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</si>
  <si>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</si>
  <si>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</si>
  <si>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</si>
  <si>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</si>
  <si>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</si>
  <si>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</si>
  <si>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</si>
  <si>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</si>
  <si>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</si>
  <si>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</si>
  <si>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</si>
  <si>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</si>
  <si>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</si>
  <si>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</si>
  <si>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</si>
  <si>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</si>
  <si>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</si>
  <si>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</si>
  <si>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</si>
  <si>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</si>
  <si>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</si>
  <si>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</si>
  <si>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</si>
  <si>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</si>
  <si>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</si>
  <si>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</si>
  <si>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</si>
  <si>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</si>
  <si>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</si>
  <si>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</si>
  <si>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</si>
  <si>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</si>
  <si>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</si>
  <si>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</si>
  <si>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</si>
  <si>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</si>
  <si>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</si>
  <si>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</si>
  <si>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</si>
  <si>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</si>
  <si>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</si>
  <si>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</si>
  <si>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</si>
  <si>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</si>
  <si>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</si>
  <si>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</si>
  <si>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</si>
  <si>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</si>
  <si>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</si>
  <si>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</si>
  <si>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</si>
  <si>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</si>
  <si>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</si>
  <si>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</si>
  <si>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</si>
  <si>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</si>
  <si>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</si>
  <si>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</si>
  <si>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</si>
  <si>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</si>
  <si>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</si>
  <si>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</si>
  <si>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</si>
  <si>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</si>
  <si>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</si>
  <si>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</si>
  <si>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</si>
  <si>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</si>
  <si>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</si>
  <si>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</si>
  <si>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</si>
  <si>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</si>
  <si>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</si>
  <si>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</si>
  <si>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</si>
  <si>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</si>
  <si>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</si>
  <si>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</si>
  <si>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</si>
  <si>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</si>
  <si>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</si>
  <si>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</si>
  <si>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</si>
  <si>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</si>
  <si>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</si>
  <si>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</si>
  <si>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</si>
  <si>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</si>
  <si>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</si>
  <si>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</si>
  <si>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</si>
  <si>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</si>
  <si>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</si>
  <si>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</si>
  <si>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</si>
  <si>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</si>
  <si>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</si>
  <si>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</si>
  <si>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</si>
  <si>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</si>
  <si>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</si>
  <si>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</si>
  <si>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</si>
  <si>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</si>
  <si>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</si>
  <si>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</si>
  <si>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</si>
  <si>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</si>
  <si>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</si>
  <si>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</si>
  <si>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</si>
  <si>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</si>
  <si>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</si>
  <si>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</si>
  <si>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</si>
  <si>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</si>
  <si>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</si>
  <si>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</si>
  <si>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</si>
  <si>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</si>
  <si>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</si>
  <si>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</si>
  <si>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</si>
  <si>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</si>
  <si>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</si>
  <si>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</si>
  <si>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</si>
  <si>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</si>
  <si>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</si>
  <si>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</si>
  <si>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</si>
  <si>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</si>
  <si>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</si>
  <si>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</si>
  <si>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</si>
  <si>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</si>
  <si>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</si>
  <si>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</si>
  <si>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</si>
  <si>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</si>
  <si>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</si>
  <si>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</si>
  <si>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</si>
  <si>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</si>
  <si>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</si>
  <si>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</si>
  <si>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</si>
  <si>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</si>
  <si>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</si>
  <si>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</si>
  <si>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</si>
  <si>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</si>
  <si>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</si>
  <si>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</si>
  <si>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</si>
  <si>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</si>
  <si>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</si>
  <si>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</si>
  <si>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</si>
  <si>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</si>
  <si>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</si>
  <si>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</si>
  <si>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</si>
  <si>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</si>
  <si>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</si>
  <si>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</si>
  <si>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</si>
  <si>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</si>
  <si>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</si>
  <si>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</si>
  <si>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</si>
  <si>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</si>
  <si>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</si>
  <si>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</si>
  <si>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</si>
  <si>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</si>
  <si>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</si>
  <si>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</si>
  <si>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</si>
  <si>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</si>
  <si>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</si>
  <si>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</si>
  <si>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</si>
  <si>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</si>
  <si>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</si>
  <si>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</si>
  <si>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</si>
  <si>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</si>
  <si>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</si>
  <si>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</si>
  <si>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</si>
  <si>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</si>
  <si>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</si>
  <si>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</si>
  <si>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</si>
  <si>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</si>
  <si>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</si>
  <si>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</si>
  <si>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</si>
  <si>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</si>
  <si>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</si>
  <si>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</si>
  <si>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</si>
  <si>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</si>
  <si>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</si>
  <si>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</si>
  <si>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</si>
  <si>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</si>
  <si>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</si>
  <si>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</si>
  <si>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</si>
  <si>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</si>
  <si>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</si>
  <si>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</si>
  <si>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</si>
  <si>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</si>
  <si>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</si>
  <si>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</si>
  <si>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</si>
  <si>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</si>
  <si>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</si>
  <si>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</si>
  <si>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</si>
  <si>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</si>
  <si>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</si>
  <si>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</si>
  <si>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</si>
  <si>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</si>
  <si>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</si>
  <si>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</si>
  <si>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</si>
  <si>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</si>
  <si>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</si>
  <si>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</si>
  <si>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</si>
  <si>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</si>
  <si>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</si>
  <si>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</si>
  <si>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</si>
  <si>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</si>
  <si>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</si>
  <si>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</si>
  <si>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</si>
  <si>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</si>
  <si>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</si>
  <si>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</si>
  <si>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</si>
  <si>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</si>
  <si>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</si>
  <si>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</si>
  <si>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</si>
  <si>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</si>
  <si>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</si>
  <si>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</si>
  <si>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</si>
  <si>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There are inadequate transportation options to get to the project and the area is not 
developed.</t>
  </si>
  <si>
    <t>We did not consider the terrace area attached to the 1st floor flats because it was not shown in the approved plans. However, it was shown in the sales plan.</t>
  </si>
  <si>
    <t>Raunak Fortuna</t>
  </si>
  <si>
    <t>19.151119,73.053542</t>
  </si>
  <si>
    <t>https://maps.app.goo.gl/b5BeJmJMttsBRgUM7</t>
  </si>
  <si>
    <t>Approved Plans, CC &amp; Sale Plans.</t>
  </si>
  <si>
    <t>P51700052460</t>
  </si>
  <si>
    <t>Survey No</t>
  </si>
  <si>
    <t>Padle</t>
  </si>
  <si>
    <t>Shilgaon</t>
  </si>
  <si>
    <t>6.90KM from Diva Railway Station</t>
  </si>
  <si>
    <t>Bhoomi Lawns</t>
  </si>
  <si>
    <t>30.00 M.W. Proposed DP Road</t>
  </si>
  <si>
    <t>12.00 M. Road</t>
  </si>
  <si>
    <t>Other Plot</t>
  </si>
  <si>
    <t>Open Plot</t>
  </si>
  <si>
    <t>Shanti Luxuria</t>
  </si>
  <si>
    <t>As per RERA - 31/12/2030</t>
  </si>
  <si>
    <r>
      <t xml:space="preserve">Proposed Amenities :                                                                                                                                                                                                                         </t>
    </r>
    <r>
      <rPr>
        <b/>
        <sz val="12"/>
        <rFont val="Times New Roman"/>
        <family val="1"/>
      </rPr>
      <t xml:space="preserve">                                               </t>
    </r>
  </si>
  <si>
    <t>https://fortuna-shilphata.new-property-launch.com/?utm_source=g&amp;utm_campaign=20754551685&amp;utm_adgroup=161157555811&amp;utm_location=9300528&amp;utm_matchtype=p&amp;utm_device=c&amp;utm_creative=680256218567&amp;utm_keyword=raunak%20fortuna&amp;utm_placement=&amp;utm_devicemodel=&amp;gclid=Cj0KCQiAyeWrBhDDARIsAGP1mWT-GNLVZhx6tcaBxCBHON0D0dH3HtPjRqyU7sWPRXgMmST_e-UcjF0aAv9QEALw_wcB#amenities</t>
  </si>
  <si>
    <t xml:space="preserve">Details of Residential in Building   </t>
  </si>
  <si>
    <t>1BHK</t>
  </si>
  <si>
    <t>2BHK</t>
  </si>
  <si>
    <t>Society Office, Fitness Centre, Letter Box, Creche</t>
  </si>
  <si>
    <t>Terrace Area</t>
  </si>
  <si>
    <t>Refuge Area</t>
  </si>
  <si>
    <t>Chajja Area</t>
  </si>
  <si>
    <t>Rera Carpet area</t>
  </si>
  <si>
    <t>5th to 7th, 9th to 12th, 14th to 17th, 19th &amp; 20th Floor</t>
  </si>
  <si>
    <t>We considered Gross carpet area = Net carpet + Chajja Area.</t>
  </si>
  <si>
    <t xml:space="preserve">RDP Realtors Private Limited  </t>
  </si>
  <si>
    <t>Kalyan Shilphata Road</t>
  </si>
  <si>
    <t>Open Plot/Internal Road</t>
  </si>
  <si>
    <t>Sale</t>
  </si>
  <si>
    <t>-</t>
  </si>
  <si>
    <t>Mhada</t>
  </si>
  <si>
    <t>Sale Flats</t>
  </si>
  <si>
    <t>Children Play Area, Cross Fit Area, Elders Corner, BBQ Deck, Gym Area, Sky Observation Plaza, Yoga, etc.</t>
  </si>
  <si>
    <t>MHADA Flats</t>
  </si>
  <si>
    <t>Mr. Sayad - 7039537512</t>
  </si>
  <si>
    <t>58/1/1, 58/1/2, 58/2</t>
  </si>
  <si>
    <t>Diva (East)</t>
  </si>
  <si>
    <t xml:space="preserve">https://housing-images.n7net.in/012c1500/ba20521266b1f486c3d06bbfc13599d7/v0/fs.jpeg </t>
  </si>
  <si>
    <t>Housing</t>
  </si>
  <si>
    <t xml:space="preserve">https://housing.com/in/buy/projects/page/306534-raunak-fortuna-by-rdp-realtors-private-limited-in-shilphata </t>
  </si>
  <si>
    <t>No Broker</t>
  </si>
  <si>
    <t xml:space="preserve">https://www.squareyards.com/thane-residential-property/raunak-fortuna/232532/project </t>
  </si>
  <si>
    <t>Cost Sheet</t>
  </si>
  <si>
    <t>Wing B1 (B)</t>
  </si>
  <si>
    <t>Approved area of building (Sq.Mt) for Wing B1 (B)</t>
  </si>
  <si>
    <t>Terrace Area @ 3rd Floor</t>
  </si>
  <si>
    <t>4th Floor for Mhada Flats</t>
  </si>
  <si>
    <t>SIA/MH/MIS/266284/2022</t>
  </si>
  <si>
    <t>Wing B1 (B) = 1B + Gr + 1st to 36th Floor</t>
  </si>
  <si>
    <t>Survey No.58, Hissa No.1/1, 1/2 &amp; 2
Wing B = 2B + Gr + 1st to 36th Floor</t>
  </si>
  <si>
    <t>6500 to 6600 &amp; Other Charges07/03/2024 sanjay sir cost sheet</t>
  </si>
  <si>
    <t>6600 to 7000</t>
  </si>
  <si>
    <t xml:space="preserve">rushikesh </t>
  </si>
  <si>
    <t>Gangaram Lambore</t>
  </si>
  <si>
    <t>Mr. Darpan : 8657053145</t>
  </si>
  <si>
    <t>Part II = Wing B1 (B) = 1B + Gr + 1st to 36th Floor</t>
  </si>
  <si>
    <t>Average Progress %</t>
  </si>
  <si>
    <t>TMCB/TDD/0155/[P/C]/2024/AutoDCR</t>
  </si>
  <si>
    <t xml:space="preserve">Approved plan No.  </t>
  </si>
  <si>
    <t>Rise Rate from    Floor</t>
  </si>
  <si>
    <t>Building details Wise</t>
  </si>
  <si>
    <t>Basement For Parking</t>
  </si>
  <si>
    <t>Ground For Entrance Lobby, Drivers Room &amp; Parking</t>
  </si>
  <si>
    <t>1st For Residential (Part Society Office, Fitness Centre, Letter Box, Creche)</t>
  </si>
  <si>
    <t>3rd (Part Terrace Area)</t>
  </si>
  <si>
    <t>8th, 13th &amp; 18th (Part Refuge Area)</t>
  </si>
  <si>
    <t>We have considered proposed No. of for Stage Calculation.</t>
  </si>
  <si>
    <t>Wing B1 (B) = Basement + Ground + 1st to 36th Floor</t>
  </si>
  <si>
    <t>Average 
Disbursement %</t>
  </si>
  <si>
    <t>21st, 22nd, 24th to 27th, 29th to 32nd, 34th to 36th Floor</t>
  </si>
  <si>
    <t>23rd, 28th &amp; 33rd (Part Refuge Area)</t>
  </si>
  <si>
    <t>We have updated revised plans &amp; CC (on 17/03/2025).</t>
  </si>
  <si>
    <t>Sale Flats - 405 &amp; MHADA Flats - 8</t>
  </si>
  <si>
    <t>7000 TO 7250</t>
  </si>
  <si>
    <t>Smith</t>
  </si>
  <si>
    <t>verbal</t>
  </si>
  <si>
    <t xml:space="preserve">Recommended Rates/Other Charges of the Property have been revised on 10/05/2024.
&amp; 17/05/2025.
</t>
  </si>
  <si>
    <t>Office No. 1031, Wing J, Akshar Business Park, Plot No. 03 Sector 25, Near APMC Market, Vashi, Navi Mumbai, Maharashtra 400703 TEL: 022-46090378/79/80
E mail : vsjcapf@gmail.com. Web site : www.vsjadon.com</t>
  </si>
  <si>
    <t>Kunal Kadam</t>
  </si>
  <si>
    <t>Construction work increased as compared to last visit dtd 09/06/2025 But no active work found on site at the time of visit.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</si>
</sst>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4">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3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1" fontId="8" fillId="0" borderId="3" xfId="1" applyNumberFormat="1" applyFont="1" applyBorder="1" applyAlignment="1" applyProtection="1">
      <alignment horizontal="center" vertical="top" wrapText="1"/>
      <protection locked="0"/>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1" fontId="6" fillId="0" borderId="9" xfId="1" applyNumberFormat="1" applyFont="1" applyBorder="1" applyAlignment="1" applyProtection="1">
      <alignment horizontal="center" vertical="center" wrapText="1"/>
      <protection locked="0"/>
    </xf>
    <xf numFmtId="0" fontId="12" fillId="0" borderId="1" xfId="1" applyFont="1" applyBorder="1" applyAlignment="1" applyProtection="1">
      <alignment vertical="top" wrapText="1"/>
      <protection locked="0"/>
    </xf>
    <xf numFmtId="0" fontId="27" fillId="0" borderId="0" xfId="10" applyAlignment="1">
      <alignment horizontal="left" vertical="center"/>
    </xf>
    <xf numFmtId="0" fontId="10" fillId="0" borderId="0" xfId="1" applyFont="1" applyAlignment="1">
      <alignment horizontal="center" vertical="center"/>
    </xf>
    <xf numFmtId="1" fontId="10" fillId="0" borderId="0" xfId="1" applyNumberFormat="1" applyFont="1" applyAlignment="1">
      <alignment horizontal="center" vertical="center"/>
    </xf>
    <xf numFmtId="9" fontId="13" fillId="0" borderId="16"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0" fontId="27" fillId="0" borderId="0" xfId="10" applyAlignment="1">
      <alignment horizontal="center" vertical="center"/>
    </xf>
    <xf numFmtId="1" fontId="27" fillId="0" borderId="0" xfId="10" applyNumberFormat="1" applyAlignment="1">
      <alignment horizontal="center" vertical="center"/>
    </xf>
    <xf numFmtId="1" fontId="7" fillId="0" borderId="1" xfId="1" applyNumberFormat="1" applyFont="1" applyBorder="1" applyAlignment="1" applyProtection="1">
      <alignment horizontal="center" vertical="top" wrapText="1"/>
      <protection locked="0"/>
    </xf>
    <xf numFmtId="14" fontId="16" fillId="0" borderId="0" xfId="1" applyNumberFormat="1" applyFont="1"/>
    <xf numFmtId="1" fontId="6" fillId="3" borderId="1" xfId="0" applyNumberFormat="1" applyFont="1" applyFill="1" applyBorder="1" applyAlignment="1" applyProtection="1">
      <alignment horizontal="center" vertical="center" wrapText="1"/>
      <protection locked="0"/>
    </xf>
    <xf numFmtId="0" fontId="7" fillId="0" borderId="0" xfId="1" applyFont="1" applyAlignment="1">
      <alignment horizontal="center" vertical="center"/>
    </xf>
    <xf numFmtId="1" fontId="8" fillId="0" borderId="1"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21"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0" fontId="6" fillId="0" borderId="1" xfId="1" applyFont="1" applyBorder="1" applyAlignment="1" applyProtection="1">
      <alignment horizontal="left" vertical="top"/>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0" fontId="10" fillId="3" borderId="32" xfId="1" applyFont="1" applyFill="1" applyBorder="1" applyAlignment="1" applyProtection="1">
      <alignment horizontal="center" vertical="center" wrapText="1"/>
      <protection locked="0"/>
    </xf>
    <xf numFmtId="0" fontId="10" fillId="3" borderId="33" xfId="1" applyFont="1" applyFill="1" applyBorder="1" applyAlignment="1" applyProtection="1">
      <alignment horizontal="center" vertical="center" wrapText="1"/>
      <protection locked="0"/>
    </xf>
    <xf numFmtId="9" fontId="10" fillId="3" borderId="33" xfId="1" applyNumberFormat="1" applyFont="1" applyFill="1" applyBorder="1" applyAlignment="1" applyProtection="1">
      <alignment horizontal="center" vertical="center" wrapText="1"/>
      <protection locked="0"/>
    </xf>
    <xf numFmtId="9" fontId="10" fillId="3" borderId="33" xfId="8" applyFont="1" applyFill="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8" fillId="0" borderId="16" xfId="1" applyFont="1" applyBorder="1" applyAlignment="1" applyProtection="1">
      <alignment horizontal="center"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7" fillId="0" borderId="0" xfId="1" applyFont="1" applyAlignment="1">
      <alignment horizontal="left" vertical="top" wrapText="1"/>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6" fillId="0" borderId="3"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1" fontId="13" fillId="0" borderId="1" xfId="1" applyNumberFormat="1" applyFont="1" applyBorder="1" applyAlignment="1" applyProtection="1">
      <alignment horizontal="center" vertical="center" wrapText="1"/>
      <protection locked="0"/>
    </xf>
    <xf numFmtId="1" fontId="13" fillId="3" borderId="8" xfId="0" applyNumberFormat="1" applyFont="1" applyFill="1" applyBorder="1" applyAlignment="1" applyProtection="1">
      <alignment vertical="top" wrapText="1"/>
      <protection locked="0"/>
    </xf>
    <xf numFmtId="1" fontId="13" fillId="3" borderId="21" xfId="0" applyNumberFormat="1" applyFont="1" applyFill="1" applyBorder="1" applyAlignment="1" applyProtection="1">
      <alignment vertical="top" wrapText="1"/>
      <protection locked="0"/>
    </xf>
    <xf numFmtId="1" fontId="13" fillId="3" borderId="9" xfId="0" applyNumberFormat="1" applyFont="1" applyFill="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2" fontId="12" fillId="0" borderId="1" xfId="1" applyNumberFormat="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0" fontId="6" fillId="0" borderId="3" xfId="1" applyFont="1" applyBorder="1" applyAlignment="1" applyProtection="1">
      <alignment horizontal="left" vertical="top"/>
      <protection locked="0"/>
    </xf>
    <xf numFmtId="0" fontId="17" fillId="0" borderId="13" xfId="1" applyFont="1" applyBorder="1" applyAlignment="1" applyProtection="1">
      <alignment horizontal="left" vertical="top" wrapText="1"/>
      <protection locked="0"/>
    </xf>
    <xf numFmtId="0" fontId="17" fillId="0" borderId="14" xfId="1" applyFont="1" applyBorder="1" applyAlignment="1" applyProtection="1">
      <alignment horizontal="left" vertical="top" wrapText="1"/>
      <protection locked="0"/>
    </xf>
    <xf numFmtId="0" fontId="17" fillId="0" borderId="23" xfId="1" applyFont="1" applyBorder="1" applyAlignment="1" applyProtection="1">
      <alignment horizontal="left" vertical="top" wrapText="1"/>
      <protection locked="0"/>
    </xf>
    <xf numFmtId="9" fontId="10" fillId="3" borderId="34" xfId="8" applyFont="1" applyFill="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1" fontId="13" fillId="0" borderId="1" xfId="0"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0" xfId="1" applyNumberFormat="1" applyFont="1" applyAlignment="1" applyProtection="1">
      <alignment horizontal="center" vertical="center" wrapText="1"/>
      <protection locked="0"/>
    </xf>
    <xf numFmtId="1" fontId="6" fillId="0" borderId="26"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center" wrapText="1"/>
      <protection locked="0"/>
    </xf>
    <xf numFmtId="1" fontId="8" fillId="0" borderId="24" xfId="1" applyNumberFormat="1" applyFont="1" applyBorder="1" applyAlignment="1" applyProtection="1">
      <alignment horizontal="center" vertical="center" wrapText="1"/>
      <protection locked="0"/>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xdr:from>
      <xdr:col>1</xdr:col>
      <xdr:colOff>157784</xdr:colOff>
      <xdr:row>353</xdr:row>
      <xdr:rowOff>30480</xdr:rowOff>
    </xdr:from>
    <xdr:to>
      <xdr:col>6</xdr:col>
      <xdr:colOff>693420</xdr:colOff>
      <xdr:row>389</xdr:row>
      <xdr:rowOff>173357</xdr:rowOff>
    </xdr:to>
    <xdr:grpSp>
      <xdr:nvGrpSpPr>
        <xdr:cNvPr id="32" name="Group 31">
          <a:extLst>
            <a:ext uri="{FF2B5EF4-FFF2-40B4-BE49-F238E27FC236}">
              <a16:creationId xmlns:a16="http://schemas.microsoft.com/office/drawing/2014/main" id="{4C0B0CEE-50D7-3338-43ED-E7CF38307FAF}"/>
            </a:ext>
          </a:extLst>
        </xdr:cNvPr>
        <xdr:cNvGrpSpPr/>
      </xdr:nvGrpSpPr>
      <xdr:grpSpPr>
        <a:xfrm>
          <a:off x="950264" y="65288160"/>
          <a:ext cx="4726636" cy="7275197"/>
          <a:chOff x="874064" y="65076788"/>
          <a:chExt cx="4909278" cy="7928529"/>
        </a:xfrm>
      </xdr:grpSpPr>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549042" y="65076788"/>
            <a:ext cx="3610840" cy="3946749"/>
          </a:xfrm>
          <a:prstGeom prst="rect">
            <a:avLst/>
          </a:prstGeom>
          <a:ln>
            <a:solidFill>
              <a:schemeClr val="tx1"/>
            </a:solidFill>
          </a:ln>
        </xdr:spPr>
      </xdr:pic>
      <xdr:grpSp>
        <xdr:nvGrpSpPr>
          <xdr:cNvPr id="10" name="Group 9">
            <a:extLst>
              <a:ext uri="{FF2B5EF4-FFF2-40B4-BE49-F238E27FC236}">
                <a16:creationId xmlns:a16="http://schemas.microsoft.com/office/drawing/2014/main" id="{00000000-0008-0000-0000-00000A000000}"/>
              </a:ext>
            </a:extLst>
          </xdr:cNvPr>
          <xdr:cNvGrpSpPr/>
        </xdr:nvGrpSpPr>
        <xdr:grpSpPr>
          <a:xfrm>
            <a:off x="874064" y="69136986"/>
            <a:ext cx="4909278" cy="3868331"/>
            <a:chOff x="990818" y="4295955"/>
            <a:chExt cx="5140528" cy="3960000"/>
          </a:xfrm>
        </xdr:grpSpPr>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990818" y="4295955"/>
              <a:ext cx="5140528" cy="3960000"/>
            </a:xfrm>
            <a:prstGeom prst="rect">
              <a:avLst/>
            </a:prstGeom>
            <a:ln>
              <a:solidFill>
                <a:schemeClr val="tx1"/>
              </a:solidFill>
            </a:ln>
          </xdr:spPr>
        </xdr:pic>
        <xdr:cxnSp macro="">
          <xdr:nvCxnSpPr>
            <xdr:cNvPr id="12" name="Straight Connector 11">
              <a:extLst>
                <a:ext uri="{FF2B5EF4-FFF2-40B4-BE49-F238E27FC236}">
                  <a16:creationId xmlns:a16="http://schemas.microsoft.com/office/drawing/2014/main" id="{00000000-0008-0000-0000-00000C000000}"/>
                </a:ext>
              </a:extLst>
            </xdr:cNvPr>
            <xdr:cNvCxnSpPr/>
          </xdr:nvCxnSpPr>
          <xdr:spPr>
            <a:xfrm>
              <a:off x="2368550" y="5365750"/>
              <a:ext cx="133350" cy="1270000"/>
            </a:xfrm>
            <a:prstGeom prst="line">
              <a:avLst/>
            </a:prstGeom>
            <a:ln w="5715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a:extLst>
                <a:ext uri="{FF2B5EF4-FFF2-40B4-BE49-F238E27FC236}">
                  <a16:creationId xmlns:a16="http://schemas.microsoft.com/office/drawing/2014/main" id="{00000000-0008-0000-0000-00000D000000}"/>
                </a:ext>
              </a:extLst>
            </xdr:cNvPr>
            <xdr:cNvCxnSpPr/>
          </xdr:nvCxnSpPr>
          <xdr:spPr>
            <a:xfrm flipV="1">
              <a:off x="2368550" y="5016500"/>
              <a:ext cx="946150" cy="361950"/>
            </a:xfrm>
            <a:prstGeom prst="line">
              <a:avLst/>
            </a:prstGeom>
            <a:ln w="5715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id="{00000000-0008-0000-0000-00000E000000}"/>
                </a:ext>
              </a:extLst>
            </xdr:cNvPr>
            <xdr:cNvCxnSpPr/>
          </xdr:nvCxnSpPr>
          <xdr:spPr>
            <a:xfrm>
              <a:off x="3308350" y="5003800"/>
              <a:ext cx="476250" cy="1441450"/>
            </a:xfrm>
            <a:prstGeom prst="line">
              <a:avLst/>
            </a:prstGeom>
            <a:ln w="57150">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00000000-0008-0000-0000-00000F000000}"/>
                </a:ext>
              </a:extLst>
            </xdr:cNvPr>
            <xdr:cNvCxnSpPr/>
          </xdr:nvCxnSpPr>
          <xdr:spPr>
            <a:xfrm flipH="1">
              <a:off x="2501900" y="6451600"/>
              <a:ext cx="1295400" cy="184150"/>
            </a:xfrm>
            <a:prstGeom prst="line">
              <a:avLst/>
            </a:prstGeom>
            <a:ln w="57150">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8</xdr:col>
      <xdr:colOff>106018</xdr:colOff>
      <xdr:row>119</xdr:row>
      <xdr:rowOff>117613</xdr:rowOff>
    </xdr:from>
    <xdr:to>
      <xdr:col>11</xdr:col>
      <xdr:colOff>91660</xdr:colOff>
      <xdr:row>134</xdr:row>
      <xdr:rowOff>149570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stretch>
          <a:fillRect/>
        </a:stretch>
      </xdr:blipFill>
      <xdr:spPr>
        <a:xfrm>
          <a:off x="6430618" y="20463013"/>
          <a:ext cx="2614542" cy="1451181"/>
        </a:xfrm>
        <a:prstGeom prst="rect">
          <a:avLst/>
        </a:prstGeom>
        <a:ln>
          <a:solidFill>
            <a:sysClr val="windowText" lastClr="000000"/>
          </a:solidFill>
        </a:ln>
      </xdr:spPr>
    </xdr:pic>
    <xdr:clientData/>
  </xdr:twoCellAnchor>
  <xdr:twoCellAnchor>
    <xdr:from>
      <xdr:col>0</xdr:col>
      <xdr:colOff>182217</xdr:colOff>
      <xdr:row>311</xdr:row>
      <xdr:rowOff>24848</xdr:rowOff>
    </xdr:from>
    <xdr:to>
      <xdr:col>7</xdr:col>
      <xdr:colOff>605194</xdr:colOff>
      <xdr:row>340</xdr:row>
      <xdr:rowOff>93406</xdr:rowOff>
    </xdr:to>
    <xdr:grpSp>
      <xdr:nvGrpSpPr>
        <xdr:cNvPr id="20" name="Group 19">
          <a:extLst>
            <a:ext uri="{FF2B5EF4-FFF2-40B4-BE49-F238E27FC236}">
              <a16:creationId xmlns:a16="http://schemas.microsoft.com/office/drawing/2014/main" id="{00000000-0008-0000-0000-000014000000}"/>
            </a:ext>
          </a:extLst>
        </xdr:cNvPr>
        <xdr:cNvGrpSpPr/>
      </xdr:nvGrpSpPr>
      <xdr:grpSpPr>
        <a:xfrm>
          <a:off x="182217" y="56961488"/>
          <a:ext cx="6160837" cy="5814038"/>
          <a:chOff x="182217" y="57260573"/>
          <a:chExt cx="6014152" cy="5869283"/>
        </a:xfrm>
      </xdr:grpSpPr>
      <xdr:grpSp>
        <xdr:nvGrpSpPr>
          <xdr:cNvPr id="3" name="Group 2">
            <a:extLst>
              <a:ext uri="{FF2B5EF4-FFF2-40B4-BE49-F238E27FC236}">
                <a16:creationId xmlns:a16="http://schemas.microsoft.com/office/drawing/2014/main" id="{00000000-0008-0000-0000-000003000000}"/>
              </a:ext>
            </a:extLst>
          </xdr:cNvPr>
          <xdr:cNvGrpSpPr/>
        </xdr:nvGrpSpPr>
        <xdr:grpSpPr>
          <a:xfrm>
            <a:off x="182217" y="57260573"/>
            <a:ext cx="6014152" cy="5869283"/>
            <a:chOff x="239473" y="153479"/>
            <a:chExt cx="6419586" cy="5833254"/>
          </a:xfrm>
        </xdr:grpSpPr>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a:stretch>
              <a:fillRect/>
            </a:stretch>
          </xdr:blipFill>
          <xdr:spPr>
            <a:xfrm>
              <a:off x="239473" y="153479"/>
              <a:ext cx="6419586" cy="5833254"/>
            </a:xfrm>
            <a:prstGeom prst="rect">
              <a:avLst/>
            </a:prstGeom>
            <a:ln>
              <a:solidFill>
                <a:schemeClr val="tx1"/>
              </a:solidFill>
            </a:ln>
          </xdr:spPr>
        </xdr:pic>
        <xdr:sp macro="" textlink="">
          <xdr:nvSpPr>
            <xdr:cNvPr id="5" name="Rectangle 4">
              <a:extLst>
                <a:ext uri="{FF2B5EF4-FFF2-40B4-BE49-F238E27FC236}">
                  <a16:creationId xmlns:a16="http://schemas.microsoft.com/office/drawing/2014/main" id="{00000000-0008-0000-0000-000005000000}"/>
                </a:ext>
              </a:extLst>
            </xdr:cNvPr>
            <xdr:cNvSpPr/>
          </xdr:nvSpPr>
          <xdr:spPr>
            <a:xfrm rot="19138845">
              <a:off x="1546686" y="3697679"/>
              <a:ext cx="2110055" cy="1604513"/>
            </a:xfrm>
            <a:prstGeom prst="rect">
              <a:avLst/>
            </a:prstGeom>
            <a:no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 name="TextBox 4">
              <a:extLst>
                <a:ext uri="{FF2B5EF4-FFF2-40B4-BE49-F238E27FC236}">
                  <a16:creationId xmlns:a16="http://schemas.microsoft.com/office/drawing/2014/main" id="{00000000-0008-0000-0000-000006000000}"/>
                </a:ext>
              </a:extLst>
            </xdr:cNvPr>
            <xdr:cNvSpPr txBox="1"/>
          </xdr:nvSpPr>
          <xdr:spPr>
            <a:xfrm rot="19191495">
              <a:off x="1060818" y="3492747"/>
              <a:ext cx="1807702" cy="40011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2000" b="1">
                  <a:solidFill>
                    <a:sysClr val="windowText" lastClr="000000"/>
                  </a:solidFill>
                </a:rPr>
                <a:t>WING B-1 (B)</a:t>
              </a:r>
            </a:p>
          </xdr:txBody>
        </xdr:sp>
        <xdr:sp macro="" textlink="">
          <xdr:nvSpPr>
            <xdr:cNvPr id="7" name="Rectangle 6">
              <a:extLst>
                <a:ext uri="{FF2B5EF4-FFF2-40B4-BE49-F238E27FC236}">
                  <a16:creationId xmlns:a16="http://schemas.microsoft.com/office/drawing/2014/main" id="{00000000-0008-0000-0000-000007000000}"/>
                </a:ext>
              </a:extLst>
            </xdr:cNvPr>
            <xdr:cNvSpPr/>
          </xdr:nvSpPr>
          <xdr:spPr>
            <a:xfrm rot="20736999">
              <a:off x="3886944" y="3107949"/>
              <a:ext cx="2113486" cy="1507810"/>
            </a:xfrm>
            <a:prstGeom prst="rect">
              <a:avLst/>
            </a:prstGeom>
            <a:noFill/>
            <a:ln w="3810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8" name="TextBox 8">
              <a:extLst>
                <a:ext uri="{FF2B5EF4-FFF2-40B4-BE49-F238E27FC236}">
                  <a16:creationId xmlns:a16="http://schemas.microsoft.com/office/drawing/2014/main" id="{00000000-0008-0000-0000-000008000000}"/>
                </a:ext>
              </a:extLst>
            </xdr:cNvPr>
            <xdr:cNvSpPr txBox="1"/>
          </xdr:nvSpPr>
          <xdr:spPr>
            <a:xfrm rot="20690869">
              <a:off x="3787792" y="2756154"/>
              <a:ext cx="19596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ysClr val="windowText" lastClr="000000"/>
                  </a:solidFill>
                </a:rPr>
                <a:t>WING A-1 (A)</a:t>
              </a:r>
            </a:p>
          </xdr:txBody>
        </xdr:sp>
      </xdr:grpSp>
      <xdr:cxnSp macro="">
        <xdr:nvCxnSpPr>
          <xdr:cNvPr id="17" name="Straight Connector 16">
            <a:extLst>
              <a:ext uri="{FF2B5EF4-FFF2-40B4-BE49-F238E27FC236}">
                <a16:creationId xmlns:a16="http://schemas.microsoft.com/office/drawing/2014/main" id="{00000000-0008-0000-0000-000011000000}"/>
              </a:ext>
            </a:extLst>
          </xdr:cNvPr>
          <xdr:cNvCxnSpPr/>
        </xdr:nvCxnSpPr>
        <xdr:spPr>
          <a:xfrm flipV="1">
            <a:off x="1836668" y="58551831"/>
            <a:ext cx="3542886" cy="649770"/>
          </a:xfrm>
          <a:prstGeom prst="line">
            <a:avLst/>
          </a:prstGeom>
          <a:ln w="3810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a:extLst>
              <a:ext uri="{FF2B5EF4-FFF2-40B4-BE49-F238E27FC236}">
                <a16:creationId xmlns:a16="http://schemas.microsoft.com/office/drawing/2014/main" id="{00000000-0008-0000-0000-000033000000}"/>
              </a:ext>
            </a:extLst>
          </xdr:cNvPr>
          <xdr:cNvCxnSpPr/>
        </xdr:nvCxnSpPr>
        <xdr:spPr>
          <a:xfrm flipV="1">
            <a:off x="1969190" y="58852491"/>
            <a:ext cx="3600864" cy="824947"/>
          </a:xfrm>
          <a:prstGeom prst="line">
            <a:avLst/>
          </a:prstGeom>
          <a:ln w="38100">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851215</xdr:colOff>
      <xdr:row>320</xdr:row>
      <xdr:rowOff>144812</xdr:rowOff>
    </xdr:from>
    <xdr:to>
      <xdr:col>11</xdr:col>
      <xdr:colOff>337209</xdr:colOff>
      <xdr:row>323</xdr:row>
      <xdr:rowOff>20164</xdr:rowOff>
    </xdr:to>
    <xdr:sp macro="" textlink="">
      <xdr:nvSpPr>
        <xdr:cNvPr id="52" name="TextBox 12">
          <a:extLst>
            <a:ext uri="{FF2B5EF4-FFF2-40B4-BE49-F238E27FC236}">
              <a16:creationId xmlns:a16="http://schemas.microsoft.com/office/drawing/2014/main" id="{00000000-0008-0000-0000-000034000000}"/>
            </a:ext>
          </a:extLst>
        </xdr:cNvPr>
        <xdr:cNvSpPr txBox="1"/>
      </xdr:nvSpPr>
      <xdr:spPr>
        <a:xfrm rot="21011385">
          <a:off x="7171333" y="60275577"/>
          <a:ext cx="2119376" cy="480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rgbClr val="C00000"/>
              </a:solidFill>
              <a:latin typeface="Times New Roman" panose="02020603050405020304" pitchFamily="18" charset="0"/>
              <a:cs typeface="Times New Roman" panose="02020603050405020304" pitchFamily="18" charset="0"/>
            </a:rPr>
            <a:t>HT Line</a:t>
          </a:r>
        </a:p>
      </xdr:txBody>
    </xdr:sp>
    <xdr:clientData/>
  </xdr:twoCellAnchor>
  <xdr:twoCellAnchor editAs="oneCell">
    <xdr:from>
      <xdr:col>8</xdr:col>
      <xdr:colOff>981075</xdr:colOff>
      <xdr:row>199</xdr:row>
      <xdr:rowOff>66675</xdr:rowOff>
    </xdr:from>
    <xdr:to>
      <xdr:col>14</xdr:col>
      <xdr:colOff>600076</xdr:colOff>
      <xdr:row>219</xdr:row>
      <xdr:rowOff>28575</xdr:rowOff>
    </xdr:to>
    <xdr:pic>
      <xdr:nvPicPr>
        <xdr:cNvPr id="45" name="Picture 44">
          <a:extLst>
            <a:ext uri="{FF2B5EF4-FFF2-40B4-BE49-F238E27FC236}">
              <a16:creationId xmlns:a16="http://schemas.microsoft.com/office/drawing/2014/main" id="{00000000-0008-0000-0000-00002D000000}"/>
            </a:ext>
          </a:extLst>
        </xdr:cNvPr>
        <xdr:cNvPicPr>
          <a:picLocks noChangeAspect="1"/>
        </xdr:cNvPicPr>
      </xdr:nvPicPr>
      <xdr:blipFill rotWithShape="1">
        <a:blip xmlns:r="http://schemas.openxmlformats.org/officeDocument/2006/relationships" r:embed="rId5" cstate="email">
          <a:extLst>
            <a:ext uri="{28A0092B-C50C-407E-A947-70E740481C1C}">
              <a14:useLocalDpi xmlns:a14="http://schemas.microsoft.com/office/drawing/2010/main"/>
            </a:ext>
          </a:extLst>
        </a:blip>
        <a:srcRect/>
        <a:stretch/>
      </xdr:blipFill>
      <xdr:spPr>
        <a:xfrm>
          <a:off x="7305675" y="37642800"/>
          <a:ext cx="4800601" cy="3962400"/>
        </a:xfrm>
        <a:prstGeom prst="rect">
          <a:avLst/>
        </a:prstGeom>
        <a:ln>
          <a:solidFill>
            <a:schemeClr val="tx1"/>
          </a:solidFill>
        </a:ln>
      </xdr:spPr>
    </xdr:pic>
    <xdr:clientData/>
  </xdr:twoCellAnchor>
  <xdr:twoCellAnchor>
    <xdr:from>
      <xdr:col>8</xdr:col>
      <xdr:colOff>561154</xdr:colOff>
      <xdr:row>322</xdr:row>
      <xdr:rowOff>148262</xdr:rowOff>
    </xdr:from>
    <xdr:to>
      <xdr:col>11</xdr:col>
      <xdr:colOff>48872</xdr:colOff>
      <xdr:row>325</xdr:row>
      <xdr:rowOff>23611</xdr:rowOff>
    </xdr:to>
    <xdr:sp macro="" textlink="">
      <xdr:nvSpPr>
        <xdr:cNvPr id="27" name="TextBox 12">
          <a:extLst>
            <a:ext uri="{FF2B5EF4-FFF2-40B4-BE49-F238E27FC236}">
              <a16:creationId xmlns:a16="http://schemas.microsoft.com/office/drawing/2014/main" id="{00000000-0008-0000-0000-000034000000}"/>
            </a:ext>
          </a:extLst>
        </xdr:cNvPr>
        <xdr:cNvSpPr txBox="1"/>
      </xdr:nvSpPr>
      <xdr:spPr>
        <a:xfrm rot="21011385">
          <a:off x="6881272" y="60682438"/>
          <a:ext cx="2121100" cy="480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200" b="1">
              <a:solidFill>
                <a:srgbClr val="C00000"/>
              </a:solidFill>
              <a:latin typeface="Times New Roman" panose="02020603050405020304" pitchFamily="18" charset="0"/>
              <a:cs typeface="Times New Roman" panose="02020603050405020304" pitchFamily="18" charset="0"/>
            </a:rPr>
            <a:t>HT Line</a:t>
          </a:r>
        </a:p>
      </xdr:txBody>
    </xdr:sp>
    <xdr:clientData/>
  </xdr:twoCellAnchor>
  <xdr:twoCellAnchor editAs="oneCell">
    <xdr:from>
      <xdr:col>8</xdr:col>
      <xdr:colOff>638735</xdr:colOff>
      <xdr:row>310</xdr:row>
      <xdr:rowOff>67236</xdr:rowOff>
    </xdr:from>
    <xdr:to>
      <xdr:col>14</xdr:col>
      <xdr:colOff>251682</xdr:colOff>
      <xdr:row>328</xdr:row>
      <xdr:rowOff>85114</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a:stretch>
          <a:fillRect/>
        </a:stretch>
      </xdr:blipFill>
      <xdr:spPr>
        <a:xfrm>
          <a:off x="6958853" y="57743912"/>
          <a:ext cx="4801270" cy="3648584"/>
        </a:xfrm>
        <a:prstGeom prst="rect">
          <a:avLst/>
        </a:prstGeom>
      </xdr:spPr>
    </xdr:pic>
    <xdr:clientData/>
  </xdr:twoCellAnchor>
  <xdr:twoCellAnchor>
    <xdr:from>
      <xdr:col>9</xdr:col>
      <xdr:colOff>449581</xdr:colOff>
      <xdr:row>269</xdr:row>
      <xdr:rowOff>62304</xdr:rowOff>
    </xdr:from>
    <xdr:to>
      <xdr:col>16</xdr:col>
      <xdr:colOff>307042</xdr:colOff>
      <xdr:row>308</xdr:row>
      <xdr:rowOff>0</xdr:rowOff>
    </xdr:to>
    <xdr:grpSp>
      <xdr:nvGrpSpPr>
        <xdr:cNvPr id="29" name="Group 28">
          <a:extLst>
            <a:ext uri="{FF2B5EF4-FFF2-40B4-BE49-F238E27FC236}">
              <a16:creationId xmlns:a16="http://schemas.microsoft.com/office/drawing/2014/main" id="{00000000-0008-0000-0000-00001D000000}"/>
            </a:ext>
          </a:extLst>
        </xdr:cNvPr>
        <xdr:cNvGrpSpPr/>
      </xdr:nvGrpSpPr>
      <xdr:grpSpPr>
        <a:xfrm>
          <a:off x="8138161" y="48685524"/>
          <a:ext cx="5625801" cy="7656756"/>
          <a:chOff x="1519217" y="1133968"/>
          <a:chExt cx="4690760" cy="7573429"/>
        </a:xfrm>
      </xdr:grpSpPr>
      <xdr:pic>
        <xdr:nvPicPr>
          <xdr:cNvPr id="30" name="Picture 29" descr="https://vsjcllp.vsjadon.com/upload/insp-236797-1525.jpg">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959998" y="7140285"/>
            <a:ext cx="1174110" cy="156711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36797-843.jpg">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575769" y="4868731"/>
            <a:ext cx="2877714"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36797-845.jpg">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519217" y="1133968"/>
            <a:ext cx="4690760" cy="352086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36797-849.jpg">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4564417" y="4868731"/>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36797-861.jpg">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685590" y="7140285"/>
            <a:ext cx="1179007" cy="156711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99061</xdr:colOff>
      <xdr:row>268</xdr:row>
      <xdr:rowOff>190500</xdr:rowOff>
    </xdr:from>
    <xdr:to>
      <xdr:col>7</xdr:col>
      <xdr:colOff>662941</xdr:colOff>
      <xdr:row>303</xdr:row>
      <xdr:rowOff>33144</xdr:rowOff>
    </xdr:to>
    <xdr:grpSp>
      <xdr:nvGrpSpPr>
        <xdr:cNvPr id="18" name="Group 17">
          <a:extLst>
            <a:ext uri="{FF2B5EF4-FFF2-40B4-BE49-F238E27FC236}">
              <a16:creationId xmlns:a16="http://schemas.microsoft.com/office/drawing/2014/main" id="{02EDB6C6-BF67-E362-72CE-8D426581D1C5}"/>
            </a:ext>
          </a:extLst>
        </xdr:cNvPr>
        <xdr:cNvGrpSpPr/>
      </xdr:nvGrpSpPr>
      <xdr:grpSpPr>
        <a:xfrm>
          <a:off x="99061" y="48615600"/>
          <a:ext cx="6301740" cy="6769224"/>
          <a:chOff x="185351" y="247135"/>
          <a:chExt cx="6879711" cy="7188324"/>
        </a:xfrm>
      </xdr:grpSpPr>
      <xdr:grpSp>
        <xdr:nvGrpSpPr>
          <xdr:cNvPr id="19" name="Group 18">
            <a:extLst>
              <a:ext uri="{FF2B5EF4-FFF2-40B4-BE49-F238E27FC236}">
                <a16:creationId xmlns:a16="http://schemas.microsoft.com/office/drawing/2014/main" id="{D41A51DA-12E0-946E-D944-C906E25D41A3}"/>
              </a:ext>
            </a:extLst>
          </xdr:cNvPr>
          <xdr:cNvGrpSpPr/>
        </xdr:nvGrpSpPr>
        <xdr:grpSpPr>
          <a:xfrm>
            <a:off x="920002" y="2941297"/>
            <a:ext cx="5410408" cy="2520000"/>
            <a:chOff x="185351" y="2941297"/>
            <a:chExt cx="5410408" cy="2520000"/>
          </a:xfrm>
        </xdr:grpSpPr>
        <xdr:pic>
          <xdr:nvPicPr>
            <xdr:cNvPr id="28" name="Picture 27">
              <a:extLst>
                <a:ext uri="{FF2B5EF4-FFF2-40B4-BE49-F238E27FC236}">
                  <a16:creationId xmlns:a16="http://schemas.microsoft.com/office/drawing/2014/main" id="{E7DEFA54-0454-357C-1587-95FFBF9A4B6B}"/>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3707728" y="2941297"/>
              <a:ext cx="1888031" cy="2520000"/>
            </a:xfrm>
            <a:prstGeom prst="rect">
              <a:avLst/>
            </a:prstGeom>
            <a:ln>
              <a:solidFill>
                <a:schemeClr val="tx1"/>
              </a:solidFill>
            </a:ln>
          </xdr:spPr>
        </xdr:pic>
        <xdr:pic>
          <xdr:nvPicPr>
            <xdr:cNvPr id="31" name="Picture 30">
              <a:extLst>
                <a:ext uri="{FF2B5EF4-FFF2-40B4-BE49-F238E27FC236}">
                  <a16:creationId xmlns:a16="http://schemas.microsoft.com/office/drawing/2014/main" id="{E5C8B161-1046-E410-97F1-F358E1B7F590}"/>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185351" y="2941297"/>
              <a:ext cx="3357334" cy="2520000"/>
            </a:xfrm>
            <a:prstGeom prst="rect">
              <a:avLst/>
            </a:prstGeom>
            <a:ln>
              <a:solidFill>
                <a:schemeClr val="tx1"/>
              </a:solidFill>
            </a:ln>
          </xdr:spPr>
        </xdr:pic>
      </xdr:grpSp>
      <xdr:grpSp>
        <xdr:nvGrpSpPr>
          <xdr:cNvPr id="21" name="Group 20">
            <a:extLst>
              <a:ext uri="{FF2B5EF4-FFF2-40B4-BE49-F238E27FC236}">
                <a16:creationId xmlns:a16="http://schemas.microsoft.com/office/drawing/2014/main" id="{0A11D18D-3DA4-4137-3998-E1A00A55EEB1}"/>
              </a:ext>
            </a:extLst>
          </xdr:cNvPr>
          <xdr:cNvGrpSpPr/>
        </xdr:nvGrpSpPr>
        <xdr:grpSpPr>
          <a:xfrm>
            <a:off x="1673135" y="5635459"/>
            <a:ext cx="3904143" cy="1800000"/>
            <a:chOff x="1152179" y="5635459"/>
            <a:chExt cx="3904143" cy="1800000"/>
          </a:xfrm>
        </xdr:grpSpPr>
        <xdr:pic>
          <xdr:nvPicPr>
            <xdr:cNvPr id="25" name="Picture 24">
              <a:extLst>
                <a:ext uri="{FF2B5EF4-FFF2-40B4-BE49-F238E27FC236}">
                  <a16:creationId xmlns:a16="http://schemas.microsoft.com/office/drawing/2014/main" id="{69807C54-0CDF-3F2E-23FC-1E53155331EA}"/>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3707728" y="5635459"/>
              <a:ext cx="1348594" cy="1800000"/>
            </a:xfrm>
            <a:prstGeom prst="rect">
              <a:avLst/>
            </a:prstGeom>
            <a:ln>
              <a:solidFill>
                <a:schemeClr val="tx1"/>
              </a:solidFill>
            </a:ln>
          </xdr:spPr>
        </xdr:pic>
        <xdr:pic>
          <xdr:nvPicPr>
            <xdr:cNvPr id="26" name="Picture 25">
              <a:extLst>
                <a:ext uri="{FF2B5EF4-FFF2-40B4-BE49-F238E27FC236}">
                  <a16:creationId xmlns:a16="http://schemas.microsoft.com/office/drawing/2014/main" id="{1B253D22-3B66-21E5-F14D-EFBA4492C533}"/>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1152179" y="5635459"/>
              <a:ext cx="2390506" cy="1800000"/>
            </a:xfrm>
            <a:prstGeom prst="rect">
              <a:avLst/>
            </a:prstGeom>
            <a:ln>
              <a:solidFill>
                <a:schemeClr val="tx1"/>
              </a:solidFill>
            </a:ln>
          </xdr:spPr>
        </xdr:pic>
      </xdr:grpSp>
      <xdr:grpSp>
        <xdr:nvGrpSpPr>
          <xdr:cNvPr id="22" name="Group 21">
            <a:extLst>
              <a:ext uri="{FF2B5EF4-FFF2-40B4-BE49-F238E27FC236}">
                <a16:creationId xmlns:a16="http://schemas.microsoft.com/office/drawing/2014/main" id="{29E5754B-31F4-1B62-1891-CA05BF45CBE3}"/>
              </a:ext>
            </a:extLst>
          </xdr:cNvPr>
          <xdr:cNvGrpSpPr/>
        </xdr:nvGrpSpPr>
        <xdr:grpSpPr>
          <a:xfrm>
            <a:off x="185351" y="247135"/>
            <a:ext cx="6879711" cy="2520000"/>
            <a:chOff x="185351" y="247135"/>
            <a:chExt cx="6879711" cy="2520000"/>
          </a:xfrm>
        </xdr:grpSpPr>
        <xdr:pic>
          <xdr:nvPicPr>
            <xdr:cNvPr id="23" name="Picture 22">
              <a:extLst>
                <a:ext uri="{FF2B5EF4-FFF2-40B4-BE49-F238E27FC236}">
                  <a16:creationId xmlns:a16="http://schemas.microsoft.com/office/drawing/2014/main" id="{2C6848D2-E024-8778-EB5D-84B7903ED38B}"/>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3707728" y="247135"/>
              <a:ext cx="3357334" cy="2520000"/>
            </a:xfrm>
            <a:prstGeom prst="rect">
              <a:avLst/>
            </a:prstGeom>
            <a:ln>
              <a:solidFill>
                <a:schemeClr val="tx1"/>
              </a:solidFill>
            </a:ln>
          </xdr:spPr>
        </xdr:pic>
        <xdr:pic>
          <xdr:nvPicPr>
            <xdr:cNvPr id="24" name="Picture 23">
              <a:extLst>
                <a:ext uri="{FF2B5EF4-FFF2-40B4-BE49-F238E27FC236}">
                  <a16:creationId xmlns:a16="http://schemas.microsoft.com/office/drawing/2014/main" id="{F91D6303-A2BD-547D-AA98-857056414D41}"/>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185351" y="247135"/>
              <a:ext cx="3357334"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1</xdr:colOff>
      <xdr:row>15</xdr:row>
      <xdr:rowOff>0</xdr:rowOff>
    </xdr:from>
    <xdr:to>
      <xdr:col>6</xdr:col>
      <xdr:colOff>4567</xdr:colOff>
      <xdr:row>33</xdr:row>
      <xdr:rowOff>171000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2707" y="2868706"/>
          <a:ext cx="6403125" cy="36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housing.com/in/buy/projects/page/306534-raunak-fortuna-by-rdp-realtors-private-limited-in-shilphata" TargetMode="External"/><Relationship Id="rId7" Type="http://schemas.openxmlformats.org/officeDocument/2006/relationships/vmlDrawing" Target="../drawings/vmlDrawing1.vml"/><Relationship Id="rId2" Type="http://schemas.openxmlformats.org/officeDocument/2006/relationships/hyperlink" Target="https://housing-images.n7net.in/012c1500/ba20521266b1f486c3d06bbfc13599d7/v0/fs.jpeg" TargetMode="External"/><Relationship Id="rId1" Type="http://schemas.openxmlformats.org/officeDocument/2006/relationships/hyperlink" Target="https://maps.app.goo.gl/b5BeJmJMttsBRgUM7"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squareyards.com/thane-residential-property/raunak-fortuna/232532/project"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352"/>
  <sheetViews>
    <sheetView tabSelected="1" view="pageBreakPreview" topLeftCell="A235" zoomScaleNormal="100" zoomScaleSheetLayoutView="100" zoomScalePageLayoutView="115" workbookViewId="0">
      <selection activeCell="J239" sqref="J239"/>
    </sheetView>
  </sheetViews>
  <sheetFormatPr defaultColWidth="9.109375" defaultRowHeight="15.6" x14ac:dyDescent="0.3"/>
  <cols>
    <col min="1" max="1" width="11.5546875" style="39" customWidth="1"/>
    <col min="2" max="2" width="12" style="39" customWidth="1"/>
    <col min="3" max="3" width="12.6640625" style="39" customWidth="1"/>
    <col min="4" max="4" width="13.6640625" style="39" customWidth="1"/>
    <col min="5" max="5" width="11.6640625" style="39" customWidth="1"/>
    <col min="6" max="6" width="11.109375" style="39" customWidth="1"/>
    <col min="7" max="8" width="11" style="39" customWidth="1"/>
    <col min="9" max="9" width="17.44140625" style="20" customWidth="1"/>
    <col min="10" max="10" width="11.44140625" style="20" customWidth="1"/>
    <col min="11" max="11" width="10.5546875" style="20" bestFit="1" customWidth="1"/>
    <col min="12" max="12" width="13.88671875" style="20" bestFit="1" customWidth="1"/>
    <col min="13" max="13" width="11.88671875" style="20" customWidth="1"/>
    <col min="14" max="14" width="12.5546875" style="20" customWidth="1"/>
    <col min="15" max="15" width="12.109375" style="20" customWidth="1"/>
    <col min="16" max="16" width="11.6640625" style="20" customWidth="1"/>
    <col min="17" max="18" width="9.109375" style="20"/>
    <col min="19" max="19" width="10.88671875" style="20" bestFit="1" customWidth="1"/>
    <col min="20" max="20" width="10.6640625" style="20" customWidth="1"/>
    <col min="21" max="247" width="9.109375" style="20"/>
    <col min="248" max="248" width="8.6640625" style="20" customWidth="1"/>
    <col min="249" max="249" width="9.88671875" style="20" customWidth="1"/>
    <col min="250" max="250" width="14.44140625" style="20" customWidth="1"/>
    <col min="251" max="251" width="7.33203125" style="20" customWidth="1"/>
    <col min="252" max="252" width="5.5546875" style="20" customWidth="1"/>
    <col min="253" max="253" width="9" style="20" customWidth="1"/>
    <col min="254" max="255" width="9.88671875" style="20" customWidth="1"/>
    <col min="256" max="256" width="11.109375" style="20" customWidth="1"/>
    <col min="257" max="257" width="2.88671875" style="20" customWidth="1"/>
    <col min="258" max="258" width="3.5546875" style="20" customWidth="1"/>
    <col min="259" max="503" width="9.109375" style="20"/>
    <col min="504" max="504" width="8.6640625" style="20" customWidth="1"/>
    <col min="505" max="505" width="9.88671875" style="20" customWidth="1"/>
    <col min="506" max="506" width="14.44140625" style="20" customWidth="1"/>
    <col min="507" max="507" width="7.33203125" style="20" customWidth="1"/>
    <col min="508" max="508" width="5.5546875" style="20" customWidth="1"/>
    <col min="509" max="509" width="9" style="20" customWidth="1"/>
    <col min="510" max="511" width="9.88671875" style="20" customWidth="1"/>
    <col min="512" max="512" width="11.109375" style="20" customWidth="1"/>
    <col min="513" max="513" width="2.88671875" style="20" customWidth="1"/>
    <col min="514" max="514" width="3.5546875" style="20" customWidth="1"/>
    <col min="515" max="759" width="9.109375" style="20"/>
    <col min="760" max="760" width="8.6640625" style="20" customWidth="1"/>
    <col min="761" max="761" width="9.88671875" style="20" customWidth="1"/>
    <col min="762" max="762" width="14.44140625" style="20" customWidth="1"/>
    <col min="763" max="763" width="7.33203125" style="20" customWidth="1"/>
    <col min="764" max="764" width="5.5546875" style="20" customWidth="1"/>
    <col min="765" max="765" width="9" style="20" customWidth="1"/>
    <col min="766" max="767" width="9.88671875" style="20" customWidth="1"/>
    <col min="768" max="768" width="11.109375" style="20" customWidth="1"/>
    <col min="769" max="769" width="2.88671875" style="20" customWidth="1"/>
    <col min="770" max="770" width="3.5546875" style="20" customWidth="1"/>
    <col min="771" max="1015" width="9.109375" style="20"/>
    <col min="1016" max="1016" width="8.6640625" style="20" customWidth="1"/>
    <col min="1017" max="1017" width="9.88671875" style="20" customWidth="1"/>
    <col min="1018" max="1018" width="14.44140625" style="20" customWidth="1"/>
    <col min="1019" max="1019" width="7.33203125" style="20" customWidth="1"/>
    <col min="1020" max="1020" width="5.5546875" style="20" customWidth="1"/>
    <col min="1021" max="1021" width="9" style="20" customWidth="1"/>
    <col min="1022" max="1023" width="9.88671875" style="20" customWidth="1"/>
    <col min="1024" max="1024" width="11.109375" style="20" customWidth="1"/>
    <col min="1025" max="1025" width="2.88671875" style="20" customWidth="1"/>
    <col min="1026" max="1026" width="3.5546875" style="20" customWidth="1"/>
    <col min="1027" max="1271" width="9.109375" style="20"/>
    <col min="1272" max="1272" width="8.6640625" style="20" customWidth="1"/>
    <col min="1273" max="1273" width="9.88671875" style="20" customWidth="1"/>
    <col min="1274" max="1274" width="14.44140625" style="20" customWidth="1"/>
    <col min="1275" max="1275" width="7.33203125" style="20" customWidth="1"/>
    <col min="1276" max="1276" width="5.5546875" style="20" customWidth="1"/>
    <col min="1277" max="1277" width="9" style="20" customWidth="1"/>
    <col min="1278" max="1279" width="9.88671875" style="20" customWidth="1"/>
    <col min="1280" max="1280" width="11.109375" style="20" customWidth="1"/>
    <col min="1281" max="1281" width="2.88671875" style="20" customWidth="1"/>
    <col min="1282" max="1282" width="3.5546875" style="20" customWidth="1"/>
    <col min="1283" max="1527" width="9.109375" style="20"/>
    <col min="1528" max="1528" width="8.6640625" style="20" customWidth="1"/>
    <col min="1529" max="1529" width="9.88671875" style="20" customWidth="1"/>
    <col min="1530" max="1530" width="14.44140625" style="20" customWidth="1"/>
    <col min="1531" max="1531" width="7.33203125" style="20" customWidth="1"/>
    <col min="1532" max="1532" width="5.5546875" style="20" customWidth="1"/>
    <col min="1533" max="1533" width="9" style="20" customWidth="1"/>
    <col min="1534" max="1535" width="9.88671875" style="20" customWidth="1"/>
    <col min="1536" max="1536" width="11.109375" style="20" customWidth="1"/>
    <col min="1537" max="1537" width="2.88671875" style="20" customWidth="1"/>
    <col min="1538" max="1538" width="3.5546875" style="20" customWidth="1"/>
    <col min="1539" max="1783" width="9.109375" style="20"/>
    <col min="1784" max="1784" width="8.6640625" style="20" customWidth="1"/>
    <col min="1785" max="1785" width="9.88671875" style="20" customWidth="1"/>
    <col min="1786" max="1786" width="14.44140625" style="20" customWidth="1"/>
    <col min="1787" max="1787" width="7.33203125" style="20" customWidth="1"/>
    <col min="1788" max="1788" width="5.5546875" style="20" customWidth="1"/>
    <col min="1789" max="1789" width="9" style="20" customWidth="1"/>
    <col min="1790" max="1791" width="9.88671875" style="20" customWidth="1"/>
    <col min="1792" max="1792" width="11.109375" style="20" customWidth="1"/>
    <col min="1793" max="1793" width="2.88671875" style="20" customWidth="1"/>
    <col min="1794" max="1794" width="3.5546875" style="20" customWidth="1"/>
    <col min="1795" max="2039" width="9.109375" style="20"/>
    <col min="2040" max="2040" width="8.6640625" style="20" customWidth="1"/>
    <col min="2041" max="2041" width="9.88671875" style="20" customWidth="1"/>
    <col min="2042" max="2042" width="14.44140625" style="20" customWidth="1"/>
    <col min="2043" max="2043" width="7.33203125" style="20" customWidth="1"/>
    <col min="2044" max="2044" width="5.5546875" style="20" customWidth="1"/>
    <col min="2045" max="2045" width="9" style="20" customWidth="1"/>
    <col min="2046" max="2047" width="9.88671875" style="20" customWidth="1"/>
    <col min="2048" max="2048" width="11.109375" style="20" customWidth="1"/>
    <col min="2049" max="2049" width="2.88671875" style="20" customWidth="1"/>
    <col min="2050" max="2050" width="3.5546875" style="20" customWidth="1"/>
    <col min="2051" max="2295" width="9.109375" style="20"/>
    <col min="2296" max="2296" width="8.6640625" style="20" customWidth="1"/>
    <col min="2297" max="2297" width="9.88671875" style="20" customWidth="1"/>
    <col min="2298" max="2298" width="14.44140625" style="20" customWidth="1"/>
    <col min="2299" max="2299" width="7.33203125" style="20" customWidth="1"/>
    <col min="2300" max="2300" width="5.5546875" style="20" customWidth="1"/>
    <col min="2301" max="2301" width="9" style="20" customWidth="1"/>
    <col min="2302" max="2303" width="9.88671875" style="20" customWidth="1"/>
    <col min="2304" max="2304" width="11.109375" style="20" customWidth="1"/>
    <col min="2305" max="2305" width="2.88671875" style="20" customWidth="1"/>
    <col min="2306" max="2306" width="3.5546875" style="20" customWidth="1"/>
    <col min="2307" max="2551" width="9.109375" style="20"/>
    <col min="2552" max="2552" width="8.6640625" style="20" customWidth="1"/>
    <col min="2553" max="2553" width="9.88671875" style="20" customWidth="1"/>
    <col min="2554" max="2554" width="14.44140625" style="20" customWidth="1"/>
    <col min="2555" max="2555" width="7.33203125" style="20" customWidth="1"/>
    <col min="2556" max="2556" width="5.5546875" style="20" customWidth="1"/>
    <col min="2557" max="2557" width="9" style="20" customWidth="1"/>
    <col min="2558" max="2559" width="9.88671875" style="20" customWidth="1"/>
    <col min="2560" max="2560" width="11.109375" style="20" customWidth="1"/>
    <col min="2561" max="2561" width="2.88671875" style="20" customWidth="1"/>
    <col min="2562" max="2562" width="3.5546875" style="20" customWidth="1"/>
    <col min="2563" max="2807" width="9.109375" style="20"/>
    <col min="2808" max="2808" width="8.6640625" style="20" customWidth="1"/>
    <col min="2809" max="2809" width="9.88671875" style="20" customWidth="1"/>
    <col min="2810" max="2810" width="14.44140625" style="20" customWidth="1"/>
    <col min="2811" max="2811" width="7.33203125" style="20" customWidth="1"/>
    <col min="2812" max="2812" width="5.5546875" style="20" customWidth="1"/>
    <col min="2813" max="2813" width="9" style="20" customWidth="1"/>
    <col min="2814" max="2815" width="9.88671875" style="20" customWidth="1"/>
    <col min="2816" max="2816" width="11.109375" style="20" customWidth="1"/>
    <col min="2817" max="2817" width="2.88671875" style="20" customWidth="1"/>
    <col min="2818" max="2818" width="3.5546875" style="20" customWidth="1"/>
    <col min="2819" max="3063" width="9.109375" style="20"/>
    <col min="3064" max="3064" width="8.6640625" style="20" customWidth="1"/>
    <col min="3065" max="3065" width="9.88671875" style="20" customWidth="1"/>
    <col min="3066" max="3066" width="14.44140625" style="20" customWidth="1"/>
    <col min="3067" max="3067" width="7.33203125" style="20" customWidth="1"/>
    <col min="3068" max="3068" width="5.5546875" style="20" customWidth="1"/>
    <col min="3069" max="3069" width="9" style="20" customWidth="1"/>
    <col min="3070" max="3071" width="9.88671875" style="20" customWidth="1"/>
    <col min="3072" max="3072" width="11.109375" style="20" customWidth="1"/>
    <col min="3073" max="3073" width="2.88671875" style="20" customWidth="1"/>
    <col min="3074" max="3074" width="3.5546875" style="20" customWidth="1"/>
    <col min="3075" max="3319" width="9.109375" style="20"/>
    <col min="3320" max="3320" width="8.6640625" style="20" customWidth="1"/>
    <col min="3321" max="3321" width="9.88671875" style="20" customWidth="1"/>
    <col min="3322" max="3322" width="14.44140625" style="20" customWidth="1"/>
    <col min="3323" max="3323" width="7.33203125" style="20" customWidth="1"/>
    <col min="3324" max="3324" width="5.5546875" style="20" customWidth="1"/>
    <col min="3325" max="3325" width="9" style="20" customWidth="1"/>
    <col min="3326" max="3327" width="9.88671875" style="20" customWidth="1"/>
    <col min="3328" max="3328" width="11.109375" style="20" customWidth="1"/>
    <col min="3329" max="3329" width="2.88671875" style="20" customWidth="1"/>
    <col min="3330" max="3330" width="3.5546875" style="20" customWidth="1"/>
    <col min="3331" max="3575" width="9.109375" style="20"/>
    <col min="3576" max="3576" width="8.6640625" style="20" customWidth="1"/>
    <col min="3577" max="3577" width="9.88671875" style="20" customWidth="1"/>
    <col min="3578" max="3578" width="14.44140625" style="20" customWidth="1"/>
    <col min="3579" max="3579" width="7.33203125" style="20" customWidth="1"/>
    <col min="3580" max="3580" width="5.5546875" style="20" customWidth="1"/>
    <col min="3581" max="3581" width="9" style="20" customWidth="1"/>
    <col min="3582" max="3583" width="9.88671875" style="20" customWidth="1"/>
    <col min="3584" max="3584" width="11.109375" style="20" customWidth="1"/>
    <col min="3585" max="3585" width="2.88671875" style="20" customWidth="1"/>
    <col min="3586" max="3586" width="3.5546875" style="20" customWidth="1"/>
    <col min="3587" max="3831" width="9.109375" style="20"/>
    <col min="3832" max="3832" width="8.6640625" style="20" customWidth="1"/>
    <col min="3833" max="3833" width="9.88671875" style="20" customWidth="1"/>
    <col min="3834" max="3834" width="14.44140625" style="20" customWidth="1"/>
    <col min="3835" max="3835" width="7.33203125" style="20" customWidth="1"/>
    <col min="3836" max="3836" width="5.5546875" style="20" customWidth="1"/>
    <col min="3837" max="3837" width="9" style="20" customWidth="1"/>
    <col min="3838" max="3839" width="9.88671875" style="20" customWidth="1"/>
    <col min="3840" max="3840" width="11.109375" style="20" customWidth="1"/>
    <col min="3841" max="3841" width="2.88671875" style="20" customWidth="1"/>
    <col min="3842" max="3842" width="3.5546875" style="20" customWidth="1"/>
    <col min="3843" max="4087" width="9.109375" style="20"/>
    <col min="4088" max="4088" width="8.6640625" style="20" customWidth="1"/>
    <col min="4089" max="4089" width="9.88671875" style="20" customWidth="1"/>
    <col min="4090" max="4090" width="14.44140625" style="20" customWidth="1"/>
    <col min="4091" max="4091" width="7.33203125" style="20" customWidth="1"/>
    <col min="4092" max="4092" width="5.5546875" style="20" customWidth="1"/>
    <col min="4093" max="4093" width="9" style="20" customWidth="1"/>
    <col min="4094" max="4095" width="9.88671875" style="20" customWidth="1"/>
    <col min="4096" max="4096" width="11.109375" style="20" customWidth="1"/>
    <col min="4097" max="4097" width="2.88671875" style="20" customWidth="1"/>
    <col min="4098" max="4098" width="3.5546875" style="20" customWidth="1"/>
    <col min="4099" max="4343" width="9.109375" style="20"/>
    <col min="4344" max="4344" width="8.6640625" style="20" customWidth="1"/>
    <col min="4345" max="4345" width="9.88671875" style="20" customWidth="1"/>
    <col min="4346" max="4346" width="14.44140625" style="20" customWidth="1"/>
    <col min="4347" max="4347" width="7.33203125" style="20" customWidth="1"/>
    <col min="4348" max="4348" width="5.5546875" style="20" customWidth="1"/>
    <col min="4349" max="4349" width="9" style="20" customWidth="1"/>
    <col min="4350" max="4351" width="9.88671875" style="20" customWidth="1"/>
    <col min="4352" max="4352" width="11.109375" style="20" customWidth="1"/>
    <col min="4353" max="4353" width="2.88671875" style="20" customWidth="1"/>
    <col min="4354" max="4354" width="3.5546875" style="20" customWidth="1"/>
    <col min="4355" max="4599" width="9.109375" style="20"/>
    <col min="4600" max="4600" width="8.6640625" style="20" customWidth="1"/>
    <col min="4601" max="4601" width="9.88671875" style="20" customWidth="1"/>
    <col min="4602" max="4602" width="14.44140625" style="20" customWidth="1"/>
    <col min="4603" max="4603" width="7.33203125" style="20" customWidth="1"/>
    <col min="4604" max="4604" width="5.5546875" style="20" customWidth="1"/>
    <col min="4605" max="4605" width="9" style="20" customWidth="1"/>
    <col min="4606" max="4607" width="9.88671875" style="20" customWidth="1"/>
    <col min="4608" max="4608" width="11.109375" style="20" customWidth="1"/>
    <col min="4609" max="4609" width="2.88671875" style="20" customWidth="1"/>
    <col min="4610" max="4610" width="3.5546875" style="20" customWidth="1"/>
    <col min="4611" max="4855" width="9.109375" style="20"/>
    <col min="4856" max="4856" width="8.6640625" style="20" customWidth="1"/>
    <col min="4857" max="4857" width="9.88671875" style="20" customWidth="1"/>
    <col min="4858" max="4858" width="14.44140625" style="20" customWidth="1"/>
    <col min="4859" max="4859" width="7.33203125" style="20" customWidth="1"/>
    <col min="4860" max="4860" width="5.5546875" style="20" customWidth="1"/>
    <col min="4861" max="4861" width="9" style="20" customWidth="1"/>
    <col min="4862" max="4863" width="9.88671875" style="20" customWidth="1"/>
    <col min="4864" max="4864" width="11.109375" style="20" customWidth="1"/>
    <col min="4865" max="4865" width="2.88671875" style="20" customWidth="1"/>
    <col min="4866" max="4866" width="3.5546875" style="20" customWidth="1"/>
    <col min="4867" max="5111" width="9.109375" style="20"/>
    <col min="5112" max="5112" width="8.6640625" style="20" customWidth="1"/>
    <col min="5113" max="5113" width="9.88671875" style="20" customWidth="1"/>
    <col min="5114" max="5114" width="14.44140625" style="20" customWidth="1"/>
    <col min="5115" max="5115" width="7.33203125" style="20" customWidth="1"/>
    <col min="5116" max="5116" width="5.5546875" style="20" customWidth="1"/>
    <col min="5117" max="5117" width="9" style="20" customWidth="1"/>
    <col min="5118" max="5119" width="9.88671875" style="20" customWidth="1"/>
    <col min="5120" max="5120" width="11.109375" style="20" customWidth="1"/>
    <col min="5121" max="5121" width="2.88671875" style="20" customWidth="1"/>
    <col min="5122" max="5122" width="3.5546875" style="20" customWidth="1"/>
    <col min="5123" max="5367" width="9.109375" style="20"/>
    <col min="5368" max="5368" width="8.6640625" style="20" customWidth="1"/>
    <col min="5369" max="5369" width="9.88671875" style="20" customWidth="1"/>
    <col min="5370" max="5370" width="14.44140625" style="20" customWidth="1"/>
    <col min="5371" max="5371" width="7.33203125" style="20" customWidth="1"/>
    <col min="5372" max="5372" width="5.5546875" style="20" customWidth="1"/>
    <col min="5373" max="5373" width="9" style="20" customWidth="1"/>
    <col min="5374" max="5375" width="9.88671875" style="20" customWidth="1"/>
    <col min="5376" max="5376" width="11.109375" style="20" customWidth="1"/>
    <col min="5377" max="5377" width="2.88671875" style="20" customWidth="1"/>
    <col min="5378" max="5378" width="3.5546875" style="20" customWidth="1"/>
    <col min="5379" max="5623" width="9.109375" style="20"/>
    <col min="5624" max="5624" width="8.6640625" style="20" customWidth="1"/>
    <col min="5625" max="5625" width="9.88671875" style="20" customWidth="1"/>
    <col min="5626" max="5626" width="14.44140625" style="20" customWidth="1"/>
    <col min="5627" max="5627" width="7.33203125" style="20" customWidth="1"/>
    <col min="5628" max="5628" width="5.5546875" style="20" customWidth="1"/>
    <col min="5629" max="5629" width="9" style="20" customWidth="1"/>
    <col min="5630" max="5631" width="9.88671875" style="20" customWidth="1"/>
    <col min="5632" max="5632" width="11.109375" style="20" customWidth="1"/>
    <col min="5633" max="5633" width="2.88671875" style="20" customWidth="1"/>
    <col min="5634" max="5634" width="3.5546875" style="20" customWidth="1"/>
    <col min="5635" max="5879" width="9.109375" style="20"/>
    <col min="5880" max="5880" width="8.6640625" style="20" customWidth="1"/>
    <col min="5881" max="5881" width="9.88671875" style="20" customWidth="1"/>
    <col min="5882" max="5882" width="14.44140625" style="20" customWidth="1"/>
    <col min="5883" max="5883" width="7.33203125" style="20" customWidth="1"/>
    <col min="5884" max="5884" width="5.5546875" style="20" customWidth="1"/>
    <col min="5885" max="5885" width="9" style="20" customWidth="1"/>
    <col min="5886" max="5887" width="9.88671875" style="20" customWidth="1"/>
    <col min="5888" max="5888" width="11.109375" style="20" customWidth="1"/>
    <col min="5889" max="5889" width="2.88671875" style="20" customWidth="1"/>
    <col min="5890" max="5890" width="3.5546875" style="20" customWidth="1"/>
    <col min="5891" max="6135" width="9.109375" style="20"/>
    <col min="6136" max="6136" width="8.6640625" style="20" customWidth="1"/>
    <col min="6137" max="6137" width="9.88671875" style="20" customWidth="1"/>
    <col min="6138" max="6138" width="14.44140625" style="20" customWidth="1"/>
    <col min="6139" max="6139" width="7.33203125" style="20" customWidth="1"/>
    <col min="6140" max="6140" width="5.5546875" style="20" customWidth="1"/>
    <col min="6141" max="6141" width="9" style="20" customWidth="1"/>
    <col min="6142" max="6143" width="9.88671875" style="20" customWidth="1"/>
    <col min="6144" max="6144" width="11.109375" style="20" customWidth="1"/>
    <col min="6145" max="6145" width="2.88671875" style="20" customWidth="1"/>
    <col min="6146" max="6146" width="3.5546875" style="20" customWidth="1"/>
    <col min="6147" max="6391" width="9.109375" style="20"/>
    <col min="6392" max="6392" width="8.6640625" style="20" customWidth="1"/>
    <col min="6393" max="6393" width="9.88671875" style="20" customWidth="1"/>
    <col min="6394" max="6394" width="14.44140625" style="20" customWidth="1"/>
    <col min="6395" max="6395" width="7.33203125" style="20" customWidth="1"/>
    <col min="6396" max="6396" width="5.5546875" style="20" customWidth="1"/>
    <col min="6397" max="6397" width="9" style="20" customWidth="1"/>
    <col min="6398" max="6399" width="9.88671875" style="20" customWidth="1"/>
    <col min="6400" max="6400" width="11.109375" style="20" customWidth="1"/>
    <col min="6401" max="6401" width="2.88671875" style="20" customWidth="1"/>
    <col min="6402" max="6402" width="3.5546875" style="20" customWidth="1"/>
    <col min="6403" max="6647" width="9.109375" style="20"/>
    <col min="6648" max="6648" width="8.6640625" style="20" customWidth="1"/>
    <col min="6649" max="6649" width="9.88671875" style="20" customWidth="1"/>
    <col min="6650" max="6650" width="14.44140625" style="20" customWidth="1"/>
    <col min="6651" max="6651" width="7.33203125" style="20" customWidth="1"/>
    <col min="6652" max="6652" width="5.5546875" style="20" customWidth="1"/>
    <col min="6653" max="6653" width="9" style="20" customWidth="1"/>
    <col min="6654" max="6655" width="9.88671875" style="20" customWidth="1"/>
    <col min="6656" max="6656" width="11.109375" style="20" customWidth="1"/>
    <col min="6657" max="6657" width="2.88671875" style="20" customWidth="1"/>
    <col min="6658" max="6658" width="3.5546875" style="20" customWidth="1"/>
    <col min="6659" max="6903" width="9.109375" style="20"/>
    <col min="6904" max="6904" width="8.6640625" style="20" customWidth="1"/>
    <col min="6905" max="6905" width="9.88671875" style="20" customWidth="1"/>
    <col min="6906" max="6906" width="14.44140625" style="20" customWidth="1"/>
    <col min="6907" max="6907" width="7.33203125" style="20" customWidth="1"/>
    <col min="6908" max="6908" width="5.5546875" style="20" customWidth="1"/>
    <col min="6909" max="6909" width="9" style="20" customWidth="1"/>
    <col min="6910" max="6911" width="9.88671875" style="20" customWidth="1"/>
    <col min="6912" max="6912" width="11.109375" style="20" customWidth="1"/>
    <col min="6913" max="6913" width="2.88671875" style="20" customWidth="1"/>
    <col min="6914" max="6914" width="3.5546875" style="20" customWidth="1"/>
    <col min="6915" max="7159" width="9.109375" style="20"/>
    <col min="7160" max="7160" width="8.6640625" style="20" customWidth="1"/>
    <col min="7161" max="7161" width="9.88671875" style="20" customWidth="1"/>
    <col min="7162" max="7162" width="14.44140625" style="20" customWidth="1"/>
    <col min="7163" max="7163" width="7.33203125" style="20" customWidth="1"/>
    <col min="7164" max="7164" width="5.5546875" style="20" customWidth="1"/>
    <col min="7165" max="7165" width="9" style="20" customWidth="1"/>
    <col min="7166" max="7167" width="9.88671875" style="20" customWidth="1"/>
    <col min="7168" max="7168" width="11.109375" style="20" customWidth="1"/>
    <col min="7169" max="7169" width="2.88671875" style="20" customWidth="1"/>
    <col min="7170" max="7170" width="3.5546875" style="20" customWidth="1"/>
    <col min="7171" max="7415" width="9.109375" style="20"/>
    <col min="7416" max="7416" width="8.6640625" style="20" customWidth="1"/>
    <col min="7417" max="7417" width="9.88671875" style="20" customWidth="1"/>
    <col min="7418" max="7418" width="14.44140625" style="20" customWidth="1"/>
    <col min="7419" max="7419" width="7.33203125" style="20" customWidth="1"/>
    <col min="7420" max="7420" width="5.5546875" style="20" customWidth="1"/>
    <col min="7421" max="7421" width="9" style="20" customWidth="1"/>
    <col min="7422" max="7423" width="9.88671875" style="20" customWidth="1"/>
    <col min="7424" max="7424" width="11.109375" style="20" customWidth="1"/>
    <col min="7425" max="7425" width="2.88671875" style="20" customWidth="1"/>
    <col min="7426" max="7426" width="3.5546875" style="20" customWidth="1"/>
    <col min="7427" max="7671" width="9.109375" style="20"/>
    <col min="7672" max="7672" width="8.6640625" style="20" customWidth="1"/>
    <col min="7673" max="7673" width="9.88671875" style="20" customWidth="1"/>
    <col min="7674" max="7674" width="14.44140625" style="20" customWidth="1"/>
    <col min="7675" max="7675" width="7.33203125" style="20" customWidth="1"/>
    <col min="7676" max="7676" width="5.5546875" style="20" customWidth="1"/>
    <col min="7677" max="7677" width="9" style="20" customWidth="1"/>
    <col min="7678" max="7679" width="9.88671875" style="20" customWidth="1"/>
    <col min="7680" max="7680" width="11.109375" style="20" customWidth="1"/>
    <col min="7681" max="7681" width="2.88671875" style="20" customWidth="1"/>
    <col min="7682" max="7682" width="3.5546875" style="20" customWidth="1"/>
    <col min="7683" max="7927" width="9.109375" style="20"/>
    <col min="7928" max="7928" width="8.6640625" style="20" customWidth="1"/>
    <col min="7929" max="7929" width="9.88671875" style="20" customWidth="1"/>
    <col min="7930" max="7930" width="14.44140625" style="20" customWidth="1"/>
    <col min="7931" max="7931" width="7.33203125" style="20" customWidth="1"/>
    <col min="7932" max="7932" width="5.5546875" style="20" customWidth="1"/>
    <col min="7933" max="7933" width="9" style="20" customWidth="1"/>
    <col min="7934" max="7935" width="9.88671875" style="20" customWidth="1"/>
    <col min="7936" max="7936" width="11.109375" style="20" customWidth="1"/>
    <col min="7937" max="7937" width="2.88671875" style="20" customWidth="1"/>
    <col min="7938" max="7938" width="3.5546875" style="20" customWidth="1"/>
    <col min="7939" max="8183" width="9.109375" style="20"/>
    <col min="8184" max="8184" width="8.6640625" style="20" customWidth="1"/>
    <col min="8185" max="8185" width="9.88671875" style="20" customWidth="1"/>
    <col min="8186" max="8186" width="14.44140625" style="20" customWidth="1"/>
    <col min="8187" max="8187" width="7.33203125" style="20" customWidth="1"/>
    <col min="8188" max="8188" width="5.5546875" style="20" customWidth="1"/>
    <col min="8189" max="8189" width="9" style="20" customWidth="1"/>
    <col min="8190" max="8191" width="9.88671875" style="20" customWidth="1"/>
    <col min="8192" max="8192" width="11.109375" style="20" customWidth="1"/>
    <col min="8193" max="8193" width="2.88671875" style="20" customWidth="1"/>
    <col min="8194" max="8194" width="3.5546875" style="20" customWidth="1"/>
    <col min="8195" max="8439" width="9.109375" style="20"/>
    <col min="8440" max="8440" width="8.6640625" style="20" customWidth="1"/>
    <col min="8441" max="8441" width="9.88671875" style="20" customWidth="1"/>
    <col min="8442" max="8442" width="14.44140625" style="20" customWidth="1"/>
    <col min="8443" max="8443" width="7.33203125" style="20" customWidth="1"/>
    <col min="8444" max="8444" width="5.5546875" style="20" customWidth="1"/>
    <col min="8445" max="8445" width="9" style="20" customWidth="1"/>
    <col min="8446" max="8447" width="9.88671875" style="20" customWidth="1"/>
    <col min="8448" max="8448" width="11.109375" style="20" customWidth="1"/>
    <col min="8449" max="8449" width="2.88671875" style="20" customWidth="1"/>
    <col min="8450" max="8450" width="3.5546875" style="20" customWidth="1"/>
    <col min="8451" max="8695" width="9.109375" style="20"/>
    <col min="8696" max="8696" width="8.6640625" style="20" customWidth="1"/>
    <col min="8697" max="8697" width="9.88671875" style="20" customWidth="1"/>
    <col min="8698" max="8698" width="14.44140625" style="20" customWidth="1"/>
    <col min="8699" max="8699" width="7.33203125" style="20" customWidth="1"/>
    <col min="8700" max="8700" width="5.5546875" style="20" customWidth="1"/>
    <col min="8701" max="8701" width="9" style="20" customWidth="1"/>
    <col min="8702" max="8703" width="9.88671875" style="20" customWidth="1"/>
    <col min="8704" max="8704" width="11.109375" style="20" customWidth="1"/>
    <col min="8705" max="8705" width="2.88671875" style="20" customWidth="1"/>
    <col min="8706" max="8706" width="3.5546875" style="20" customWidth="1"/>
    <col min="8707" max="8951" width="9.109375" style="20"/>
    <col min="8952" max="8952" width="8.6640625" style="20" customWidth="1"/>
    <col min="8953" max="8953" width="9.88671875" style="20" customWidth="1"/>
    <col min="8954" max="8954" width="14.44140625" style="20" customWidth="1"/>
    <col min="8955" max="8955" width="7.33203125" style="20" customWidth="1"/>
    <col min="8956" max="8956" width="5.5546875" style="20" customWidth="1"/>
    <col min="8957" max="8957" width="9" style="20" customWidth="1"/>
    <col min="8958" max="8959" width="9.88671875" style="20" customWidth="1"/>
    <col min="8960" max="8960" width="11.109375" style="20" customWidth="1"/>
    <col min="8961" max="8961" width="2.88671875" style="20" customWidth="1"/>
    <col min="8962" max="8962" width="3.5546875" style="20" customWidth="1"/>
    <col min="8963" max="9207" width="9.109375" style="20"/>
    <col min="9208" max="9208" width="8.6640625" style="20" customWidth="1"/>
    <col min="9209" max="9209" width="9.88671875" style="20" customWidth="1"/>
    <col min="9210" max="9210" width="14.44140625" style="20" customWidth="1"/>
    <col min="9211" max="9211" width="7.33203125" style="20" customWidth="1"/>
    <col min="9212" max="9212" width="5.5546875" style="20" customWidth="1"/>
    <col min="9213" max="9213" width="9" style="20" customWidth="1"/>
    <col min="9214" max="9215" width="9.88671875" style="20" customWidth="1"/>
    <col min="9216" max="9216" width="11.109375" style="20" customWidth="1"/>
    <col min="9217" max="9217" width="2.88671875" style="20" customWidth="1"/>
    <col min="9218" max="9218" width="3.5546875" style="20" customWidth="1"/>
    <col min="9219" max="9463" width="9.109375" style="20"/>
    <col min="9464" max="9464" width="8.6640625" style="20" customWidth="1"/>
    <col min="9465" max="9465" width="9.88671875" style="20" customWidth="1"/>
    <col min="9466" max="9466" width="14.44140625" style="20" customWidth="1"/>
    <col min="9467" max="9467" width="7.33203125" style="20" customWidth="1"/>
    <col min="9468" max="9468" width="5.5546875" style="20" customWidth="1"/>
    <col min="9469" max="9469" width="9" style="20" customWidth="1"/>
    <col min="9470" max="9471" width="9.88671875" style="20" customWidth="1"/>
    <col min="9472" max="9472" width="11.109375" style="20" customWidth="1"/>
    <col min="9473" max="9473" width="2.88671875" style="20" customWidth="1"/>
    <col min="9474" max="9474" width="3.5546875" style="20" customWidth="1"/>
    <col min="9475" max="9719" width="9.109375" style="20"/>
    <col min="9720" max="9720" width="8.6640625" style="20" customWidth="1"/>
    <col min="9721" max="9721" width="9.88671875" style="20" customWidth="1"/>
    <col min="9722" max="9722" width="14.44140625" style="20" customWidth="1"/>
    <col min="9723" max="9723" width="7.33203125" style="20" customWidth="1"/>
    <col min="9724" max="9724" width="5.5546875" style="20" customWidth="1"/>
    <col min="9725" max="9725" width="9" style="20" customWidth="1"/>
    <col min="9726" max="9727" width="9.88671875" style="20" customWidth="1"/>
    <col min="9728" max="9728" width="11.109375" style="20" customWidth="1"/>
    <col min="9729" max="9729" width="2.88671875" style="20" customWidth="1"/>
    <col min="9730" max="9730" width="3.5546875" style="20" customWidth="1"/>
    <col min="9731" max="9975" width="9.109375" style="20"/>
    <col min="9976" max="9976" width="8.6640625" style="20" customWidth="1"/>
    <col min="9977" max="9977" width="9.88671875" style="20" customWidth="1"/>
    <col min="9978" max="9978" width="14.44140625" style="20" customWidth="1"/>
    <col min="9979" max="9979" width="7.33203125" style="20" customWidth="1"/>
    <col min="9980" max="9980" width="5.5546875" style="20" customWidth="1"/>
    <col min="9981" max="9981" width="9" style="20" customWidth="1"/>
    <col min="9982" max="9983" width="9.88671875" style="20" customWidth="1"/>
    <col min="9984" max="9984" width="11.109375" style="20" customWidth="1"/>
    <col min="9985" max="9985" width="2.88671875" style="20" customWidth="1"/>
    <col min="9986" max="9986" width="3.5546875" style="20" customWidth="1"/>
    <col min="9987" max="10231" width="9.109375" style="20"/>
    <col min="10232" max="10232" width="8.6640625" style="20" customWidth="1"/>
    <col min="10233" max="10233" width="9.88671875" style="20" customWidth="1"/>
    <col min="10234" max="10234" width="14.44140625" style="20" customWidth="1"/>
    <col min="10235" max="10235" width="7.33203125" style="20" customWidth="1"/>
    <col min="10236" max="10236" width="5.5546875" style="20" customWidth="1"/>
    <col min="10237" max="10237" width="9" style="20" customWidth="1"/>
    <col min="10238" max="10239" width="9.88671875" style="20" customWidth="1"/>
    <col min="10240" max="10240" width="11.109375" style="20" customWidth="1"/>
    <col min="10241" max="10241" width="2.88671875" style="20" customWidth="1"/>
    <col min="10242" max="10242" width="3.5546875" style="20" customWidth="1"/>
    <col min="10243" max="10487" width="9.109375" style="20"/>
    <col min="10488" max="10488" width="8.6640625" style="20" customWidth="1"/>
    <col min="10489" max="10489" width="9.88671875" style="20" customWidth="1"/>
    <col min="10490" max="10490" width="14.44140625" style="20" customWidth="1"/>
    <col min="10491" max="10491" width="7.33203125" style="20" customWidth="1"/>
    <col min="10492" max="10492" width="5.5546875" style="20" customWidth="1"/>
    <col min="10493" max="10493" width="9" style="20" customWidth="1"/>
    <col min="10494" max="10495" width="9.88671875" style="20" customWidth="1"/>
    <col min="10496" max="10496" width="11.109375" style="20" customWidth="1"/>
    <col min="10497" max="10497" width="2.88671875" style="20" customWidth="1"/>
    <col min="10498" max="10498" width="3.5546875" style="20" customWidth="1"/>
    <col min="10499" max="10743" width="9.109375" style="20"/>
    <col min="10744" max="10744" width="8.6640625" style="20" customWidth="1"/>
    <col min="10745" max="10745" width="9.88671875" style="20" customWidth="1"/>
    <col min="10746" max="10746" width="14.44140625" style="20" customWidth="1"/>
    <col min="10747" max="10747" width="7.33203125" style="20" customWidth="1"/>
    <col min="10748" max="10748" width="5.5546875" style="20" customWidth="1"/>
    <col min="10749" max="10749" width="9" style="20" customWidth="1"/>
    <col min="10750" max="10751" width="9.88671875" style="20" customWidth="1"/>
    <col min="10752" max="10752" width="11.109375" style="20" customWidth="1"/>
    <col min="10753" max="10753" width="2.88671875" style="20" customWidth="1"/>
    <col min="10754" max="10754" width="3.5546875" style="20" customWidth="1"/>
    <col min="10755" max="10999" width="9.109375" style="20"/>
    <col min="11000" max="11000" width="8.6640625" style="20" customWidth="1"/>
    <col min="11001" max="11001" width="9.88671875" style="20" customWidth="1"/>
    <col min="11002" max="11002" width="14.44140625" style="20" customWidth="1"/>
    <col min="11003" max="11003" width="7.33203125" style="20" customWidth="1"/>
    <col min="11004" max="11004" width="5.5546875" style="20" customWidth="1"/>
    <col min="11005" max="11005" width="9" style="20" customWidth="1"/>
    <col min="11006" max="11007" width="9.88671875" style="20" customWidth="1"/>
    <col min="11008" max="11008" width="11.109375" style="20" customWidth="1"/>
    <col min="11009" max="11009" width="2.88671875" style="20" customWidth="1"/>
    <col min="11010" max="11010" width="3.5546875" style="20" customWidth="1"/>
    <col min="11011" max="11255" width="9.109375" style="20"/>
    <col min="11256" max="11256" width="8.6640625" style="20" customWidth="1"/>
    <col min="11257" max="11257" width="9.88671875" style="20" customWidth="1"/>
    <col min="11258" max="11258" width="14.44140625" style="20" customWidth="1"/>
    <col min="11259" max="11259" width="7.33203125" style="20" customWidth="1"/>
    <col min="11260" max="11260" width="5.5546875" style="20" customWidth="1"/>
    <col min="11261" max="11261" width="9" style="20" customWidth="1"/>
    <col min="11262" max="11263" width="9.88671875" style="20" customWidth="1"/>
    <col min="11264" max="11264" width="11.109375" style="20" customWidth="1"/>
    <col min="11265" max="11265" width="2.88671875" style="20" customWidth="1"/>
    <col min="11266" max="11266" width="3.5546875" style="20" customWidth="1"/>
    <col min="11267" max="11511" width="9.109375" style="20"/>
    <col min="11512" max="11512" width="8.6640625" style="20" customWidth="1"/>
    <col min="11513" max="11513" width="9.88671875" style="20" customWidth="1"/>
    <col min="11514" max="11514" width="14.44140625" style="20" customWidth="1"/>
    <col min="11515" max="11515" width="7.33203125" style="20" customWidth="1"/>
    <col min="11516" max="11516" width="5.5546875" style="20" customWidth="1"/>
    <col min="11517" max="11517" width="9" style="20" customWidth="1"/>
    <col min="11518" max="11519" width="9.88671875" style="20" customWidth="1"/>
    <col min="11520" max="11520" width="11.109375" style="20" customWidth="1"/>
    <col min="11521" max="11521" width="2.88671875" style="20" customWidth="1"/>
    <col min="11522" max="11522" width="3.5546875" style="20" customWidth="1"/>
    <col min="11523" max="11767" width="9.109375" style="20"/>
    <col min="11768" max="11768" width="8.6640625" style="20" customWidth="1"/>
    <col min="11769" max="11769" width="9.88671875" style="20" customWidth="1"/>
    <col min="11770" max="11770" width="14.44140625" style="20" customWidth="1"/>
    <col min="11771" max="11771" width="7.33203125" style="20" customWidth="1"/>
    <col min="11772" max="11772" width="5.5546875" style="20" customWidth="1"/>
    <col min="11773" max="11773" width="9" style="20" customWidth="1"/>
    <col min="11774" max="11775" width="9.88671875" style="20" customWidth="1"/>
    <col min="11776" max="11776" width="11.109375" style="20" customWidth="1"/>
    <col min="11777" max="11777" width="2.88671875" style="20" customWidth="1"/>
    <col min="11778" max="11778" width="3.5546875" style="20" customWidth="1"/>
    <col min="11779" max="12023" width="9.109375" style="20"/>
    <col min="12024" max="12024" width="8.6640625" style="20" customWidth="1"/>
    <col min="12025" max="12025" width="9.88671875" style="20" customWidth="1"/>
    <col min="12026" max="12026" width="14.44140625" style="20" customWidth="1"/>
    <col min="12027" max="12027" width="7.33203125" style="20" customWidth="1"/>
    <col min="12028" max="12028" width="5.5546875" style="20" customWidth="1"/>
    <col min="12029" max="12029" width="9" style="20" customWidth="1"/>
    <col min="12030" max="12031" width="9.88671875" style="20" customWidth="1"/>
    <col min="12032" max="12032" width="11.109375" style="20" customWidth="1"/>
    <col min="12033" max="12033" width="2.88671875" style="20" customWidth="1"/>
    <col min="12034" max="12034" width="3.5546875" style="20" customWidth="1"/>
    <col min="12035" max="12279" width="9.109375" style="20"/>
    <col min="12280" max="12280" width="8.6640625" style="20" customWidth="1"/>
    <col min="12281" max="12281" width="9.88671875" style="20" customWidth="1"/>
    <col min="12282" max="12282" width="14.44140625" style="20" customWidth="1"/>
    <col min="12283" max="12283" width="7.33203125" style="20" customWidth="1"/>
    <col min="12284" max="12284" width="5.5546875" style="20" customWidth="1"/>
    <col min="12285" max="12285" width="9" style="20" customWidth="1"/>
    <col min="12286" max="12287" width="9.88671875" style="20" customWidth="1"/>
    <col min="12288" max="12288" width="11.109375" style="20" customWidth="1"/>
    <col min="12289" max="12289" width="2.88671875" style="20" customWidth="1"/>
    <col min="12290" max="12290" width="3.5546875" style="20" customWidth="1"/>
    <col min="12291" max="12535" width="9.109375" style="20"/>
    <col min="12536" max="12536" width="8.6640625" style="20" customWidth="1"/>
    <col min="12537" max="12537" width="9.88671875" style="20" customWidth="1"/>
    <col min="12538" max="12538" width="14.44140625" style="20" customWidth="1"/>
    <col min="12539" max="12539" width="7.33203125" style="20" customWidth="1"/>
    <col min="12540" max="12540" width="5.5546875" style="20" customWidth="1"/>
    <col min="12541" max="12541" width="9" style="20" customWidth="1"/>
    <col min="12542" max="12543" width="9.88671875" style="20" customWidth="1"/>
    <col min="12544" max="12544" width="11.109375" style="20" customWidth="1"/>
    <col min="12545" max="12545" width="2.88671875" style="20" customWidth="1"/>
    <col min="12546" max="12546" width="3.5546875" style="20" customWidth="1"/>
    <col min="12547" max="12791" width="9.109375" style="20"/>
    <col min="12792" max="12792" width="8.6640625" style="20" customWidth="1"/>
    <col min="12793" max="12793" width="9.88671875" style="20" customWidth="1"/>
    <col min="12794" max="12794" width="14.44140625" style="20" customWidth="1"/>
    <col min="12795" max="12795" width="7.33203125" style="20" customWidth="1"/>
    <col min="12796" max="12796" width="5.5546875" style="20" customWidth="1"/>
    <col min="12797" max="12797" width="9" style="20" customWidth="1"/>
    <col min="12798" max="12799" width="9.88671875" style="20" customWidth="1"/>
    <col min="12800" max="12800" width="11.109375" style="20" customWidth="1"/>
    <col min="12801" max="12801" width="2.88671875" style="20" customWidth="1"/>
    <col min="12802" max="12802" width="3.5546875" style="20" customWidth="1"/>
    <col min="12803" max="13047" width="9.109375" style="20"/>
    <col min="13048" max="13048" width="8.6640625" style="20" customWidth="1"/>
    <col min="13049" max="13049" width="9.88671875" style="20" customWidth="1"/>
    <col min="13050" max="13050" width="14.44140625" style="20" customWidth="1"/>
    <col min="13051" max="13051" width="7.33203125" style="20" customWidth="1"/>
    <col min="13052" max="13052" width="5.5546875" style="20" customWidth="1"/>
    <col min="13053" max="13053" width="9" style="20" customWidth="1"/>
    <col min="13054" max="13055" width="9.88671875" style="20" customWidth="1"/>
    <col min="13056" max="13056" width="11.109375" style="20" customWidth="1"/>
    <col min="13057" max="13057" width="2.88671875" style="20" customWidth="1"/>
    <col min="13058" max="13058" width="3.5546875" style="20" customWidth="1"/>
    <col min="13059" max="13303" width="9.109375" style="20"/>
    <col min="13304" max="13304" width="8.6640625" style="20" customWidth="1"/>
    <col min="13305" max="13305" width="9.88671875" style="20" customWidth="1"/>
    <col min="13306" max="13306" width="14.44140625" style="20" customWidth="1"/>
    <col min="13307" max="13307" width="7.33203125" style="20" customWidth="1"/>
    <col min="13308" max="13308" width="5.5546875" style="20" customWidth="1"/>
    <col min="13309" max="13309" width="9" style="20" customWidth="1"/>
    <col min="13310" max="13311" width="9.88671875" style="20" customWidth="1"/>
    <col min="13312" max="13312" width="11.109375" style="20" customWidth="1"/>
    <col min="13313" max="13313" width="2.88671875" style="20" customWidth="1"/>
    <col min="13314" max="13314" width="3.5546875" style="20" customWidth="1"/>
    <col min="13315" max="13559" width="9.109375" style="20"/>
    <col min="13560" max="13560" width="8.6640625" style="20" customWidth="1"/>
    <col min="13561" max="13561" width="9.88671875" style="20" customWidth="1"/>
    <col min="13562" max="13562" width="14.44140625" style="20" customWidth="1"/>
    <col min="13563" max="13563" width="7.33203125" style="20" customWidth="1"/>
    <col min="13564" max="13564" width="5.5546875" style="20" customWidth="1"/>
    <col min="13565" max="13565" width="9" style="20" customWidth="1"/>
    <col min="13566" max="13567" width="9.88671875" style="20" customWidth="1"/>
    <col min="13568" max="13568" width="11.109375" style="20" customWidth="1"/>
    <col min="13569" max="13569" width="2.88671875" style="20" customWidth="1"/>
    <col min="13570" max="13570" width="3.5546875" style="20" customWidth="1"/>
    <col min="13571" max="13815" width="9.109375" style="20"/>
    <col min="13816" max="13816" width="8.6640625" style="20" customWidth="1"/>
    <col min="13817" max="13817" width="9.88671875" style="20" customWidth="1"/>
    <col min="13818" max="13818" width="14.44140625" style="20" customWidth="1"/>
    <col min="13819" max="13819" width="7.33203125" style="20" customWidth="1"/>
    <col min="13820" max="13820" width="5.5546875" style="20" customWidth="1"/>
    <col min="13821" max="13821" width="9" style="20" customWidth="1"/>
    <col min="13822" max="13823" width="9.88671875" style="20" customWidth="1"/>
    <col min="13824" max="13824" width="11.109375" style="20" customWidth="1"/>
    <col min="13825" max="13825" width="2.88671875" style="20" customWidth="1"/>
    <col min="13826" max="13826" width="3.5546875" style="20" customWidth="1"/>
    <col min="13827" max="14071" width="9.109375" style="20"/>
    <col min="14072" max="14072" width="8.6640625" style="20" customWidth="1"/>
    <col min="14073" max="14073" width="9.88671875" style="20" customWidth="1"/>
    <col min="14074" max="14074" width="14.44140625" style="20" customWidth="1"/>
    <col min="14075" max="14075" width="7.33203125" style="20" customWidth="1"/>
    <col min="14076" max="14076" width="5.5546875" style="20" customWidth="1"/>
    <col min="14077" max="14077" width="9" style="20" customWidth="1"/>
    <col min="14078" max="14079" width="9.88671875" style="20" customWidth="1"/>
    <col min="14080" max="14080" width="11.109375" style="20" customWidth="1"/>
    <col min="14081" max="14081" width="2.88671875" style="20" customWidth="1"/>
    <col min="14082" max="14082" width="3.5546875" style="20" customWidth="1"/>
    <col min="14083" max="14327" width="9.109375" style="20"/>
    <col min="14328" max="14328" width="8.6640625" style="20" customWidth="1"/>
    <col min="14329" max="14329" width="9.88671875" style="20" customWidth="1"/>
    <col min="14330" max="14330" width="14.44140625" style="20" customWidth="1"/>
    <col min="14331" max="14331" width="7.33203125" style="20" customWidth="1"/>
    <col min="14332" max="14332" width="5.5546875" style="20" customWidth="1"/>
    <col min="14333" max="14333" width="9" style="20" customWidth="1"/>
    <col min="14334" max="14335" width="9.88671875" style="20" customWidth="1"/>
    <col min="14336" max="14336" width="11.109375" style="20" customWidth="1"/>
    <col min="14337" max="14337" width="2.88671875" style="20" customWidth="1"/>
    <col min="14338" max="14338" width="3.5546875" style="20" customWidth="1"/>
    <col min="14339" max="14583" width="9.109375" style="20"/>
    <col min="14584" max="14584" width="8.6640625" style="20" customWidth="1"/>
    <col min="14585" max="14585" width="9.88671875" style="20" customWidth="1"/>
    <col min="14586" max="14586" width="14.44140625" style="20" customWidth="1"/>
    <col min="14587" max="14587" width="7.33203125" style="20" customWidth="1"/>
    <col min="14588" max="14588" width="5.5546875" style="20" customWidth="1"/>
    <col min="14589" max="14589" width="9" style="20" customWidth="1"/>
    <col min="14590" max="14591" width="9.88671875" style="20" customWidth="1"/>
    <col min="14592" max="14592" width="11.109375" style="20" customWidth="1"/>
    <col min="14593" max="14593" width="2.88671875" style="20" customWidth="1"/>
    <col min="14594" max="14594" width="3.5546875" style="20" customWidth="1"/>
    <col min="14595" max="14839" width="9.109375" style="20"/>
    <col min="14840" max="14840" width="8.6640625" style="20" customWidth="1"/>
    <col min="14841" max="14841" width="9.88671875" style="20" customWidth="1"/>
    <col min="14842" max="14842" width="14.44140625" style="20" customWidth="1"/>
    <col min="14843" max="14843" width="7.33203125" style="20" customWidth="1"/>
    <col min="14844" max="14844" width="5.5546875" style="20" customWidth="1"/>
    <col min="14845" max="14845" width="9" style="20" customWidth="1"/>
    <col min="14846" max="14847" width="9.88671875" style="20" customWidth="1"/>
    <col min="14848" max="14848" width="11.109375" style="20" customWidth="1"/>
    <col min="14849" max="14849" width="2.88671875" style="20" customWidth="1"/>
    <col min="14850" max="14850" width="3.5546875" style="20" customWidth="1"/>
    <col min="14851" max="15095" width="9.109375" style="20"/>
    <col min="15096" max="15096" width="8.6640625" style="20" customWidth="1"/>
    <col min="15097" max="15097" width="9.88671875" style="20" customWidth="1"/>
    <col min="15098" max="15098" width="14.44140625" style="20" customWidth="1"/>
    <col min="15099" max="15099" width="7.33203125" style="20" customWidth="1"/>
    <col min="15100" max="15100" width="5.5546875" style="20" customWidth="1"/>
    <col min="15101" max="15101" width="9" style="20" customWidth="1"/>
    <col min="15102" max="15103" width="9.88671875" style="20" customWidth="1"/>
    <col min="15104" max="15104" width="11.109375" style="20" customWidth="1"/>
    <col min="15105" max="15105" width="2.88671875" style="20" customWidth="1"/>
    <col min="15106" max="15106" width="3.5546875" style="20" customWidth="1"/>
    <col min="15107" max="15351" width="9.109375" style="20"/>
    <col min="15352" max="15352" width="8.6640625" style="20" customWidth="1"/>
    <col min="15353" max="15353" width="9.88671875" style="20" customWidth="1"/>
    <col min="15354" max="15354" width="14.44140625" style="20" customWidth="1"/>
    <col min="15355" max="15355" width="7.33203125" style="20" customWidth="1"/>
    <col min="15356" max="15356" width="5.5546875" style="20" customWidth="1"/>
    <col min="15357" max="15357" width="9" style="20" customWidth="1"/>
    <col min="15358" max="15359" width="9.88671875" style="20" customWidth="1"/>
    <col min="15360" max="15360" width="11.109375" style="20" customWidth="1"/>
    <col min="15361" max="15361" width="2.88671875" style="20" customWidth="1"/>
    <col min="15362" max="15362" width="3.5546875" style="20" customWidth="1"/>
    <col min="15363" max="15607" width="9.109375" style="20"/>
    <col min="15608" max="15608" width="8.6640625" style="20" customWidth="1"/>
    <col min="15609" max="15609" width="9.88671875" style="20" customWidth="1"/>
    <col min="15610" max="15610" width="14.44140625" style="20" customWidth="1"/>
    <col min="15611" max="15611" width="7.33203125" style="20" customWidth="1"/>
    <col min="15612" max="15612" width="5.5546875" style="20" customWidth="1"/>
    <col min="15613" max="15613" width="9" style="20" customWidth="1"/>
    <col min="15614" max="15615" width="9.88671875" style="20" customWidth="1"/>
    <col min="15616" max="15616" width="11.109375" style="20" customWidth="1"/>
    <col min="15617" max="15617" width="2.88671875" style="20" customWidth="1"/>
    <col min="15618" max="15618" width="3.5546875" style="20" customWidth="1"/>
    <col min="15619" max="15863" width="9.109375" style="20"/>
    <col min="15864" max="15864" width="8.6640625" style="20" customWidth="1"/>
    <col min="15865" max="15865" width="9.88671875" style="20" customWidth="1"/>
    <col min="15866" max="15866" width="14.44140625" style="20" customWidth="1"/>
    <col min="15867" max="15867" width="7.33203125" style="20" customWidth="1"/>
    <col min="15868" max="15868" width="5.5546875" style="20" customWidth="1"/>
    <col min="15869" max="15869" width="9" style="20" customWidth="1"/>
    <col min="15870" max="15871" width="9.88671875" style="20" customWidth="1"/>
    <col min="15872" max="15872" width="11.109375" style="20" customWidth="1"/>
    <col min="15873" max="15873" width="2.88671875" style="20" customWidth="1"/>
    <col min="15874" max="15874" width="3.5546875" style="20" customWidth="1"/>
    <col min="15875" max="16119" width="9.109375" style="20"/>
    <col min="16120" max="16120" width="8.6640625" style="20" customWidth="1"/>
    <col min="16121" max="16121" width="9.88671875" style="20" customWidth="1"/>
    <col min="16122" max="16122" width="14.44140625" style="20" customWidth="1"/>
    <col min="16123" max="16123" width="7.33203125" style="20" customWidth="1"/>
    <col min="16124" max="16124" width="5.5546875" style="20" customWidth="1"/>
    <col min="16125" max="16125" width="9" style="20" customWidth="1"/>
    <col min="16126" max="16127" width="9.88671875" style="20" customWidth="1"/>
    <col min="16128" max="16128" width="11.109375" style="20" customWidth="1"/>
    <col min="16129" max="16129" width="2.88671875" style="20" customWidth="1"/>
    <col min="16130" max="16130" width="3.5546875" style="20" customWidth="1"/>
    <col min="16131" max="16384" width="9.109375" style="20"/>
  </cols>
  <sheetData>
    <row r="1" spans="1:26" ht="46.5" customHeight="1" x14ac:dyDescent="0.3">
      <c r="A1" s="176" t="s">
        <v>373</v>
      </c>
      <c r="B1" s="176"/>
      <c r="C1" s="176"/>
      <c r="D1" s="176"/>
      <c r="E1" s="176"/>
      <c r="F1" s="176"/>
      <c r="G1" s="176"/>
      <c r="H1" s="176"/>
    </row>
    <row r="2" spans="1:26" ht="16.5" customHeight="1" x14ac:dyDescent="0.3">
      <c r="A2" s="177" t="s">
        <v>0</v>
      </c>
      <c r="B2" s="177"/>
      <c r="C2" s="177"/>
      <c r="D2" s="177"/>
      <c r="E2" s="177"/>
      <c r="F2" s="177"/>
      <c r="G2" s="177"/>
      <c r="H2" s="177"/>
    </row>
    <row r="3" spans="1:26" x14ac:dyDescent="0.3">
      <c r="A3" s="129" t="s">
        <v>1</v>
      </c>
      <c r="B3" s="129"/>
      <c r="C3" s="129"/>
      <c r="D3" s="129"/>
      <c r="E3" s="129" t="str">
        <f ca="1">TEXT(TODAY(),"DD/MM/YYYY")</f>
        <v>11/09/2025</v>
      </c>
      <c r="F3" s="129"/>
      <c r="G3" s="129"/>
      <c r="H3" s="129"/>
      <c r="K3" s="56" t="s">
        <v>229</v>
      </c>
      <c r="L3" s="53" t="s">
        <v>227</v>
      </c>
      <c r="M3" s="53" t="s">
        <v>232</v>
      </c>
      <c r="N3" s="53" t="s">
        <v>230</v>
      </c>
      <c r="O3" s="53" t="s">
        <v>231</v>
      </c>
      <c r="P3" s="53" t="s">
        <v>233</v>
      </c>
    </row>
    <row r="4" spans="1:26" ht="15" customHeight="1" x14ac:dyDescent="0.3">
      <c r="A4" s="129" t="s">
        <v>226</v>
      </c>
      <c r="B4" s="129"/>
      <c r="C4" s="129"/>
      <c r="D4" s="129"/>
      <c r="E4" s="129" t="s">
        <v>227</v>
      </c>
      <c r="F4" s="129"/>
      <c r="G4" s="129"/>
      <c r="H4" s="129"/>
      <c r="K4" s="52" t="s">
        <v>228</v>
      </c>
      <c r="L4" s="53" t="s">
        <v>166</v>
      </c>
      <c r="M4" s="53" t="s">
        <v>237</v>
      </c>
      <c r="N4" s="53" t="s">
        <v>239</v>
      </c>
      <c r="O4" s="53" t="s">
        <v>241</v>
      </c>
      <c r="P4" s="53"/>
    </row>
    <row r="5" spans="1:26" ht="15" customHeight="1" x14ac:dyDescent="0.3">
      <c r="A5" s="129" t="s">
        <v>2</v>
      </c>
      <c r="B5" s="129"/>
      <c r="C5" s="129"/>
      <c r="D5" s="129"/>
      <c r="E5" s="129" t="s">
        <v>234</v>
      </c>
      <c r="F5" s="129"/>
      <c r="G5" s="129"/>
      <c r="H5" s="129"/>
      <c r="K5" s="52"/>
      <c r="L5" s="53" t="s">
        <v>234</v>
      </c>
      <c r="M5" s="53" t="s">
        <v>238</v>
      </c>
      <c r="N5" s="53" t="s">
        <v>240</v>
      </c>
      <c r="O5" s="53" t="s">
        <v>242</v>
      </c>
      <c r="P5" s="53"/>
    </row>
    <row r="6" spans="1:26" x14ac:dyDescent="0.3">
      <c r="A6" s="129" t="s">
        <v>3</v>
      </c>
      <c r="B6" s="129"/>
      <c r="C6" s="129"/>
      <c r="D6" s="129"/>
      <c r="E6" s="178">
        <v>45909</v>
      </c>
      <c r="F6" s="129"/>
      <c r="G6" s="129"/>
      <c r="H6" s="129"/>
      <c r="K6" s="52"/>
      <c r="L6" s="53" t="s">
        <v>235</v>
      </c>
      <c r="M6" s="53"/>
      <c r="N6" s="53"/>
      <c r="O6" s="53" t="s">
        <v>243</v>
      </c>
      <c r="P6" s="53"/>
    </row>
    <row r="7" spans="1:26" ht="16.5" customHeight="1" x14ac:dyDescent="0.3">
      <c r="A7" s="129" t="s">
        <v>4</v>
      </c>
      <c r="B7" s="129"/>
      <c r="C7" s="129"/>
      <c r="D7" s="129"/>
      <c r="E7" s="129" t="s">
        <v>321</v>
      </c>
      <c r="F7" s="129"/>
      <c r="G7" s="129"/>
      <c r="H7" s="129"/>
      <c r="K7" s="52"/>
      <c r="L7" s="53" t="s">
        <v>236</v>
      </c>
      <c r="M7" s="53"/>
      <c r="N7" s="53"/>
      <c r="O7" s="53" t="s">
        <v>243</v>
      </c>
      <c r="P7" s="53"/>
    </row>
    <row r="8" spans="1:26" ht="15" customHeight="1" x14ac:dyDescent="0.3">
      <c r="A8" s="129" t="s">
        <v>5</v>
      </c>
      <c r="B8" s="129"/>
      <c r="C8" s="129"/>
      <c r="D8" s="129"/>
      <c r="E8" s="129" t="str">
        <f>E7</f>
        <v xml:space="preserve">RDP Realtors Private Limited  </v>
      </c>
      <c r="F8" s="129"/>
      <c r="G8" s="129"/>
      <c r="H8" s="129"/>
      <c r="K8" s="52"/>
      <c r="L8" s="53"/>
      <c r="M8" s="53"/>
      <c r="N8" s="53"/>
      <c r="O8" s="53" t="s">
        <v>244</v>
      </c>
      <c r="P8" s="53"/>
    </row>
    <row r="9" spans="1:26" x14ac:dyDescent="0.3">
      <c r="A9" s="129" t="s">
        <v>6</v>
      </c>
      <c r="B9" s="129"/>
      <c r="C9" s="129"/>
      <c r="D9" s="129"/>
      <c r="E9" s="119" t="s">
        <v>293</v>
      </c>
      <c r="F9" s="119"/>
      <c r="G9" s="119"/>
      <c r="H9" s="119"/>
      <c r="K9" s="52"/>
      <c r="L9" s="53"/>
      <c r="M9" s="53"/>
      <c r="N9" s="53"/>
      <c r="O9" s="53" t="s">
        <v>245</v>
      </c>
      <c r="P9" s="53"/>
    </row>
    <row r="10" spans="1:26" x14ac:dyDescent="0.3">
      <c r="A10" s="129" t="s">
        <v>163</v>
      </c>
      <c r="B10" s="129"/>
      <c r="C10" s="129"/>
      <c r="D10" s="129"/>
      <c r="E10" s="129" t="s">
        <v>330</v>
      </c>
      <c r="F10" s="129"/>
      <c r="G10" s="129"/>
      <c r="H10" s="129"/>
      <c r="K10" s="52"/>
      <c r="L10" s="53"/>
      <c r="M10" s="53"/>
      <c r="N10" s="53"/>
      <c r="O10" s="53"/>
      <c r="P10" s="53"/>
    </row>
    <row r="11" spans="1:26" x14ac:dyDescent="0.3">
      <c r="A11" s="129" t="s">
        <v>164</v>
      </c>
      <c r="B11" s="129"/>
      <c r="C11" s="129"/>
      <c r="D11" s="129"/>
      <c r="E11" s="129" t="s">
        <v>350</v>
      </c>
      <c r="F11" s="129"/>
      <c r="G11" s="129"/>
      <c r="H11" s="129"/>
    </row>
    <row r="12" spans="1:26" x14ac:dyDescent="0.3">
      <c r="A12" s="129" t="s">
        <v>7</v>
      </c>
      <c r="B12" s="129"/>
      <c r="C12" s="129"/>
      <c r="D12" s="129"/>
      <c r="E12" s="129" t="s">
        <v>339</v>
      </c>
      <c r="F12" s="129"/>
      <c r="G12" s="129"/>
      <c r="H12" s="129"/>
    </row>
    <row r="13" spans="1:26" x14ac:dyDescent="0.3">
      <c r="A13" s="129" t="s">
        <v>167</v>
      </c>
      <c r="B13" s="129"/>
      <c r="C13" s="129"/>
      <c r="D13" s="129"/>
      <c r="E13" s="129" t="s">
        <v>28</v>
      </c>
      <c r="F13" s="129"/>
      <c r="G13" s="129"/>
      <c r="H13" s="129"/>
      <c r="S13" s="53" t="s">
        <v>172</v>
      </c>
      <c r="T13" s="53" t="s">
        <v>182</v>
      </c>
      <c r="U13" s="53" t="s">
        <v>168</v>
      </c>
      <c r="V13" s="53" t="s">
        <v>187</v>
      </c>
      <c r="W13" s="53" t="s">
        <v>205</v>
      </c>
      <c r="X13"/>
      <c r="Y13" t="s">
        <v>187</v>
      </c>
      <c r="Z13" t="e">
        <f ca="1">OFFSET($S$13,1,MATCH($G20,$S$13:$W$13,0)-1,15,1)</f>
        <v>#VALUE!</v>
      </c>
    </row>
    <row r="14" spans="1:26" x14ac:dyDescent="0.3">
      <c r="A14" s="87" t="s">
        <v>272</v>
      </c>
      <c r="B14" s="87"/>
      <c r="C14" s="87"/>
      <c r="D14" s="87"/>
      <c r="E14" s="125" t="s">
        <v>296</v>
      </c>
      <c r="F14" s="125"/>
      <c r="G14" s="125"/>
      <c r="H14" s="125"/>
      <c r="S14" s="53" t="s">
        <v>173</v>
      </c>
      <c r="T14" s="53" t="s">
        <v>180</v>
      </c>
      <c r="U14" s="53" t="s">
        <v>202</v>
      </c>
      <c r="V14" s="53" t="s">
        <v>188</v>
      </c>
      <c r="W14" s="53" t="s">
        <v>206</v>
      </c>
      <c r="X14"/>
      <c r="Y14"/>
      <c r="Z14"/>
    </row>
    <row r="15" spans="1:26" x14ac:dyDescent="0.3">
      <c r="A15" s="129" t="s">
        <v>8</v>
      </c>
      <c r="B15" s="129"/>
      <c r="C15" s="129"/>
      <c r="D15" s="129"/>
      <c r="E15" s="125" t="s">
        <v>297</v>
      </c>
      <c r="F15" s="129"/>
      <c r="G15" s="129"/>
      <c r="H15" s="129"/>
      <c r="I15" s="201" t="e">
        <f ca="1">OFFSET($D$5,1,MATCH($J13,$D$5:$H$5,0)-1,15,1)</f>
        <v>#N/A</v>
      </c>
      <c r="J15" s="202"/>
      <c r="K15" s="202"/>
      <c r="L15" s="202"/>
      <c r="M15" s="202"/>
      <c r="N15" s="202"/>
      <c r="O15" s="202"/>
      <c r="P15" s="202"/>
      <c r="S15" s="53" t="s">
        <v>174</v>
      </c>
      <c r="T15" s="53" t="s">
        <v>181</v>
      </c>
      <c r="U15" s="53" t="s">
        <v>203</v>
      </c>
      <c r="V15" s="53" t="s">
        <v>189</v>
      </c>
      <c r="W15" s="53" t="s">
        <v>219</v>
      </c>
      <c r="X15"/>
      <c r="Y15"/>
      <c r="Z15"/>
    </row>
    <row r="16" spans="1:26" ht="32.25" customHeight="1" x14ac:dyDescent="0.3">
      <c r="A16" s="125" t="s">
        <v>9</v>
      </c>
      <c r="B16" s="125"/>
      <c r="C16" s="125" t="str">
        <f>CONCATENATE((IF(OR(E9="",E9="NA"),"",E9)),", ",(IF(OR(A17="",A17="NA"),"",A17)),".",(IF(OR(C17="",C17="NA"),"",C17)),", near ",(IF(OR(C22="",C22="NA"),"",C22)),", ",(IF(OR(C19="",C19="NA"),"",C19)),", ",(IF(OR(C18="",C18="NA"),"",C18)),", ",(IF(OR(G19="",G19="NA"),"",G19)),", ",(IF(OR(C20="",C20="NA"),"",C20)),", ",(IF(OR(C21="",C21="NA"),"",C21)),", ",(IF(OR(G20="",G20="NA"),"",G20))," - ",(IF(OR(G21="",G21="NA"),"",G21)),".")</f>
        <v>Raunak Fortuna, Survey No.58/1/1, 58/1/2, 58/2, near Bhoomi Lawns, Kalyan Shilphata Road, Shilgaon, Padle, Diva (East), Thane, Thane  - 421204.</v>
      </c>
      <c r="D16" s="125"/>
      <c r="E16" s="125"/>
      <c r="F16" s="125"/>
      <c r="G16" s="125"/>
      <c r="H16" s="125"/>
      <c r="S16" s="53" t="s">
        <v>175</v>
      </c>
      <c r="T16" s="53" t="s">
        <v>183</v>
      </c>
      <c r="U16" s="53" t="s">
        <v>204</v>
      </c>
      <c r="V16" s="53" t="s">
        <v>190</v>
      </c>
      <c r="W16" s="53" t="s">
        <v>207</v>
      </c>
      <c r="X16"/>
      <c r="Y16"/>
      <c r="Z16"/>
    </row>
    <row r="17" spans="1:26" x14ac:dyDescent="0.3">
      <c r="A17" s="125" t="s">
        <v>298</v>
      </c>
      <c r="B17" s="125"/>
      <c r="C17" s="125" t="s">
        <v>331</v>
      </c>
      <c r="D17" s="125"/>
      <c r="E17" s="125"/>
      <c r="F17" s="125"/>
      <c r="G17" s="125"/>
      <c r="H17" s="125"/>
      <c r="S17" s="53" t="s">
        <v>176</v>
      </c>
      <c r="T17" s="53" t="s">
        <v>184</v>
      </c>
      <c r="U17" s="53" t="s">
        <v>168</v>
      </c>
      <c r="V17" s="53" t="s">
        <v>191</v>
      </c>
      <c r="W17" s="53" t="s">
        <v>208</v>
      </c>
      <c r="X17"/>
      <c r="Y17"/>
      <c r="Z17"/>
    </row>
    <row r="18" spans="1:26" ht="15.75" customHeight="1" x14ac:dyDescent="0.3">
      <c r="A18" s="125" t="s">
        <v>159</v>
      </c>
      <c r="B18" s="125"/>
      <c r="C18" s="125" t="s">
        <v>300</v>
      </c>
      <c r="D18" s="125"/>
      <c r="E18" s="125"/>
      <c r="F18" s="125"/>
      <c r="G18" s="125"/>
      <c r="H18" s="125"/>
      <c r="S18" s="53" t="s">
        <v>177</v>
      </c>
      <c r="T18" s="53" t="s">
        <v>182</v>
      </c>
      <c r="U18" s="53"/>
      <c r="V18" s="53" t="s">
        <v>192</v>
      </c>
      <c r="W18" s="53" t="s">
        <v>209</v>
      </c>
      <c r="X18"/>
      <c r="Y18"/>
      <c r="Z18"/>
    </row>
    <row r="19" spans="1:26" ht="15.75" customHeight="1" x14ac:dyDescent="0.3">
      <c r="A19" s="125" t="s">
        <v>10</v>
      </c>
      <c r="B19" s="125"/>
      <c r="C19" s="129" t="s">
        <v>322</v>
      </c>
      <c r="D19" s="129"/>
      <c r="E19" s="125" t="s">
        <v>68</v>
      </c>
      <c r="F19" s="125"/>
      <c r="G19" s="125" t="s">
        <v>299</v>
      </c>
      <c r="H19" s="125"/>
      <c r="S19" s="53" t="s">
        <v>178</v>
      </c>
      <c r="T19" s="53" t="s">
        <v>185</v>
      </c>
      <c r="U19" s="53"/>
      <c r="V19" s="53" t="s">
        <v>193</v>
      </c>
      <c r="W19" s="53" t="s">
        <v>210</v>
      </c>
      <c r="X19"/>
      <c r="Y19"/>
      <c r="Z19"/>
    </row>
    <row r="20" spans="1:26" x14ac:dyDescent="0.3">
      <c r="A20" s="129" t="s">
        <v>12</v>
      </c>
      <c r="B20" s="129"/>
      <c r="C20" s="125" t="s">
        <v>332</v>
      </c>
      <c r="D20" s="125"/>
      <c r="E20" s="125" t="s">
        <v>11</v>
      </c>
      <c r="F20" s="125"/>
      <c r="G20" s="175" t="s">
        <v>172</v>
      </c>
      <c r="H20" s="175"/>
      <c r="S20" s="53" t="s">
        <v>179</v>
      </c>
      <c r="T20" s="53" t="s">
        <v>186</v>
      </c>
      <c r="U20" s="53"/>
      <c r="V20" s="53" t="s">
        <v>194</v>
      </c>
      <c r="W20" s="53" t="s">
        <v>211</v>
      </c>
      <c r="X20"/>
      <c r="Y20"/>
      <c r="Z20"/>
    </row>
    <row r="21" spans="1:26" x14ac:dyDescent="0.3">
      <c r="A21" s="129" t="s">
        <v>69</v>
      </c>
      <c r="B21" s="129"/>
      <c r="C21" s="125" t="s">
        <v>173</v>
      </c>
      <c r="D21" s="125"/>
      <c r="E21" s="125" t="s">
        <v>13</v>
      </c>
      <c r="F21" s="125"/>
      <c r="G21" s="125">
        <v>421204</v>
      </c>
      <c r="H21" s="125"/>
      <c r="S21" s="53"/>
      <c r="T21" s="53"/>
      <c r="U21" s="53"/>
      <c r="V21" s="53" t="s">
        <v>195</v>
      </c>
      <c r="W21" s="53" t="s">
        <v>212</v>
      </c>
      <c r="X21"/>
      <c r="Y21"/>
      <c r="Z21"/>
    </row>
    <row r="22" spans="1:26" ht="32.25" customHeight="1" x14ac:dyDescent="0.3">
      <c r="A22" s="129" t="s">
        <v>119</v>
      </c>
      <c r="B22" s="129"/>
      <c r="C22" s="125" t="s">
        <v>302</v>
      </c>
      <c r="D22" s="125"/>
      <c r="E22" s="125" t="s">
        <v>14</v>
      </c>
      <c r="F22" s="125"/>
      <c r="G22" s="125" t="s">
        <v>301</v>
      </c>
      <c r="H22" s="125"/>
      <c r="S22" s="53"/>
      <c r="T22" s="53"/>
      <c r="U22" s="53"/>
      <c r="V22" s="53" t="s">
        <v>196</v>
      </c>
      <c r="W22" s="53" t="s">
        <v>213</v>
      </c>
      <c r="X22"/>
      <c r="Y22"/>
      <c r="Z22"/>
    </row>
    <row r="23" spans="1:26" ht="15" customHeight="1" x14ac:dyDescent="0.3">
      <c r="A23" s="126" t="s">
        <v>71</v>
      </c>
      <c r="B23" s="126"/>
      <c r="C23" s="126"/>
      <c r="D23" s="126"/>
      <c r="E23" s="129" t="s">
        <v>15</v>
      </c>
      <c r="F23" s="129"/>
      <c r="G23" s="129"/>
      <c r="H23" s="129"/>
      <c r="S23" s="53"/>
      <c r="T23" s="53"/>
      <c r="U23" s="53"/>
      <c r="V23" s="53" t="s">
        <v>197</v>
      </c>
      <c r="W23" s="53" t="s">
        <v>214</v>
      </c>
      <c r="X23"/>
      <c r="Y23"/>
      <c r="Z23"/>
    </row>
    <row r="24" spans="1:26" ht="18.75" customHeight="1" x14ac:dyDescent="0.3">
      <c r="A24" s="126"/>
      <c r="B24" s="126"/>
      <c r="C24" s="126"/>
      <c r="D24" s="126"/>
      <c r="E24" s="129"/>
      <c r="F24" s="129"/>
      <c r="G24" s="129"/>
      <c r="H24" s="129"/>
      <c r="S24" s="53"/>
      <c r="T24" s="53"/>
      <c r="U24" s="53"/>
      <c r="V24" s="53" t="s">
        <v>198</v>
      </c>
      <c r="W24" s="53" t="s">
        <v>215</v>
      </c>
      <c r="X24"/>
      <c r="Y24"/>
      <c r="Z24"/>
    </row>
    <row r="25" spans="1:26" ht="15" customHeight="1" x14ac:dyDescent="0.3">
      <c r="A25" s="126" t="s">
        <v>16</v>
      </c>
      <c r="B25" s="126"/>
      <c r="C25" s="126"/>
      <c r="D25" s="126"/>
      <c r="E25" s="125" t="s">
        <v>17</v>
      </c>
      <c r="F25" s="125"/>
      <c r="G25" s="125"/>
      <c r="H25" s="125"/>
      <c r="S25" s="53"/>
      <c r="T25" s="53"/>
      <c r="U25" s="53"/>
      <c r="V25" s="53" t="s">
        <v>199</v>
      </c>
      <c r="W25" s="53" t="s">
        <v>216</v>
      </c>
      <c r="X25"/>
      <c r="Y25"/>
      <c r="Z25"/>
    </row>
    <row r="26" spans="1:26" ht="15" customHeight="1" x14ac:dyDescent="0.3">
      <c r="A26" s="87" t="s">
        <v>18</v>
      </c>
      <c r="B26" s="87"/>
      <c r="C26" s="87"/>
      <c r="D26" s="87"/>
      <c r="E26" s="125" t="str">
        <f>IF(AND(G20="Mumbai"),"Upper Class","Middle Class")</f>
        <v>Middle Class</v>
      </c>
      <c r="F26" s="125"/>
      <c r="G26" s="125"/>
      <c r="H26" s="125"/>
      <c r="S26" s="53"/>
      <c r="T26" s="53"/>
      <c r="U26" s="53"/>
      <c r="V26" s="53" t="s">
        <v>200</v>
      </c>
      <c r="W26" s="53" t="s">
        <v>217</v>
      </c>
      <c r="X26"/>
      <c r="Y26"/>
      <c r="Z26"/>
    </row>
    <row r="27" spans="1:26" x14ac:dyDescent="0.3">
      <c r="A27" s="87" t="s">
        <v>19</v>
      </c>
      <c r="B27" s="87"/>
      <c r="C27" s="87"/>
      <c r="D27" s="87"/>
      <c r="E27" s="125" t="s">
        <v>20</v>
      </c>
      <c r="F27" s="125"/>
      <c r="G27" s="125"/>
      <c r="H27" s="125"/>
      <c r="S27" s="53"/>
      <c r="T27" s="53"/>
      <c r="U27" s="53"/>
      <c r="V27" s="53" t="s">
        <v>201</v>
      </c>
      <c r="W27" s="53" t="s">
        <v>218</v>
      </c>
      <c r="X27"/>
      <c r="Y27"/>
      <c r="Z27"/>
    </row>
    <row r="28" spans="1:26" ht="15.75" customHeight="1" x14ac:dyDescent="0.3">
      <c r="A28" s="87" t="s">
        <v>21</v>
      </c>
      <c r="B28" s="87"/>
      <c r="C28" s="87"/>
      <c r="D28" s="87"/>
      <c r="E28" s="125" t="str">
        <f>IF(AND(G20="Mumbai"),"Developed","Developing")</f>
        <v>Developing</v>
      </c>
      <c r="F28" s="125"/>
      <c r="G28" s="125"/>
      <c r="H28" s="125"/>
    </row>
    <row r="29" spans="1:26" x14ac:dyDescent="0.3">
      <c r="A29" s="87" t="s">
        <v>22</v>
      </c>
      <c r="B29" s="87"/>
      <c r="C29" s="87"/>
      <c r="D29" s="87"/>
      <c r="E29" s="125" t="s">
        <v>23</v>
      </c>
      <c r="F29" s="125"/>
      <c r="G29" s="125"/>
      <c r="H29" s="125"/>
    </row>
    <row r="30" spans="1:26" ht="15.75" customHeight="1" x14ac:dyDescent="0.3">
      <c r="A30" s="87" t="s">
        <v>76</v>
      </c>
      <c r="B30" s="87"/>
      <c r="C30" s="87"/>
      <c r="D30" s="87"/>
      <c r="E30" s="125" t="s">
        <v>77</v>
      </c>
      <c r="F30" s="125"/>
      <c r="G30" s="125"/>
      <c r="H30" s="125"/>
    </row>
    <row r="31" spans="1:26" ht="15" customHeight="1" x14ac:dyDescent="0.3">
      <c r="A31" s="87" t="s">
        <v>30</v>
      </c>
      <c r="B31" s="87"/>
      <c r="C31" s="87"/>
      <c r="D31" s="87"/>
      <c r="E31" s="12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25"/>
      <c r="G31" s="125"/>
      <c r="H31" s="125"/>
    </row>
    <row r="32" spans="1:26" ht="15.75" customHeight="1" x14ac:dyDescent="0.3">
      <c r="A32" s="87" t="s">
        <v>87</v>
      </c>
      <c r="B32" s="87"/>
      <c r="C32" s="87"/>
      <c r="D32" s="87"/>
      <c r="E32" s="125" t="s">
        <v>31</v>
      </c>
      <c r="F32" s="125"/>
      <c r="G32" s="125"/>
      <c r="H32" s="125"/>
    </row>
    <row r="33" spans="1:19" s="21" customFormat="1" x14ac:dyDescent="0.3">
      <c r="A33" s="174" t="s">
        <v>88</v>
      </c>
      <c r="B33" s="174"/>
      <c r="C33" s="171" t="s">
        <v>169</v>
      </c>
      <c r="D33" s="172"/>
      <c r="E33" s="173"/>
      <c r="F33" s="171" t="s">
        <v>29</v>
      </c>
      <c r="G33" s="172"/>
      <c r="H33" s="173"/>
      <c r="S33" s="21" t="e">
        <f ca="1">OFFSET($S$13,1,MATCH($G20,$S$13:$W$13,0)-1,15,1)</f>
        <v>#VALUE!</v>
      </c>
    </row>
    <row r="34" spans="1:19" s="21" customFormat="1" x14ac:dyDescent="0.3">
      <c r="A34" s="144" t="s">
        <v>24</v>
      </c>
      <c r="B34" s="144" t="s">
        <v>28</v>
      </c>
      <c r="C34" s="141" t="s">
        <v>305</v>
      </c>
      <c r="D34" s="142"/>
      <c r="E34" s="143"/>
      <c r="F34" s="141" t="s">
        <v>307</v>
      </c>
      <c r="G34" s="142"/>
      <c r="H34" s="143"/>
    </row>
    <row r="35" spans="1:19" x14ac:dyDescent="0.3">
      <c r="A35" s="144" t="s">
        <v>25</v>
      </c>
      <c r="B35" s="144" t="s">
        <v>28</v>
      </c>
      <c r="C35" s="141" t="s">
        <v>305</v>
      </c>
      <c r="D35" s="142"/>
      <c r="E35" s="143"/>
      <c r="F35" s="141" t="s">
        <v>306</v>
      </c>
      <c r="G35" s="142"/>
      <c r="H35" s="143"/>
    </row>
    <row r="36" spans="1:19" s="21" customFormat="1" x14ac:dyDescent="0.3">
      <c r="A36" s="144" t="s">
        <v>27</v>
      </c>
      <c r="B36" s="144" t="s">
        <v>28</v>
      </c>
      <c r="C36" s="141" t="s">
        <v>303</v>
      </c>
      <c r="D36" s="142"/>
      <c r="E36" s="143"/>
      <c r="F36" s="141" t="s">
        <v>323</v>
      </c>
      <c r="G36" s="142"/>
      <c r="H36" s="143"/>
    </row>
    <row r="37" spans="1:19" x14ac:dyDescent="0.3">
      <c r="A37" s="144" t="s">
        <v>26</v>
      </c>
      <c r="B37" s="144" t="s">
        <v>28</v>
      </c>
      <c r="C37" s="141" t="s">
        <v>304</v>
      </c>
      <c r="D37" s="142"/>
      <c r="E37" s="143"/>
      <c r="F37" s="141" t="s">
        <v>302</v>
      </c>
      <c r="G37" s="142"/>
      <c r="H37" s="143"/>
    </row>
    <row r="38" spans="1:19" x14ac:dyDescent="0.3">
      <c r="A38" s="87" t="s">
        <v>273</v>
      </c>
      <c r="B38" s="87"/>
      <c r="C38" s="87"/>
      <c r="D38" s="87"/>
      <c r="E38" s="87"/>
      <c r="F38" s="87"/>
      <c r="G38" s="87"/>
      <c r="H38" s="87"/>
    </row>
    <row r="39" spans="1:19" ht="15.75" customHeight="1" x14ac:dyDescent="0.3">
      <c r="A39" s="87" t="s">
        <v>161</v>
      </c>
      <c r="B39" s="87"/>
      <c r="C39" s="87" t="s">
        <v>294</v>
      </c>
      <c r="D39" s="103"/>
      <c r="E39" s="103"/>
      <c r="F39" s="103"/>
      <c r="G39" s="103"/>
      <c r="H39" s="103"/>
    </row>
    <row r="40" spans="1:19" x14ac:dyDescent="0.3">
      <c r="A40" s="87" t="s">
        <v>158</v>
      </c>
      <c r="B40" s="87"/>
      <c r="C40" s="124" t="s">
        <v>295</v>
      </c>
      <c r="D40" s="125"/>
      <c r="E40" s="125"/>
      <c r="F40" s="125"/>
      <c r="G40" s="125"/>
      <c r="H40" s="125"/>
    </row>
    <row r="41" spans="1:19" x14ac:dyDescent="0.3">
      <c r="A41" s="103" t="s">
        <v>32</v>
      </c>
      <c r="B41" s="103"/>
      <c r="C41" s="103"/>
      <c r="D41" s="103"/>
      <c r="E41" s="103"/>
      <c r="F41" s="103"/>
      <c r="G41" s="103"/>
      <c r="H41" s="103"/>
    </row>
    <row r="42" spans="1:19" x14ac:dyDescent="0.3">
      <c r="A42" s="87" t="s">
        <v>33</v>
      </c>
      <c r="B42" s="87"/>
      <c r="C42" s="87"/>
      <c r="D42" s="87"/>
      <c r="E42" s="145">
        <v>8478.0400000000009</v>
      </c>
      <c r="F42" s="145"/>
      <c r="G42" s="145"/>
      <c r="H42" s="145"/>
    </row>
    <row r="43" spans="1:19" x14ac:dyDescent="0.3">
      <c r="A43" s="87" t="s">
        <v>34</v>
      </c>
      <c r="B43" s="87"/>
      <c r="C43" s="87"/>
      <c r="D43" s="87"/>
      <c r="E43" s="148">
        <f>9325.37/E42</f>
        <v>1.0999440908511873</v>
      </c>
      <c r="F43" s="148"/>
      <c r="G43" s="148"/>
      <c r="H43" s="148"/>
    </row>
    <row r="44" spans="1:19" x14ac:dyDescent="0.3">
      <c r="A44" s="87" t="s">
        <v>35</v>
      </c>
      <c r="B44" s="87"/>
      <c r="C44" s="87"/>
      <c r="D44" s="87"/>
      <c r="E44" s="148">
        <f>E46/E42-E43</f>
        <v>3.668950606508107</v>
      </c>
      <c r="F44" s="148"/>
      <c r="G44" s="148"/>
      <c r="H44" s="148"/>
    </row>
    <row r="45" spans="1:19" x14ac:dyDescent="0.3">
      <c r="A45" s="87" t="s">
        <v>36</v>
      </c>
      <c r="B45" s="87"/>
      <c r="C45" s="87"/>
      <c r="D45" s="87"/>
      <c r="E45" s="148">
        <f>E43+E44</f>
        <v>4.7688946973592943</v>
      </c>
      <c r="F45" s="148"/>
      <c r="G45" s="148"/>
      <c r="H45" s="148"/>
    </row>
    <row r="46" spans="1:19" x14ac:dyDescent="0.3">
      <c r="A46" s="87" t="s">
        <v>86</v>
      </c>
      <c r="B46" s="87"/>
      <c r="C46" s="87"/>
      <c r="D46" s="87"/>
      <c r="E46" s="149">
        <v>40430.879999999997</v>
      </c>
      <c r="F46" s="149"/>
      <c r="G46" s="149"/>
      <c r="H46" s="149"/>
    </row>
    <row r="47" spans="1:19" x14ac:dyDescent="0.3">
      <c r="A47" s="129" t="s">
        <v>37</v>
      </c>
      <c r="B47" s="129"/>
      <c r="C47" s="129"/>
      <c r="D47" s="129"/>
      <c r="E47" s="129" t="s">
        <v>118</v>
      </c>
      <c r="F47" s="129"/>
      <c r="G47" s="129"/>
      <c r="H47" s="129"/>
    </row>
    <row r="48" spans="1:19" x14ac:dyDescent="0.3">
      <c r="A48" s="103" t="s">
        <v>38</v>
      </c>
      <c r="B48" s="103"/>
      <c r="C48" s="103"/>
      <c r="D48" s="103"/>
      <c r="E48" s="103"/>
      <c r="F48" s="103"/>
      <c r="G48" s="103"/>
      <c r="H48" s="103"/>
    </row>
    <row r="49" spans="1:24" ht="33.75" customHeight="1" x14ac:dyDescent="0.3">
      <c r="A49" s="81" t="s">
        <v>148</v>
      </c>
      <c r="B49" s="82"/>
      <c r="C49" s="83" t="s">
        <v>253</v>
      </c>
      <c r="D49" s="84"/>
      <c r="E49" s="84"/>
      <c r="F49" s="84"/>
      <c r="G49" s="84"/>
      <c r="H49" s="85"/>
      <c r="R49" t="s">
        <v>246</v>
      </c>
      <c r="S49" t="s">
        <v>168</v>
      </c>
      <c r="T49" t="s">
        <v>172</v>
      </c>
      <c r="U49" t="s">
        <v>187</v>
      </c>
      <c r="V49" t="s">
        <v>182</v>
      </c>
    </row>
    <row r="50" spans="1:24" x14ac:dyDescent="0.3">
      <c r="A50" s="81" t="s">
        <v>39</v>
      </c>
      <c r="B50" s="82"/>
      <c r="C50" s="120" t="s">
        <v>353</v>
      </c>
      <c r="D50" s="121"/>
      <c r="E50" s="122"/>
      <c r="F50" s="61" t="s">
        <v>40</v>
      </c>
      <c r="G50" s="162">
        <v>45554</v>
      </c>
      <c r="H50" s="122"/>
      <c r="J50" s="123"/>
      <c r="K50" s="123"/>
      <c r="L50" s="123"/>
      <c r="M50" s="123"/>
      <c r="N50" s="123"/>
      <c r="O50" s="123"/>
      <c r="R50"/>
      <c r="S50" t="s">
        <v>247</v>
      </c>
      <c r="T50" t="s">
        <v>252</v>
      </c>
      <c r="U50" t="s">
        <v>263</v>
      </c>
      <c r="V50" t="s">
        <v>268</v>
      </c>
    </row>
    <row r="51" spans="1:24" x14ac:dyDescent="0.3">
      <c r="A51" s="81" t="s">
        <v>354</v>
      </c>
      <c r="B51" s="82"/>
      <c r="C51" s="120" t="str">
        <f>C50</f>
        <v>TMCB/TDD/0155/[P/C]/2024/AutoDCR</v>
      </c>
      <c r="D51" s="121"/>
      <c r="E51" s="122"/>
      <c r="F51" s="61" t="s">
        <v>40</v>
      </c>
      <c r="G51" s="162">
        <f>G50</f>
        <v>45554</v>
      </c>
      <c r="H51" s="122"/>
      <c r="R51"/>
      <c r="S51" t="s">
        <v>248</v>
      </c>
      <c r="T51" t="s">
        <v>253</v>
      </c>
      <c r="U51" t="s">
        <v>261</v>
      </c>
      <c r="V51" t="s">
        <v>269</v>
      </c>
    </row>
    <row r="52" spans="1:24" s="22" customFormat="1" x14ac:dyDescent="0.3">
      <c r="A52" s="163" t="s">
        <v>151</v>
      </c>
      <c r="B52" s="164"/>
      <c r="C52" s="81" t="str">
        <f>C51</f>
        <v>TMCB/TDD/0155/[P/C]/2024/AutoDCR</v>
      </c>
      <c r="D52" s="115"/>
      <c r="E52" s="82"/>
      <c r="F52" s="17" t="s">
        <v>40</v>
      </c>
      <c r="G52" s="161">
        <f>G51</f>
        <v>45554</v>
      </c>
      <c r="H52" s="82"/>
      <c r="R52"/>
      <c r="S52" t="s">
        <v>249</v>
      </c>
      <c r="T52" t="s">
        <v>254</v>
      </c>
      <c r="U52" t="s">
        <v>251</v>
      </c>
      <c r="V52" t="s">
        <v>270</v>
      </c>
    </row>
    <row r="53" spans="1:24" s="22" customFormat="1" x14ac:dyDescent="0.3">
      <c r="A53" s="165"/>
      <c r="B53" s="166"/>
      <c r="C53" s="81" t="s">
        <v>363</v>
      </c>
      <c r="D53" s="115"/>
      <c r="E53" s="115"/>
      <c r="F53" s="115"/>
      <c r="G53" s="115"/>
      <c r="H53" s="82"/>
      <c r="R53"/>
      <c r="S53" t="s">
        <v>250</v>
      </c>
      <c r="T53" t="s">
        <v>257</v>
      </c>
      <c r="U53" t="s">
        <v>264</v>
      </c>
    </row>
    <row r="54" spans="1:24" s="22" customFormat="1" hidden="1" x14ac:dyDescent="0.3">
      <c r="A54" s="155" t="s">
        <v>274</v>
      </c>
      <c r="B54" s="156"/>
      <c r="C54" s="81" t="str">
        <f>C53</f>
        <v>Wing B1 (B) = Basement + Ground + 1st to 36th Floor</v>
      </c>
      <c r="D54" s="115"/>
      <c r="E54" s="82"/>
      <c r="F54" s="17" t="s">
        <v>40</v>
      </c>
      <c r="G54" s="81"/>
      <c r="H54" s="82"/>
      <c r="R54"/>
      <c r="S54" t="s">
        <v>249</v>
      </c>
      <c r="T54" t="s">
        <v>254</v>
      </c>
      <c r="U54" t="s">
        <v>251</v>
      </c>
      <c r="V54" t="s">
        <v>270</v>
      </c>
    </row>
    <row r="55" spans="1:24" s="22" customFormat="1" ht="32.25" hidden="1" customHeight="1" x14ac:dyDescent="0.3">
      <c r="A55" s="157"/>
      <c r="B55" s="158"/>
      <c r="C55" s="168"/>
      <c r="D55" s="169"/>
      <c r="E55" s="169"/>
      <c r="F55" s="169"/>
      <c r="G55" s="169"/>
      <c r="H55" s="170"/>
      <c r="R55"/>
      <c r="S55" t="s">
        <v>251</v>
      </c>
      <c r="T55" t="s">
        <v>255</v>
      </c>
      <c r="U55" t="s">
        <v>265</v>
      </c>
      <c r="V55" s="20"/>
      <c r="W55" s="20"/>
      <c r="X55" s="20"/>
    </row>
    <row r="56" spans="1:24" s="22" customFormat="1" x14ac:dyDescent="0.3">
      <c r="A56" s="106" t="s">
        <v>275</v>
      </c>
      <c r="B56" s="108"/>
      <c r="C56" s="81" t="s">
        <v>343</v>
      </c>
      <c r="D56" s="115"/>
      <c r="E56" s="82"/>
      <c r="F56" s="17" t="s">
        <v>40</v>
      </c>
      <c r="G56" s="161">
        <v>44798</v>
      </c>
      <c r="H56" s="82"/>
      <c r="R56"/>
      <c r="S56" s="20"/>
      <c r="T56" t="s">
        <v>256</v>
      </c>
      <c r="U56" t="s">
        <v>266</v>
      </c>
      <c r="V56" s="20"/>
      <c r="W56" s="20"/>
      <c r="X56" s="20"/>
    </row>
    <row r="57" spans="1:24" s="22" customFormat="1" ht="34.5" customHeight="1" x14ac:dyDescent="0.3">
      <c r="A57" s="159"/>
      <c r="B57" s="160"/>
      <c r="C57" s="81" t="s">
        <v>345</v>
      </c>
      <c r="D57" s="115"/>
      <c r="E57" s="115"/>
      <c r="F57" s="115"/>
      <c r="G57" s="115"/>
      <c r="H57" s="82"/>
      <c r="R57"/>
      <c r="S57" s="20"/>
      <c r="T57" t="s">
        <v>258</v>
      </c>
      <c r="U57" t="s">
        <v>267</v>
      </c>
      <c r="V57" s="20"/>
      <c r="W57" s="20"/>
      <c r="X57" s="20"/>
    </row>
    <row r="58" spans="1:24" s="22" customFormat="1" ht="15.75" hidden="1" customHeight="1" x14ac:dyDescent="0.3">
      <c r="A58" s="155" t="s">
        <v>276</v>
      </c>
      <c r="B58" s="156"/>
      <c r="C58" s="81" t="str">
        <f>C57</f>
        <v>Survey No.58, Hissa No.1/1, 1/2 &amp; 2
Wing B = 2B + Gr + 1st to 36th Floor</v>
      </c>
      <c r="D58" s="115"/>
      <c r="E58" s="82"/>
      <c r="F58" s="17" t="s">
        <v>40</v>
      </c>
      <c r="G58" s="81">
        <f>G57</f>
        <v>0</v>
      </c>
      <c r="H58" s="82"/>
      <c r="R58"/>
      <c r="S58" s="20"/>
      <c r="T58" t="s">
        <v>259</v>
      </c>
      <c r="U58" s="20" t="s">
        <v>290</v>
      </c>
      <c r="V58" s="20"/>
      <c r="W58" s="20"/>
      <c r="X58" s="20"/>
    </row>
    <row r="59" spans="1:24" s="22" customFormat="1" ht="33.75" hidden="1" customHeight="1" x14ac:dyDescent="0.3">
      <c r="A59" s="157"/>
      <c r="B59" s="158"/>
      <c r="C59" s="81"/>
      <c r="D59" s="115"/>
      <c r="E59" s="115"/>
      <c r="F59" s="115"/>
      <c r="G59" s="115"/>
      <c r="H59" s="82"/>
      <c r="R59"/>
      <c r="S59" s="20"/>
      <c r="T59" t="s">
        <v>260</v>
      </c>
      <c r="U59" s="20"/>
      <c r="V59" s="20"/>
      <c r="W59" s="20"/>
      <c r="X59" s="20"/>
    </row>
    <row r="60" spans="1:24" x14ac:dyDescent="0.3">
      <c r="A60" s="204" t="s">
        <v>41</v>
      </c>
      <c r="B60" s="205"/>
      <c r="C60" s="204" t="s">
        <v>100</v>
      </c>
      <c r="D60" s="206"/>
      <c r="E60" s="205"/>
      <c r="F60" s="44" t="s">
        <v>40</v>
      </c>
      <c r="G60" s="153" t="s">
        <v>28</v>
      </c>
      <c r="H60" s="154"/>
      <c r="R60"/>
      <c r="T60" t="s">
        <v>262</v>
      </c>
    </row>
    <row r="61" spans="1:24" x14ac:dyDescent="0.3">
      <c r="A61" s="167" t="s">
        <v>43</v>
      </c>
      <c r="B61" s="167"/>
      <c r="C61" s="167"/>
      <c r="D61" s="167"/>
      <c r="E61" s="167"/>
      <c r="F61" s="167"/>
      <c r="G61" s="167"/>
      <c r="H61" s="167"/>
      <c r="T61" t="s">
        <v>271</v>
      </c>
    </row>
    <row r="62" spans="1:24" ht="33.75" customHeight="1" x14ac:dyDescent="0.3">
      <c r="A62" s="126" t="s">
        <v>340</v>
      </c>
      <c r="B62" s="126"/>
      <c r="C62" s="126"/>
      <c r="D62" s="207">
        <f>E46</f>
        <v>40430.879999999997</v>
      </c>
      <c r="E62" s="129"/>
      <c r="F62" s="129"/>
      <c r="G62" s="129"/>
      <c r="H62" s="129"/>
      <c r="R62"/>
    </row>
    <row r="63" spans="1:24" x14ac:dyDescent="0.3">
      <c r="A63" s="125" t="s">
        <v>44</v>
      </c>
      <c r="B63" s="129"/>
      <c r="C63" s="129"/>
      <c r="D63" s="129" t="s">
        <v>368</v>
      </c>
      <c r="E63" s="129"/>
      <c r="F63" s="129"/>
      <c r="G63" s="129"/>
      <c r="H63" s="129"/>
      <c r="I63" s="23"/>
      <c r="R63"/>
    </row>
    <row r="64" spans="1:24" x14ac:dyDescent="0.3">
      <c r="A64" s="106" t="s">
        <v>45</v>
      </c>
      <c r="B64" s="107"/>
      <c r="C64" s="108"/>
      <c r="D64" s="104" t="s">
        <v>344</v>
      </c>
      <c r="E64" s="105"/>
      <c r="F64" s="105"/>
      <c r="G64" s="105"/>
      <c r="H64" s="105"/>
      <c r="R64"/>
    </row>
    <row r="65" spans="1:19" ht="15.75" customHeight="1" x14ac:dyDescent="0.3">
      <c r="A65" s="106" t="s">
        <v>84</v>
      </c>
      <c r="B65" s="107"/>
      <c r="C65" s="107"/>
      <c r="D65" s="150" t="s">
        <v>344</v>
      </c>
      <c r="E65" s="151"/>
      <c r="F65" s="151"/>
      <c r="G65" s="151"/>
      <c r="H65" s="152"/>
      <c r="R65"/>
    </row>
    <row r="66" spans="1:19" ht="15.75" customHeight="1" x14ac:dyDescent="0.3">
      <c r="A66" s="87" t="s">
        <v>42</v>
      </c>
      <c r="B66" s="87"/>
      <c r="C66" s="87"/>
      <c r="D66" s="146" t="s">
        <v>308</v>
      </c>
      <c r="E66" s="146"/>
      <c r="F66" s="146"/>
      <c r="G66" s="146"/>
      <c r="H66" s="146"/>
      <c r="J66" s="24"/>
      <c r="K66" s="23"/>
      <c r="N66" s="23"/>
      <c r="S66"/>
    </row>
    <row r="67" spans="1:19" ht="15.75" customHeight="1" x14ac:dyDescent="0.3">
      <c r="A67" s="87" t="s">
        <v>82</v>
      </c>
      <c r="B67" s="87"/>
      <c r="C67" s="87"/>
      <c r="D67" s="147" t="str">
        <f>(IF(G60="NA","60 Years After Completion",IF(G60&lt;&gt;"NA",""&amp;60-ROUNDDOWN((E3-G60)/360,0)&amp;" Years"," ")))</f>
        <v>60 Years After Completion</v>
      </c>
      <c r="E67" s="147"/>
      <c r="F67" s="147"/>
      <c r="G67" s="147"/>
      <c r="H67" s="147"/>
      <c r="N67" s="23"/>
      <c r="S67"/>
    </row>
    <row r="68" spans="1:19" ht="15.75" customHeight="1" x14ac:dyDescent="0.3">
      <c r="A68" s="87" t="s">
        <v>83</v>
      </c>
      <c r="B68" s="87"/>
      <c r="C68" s="87"/>
      <c r="D68" s="126" t="s">
        <v>23</v>
      </c>
      <c r="E68" s="126"/>
      <c r="F68" s="126"/>
      <c r="G68" s="126"/>
      <c r="H68" s="126"/>
      <c r="J68" s="25"/>
      <c r="K68" s="25"/>
      <c r="S68"/>
    </row>
    <row r="69" spans="1:19" ht="33.75" customHeight="1" x14ac:dyDescent="0.3">
      <c r="A69" s="129" t="s">
        <v>309</v>
      </c>
      <c r="B69" s="129"/>
      <c r="C69" s="129"/>
      <c r="D69" s="125" t="s">
        <v>328</v>
      </c>
      <c r="E69" s="125"/>
      <c r="F69" s="125"/>
      <c r="G69" s="125"/>
      <c r="H69" s="125"/>
      <c r="I69" s="62" t="s">
        <v>310</v>
      </c>
      <c r="S69"/>
    </row>
    <row r="70" spans="1:19" x14ac:dyDescent="0.3">
      <c r="A70" s="126" t="s">
        <v>145</v>
      </c>
      <c r="B70" s="126"/>
      <c r="C70" s="126"/>
      <c r="D70" s="126" t="s">
        <v>28</v>
      </c>
      <c r="E70" s="126"/>
      <c r="F70" s="126"/>
      <c r="G70" s="126"/>
      <c r="H70" s="126"/>
      <c r="I70" s="26"/>
      <c r="J70" s="26"/>
      <c r="K70" s="26"/>
      <c r="L70" s="26"/>
      <c r="M70" s="26"/>
      <c r="N70" s="26"/>
    </row>
    <row r="71" spans="1:19" ht="15.75" customHeight="1" x14ac:dyDescent="0.3">
      <c r="A71" s="209" t="s">
        <v>81</v>
      </c>
      <c r="B71" s="209"/>
      <c r="C71" s="209"/>
      <c r="D71" s="104" t="str">
        <f ca="1">(IF(G77&gt;95%,"Nothing",IF(G77&gt;0%,"Cement, Aggregate, Steel, etc",IF(G77=0%,"Work not yet Started"))))</f>
        <v>Cement, Aggregate, Steel, etc</v>
      </c>
      <c r="E71" s="104"/>
      <c r="F71" s="104"/>
      <c r="G71" s="104"/>
      <c r="H71" s="104"/>
      <c r="J71" s="25"/>
      <c r="S71"/>
    </row>
    <row r="72" spans="1:19" ht="33.75" customHeight="1" thickBot="1" x14ac:dyDescent="0.35">
      <c r="A72" s="130" t="s">
        <v>113</v>
      </c>
      <c r="B72" s="130"/>
      <c r="C72" s="130"/>
      <c r="D72" s="104" t="str">
        <f ca="1">(IF(D71="Nothing","Yes",IF(D71="Cement, Aggregate, Steel, etc","Under Construction",IF(D71="Work not yet Started","Work not yet Started"))))</f>
        <v>Under Construction</v>
      </c>
      <c r="E72" s="104"/>
      <c r="F72" s="104" t="str">
        <f ca="1">(IF(D71="Nothing","Yes",IF(D71="Cement, Aggregate, Steel, etc","Under Construction",IF(D71="Work not yet Started","Work not yet Started"))))</f>
        <v>Under Construction</v>
      </c>
      <c r="G72" s="104"/>
      <c r="H72" s="104"/>
      <c r="S72"/>
    </row>
    <row r="73" spans="1:19" ht="15.75" customHeight="1" x14ac:dyDescent="0.3">
      <c r="A73" s="110" t="s">
        <v>137</v>
      </c>
      <c r="B73" s="111"/>
      <c r="C73" s="112" t="s">
        <v>344</v>
      </c>
      <c r="D73" s="113"/>
      <c r="E73" s="113"/>
      <c r="F73" s="113"/>
      <c r="G73" s="113"/>
      <c r="H73" s="114"/>
      <c r="I73" s="48" t="str">
        <f ca="1">IF(D86=100%,"All work Completed. Possession granted to the Building.",IF(D85=100%,"All work Completed, Waiting for OC",I74&amp;""&amp;I75&amp;""&amp;J74&amp;""&amp;J73&amp;" "&amp;J75))</f>
        <v>Excavation, Plinth Completed, RCC upto 2 Slab Completed</v>
      </c>
      <c r="J73" s="49"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2 Slab</v>
      </c>
      <c r="S73"/>
    </row>
    <row r="74" spans="1:19" x14ac:dyDescent="0.3">
      <c r="A74" s="15" t="s">
        <v>139</v>
      </c>
      <c r="B74" s="46">
        <f>IF(AND(ISNUMBER(SEARCH("1B",C73))),1,IF(AND(ISNUMBER(SEARCH("2B",C73))),2,IF(AND(ISNUMBER(SEARCH("3B",C73))),3,IF(AND(ISNUMBER(SEARCH("4B",C73))),4,IF(ISNUMBER(SEARCH("5B",C73)),5,0)))))</f>
        <v>1</v>
      </c>
      <c r="C74" s="46" t="s">
        <v>67</v>
      </c>
      <c r="D74" s="46">
        <v>1</v>
      </c>
      <c r="E74" s="46" t="s">
        <v>66</v>
      </c>
      <c r="F74" s="46">
        <v>0</v>
      </c>
      <c r="G74" s="47" t="s">
        <v>75</v>
      </c>
      <c r="H74" s="16">
        <f ca="1">--TRIM(RIGHT(SUBSTITUTE(LEFT(C73,_xlfn.AGGREGATE(16,6,FIND({0,1,2,3,4,5,6,7,8,9},C73,ROW(INDIRECT("1:"&amp;LEN(C73)))),1))," ",REPT(" ",LEN(C73))),LEN(C73)))</f>
        <v>36</v>
      </c>
      <c r="I74" s="50" t="str">
        <f ca="1">IF(D77=100%,"Excavation","")&amp;IF(D78=100%,", Plinth","")&amp;IF(D79=100%,", RCC Slab","")&amp;IF(D80=100%,", Brickwork","")&amp;IF(D81=100%,", Internal Plaster","")&amp;IF(D82=100%,", External Plaster","")&amp;IF(D83=100%,", Flooring","")&amp;IF(D84=100%,", Painting","")&amp;IF(D85=100%,", Building common Amenities","")</f>
        <v>Excavation, Plinth</v>
      </c>
      <c r="J74" s="5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x14ac:dyDescent="0.3">
      <c r="A75" s="118" t="s">
        <v>85</v>
      </c>
      <c r="B75" s="119"/>
      <c r="C75" s="127" t="str">
        <f ca="1">I73</f>
        <v>Excavation, Plinth Completed, RCC upto 2 Slab Completed</v>
      </c>
      <c r="D75" s="127"/>
      <c r="E75" s="127"/>
      <c r="F75" s="127"/>
      <c r="G75" s="127"/>
      <c r="H75" s="128"/>
      <c r="I75" s="50" t="str">
        <f ca="1">IF(I74&lt;&gt;""," Completed","")</f>
        <v xml:space="preserve"> Completed</v>
      </c>
      <c r="J75" s="51" t="str">
        <f ca="1">IF(J73&lt;&gt;"","Completed","")</f>
        <v>Completed</v>
      </c>
      <c r="S75"/>
    </row>
    <row r="76" spans="1:19" ht="15.75" customHeight="1" x14ac:dyDescent="0.3">
      <c r="A76" s="93" t="s">
        <v>46</v>
      </c>
      <c r="B76" s="94"/>
      <c r="C76" s="42" t="s">
        <v>136</v>
      </c>
      <c r="D76" s="42" t="s">
        <v>78</v>
      </c>
      <c r="E76" s="94" t="s">
        <v>80</v>
      </c>
      <c r="F76" s="94"/>
      <c r="G76" s="94" t="s">
        <v>79</v>
      </c>
      <c r="H76" s="131"/>
      <c r="I76" s="13" t="s">
        <v>138</v>
      </c>
      <c r="J76" s="27">
        <f ca="1">H74*25%</f>
        <v>9</v>
      </c>
      <c r="S76"/>
    </row>
    <row r="77" spans="1:19" x14ac:dyDescent="0.3">
      <c r="A77" s="93" t="s">
        <v>125</v>
      </c>
      <c r="B77" s="94"/>
      <c r="C77" s="42">
        <v>36</v>
      </c>
      <c r="D77" s="18">
        <f ca="1">((100/H74)*C77)/100</f>
        <v>1</v>
      </c>
      <c r="E77" s="132">
        <f ca="1">(((C78/H74*10)+(40/(D74+F74+H74)*C79)+(7.5/(H74)*C80)+(7.5/(H74)*C81)+(10/H74*C82)+(10/H74*C83)+(5/H74*C84)+(5/H74*C85)+(5/H74*C86))/100)</f>
        <v>0.12162162162162161</v>
      </c>
      <c r="F77" s="133"/>
      <c r="G77" s="132">
        <f ca="1">((((C77/H74)*20)+((C78/H74)*25)+(30/(H74+F74+D74)*C79)+(5/H74*C80)+(5/H74*C81)+(5/H74*C82)+(5/H74*C83)+(0/H74*C84)+(0/H74*C85)+(5/H74*C86))/100)</f>
        <v>0.46621621621621623</v>
      </c>
      <c r="H77" s="138"/>
      <c r="I77" s="13" t="s">
        <v>95</v>
      </c>
      <c r="J77" s="28">
        <f ca="1">H74*50%</f>
        <v>18</v>
      </c>
    </row>
    <row r="78" spans="1:19" x14ac:dyDescent="0.3">
      <c r="A78" s="93" t="s">
        <v>47</v>
      </c>
      <c r="B78" s="94"/>
      <c r="C78" s="70">
        <f ca="1">J86</f>
        <v>36</v>
      </c>
      <c r="D78" s="18">
        <f ca="1">((100/H74)*C78)/100</f>
        <v>1</v>
      </c>
      <c r="E78" s="134"/>
      <c r="F78" s="135"/>
      <c r="G78" s="134"/>
      <c r="H78" s="139"/>
      <c r="I78" s="13" t="s">
        <v>96</v>
      </c>
      <c r="J78" s="28">
        <f ca="1">H74</f>
        <v>36</v>
      </c>
      <c r="S78"/>
    </row>
    <row r="79" spans="1:19" ht="15.75" customHeight="1" x14ac:dyDescent="0.3">
      <c r="A79" s="93" t="s">
        <v>126</v>
      </c>
      <c r="B79" s="94"/>
      <c r="C79" s="42">
        <v>2</v>
      </c>
      <c r="D79" s="18">
        <f ca="1">((100/(D74+F74+H74))*C79)/100</f>
        <v>5.405405405405405E-2</v>
      </c>
      <c r="E79" s="134"/>
      <c r="F79" s="135"/>
      <c r="G79" s="134"/>
      <c r="H79" s="139"/>
      <c r="I79" s="13" t="s">
        <v>97</v>
      </c>
      <c r="J79" s="29">
        <f ca="1">(IF(B74&gt;1,(H74/(B74+2)),H74/4))</f>
        <v>9</v>
      </c>
      <c r="S79"/>
    </row>
    <row r="80" spans="1:19" ht="15.75" customHeight="1" x14ac:dyDescent="0.3">
      <c r="A80" s="93" t="s">
        <v>133</v>
      </c>
      <c r="B80" s="94" t="s">
        <v>127</v>
      </c>
      <c r="C80" s="42">
        <v>0</v>
      </c>
      <c r="D80" s="18">
        <f ca="1">((100/H74)*C80)/100</f>
        <v>0</v>
      </c>
      <c r="E80" s="134"/>
      <c r="F80" s="135"/>
      <c r="G80" s="134"/>
      <c r="H80" s="139"/>
      <c r="I80" s="13" t="s">
        <v>98</v>
      </c>
      <c r="J80" s="29">
        <f ca="1">(IF(B74&gt;1,(H74/(B74+2)+J79),H74/4+J79))</f>
        <v>18</v>
      </c>
    </row>
    <row r="81" spans="1:19" ht="15.75" customHeight="1" x14ac:dyDescent="0.3">
      <c r="A81" s="93" t="s">
        <v>134</v>
      </c>
      <c r="B81" s="94" t="s">
        <v>127</v>
      </c>
      <c r="C81" s="42">
        <v>0</v>
      </c>
      <c r="D81" s="18">
        <f ca="1">((100/H74)*C81)/100</f>
        <v>0</v>
      </c>
      <c r="E81" s="134"/>
      <c r="F81" s="135"/>
      <c r="G81" s="134"/>
      <c r="H81" s="139"/>
      <c r="I81" s="13" t="s">
        <v>143</v>
      </c>
      <c r="J81" s="29">
        <f>(IF(B74&gt;1,(H74/(B74+2)+J80),0))</f>
        <v>0</v>
      </c>
    </row>
    <row r="82" spans="1:19" ht="15" customHeight="1" x14ac:dyDescent="0.3">
      <c r="A82" s="93" t="s">
        <v>132</v>
      </c>
      <c r="B82" s="94" t="s">
        <v>129</v>
      </c>
      <c r="C82" s="42">
        <v>0</v>
      </c>
      <c r="D82" s="18">
        <f ca="1">((100/(H74))*C82)/100</f>
        <v>0</v>
      </c>
      <c r="E82" s="134"/>
      <c r="F82" s="135"/>
      <c r="G82" s="134"/>
      <c r="H82" s="139"/>
      <c r="I82" s="13" t="s">
        <v>140</v>
      </c>
      <c r="J82" s="29">
        <f>(IF(B74&gt;2,(H74/(B74+2)+J81),0))</f>
        <v>0</v>
      </c>
    </row>
    <row r="83" spans="1:19" ht="15.75" customHeight="1" x14ac:dyDescent="0.3">
      <c r="A83" s="93" t="s">
        <v>128</v>
      </c>
      <c r="B83" s="94" t="s">
        <v>128</v>
      </c>
      <c r="C83" s="42">
        <v>0</v>
      </c>
      <c r="D83" s="18">
        <f ca="1">((100/H74)*C83)/100</f>
        <v>0</v>
      </c>
      <c r="E83" s="134"/>
      <c r="F83" s="135"/>
      <c r="G83" s="134"/>
      <c r="H83" s="139"/>
      <c r="I83" s="13" t="s">
        <v>141</v>
      </c>
      <c r="J83" s="30">
        <f>(IF(B74&gt;3,(H74/(B74+2)+J82),0))</f>
        <v>0</v>
      </c>
    </row>
    <row r="84" spans="1:19" ht="15.75" customHeight="1" x14ac:dyDescent="0.3">
      <c r="A84" s="93" t="s">
        <v>135</v>
      </c>
      <c r="B84" s="94"/>
      <c r="C84" s="42">
        <v>0</v>
      </c>
      <c r="D84" s="18">
        <f ca="1">((100/H74)*C84)/100</f>
        <v>0</v>
      </c>
      <c r="E84" s="134"/>
      <c r="F84" s="135"/>
      <c r="G84" s="134"/>
      <c r="H84" s="139"/>
      <c r="I84" s="13" t="s">
        <v>142</v>
      </c>
      <c r="J84" s="29">
        <f>(IF(B74&gt;4,(H74/(B74+2)+J83),0))</f>
        <v>0</v>
      </c>
    </row>
    <row r="85" spans="1:19" ht="15.75" customHeight="1" x14ac:dyDescent="0.3">
      <c r="A85" s="93" t="s">
        <v>130</v>
      </c>
      <c r="B85" s="94" t="s">
        <v>130</v>
      </c>
      <c r="C85" s="42">
        <v>0</v>
      </c>
      <c r="D85" s="18">
        <f ca="1">((100/(H74))*C85)/100</f>
        <v>0</v>
      </c>
      <c r="E85" s="134"/>
      <c r="F85" s="135"/>
      <c r="G85" s="134"/>
      <c r="H85" s="139"/>
      <c r="I85" s="13" t="s">
        <v>144</v>
      </c>
      <c r="J85" s="29">
        <f ca="1">(IF(B74=1,(H74/(B74+3)+J80),IF(B74=0,(H74/4+J80),IF(B74&gt;1,0))))</f>
        <v>27</v>
      </c>
    </row>
    <row r="86" spans="1:19" ht="16.2" thickBot="1" x14ac:dyDescent="0.35">
      <c r="A86" s="116" t="s">
        <v>131</v>
      </c>
      <c r="B86" s="117"/>
      <c r="C86" s="43">
        <v>0</v>
      </c>
      <c r="D86" s="19">
        <f ca="1">((100/(H74))*C86)/100</f>
        <v>0</v>
      </c>
      <c r="E86" s="136"/>
      <c r="F86" s="137"/>
      <c r="G86" s="136"/>
      <c r="H86" s="140"/>
      <c r="I86" s="14" t="s">
        <v>99</v>
      </c>
      <c r="J86" s="31">
        <f ca="1">(IF(B74&gt;1.5,(H74/(B74+2)+J80+MAX(0,J81-J80)+MAX(0,J82-J81)+MAX(0,J83-J82)+MAX(0,J84-J83)+MAX(0,J85-J84)),IF(B74=1,(H74/(B74+3)+J85),IF(B74=0,H74/4+J85))))</f>
        <v>36</v>
      </c>
    </row>
    <row r="87" spans="1:19" ht="15.75" hidden="1" customHeight="1" x14ac:dyDescent="0.3">
      <c r="A87" s="110" t="s">
        <v>137</v>
      </c>
      <c r="B87" s="111"/>
      <c r="C87" s="210" t="s">
        <v>351</v>
      </c>
      <c r="D87" s="211"/>
      <c r="E87" s="211"/>
      <c r="F87" s="211"/>
      <c r="G87" s="211"/>
      <c r="H87" s="212"/>
      <c r="I87" s="48" t="str">
        <f ca="1">IF(D100=100%,"All work Completed. Possession granted to the Building.",IF(D99=100%,"All work Completed, Waiting for OC",I88&amp;""&amp;I89&amp;""&amp;J88&amp;""&amp;J87&amp;" "&amp;J89))</f>
        <v>Excavation, Plinth Completed, RCC upto 1 Slab Completed</v>
      </c>
      <c r="J87" s="49" t="str">
        <f ca="1">(IF(C93=(D88+F88+H88),"",IF(C93&gt;0,", RCC upto "&amp;C93&amp;" Slab","")))&amp;(IF(C94=H88,"",IF(C94&gt;0,", Brickwork upto "&amp;C94&amp;" Floor","")))&amp;(IF(C95=H88,"",IF(C95&gt;0,", Internal Plaster upto "&amp;C95&amp;" Floor","")))&amp;(IF(C96=H88,"",IF(C96&gt;0,", External Plaster upto "&amp;C96&amp;" Floor","")))&amp;(IF(C97=H88,"",IF(C97&gt;0,", Flooring upto "&amp;C97&amp;" Floor","")))&amp;(IF(C98=H88,"",IF(C98&gt;0,", Painting upto "&amp;C98&amp;" Floor","")))&amp;(IF(C99=H88,"",IF(C99&gt;0,", Finishing upto "&amp;C99&amp;" Floor","")))&amp;(IF(C100=H88,"",IF(C100&gt;0,", Possession upto "&amp;C100&amp;" Floor","")))</f>
        <v>, RCC upto 1 Slab</v>
      </c>
      <c r="S87"/>
    </row>
    <row r="88" spans="1:19" hidden="1" x14ac:dyDescent="0.3">
      <c r="A88" s="15" t="s">
        <v>139</v>
      </c>
      <c r="B88" s="46">
        <f>IF(AND(ISNUMBER(SEARCH("1B",C87))),1,IF(AND(ISNUMBER(SEARCH("2B",C87))),2,IF(AND(ISNUMBER(SEARCH("3B",C87))),3,IF(AND(ISNUMBER(SEARCH("4B",C87))),4,IF(ISNUMBER(SEARCH("5B",C87)),5,0)))))</f>
        <v>1</v>
      </c>
      <c r="C88" s="46" t="s">
        <v>67</v>
      </c>
      <c r="D88" s="46">
        <v>1</v>
      </c>
      <c r="E88" s="46" t="s">
        <v>66</v>
      </c>
      <c r="F88" s="46">
        <v>0</v>
      </c>
      <c r="G88" s="47" t="s">
        <v>75</v>
      </c>
      <c r="H88" s="16">
        <f ca="1">--TRIM(RIGHT(SUBSTITUTE(LEFT(C87,_xlfn.AGGREGATE(16,6,FIND({0,1,2,3,4,5,6,7,8,9},C87,ROW(INDIRECT("1:"&amp;LEN(C87)))),1))," ",REPT(" ",LEN(C87))),LEN(C87)))</f>
        <v>36</v>
      </c>
      <c r="I88" s="50" t="str">
        <f ca="1">IF(D91=100%,"Excavation","")&amp;IF(D92=100%,", Plinth","")&amp;IF(D93=100%,", RCC Slab","")&amp;IF(D94=100%,", Brickwork","")&amp;IF(D95=100%,", Internal Plaster","")&amp;IF(D96=100%,", External Plaster","")&amp;IF(D97=100%,", Flooring","")&amp;IF(D98=100%,", Painting","")&amp;IF(D99=100%,", Building common Amenities","")</f>
        <v>Excavation, Plinth</v>
      </c>
      <c r="J88" s="51" t="str">
        <f ca="1">(IF(C91=0,"Work not yet Started.",IF(D91=25%,"Piling work in process",IF(D91=50%,"Excavation work in process",IF(D91=100%,"","0")))))&amp;(IF(C92=0%,"",IF(C92=J93,", Footing work is process",IF(C92=J94,", Footing work Completed",IF(C92=J95,", 1st Basement Completed",IF(C92=J96,", 1st &amp; 2nd Basement Completed",IF(C92=J97,", 1st to 3rd Basement Completed",IF(C92=J98,", 1st to 4th Basement Completed",IF(C92=J99,", Plinth work is process",IF(C92=J100,"","0"))))))))))</f>
        <v/>
      </c>
      <c r="S88"/>
    </row>
    <row r="89" spans="1:19" hidden="1" x14ac:dyDescent="0.3">
      <c r="A89" s="118" t="s">
        <v>85</v>
      </c>
      <c r="B89" s="119"/>
      <c r="C89" s="127" t="str">
        <f ca="1">I87</f>
        <v>Excavation, Plinth Completed, RCC upto 1 Slab Completed</v>
      </c>
      <c r="D89" s="127"/>
      <c r="E89" s="127"/>
      <c r="F89" s="127"/>
      <c r="G89" s="127"/>
      <c r="H89" s="128"/>
      <c r="I89" s="50" t="str">
        <f ca="1">IF(I88&lt;&gt;""," Completed","")</f>
        <v xml:space="preserve"> Completed</v>
      </c>
      <c r="J89" s="51" t="str">
        <f ca="1">IF(J87&lt;&gt;"","Completed","")</f>
        <v>Completed</v>
      </c>
      <c r="S89"/>
    </row>
    <row r="90" spans="1:19" ht="15.75" hidden="1" customHeight="1" x14ac:dyDescent="0.3">
      <c r="A90" s="93" t="s">
        <v>46</v>
      </c>
      <c r="B90" s="94"/>
      <c r="C90" s="42" t="s">
        <v>136</v>
      </c>
      <c r="D90" s="42" t="s">
        <v>78</v>
      </c>
      <c r="E90" s="94" t="s">
        <v>80</v>
      </c>
      <c r="F90" s="94"/>
      <c r="G90" s="94" t="s">
        <v>79</v>
      </c>
      <c r="H90" s="131"/>
      <c r="I90" s="13" t="s">
        <v>138</v>
      </c>
      <c r="J90" s="27">
        <f ca="1">H88*25%</f>
        <v>9</v>
      </c>
      <c r="S90"/>
    </row>
    <row r="91" spans="1:19" hidden="1" x14ac:dyDescent="0.3">
      <c r="A91" s="93" t="s">
        <v>125</v>
      </c>
      <c r="B91" s="94"/>
      <c r="C91" s="42">
        <v>36</v>
      </c>
      <c r="D91" s="18">
        <f ca="1">((100/H88)*C91)/100</f>
        <v>1</v>
      </c>
      <c r="E91" s="132">
        <f ca="1">(((C92/H88*10)+(40/(D88+F88+H88)*C93)+(7.5/(H88)*C94)+(7.5/(H88)*C95)+(10/H88*C96)+(10/H88*C97)+(5/H88*C98)+(5/H88*C99)+(5/H88*C100))/100)</f>
        <v>0.1108108108108108</v>
      </c>
      <c r="F91" s="133"/>
      <c r="G91" s="132">
        <f ca="1">((((C91/H88)*20)+((C92/H88)*25)+(30/(H88+F88+D88)*C93)+(5/H88*C94)+(5/H88*C95)+(5/H88*C96)+(5/H88*C97)+(0/H88*C98)+(0/H88*C99)+(5/H88*C100))/100)</f>
        <v>0.45810810810810815</v>
      </c>
      <c r="H91" s="138"/>
      <c r="I91" s="13" t="s">
        <v>95</v>
      </c>
      <c r="J91" s="28">
        <f ca="1">H88*50%</f>
        <v>18</v>
      </c>
    </row>
    <row r="92" spans="1:19" hidden="1" x14ac:dyDescent="0.3">
      <c r="A92" s="93" t="s">
        <v>47</v>
      </c>
      <c r="B92" s="94"/>
      <c r="C92" s="70">
        <f ca="1">J100</f>
        <v>36</v>
      </c>
      <c r="D92" s="18">
        <f ca="1">((100/H88)*C92)/100</f>
        <v>1</v>
      </c>
      <c r="E92" s="134"/>
      <c r="F92" s="135"/>
      <c r="G92" s="134"/>
      <c r="H92" s="139"/>
      <c r="I92" s="13" t="s">
        <v>96</v>
      </c>
      <c r="J92" s="28">
        <f ca="1">H88</f>
        <v>36</v>
      </c>
      <c r="S92"/>
    </row>
    <row r="93" spans="1:19" ht="15.75" hidden="1" customHeight="1" x14ac:dyDescent="0.3">
      <c r="A93" s="93" t="s">
        <v>126</v>
      </c>
      <c r="B93" s="94"/>
      <c r="C93" s="42">
        <v>1</v>
      </c>
      <c r="D93" s="18">
        <f ca="1">((100/(D88+F88+H88))*C93)/100</f>
        <v>2.7027027027027025E-2</v>
      </c>
      <c r="E93" s="134"/>
      <c r="F93" s="135"/>
      <c r="G93" s="134"/>
      <c r="H93" s="139"/>
      <c r="I93" s="13" t="s">
        <v>97</v>
      </c>
      <c r="J93" s="29">
        <f ca="1">(IF(B88&gt;1,(H88/(B88+2)),H88/4))</f>
        <v>9</v>
      </c>
      <c r="S93"/>
    </row>
    <row r="94" spans="1:19" ht="15.75" hidden="1" customHeight="1" x14ac:dyDescent="0.3">
      <c r="A94" s="93" t="s">
        <v>133</v>
      </c>
      <c r="B94" s="94" t="s">
        <v>127</v>
      </c>
      <c r="C94" s="42">
        <v>0</v>
      </c>
      <c r="D94" s="18">
        <f ca="1">((100/H88)*C94)/100</f>
        <v>0</v>
      </c>
      <c r="E94" s="134"/>
      <c r="F94" s="135"/>
      <c r="G94" s="134"/>
      <c r="H94" s="139"/>
      <c r="I94" s="13" t="s">
        <v>98</v>
      </c>
      <c r="J94" s="29">
        <f ca="1">(IF(B88&gt;1,(H88/(B88+2)+J93),H88/4+J93))</f>
        <v>18</v>
      </c>
    </row>
    <row r="95" spans="1:19" ht="15.75" hidden="1" customHeight="1" x14ac:dyDescent="0.3">
      <c r="A95" s="93" t="s">
        <v>134</v>
      </c>
      <c r="B95" s="94" t="s">
        <v>127</v>
      </c>
      <c r="C95" s="42">
        <v>0</v>
      </c>
      <c r="D95" s="18">
        <f ca="1">((100/H88)*C95)/100</f>
        <v>0</v>
      </c>
      <c r="E95" s="134"/>
      <c r="F95" s="135"/>
      <c r="G95" s="134"/>
      <c r="H95" s="139"/>
      <c r="I95" s="13" t="s">
        <v>143</v>
      </c>
      <c r="J95" s="29">
        <f>(IF(B88&gt;1,(H88/(B88+2)+J94),0))</f>
        <v>0</v>
      </c>
    </row>
    <row r="96" spans="1:19" ht="15" hidden="1" customHeight="1" x14ac:dyDescent="0.3">
      <c r="A96" s="93" t="s">
        <v>132</v>
      </c>
      <c r="B96" s="94" t="s">
        <v>129</v>
      </c>
      <c r="C96" s="42">
        <v>0</v>
      </c>
      <c r="D96" s="18">
        <f ca="1">((100/(H88))*C96)/100</f>
        <v>0</v>
      </c>
      <c r="E96" s="134"/>
      <c r="F96" s="135"/>
      <c r="G96" s="134"/>
      <c r="H96" s="139"/>
      <c r="I96" s="13" t="s">
        <v>140</v>
      </c>
      <c r="J96" s="29">
        <f>(IF(B88&gt;2,(H88/(B88+2)+J95),0))</f>
        <v>0</v>
      </c>
    </row>
    <row r="97" spans="1:22" ht="15.75" hidden="1" customHeight="1" x14ac:dyDescent="0.3">
      <c r="A97" s="93" t="s">
        <v>128</v>
      </c>
      <c r="B97" s="94" t="s">
        <v>128</v>
      </c>
      <c r="C97" s="42">
        <v>0</v>
      </c>
      <c r="D97" s="18">
        <f ca="1">((100/H88)*C97)/100</f>
        <v>0</v>
      </c>
      <c r="E97" s="134"/>
      <c r="F97" s="135"/>
      <c r="G97" s="134"/>
      <c r="H97" s="139"/>
      <c r="I97" s="13" t="s">
        <v>141</v>
      </c>
      <c r="J97" s="30">
        <f>(IF(B88&gt;3,(H88/(B88+2)+J96),0))</f>
        <v>0</v>
      </c>
    </row>
    <row r="98" spans="1:22" ht="15.75" hidden="1" customHeight="1" x14ac:dyDescent="0.3">
      <c r="A98" s="93" t="s">
        <v>135</v>
      </c>
      <c r="B98" s="94"/>
      <c r="C98" s="42">
        <v>0</v>
      </c>
      <c r="D98" s="18">
        <f ca="1">((100/H88)*C98)/100</f>
        <v>0</v>
      </c>
      <c r="E98" s="134"/>
      <c r="F98" s="135"/>
      <c r="G98" s="134"/>
      <c r="H98" s="139"/>
      <c r="I98" s="13" t="s">
        <v>142</v>
      </c>
      <c r="J98" s="29">
        <f>(IF(B88&gt;4,(H88/(B88+2)+J97),0))</f>
        <v>0</v>
      </c>
    </row>
    <row r="99" spans="1:22" ht="15.75" hidden="1" customHeight="1" x14ac:dyDescent="0.3">
      <c r="A99" s="93" t="s">
        <v>130</v>
      </c>
      <c r="B99" s="94" t="s">
        <v>130</v>
      </c>
      <c r="C99" s="42">
        <v>0</v>
      </c>
      <c r="D99" s="18">
        <f ca="1">((100/(H88))*C99)/100</f>
        <v>0</v>
      </c>
      <c r="E99" s="134"/>
      <c r="F99" s="135"/>
      <c r="G99" s="134"/>
      <c r="H99" s="139"/>
      <c r="I99" s="13" t="s">
        <v>144</v>
      </c>
      <c r="J99" s="29">
        <f ca="1">(IF(B88=1,(H88/(B88+3)+J94),IF(B88=0,(H88/4+J94),IF(B88&gt;1,0))))</f>
        <v>27</v>
      </c>
    </row>
    <row r="100" spans="1:22" ht="16.2" hidden="1" thickBot="1" x14ac:dyDescent="0.35">
      <c r="A100" s="116" t="s">
        <v>131</v>
      </c>
      <c r="B100" s="117"/>
      <c r="C100" s="43">
        <v>0</v>
      </c>
      <c r="D100" s="19">
        <f ca="1">((100/(H88))*C100)/100</f>
        <v>0</v>
      </c>
      <c r="E100" s="136"/>
      <c r="F100" s="137"/>
      <c r="G100" s="136"/>
      <c r="H100" s="140"/>
      <c r="I100" s="14" t="s">
        <v>99</v>
      </c>
      <c r="J100" s="31">
        <f ca="1">(IF(B88&gt;1.5,(H88/(B88+2)+J94+MAX(0,J95-J94)+MAX(0,J96-J95)+MAX(0,J97-J96)+MAX(0,J98-J97)+MAX(0,J99-J98)),IF(B88=1,(H88/(B88+3)+J99),IF(B88=0,H88/4+J99))))</f>
        <v>36</v>
      </c>
    </row>
    <row r="101" spans="1:22" ht="32.1" hidden="1" customHeight="1" thickBot="1" x14ac:dyDescent="0.35">
      <c r="A101" s="99" t="s">
        <v>352</v>
      </c>
      <c r="B101" s="100"/>
      <c r="C101" s="101">
        <f ca="1">AVERAGE(E77,E91)</f>
        <v>0.11621621621621621</v>
      </c>
      <c r="D101" s="100"/>
      <c r="E101" s="102" t="s">
        <v>364</v>
      </c>
      <c r="F101" s="102"/>
      <c r="G101" s="102">
        <f ca="1">AVERAGE(G77,G91)</f>
        <v>0.46216216216216222</v>
      </c>
      <c r="H101" s="213"/>
      <c r="I101" s="14" t="s">
        <v>99</v>
      </c>
      <c r="J101" s="31">
        <f ca="1">(IF(B89&gt;1.5,(H89/(B89+2)+J95+MAX(0,J96-J95)+MAX(0,J97-J96)+MAX(0,J98-J97)+MAX(0,J99-J98)+MAX(0,J100-J99)),IF(B89=1,(H89/(B89+3)+J100),IF(B89=0,H89/4+J100))))</f>
        <v>36</v>
      </c>
    </row>
    <row r="102" spans="1:22" x14ac:dyDescent="0.3">
      <c r="A102" s="90" t="s">
        <v>153</v>
      </c>
      <c r="B102" s="90"/>
      <c r="C102" s="90"/>
      <c r="D102" s="90"/>
      <c r="E102" s="90"/>
      <c r="F102" s="109" t="s">
        <v>157</v>
      </c>
      <c r="G102" s="109"/>
      <c r="H102" s="109"/>
      <c r="R102" t="s">
        <v>246</v>
      </c>
      <c r="S102" t="s">
        <v>168</v>
      </c>
      <c r="T102" t="s">
        <v>172</v>
      </c>
      <c r="U102" t="s">
        <v>187</v>
      </c>
      <c r="V102" t="s">
        <v>182</v>
      </c>
    </row>
    <row r="103" spans="1:22" x14ac:dyDescent="0.3">
      <c r="A103" s="87" t="s">
        <v>155</v>
      </c>
      <c r="B103" s="87"/>
      <c r="C103" s="87"/>
      <c r="D103" s="87"/>
      <c r="E103" s="87"/>
      <c r="F103" s="86">
        <v>7250</v>
      </c>
      <c r="G103" s="86"/>
      <c r="H103" s="86"/>
      <c r="I103" s="20" t="s">
        <v>346</v>
      </c>
      <c r="R103"/>
      <c r="S103">
        <v>800000</v>
      </c>
      <c r="T103">
        <v>300000</v>
      </c>
      <c r="U103">
        <v>100000</v>
      </c>
      <c r="V103">
        <v>100000</v>
      </c>
    </row>
    <row r="104" spans="1:22" hidden="1" x14ac:dyDescent="0.3">
      <c r="A104" s="87" t="s">
        <v>154</v>
      </c>
      <c r="B104" s="87"/>
      <c r="C104" s="87"/>
      <c r="D104" s="87"/>
      <c r="E104" s="87"/>
      <c r="F104" s="86"/>
      <c r="G104" s="86"/>
      <c r="H104" s="86"/>
      <c r="R104"/>
      <c r="S104">
        <v>900000</v>
      </c>
      <c r="T104">
        <v>350000</v>
      </c>
      <c r="U104">
        <v>150000</v>
      </c>
      <c r="V104">
        <v>150000</v>
      </c>
    </row>
    <row r="105" spans="1:22" hidden="1" x14ac:dyDescent="0.3">
      <c r="A105" s="87" t="s">
        <v>156</v>
      </c>
      <c r="B105" s="87"/>
      <c r="C105" s="87"/>
      <c r="D105" s="87"/>
      <c r="E105" s="87"/>
      <c r="F105" s="86"/>
      <c r="G105" s="86"/>
      <c r="H105" s="86"/>
      <c r="R105"/>
      <c r="S105">
        <v>1000000</v>
      </c>
      <c r="T105">
        <v>400000</v>
      </c>
      <c r="U105">
        <v>200000</v>
      </c>
      <c r="V105">
        <v>200000</v>
      </c>
    </row>
    <row r="106" spans="1:22" s="32" customFormat="1" hidden="1" x14ac:dyDescent="0.3">
      <c r="A106" s="87" t="s">
        <v>355</v>
      </c>
      <c r="B106" s="87"/>
      <c r="C106" s="87"/>
      <c r="D106" s="87"/>
      <c r="E106" s="87"/>
      <c r="F106" s="86"/>
      <c r="G106" s="86"/>
      <c r="H106" s="86"/>
      <c r="R106"/>
      <c r="S106">
        <v>1100000</v>
      </c>
      <c r="T106">
        <v>500000</v>
      </c>
      <c r="U106">
        <v>250000</v>
      </c>
      <c r="V106" s="22">
        <v>250000</v>
      </c>
    </row>
    <row r="107" spans="1:22" s="32" customFormat="1" x14ac:dyDescent="0.3">
      <c r="A107" s="87" t="s">
        <v>89</v>
      </c>
      <c r="B107" s="87"/>
      <c r="C107" s="87"/>
      <c r="D107" s="87"/>
      <c r="E107" s="87"/>
      <c r="F107" s="86">
        <v>200000</v>
      </c>
      <c r="G107" s="86"/>
      <c r="H107" s="86"/>
      <c r="I107" s="32" t="s">
        <v>347</v>
      </c>
      <c r="J107" s="71">
        <v>45422</v>
      </c>
      <c r="K107" s="32" t="s">
        <v>348</v>
      </c>
      <c r="R107"/>
      <c r="S107">
        <v>1200000</v>
      </c>
      <c r="T107">
        <v>600000</v>
      </c>
      <c r="U107">
        <v>300000</v>
      </c>
      <c r="V107">
        <v>300000</v>
      </c>
    </row>
    <row r="108" spans="1:22" s="32" customFormat="1" hidden="1" x14ac:dyDescent="0.3">
      <c r="A108" s="87" t="s">
        <v>90</v>
      </c>
      <c r="B108" s="87"/>
      <c r="C108" s="87"/>
      <c r="D108" s="87"/>
      <c r="E108" s="87"/>
      <c r="F108" s="86"/>
      <c r="G108" s="86"/>
      <c r="H108" s="86"/>
      <c r="R108"/>
      <c r="S108">
        <v>1300000</v>
      </c>
      <c r="T108">
        <v>700000</v>
      </c>
      <c r="U108">
        <v>350000</v>
      </c>
      <c r="V108" s="22">
        <v>400000</v>
      </c>
    </row>
    <row r="109" spans="1:22" s="32" customFormat="1" hidden="1" x14ac:dyDescent="0.3">
      <c r="A109" s="87" t="s">
        <v>91</v>
      </c>
      <c r="B109" s="87"/>
      <c r="C109" s="87"/>
      <c r="D109" s="87"/>
      <c r="E109" s="87"/>
      <c r="F109" s="86"/>
      <c r="G109" s="86"/>
      <c r="H109" s="86"/>
      <c r="R109"/>
      <c r="S109">
        <v>1400000</v>
      </c>
      <c r="T109">
        <v>800000</v>
      </c>
      <c r="U109">
        <v>400000</v>
      </c>
      <c r="V109"/>
    </row>
    <row r="110" spans="1:22" s="32" customFormat="1" hidden="1" x14ac:dyDescent="0.3">
      <c r="A110" s="87" t="s">
        <v>92</v>
      </c>
      <c r="B110" s="87"/>
      <c r="C110" s="87"/>
      <c r="D110" s="87"/>
      <c r="E110" s="87"/>
      <c r="F110" s="86"/>
      <c r="G110" s="86"/>
      <c r="H110" s="86"/>
      <c r="R110"/>
      <c r="S110">
        <v>1500000</v>
      </c>
      <c r="T110">
        <v>900000</v>
      </c>
      <c r="U110">
        <v>500000</v>
      </c>
      <c r="V110" s="22"/>
    </row>
    <row r="111" spans="1:22" s="32" customFormat="1" hidden="1" x14ac:dyDescent="0.3">
      <c r="A111" s="87" t="s">
        <v>93</v>
      </c>
      <c r="B111" s="87"/>
      <c r="C111" s="87"/>
      <c r="D111" s="87"/>
      <c r="E111" s="87"/>
      <c r="F111" s="86"/>
      <c r="G111" s="86"/>
      <c r="H111" s="86"/>
      <c r="R111"/>
      <c r="S111">
        <v>1600000</v>
      </c>
      <c r="T111">
        <v>1000000</v>
      </c>
      <c r="U111">
        <v>600000</v>
      </c>
      <c r="V111"/>
    </row>
    <row r="112" spans="1:22" s="32" customFormat="1" x14ac:dyDescent="0.3">
      <c r="A112" s="87" t="s">
        <v>94</v>
      </c>
      <c r="B112" s="87"/>
      <c r="C112" s="87"/>
      <c r="D112" s="87"/>
      <c r="E112" s="87"/>
      <c r="F112" s="86">
        <v>124000</v>
      </c>
      <c r="G112" s="86"/>
      <c r="H112" s="86"/>
      <c r="I112" s="32" t="s">
        <v>369</v>
      </c>
      <c r="J112" s="71">
        <v>45794</v>
      </c>
      <c r="K112" s="32" t="s">
        <v>370</v>
      </c>
      <c r="L112" s="32" t="s">
        <v>371</v>
      </c>
      <c r="R112"/>
      <c r="S112">
        <v>1700000</v>
      </c>
      <c r="T112"/>
      <c r="U112"/>
      <c r="V112" s="22"/>
    </row>
    <row r="113" spans="1:22" x14ac:dyDescent="0.3">
      <c r="A113" s="87" t="s">
        <v>48</v>
      </c>
      <c r="B113" s="87"/>
      <c r="C113" s="87"/>
      <c r="D113" s="87"/>
      <c r="E113" s="87"/>
      <c r="F113" s="86">
        <v>300000</v>
      </c>
      <c r="G113" s="86"/>
      <c r="H113" s="86"/>
      <c r="R113"/>
      <c r="S113">
        <v>1800000</v>
      </c>
      <c r="T113"/>
      <c r="U113"/>
    </row>
    <row r="114" spans="1:22" s="33" customFormat="1" x14ac:dyDescent="0.3">
      <c r="A114" s="103" t="s">
        <v>49</v>
      </c>
      <c r="B114" s="103"/>
      <c r="C114" s="103"/>
      <c r="D114" s="103"/>
      <c r="E114" s="103"/>
      <c r="F114" s="86">
        <f>F103*0.8</f>
        <v>5800</v>
      </c>
      <c r="G114" s="86"/>
      <c r="H114" s="86"/>
      <c r="R114" s="20"/>
      <c r="S114" s="20"/>
      <c r="T114"/>
      <c r="U114"/>
      <c r="V114" s="20"/>
    </row>
    <row r="115" spans="1:22" s="34" customFormat="1" ht="15.75" hidden="1" customHeight="1" x14ac:dyDescent="0.3">
      <c r="A115" s="197" t="s">
        <v>70</v>
      </c>
      <c r="B115" s="197"/>
      <c r="C115" s="197"/>
      <c r="D115" s="197"/>
      <c r="E115" s="197"/>
      <c r="F115" s="197"/>
      <c r="G115" s="197"/>
      <c r="H115" s="197"/>
      <c r="R115"/>
      <c r="S115" s="20"/>
      <c r="T115"/>
      <c r="U115"/>
      <c r="V115" s="20"/>
    </row>
    <row r="116" spans="1:22" s="34" customFormat="1" ht="15.75" hidden="1" customHeight="1" x14ac:dyDescent="0.3">
      <c r="A116" s="194" t="s">
        <v>50</v>
      </c>
      <c r="B116" s="194"/>
      <c r="C116" s="198" t="s">
        <v>73</v>
      </c>
      <c r="D116" s="198"/>
      <c r="E116" s="199" t="s">
        <v>51</v>
      </c>
      <c r="F116" s="199"/>
      <c r="G116" s="194" t="s">
        <v>52</v>
      </c>
      <c r="H116" s="194"/>
      <c r="R116"/>
      <c r="S116" s="20"/>
      <c r="T116"/>
      <c r="U116" s="20"/>
      <c r="V116" s="20"/>
    </row>
    <row r="117" spans="1:22" s="34" customFormat="1" hidden="1" x14ac:dyDescent="0.3">
      <c r="A117" s="208"/>
      <c r="B117" s="208"/>
      <c r="C117" s="97"/>
      <c r="D117" s="97"/>
      <c r="E117" s="98"/>
      <c r="F117" s="98"/>
      <c r="G117" s="196"/>
      <c r="H117" s="196"/>
      <c r="R117"/>
      <c r="S117" s="20"/>
      <c r="T117"/>
      <c r="U117" s="20"/>
      <c r="V117" s="20"/>
    </row>
    <row r="118" spans="1:22" s="34" customFormat="1" hidden="1" x14ac:dyDescent="0.3">
      <c r="A118" s="208"/>
      <c r="B118" s="208"/>
      <c r="C118" s="97"/>
      <c r="D118" s="97"/>
      <c r="E118" s="98"/>
      <c r="F118" s="98"/>
      <c r="G118" s="196"/>
      <c r="H118" s="196"/>
      <c r="R118"/>
      <c r="S118" s="20"/>
      <c r="T118"/>
      <c r="U118" s="20"/>
      <c r="V118" s="20"/>
    </row>
    <row r="119" spans="1:22" s="34" customFormat="1" hidden="1" x14ac:dyDescent="0.3">
      <c r="A119" s="197" t="s">
        <v>147</v>
      </c>
      <c r="B119" s="197"/>
      <c r="C119" s="198"/>
      <c r="D119" s="198"/>
      <c r="E119" s="199"/>
      <c r="F119" s="199"/>
      <c r="G119" s="194"/>
      <c r="H119" s="194"/>
      <c r="R119"/>
      <c r="S119" s="20"/>
      <c r="T119"/>
      <c r="U119" s="20"/>
      <c r="V119" s="20"/>
    </row>
    <row r="120" spans="1:22" s="34" customFormat="1" x14ac:dyDescent="0.3">
      <c r="A120" s="220" t="s">
        <v>65</v>
      </c>
      <c r="B120" s="220"/>
      <c r="C120" s="220"/>
      <c r="D120" s="220"/>
      <c r="E120" s="220"/>
      <c r="F120" s="220"/>
      <c r="G120" s="220"/>
      <c r="H120" s="220"/>
      <c r="T120"/>
    </row>
    <row r="121" spans="1:22" s="34" customFormat="1" ht="15.75" customHeight="1" x14ac:dyDescent="0.3">
      <c r="A121" s="194" t="s">
        <v>50</v>
      </c>
      <c r="B121" s="194"/>
      <c r="C121" s="198" t="s">
        <v>73</v>
      </c>
      <c r="D121" s="198"/>
      <c r="E121" s="199" t="s">
        <v>51</v>
      </c>
      <c r="F121" s="199"/>
      <c r="G121" s="194" t="s">
        <v>52</v>
      </c>
      <c r="H121" s="194"/>
      <c r="T121"/>
    </row>
    <row r="122" spans="1:22" s="34" customFormat="1" x14ac:dyDescent="0.3">
      <c r="A122" s="208" t="s">
        <v>327</v>
      </c>
      <c r="B122" s="208"/>
      <c r="C122" s="195">
        <f>COUNT(D141:D142,D148:D152)+COUNT(D154:D165)+COUNT(D167:D178)*13+COUNT(D180:D187)+COUNT(D206:D215,D217)*3+COUNT(D219:D230)*13+COUNT(D232:D241,D243)*3</f>
        <v>405</v>
      </c>
      <c r="D122" s="195"/>
      <c r="E122" s="195">
        <f>SUM(F141:F142,F148:F152)+SUM(F154:F165)+SUM(F167:F178)*13+SUM(F180:F187)+SUM(F206:F215,F217)*3+SUM(F219:F230)*13+SUM(F232:F241,F243)*3</f>
        <v>196924.04315999997</v>
      </c>
      <c r="F122" s="195"/>
      <c r="G122" s="195">
        <f>SUM(H141:H142,H148:H152)+SUM(H154:H165)+SUM(H167:H178)*13+SUM(H180:H187)+SUM(H206:H215,H217)*3+SUM(H219:H230)*13+SUM(H232:H241,H243)*3</f>
        <v>295592.08769999997</v>
      </c>
      <c r="H122" s="195"/>
      <c r="T122"/>
    </row>
    <row r="123" spans="1:22" s="34" customFormat="1" ht="16.2" thickBot="1" x14ac:dyDescent="0.35">
      <c r="A123" s="208" t="s">
        <v>329</v>
      </c>
      <c r="B123" s="208"/>
      <c r="C123" s="219">
        <f>COUNT(F193:F200)</f>
        <v>8</v>
      </c>
      <c r="D123" s="97"/>
      <c r="E123" s="195">
        <f>SUM(F193:F200)</f>
        <v>4132.9454400000004</v>
      </c>
      <c r="F123" s="98"/>
      <c r="G123" s="195">
        <f>SUM(H193:H200)</f>
        <v>6199.4181599999993</v>
      </c>
      <c r="H123" s="98"/>
    </row>
    <row r="124" spans="1:22" s="34" customFormat="1" ht="16.2" thickBot="1" x14ac:dyDescent="0.35">
      <c r="A124" s="214" t="s">
        <v>162</v>
      </c>
      <c r="B124" s="215"/>
      <c r="C124" s="95">
        <f>SUM(C122:D123)</f>
        <v>413</v>
      </c>
      <c r="D124" s="96"/>
      <c r="E124" s="95">
        <f t="shared" ref="E124" si="0">SUM(E122:F123)</f>
        <v>201056.98859999998</v>
      </c>
      <c r="F124" s="96"/>
      <c r="G124" s="95">
        <f t="shared" ref="G124" si="1">SUM(G122:H123)</f>
        <v>301791.50585999998</v>
      </c>
      <c r="H124" s="96"/>
    </row>
    <row r="125" spans="1:22" s="33" customFormat="1" x14ac:dyDescent="0.3">
      <c r="A125" s="109" t="s">
        <v>356</v>
      </c>
      <c r="B125" s="109"/>
      <c r="C125" s="109"/>
      <c r="D125" s="109"/>
      <c r="E125" s="109"/>
      <c r="F125" s="109"/>
      <c r="G125" s="109"/>
      <c r="H125" s="109"/>
      <c r="T125" s="34"/>
    </row>
    <row r="126" spans="1:22" x14ac:dyDescent="0.3">
      <c r="A126" s="203" t="s">
        <v>311</v>
      </c>
      <c r="B126" s="203"/>
      <c r="C126" s="203"/>
      <c r="D126" s="203"/>
      <c r="E126" s="203"/>
      <c r="F126" s="203"/>
      <c r="G126" s="203"/>
      <c r="H126" s="203"/>
      <c r="T126" s="34"/>
    </row>
    <row r="127" spans="1:22" ht="47.25" hidden="1" customHeight="1" x14ac:dyDescent="0.3">
      <c r="A127" s="88" t="s">
        <v>116</v>
      </c>
      <c r="B127" s="88" t="s">
        <v>170</v>
      </c>
      <c r="C127" s="88" t="s">
        <v>53</v>
      </c>
      <c r="D127" s="88" t="s">
        <v>225</v>
      </c>
      <c r="E127" s="91" t="s">
        <v>152</v>
      </c>
      <c r="F127" s="88" t="s">
        <v>54</v>
      </c>
      <c r="G127" s="91" t="s">
        <v>55</v>
      </c>
      <c r="H127" s="54" t="s">
        <v>146</v>
      </c>
      <c r="T127" s="34"/>
    </row>
    <row r="128" spans="1:22" s="36" customFormat="1" hidden="1" x14ac:dyDescent="0.3">
      <c r="A128" s="89"/>
      <c r="B128" s="89"/>
      <c r="C128" s="89"/>
      <c r="D128" s="89"/>
      <c r="E128" s="92"/>
      <c r="F128" s="89"/>
      <c r="G128" s="92"/>
      <c r="H128" s="55">
        <v>0.45</v>
      </c>
      <c r="T128" s="33"/>
    </row>
    <row r="129" spans="1:20" s="36" customFormat="1" hidden="1" x14ac:dyDescent="0.3">
      <c r="A129" s="216" t="s">
        <v>114</v>
      </c>
      <c r="B129" s="217"/>
      <c r="C129" s="217"/>
      <c r="D129" s="217"/>
      <c r="E129" s="217"/>
      <c r="F129" s="217"/>
      <c r="G129" s="217"/>
      <c r="H129" s="218"/>
      <c r="J129" s="35"/>
      <c r="T129" s="20"/>
    </row>
    <row r="130" spans="1:20" s="36" customFormat="1" ht="15.75" hidden="1" customHeight="1" x14ac:dyDescent="0.3">
      <c r="A130" s="75">
        <v>1</v>
      </c>
      <c r="B130" s="77"/>
      <c r="C130" s="41"/>
      <c r="D130" s="41"/>
      <c r="E130" s="41">
        <v>0</v>
      </c>
      <c r="F130" s="41">
        <f>D130+E130</f>
        <v>0</v>
      </c>
      <c r="G130" s="41">
        <v>0</v>
      </c>
      <c r="H130" s="41">
        <f>(D130+E130)*(($H$128)+1)</f>
        <v>0</v>
      </c>
      <c r="I130" s="35"/>
      <c r="L130" s="73"/>
      <c r="M130" s="73"/>
      <c r="N130" s="35"/>
      <c r="T130" s="20"/>
    </row>
    <row r="131" spans="1:20" s="36" customFormat="1" ht="15.75" hidden="1" customHeight="1" x14ac:dyDescent="0.3">
      <c r="A131" s="75">
        <f>A130+1</f>
        <v>2</v>
      </c>
      <c r="B131" s="77"/>
      <c r="C131" s="41"/>
      <c r="D131" s="41"/>
      <c r="E131" s="41">
        <v>0</v>
      </c>
      <c r="F131" s="41">
        <f>D131+E131</f>
        <v>0</v>
      </c>
      <c r="G131" s="41">
        <v>0</v>
      </c>
      <c r="H131" s="41">
        <f>(D131+E131)*(($H$128)+1)</f>
        <v>0</v>
      </c>
      <c r="I131" s="35"/>
      <c r="L131" s="73"/>
      <c r="M131" s="73"/>
      <c r="N131" s="35"/>
    </row>
    <row r="132" spans="1:20" s="36" customFormat="1" ht="15.75" hidden="1" customHeight="1" x14ac:dyDescent="0.3">
      <c r="A132" s="75">
        <f>A131+1</f>
        <v>3</v>
      </c>
      <c r="B132" s="77"/>
      <c r="C132" s="41"/>
      <c r="D132" s="41"/>
      <c r="E132" s="41">
        <v>0</v>
      </c>
      <c r="F132" s="41">
        <f>D132+E132</f>
        <v>0</v>
      </c>
      <c r="G132" s="41">
        <v>0</v>
      </c>
      <c r="H132" s="41">
        <f>(D132+E132)*(($H$128)+1)</f>
        <v>0</v>
      </c>
      <c r="I132" s="35"/>
      <c r="L132" s="73"/>
      <c r="M132" s="73"/>
      <c r="N132" s="35"/>
    </row>
    <row r="133" spans="1:20" s="36" customFormat="1" ht="15.75" hidden="1" customHeight="1" x14ac:dyDescent="0.3">
      <c r="A133" s="75">
        <f>A132+1</f>
        <v>4</v>
      </c>
      <c r="B133" s="77"/>
      <c r="C133" s="41"/>
      <c r="D133" s="41"/>
      <c r="E133" s="41">
        <v>0</v>
      </c>
      <c r="F133" s="41">
        <f>D133+E133</f>
        <v>0</v>
      </c>
      <c r="G133" s="41">
        <v>0</v>
      </c>
      <c r="H133" s="41">
        <f>(D133+E133)*(($H$128)+1)</f>
        <v>0</v>
      </c>
      <c r="I133" s="35"/>
      <c r="L133" s="73"/>
      <c r="M133" s="73"/>
      <c r="N133" s="35"/>
    </row>
    <row r="134" spans="1:20" s="36" customFormat="1" hidden="1" x14ac:dyDescent="0.3">
      <c r="A134" s="75"/>
      <c r="B134" s="76"/>
      <c r="C134" s="76"/>
      <c r="D134" s="76"/>
      <c r="E134" s="76"/>
      <c r="F134" s="76"/>
      <c r="G134" s="76"/>
      <c r="H134" s="77"/>
      <c r="I134" s="35"/>
      <c r="N134" s="35"/>
    </row>
    <row r="135" spans="1:20" ht="47.25" customHeight="1" x14ac:dyDescent="0.3">
      <c r="A135" s="190" t="s">
        <v>117</v>
      </c>
      <c r="B135" s="88" t="s">
        <v>171</v>
      </c>
      <c r="C135" s="88" t="s">
        <v>53</v>
      </c>
      <c r="D135" s="192" t="s">
        <v>318</v>
      </c>
      <c r="E135" s="192" t="s">
        <v>317</v>
      </c>
      <c r="F135" s="88" t="s">
        <v>54</v>
      </c>
      <c r="G135" s="91" t="s">
        <v>55</v>
      </c>
      <c r="H135" s="54" t="s">
        <v>146</v>
      </c>
      <c r="I135" s="35"/>
      <c r="T135" s="36"/>
    </row>
    <row r="136" spans="1:20" s="36" customFormat="1" x14ac:dyDescent="0.3">
      <c r="A136" s="191"/>
      <c r="B136" s="89"/>
      <c r="C136" s="89"/>
      <c r="D136" s="193"/>
      <c r="E136" s="193"/>
      <c r="F136" s="89"/>
      <c r="G136" s="92"/>
      <c r="H136" s="65">
        <v>0.5</v>
      </c>
      <c r="I136" s="35"/>
    </row>
    <row r="137" spans="1:20" s="36" customFormat="1" x14ac:dyDescent="0.3">
      <c r="A137" s="216" t="s">
        <v>339</v>
      </c>
      <c r="B137" s="217"/>
      <c r="C137" s="217"/>
      <c r="D137" s="217"/>
      <c r="E137" s="217"/>
      <c r="F137" s="217"/>
      <c r="G137" s="217"/>
      <c r="H137" s="218"/>
      <c r="I137" s="41">
        <v>10.763999999999999</v>
      </c>
      <c r="J137" s="35"/>
    </row>
    <row r="138" spans="1:20" s="36" customFormat="1" x14ac:dyDescent="0.3">
      <c r="A138" s="216" t="s">
        <v>357</v>
      </c>
      <c r="B138" s="217"/>
      <c r="C138" s="217"/>
      <c r="D138" s="217"/>
      <c r="E138" s="217"/>
      <c r="F138" s="217"/>
      <c r="G138" s="217"/>
      <c r="H138" s="218"/>
      <c r="J138" s="35"/>
    </row>
    <row r="139" spans="1:20" s="36" customFormat="1" x14ac:dyDescent="0.3">
      <c r="A139" s="216" t="s">
        <v>358</v>
      </c>
      <c r="B139" s="217"/>
      <c r="C139" s="217"/>
      <c r="D139" s="217"/>
      <c r="E139" s="217"/>
      <c r="F139" s="217"/>
      <c r="G139" s="217"/>
      <c r="H139" s="218"/>
      <c r="I139" s="68" t="s">
        <v>333</v>
      </c>
      <c r="J139" s="35"/>
    </row>
    <row r="140" spans="1:20" s="36" customFormat="1" x14ac:dyDescent="0.3">
      <c r="A140" s="230" t="s">
        <v>359</v>
      </c>
      <c r="B140" s="231"/>
      <c r="C140" s="217"/>
      <c r="D140" s="217"/>
      <c r="E140" s="217"/>
      <c r="F140" s="217"/>
      <c r="G140" s="217"/>
      <c r="H140" s="218"/>
      <c r="I140" s="63">
        <v>1</v>
      </c>
      <c r="J140" s="35"/>
    </row>
    <row r="141" spans="1:20" s="36" customFormat="1" ht="15.75" customHeight="1" x14ac:dyDescent="0.3">
      <c r="A141" s="41">
        <v>1</v>
      </c>
      <c r="B141" s="67" t="s">
        <v>324</v>
      </c>
      <c r="C141" s="60" t="s">
        <v>312</v>
      </c>
      <c r="D141" s="41">
        <f>(35.88)*10.764</f>
        <v>386.21231999999998</v>
      </c>
      <c r="E141" s="41">
        <v>0</v>
      </c>
      <c r="F141" s="41">
        <f>D141+E141</f>
        <v>386.21231999999998</v>
      </c>
      <c r="G141" s="41">
        <v>0</v>
      </c>
      <c r="H141" s="41">
        <f>F141*(($H$136)+1)+(IF(G141&lt;101,G141,IF(G141&lt;201,G141/2,IF(G141&lt;=301,G141/3,G141/4))))</f>
        <v>579.31847999999991</v>
      </c>
      <c r="I141" s="35">
        <f>2.9*4.28+2.13*2.43+2.82*3.43+1.22*2.1+2.1*1.22+2.9*0.9</f>
        <v>34.994500000000002</v>
      </c>
      <c r="L141" s="73"/>
      <c r="M141" s="73"/>
      <c r="N141" s="35"/>
      <c r="T141" s="20"/>
    </row>
    <row r="142" spans="1:20" s="36" customFormat="1" ht="15.75" customHeight="1" x14ac:dyDescent="0.3">
      <c r="A142" s="41">
        <f>A141+1</f>
        <v>2</v>
      </c>
      <c r="B142" s="67" t="s">
        <v>324</v>
      </c>
      <c r="C142" s="60" t="s">
        <v>313</v>
      </c>
      <c r="D142" s="41">
        <f>(52.03)*10.764</f>
        <v>560.05092000000002</v>
      </c>
      <c r="E142" s="41">
        <v>0</v>
      </c>
      <c r="F142" s="41">
        <f>D142+E142</f>
        <v>560.05092000000002</v>
      </c>
      <c r="G142" s="41">
        <v>0</v>
      </c>
      <c r="H142" s="41">
        <f>F142*(($H$136)+1)+(IF(G142&lt;101,G142,IF(G142&lt;201,G142/2,IF(G142&lt;=301,G142/3,G142/4))))</f>
        <v>840.07637999999997</v>
      </c>
      <c r="I142" s="35">
        <f>3.56*2.4+3.1*2.9+2.13*2.9+2.74*2.9+3.05*3.14+1.3*2.14+2.13*1.3+0.88*0.9+2.7*0.9</f>
        <v>50.007000000000005</v>
      </c>
      <c r="L142" s="73"/>
      <c r="M142" s="73"/>
      <c r="N142" s="35"/>
    </row>
    <row r="143" spans="1:20" s="36" customFormat="1" ht="15.75" customHeight="1" x14ac:dyDescent="0.3">
      <c r="A143" s="41">
        <f>A142+1</f>
        <v>3</v>
      </c>
      <c r="B143" s="67" t="s">
        <v>324</v>
      </c>
      <c r="C143" s="222" t="s">
        <v>314</v>
      </c>
      <c r="D143" s="222"/>
      <c r="E143" s="222"/>
      <c r="F143" s="222"/>
      <c r="G143" s="222"/>
      <c r="H143" s="223"/>
      <c r="I143" s="35"/>
      <c r="L143" s="73"/>
      <c r="M143" s="73"/>
      <c r="N143" s="35"/>
    </row>
    <row r="144" spans="1:20" s="36" customFormat="1" ht="15.75" customHeight="1" x14ac:dyDescent="0.3">
      <c r="A144" s="41">
        <f>A143+1</f>
        <v>4</v>
      </c>
      <c r="B144" s="67" t="s">
        <v>324</v>
      </c>
      <c r="C144" s="225"/>
      <c r="D144" s="225"/>
      <c r="E144" s="225"/>
      <c r="F144" s="225"/>
      <c r="G144" s="225"/>
      <c r="H144" s="226"/>
      <c r="I144" s="35"/>
      <c r="L144" s="73"/>
      <c r="M144" s="73"/>
      <c r="N144" s="35"/>
    </row>
    <row r="145" spans="1:14" s="36" customFormat="1" ht="15.75" customHeight="1" x14ac:dyDescent="0.3">
      <c r="A145" s="41">
        <f t="shared" ref="A145:A152" si="2">A144+1</f>
        <v>5</v>
      </c>
      <c r="B145" s="67" t="s">
        <v>324</v>
      </c>
      <c r="C145" s="225"/>
      <c r="D145" s="225"/>
      <c r="E145" s="225"/>
      <c r="F145" s="225"/>
      <c r="G145" s="225"/>
      <c r="H145" s="226"/>
      <c r="I145" s="35"/>
      <c r="L145" s="73"/>
      <c r="M145" s="73"/>
      <c r="N145" s="35"/>
    </row>
    <row r="146" spans="1:14" s="36" customFormat="1" ht="15.75" customHeight="1" x14ac:dyDescent="0.3">
      <c r="A146" s="41">
        <f t="shared" si="2"/>
        <v>6</v>
      </c>
      <c r="B146" s="67" t="s">
        <v>324</v>
      </c>
      <c r="C146" s="225"/>
      <c r="D146" s="225"/>
      <c r="E146" s="225"/>
      <c r="F146" s="225"/>
      <c r="G146" s="225"/>
      <c r="H146" s="226"/>
      <c r="I146" s="35"/>
      <c r="L146" s="73"/>
      <c r="M146" s="73"/>
      <c r="N146" s="35"/>
    </row>
    <row r="147" spans="1:14" s="36" customFormat="1" ht="15.75" customHeight="1" x14ac:dyDescent="0.3">
      <c r="A147" s="41">
        <f t="shared" si="2"/>
        <v>7</v>
      </c>
      <c r="B147" s="67" t="s">
        <v>324</v>
      </c>
      <c r="C147" s="228"/>
      <c r="D147" s="228"/>
      <c r="E147" s="228"/>
      <c r="F147" s="228"/>
      <c r="G147" s="228"/>
      <c r="H147" s="229"/>
      <c r="I147" s="35"/>
      <c r="L147" s="73"/>
      <c r="M147" s="73"/>
      <c r="N147" s="35"/>
    </row>
    <row r="148" spans="1:14" s="36" customFormat="1" ht="15.75" customHeight="1" x14ac:dyDescent="0.3">
      <c r="A148" s="41">
        <f t="shared" si="2"/>
        <v>8</v>
      </c>
      <c r="B148" s="67" t="s">
        <v>324</v>
      </c>
      <c r="C148" s="60" t="s">
        <v>313</v>
      </c>
      <c r="D148" s="41">
        <f>(48.8)*10.764</f>
        <v>525.28319999999997</v>
      </c>
      <c r="E148" s="41">
        <v>0</v>
      </c>
      <c r="F148" s="41">
        <f t="shared" ref="F148:F152" si="3">D148+E148</f>
        <v>525.28319999999997</v>
      </c>
      <c r="G148" s="41">
        <v>0</v>
      </c>
      <c r="H148" s="41">
        <f t="shared" ref="H148:H152" si="4">F148*(($H$136)+1)+(IF(G148&lt;101,G148,IF(G148&lt;201,G148/2,IF(G148&lt;=301,G148/3,G148/4))))</f>
        <v>787.9248</v>
      </c>
      <c r="I148" s="35"/>
      <c r="L148" s="73"/>
      <c r="M148" s="73"/>
      <c r="N148" s="35"/>
    </row>
    <row r="149" spans="1:14" s="36" customFormat="1" ht="15.75" customHeight="1" x14ac:dyDescent="0.3">
      <c r="A149" s="41">
        <f t="shared" si="2"/>
        <v>9</v>
      </c>
      <c r="B149" s="67" t="s">
        <v>324</v>
      </c>
      <c r="C149" s="60" t="s">
        <v>312</v>
      </c>
      <c r="D149" s="41">
        <f>(35.88)*10.764</f>
        <v>386.21231999999998</v>
      </c>
      <c r="E149" s="41">
        <v>0</v>
      </c>
      <c r="F149" s="41">
        <f t="shared" si="3"/>
        <v>386.21231999999998</v>
      </c>
      <c r="G149" s="41">
        <v>0</v>
      </c>
      <c r="H149" s="41">
        <f t="shared" si="4"/>
        <v>579.31847999999991</v>
      </c>
      <c r="I149" s="35"/>
      <c r="L149" s="73"/>
      <c r="M149" s="73"/>
      <c r="N149" s="35"/>
    </row>
    <row r="150" spans="1:14" s="36" customFormat="1" ht="15.75" customHeight="1" x14ac:dyDescent="0.3">
      <c r="A150" s="41">
        <f t="shared" si="2"/>
        <v>10</v>
      </c>
      <c r="B150" s="67" t="s">
        <v>324</v>
      </c>
      <c r="C150" s="60" t="s">
        <v>312</v>
      </c>
      <c r="D150" s="41">
        <f>(35.88)*10.764</f>
        <v>386.21231999999998</v>
      </c>
      <c r="E150" s="41">
        <v>0</v>
      </c>
      <c r="F150" s="41">
        <f t="shared" si="3"/>
        <v>386.21231999999998</v>
      </c>
      <c r="G150" s="41">
        <v>0</v>
      </c>
      <c r="H150" s="41">
        <f t="shared" si="4"/>
        <v>579.31847999999991</v>
      </c>
      <c r="I150" s="35"/>
      <c r="L150" s="73"/>
      <c r="M150" s="73"/>
      <c r="N150" s="35"/>
    </row>
    <row r="151" spans="1:14" s="36" customFormat="1" ht="15.75" customHeight="1" x14ac:dyDescent="0.3">
      <c r="A151" s="41">
        <f t="shared" si="2"/>
        <v>11</v>
      </c>
      <c r="B151" s="67" t="s">
        <v>324</v>
      </c>
      <c r="C151" s="60" t="s">
        <v>312</v>
      </c>
      <c r="D151" s="41">
        <f>(35.88)*10.764</f>
        <v>386.21231999999998</v>
      </c>
      <c r="E151" s="41">
        <v>0</v>
      </c>
      <c r="F151" s="41">
        <f t="shared" si="3"/>
        <v>386.21231999999998</v>
      </c>
      <c r="G151" s="41">
        <v>0</v>
      </c>
      <c r="H151" s="41">
        <f t="shared" si="4"/>
        <v>579.31847999999991</v>
      </c>
      <c r="I151" s="35"/>
      <c r="L151" s="73"/>
      <c r="M151" s="73"/>
      <c r="N151" s="35"/>
    </row>
    <row r="152" spans="1:14" s="36" customFormat="1" ht="15.75" customHeight="1" x14ac:dyDescent="0.3">
      <c r="A152" s="41">
        <f t="shared" si="2"/>
        <v>12</v>
      </c>
      <c r="B152" s="67" t="s">
        <v>324</v>
      </c>
      <c r="C152" s="60" t="s">
        <v>312</v>
      </c>
      <c r="D152" s="41">
        <f>(35.89)*10.764</f>
        <v>386.31995999999998</v>
      </c>
      <c r="E152" s="41">
        <v>0</v>
      </c>
      <c r="F152" s="41">
        <f t="shared" si="3"/>
        <v>386.31995999999998</v>
      </c>
      <c r="G152" s="41">
        <v>0</v>
      </c>
      <c r="H152" s="41">
        <f t="shared" si="4"/>
        <v>579.47993999999994</v>
      </c>
      <c r="I152" s="35"/>
      <c r="L152" s="73"/>
      <c r="M152" s="73"/>
      <c r="N152" s="35"/>
    </row>
    <row r="153" spans="1:14" s="36" customFormat="1" x14ac:dyDescent="0.3">
      <c r="A153" s="181" t="s">
        <v>115</v>
      </c>
      <c r="B153" s="181"/>
      <c r="C153" s="74"/>
      <c r="D153" s="74"/>
      <c r="E153" s="74"/>
      <c r="F153" s="74"/>
      <c r="G153" s="74"/>
      <c r="H153" s="74"/>
      <c r="I153" s="64">
        <v>1</v>
      </c>
      <c r="L153" s="73"/>
      <c r="M153" s="73"/>
    </row>
    <row r="154" spans="1:14" s="36" customFormat="1" x14ac:dyDescent="0.3">
      <c r="A154" s="41">
        <v>1</v>
      </c>
      <c r="B154" s="67" t="s">
        <v>324</v>
      </c>
      <c r="C154" s="41" t="s">
        <v>312</v>
      </c>
      <c r="D154" s="41">
        <f>(35.88)*10.764</f>
        <v>386.21231999999998</v>
      </c>
      <c r="E154" s="41">
        <v>0</v>
      </c>
      <c r="F154" s="41">
        <f t="shared" ref="F154:F165" si="5">D154+E154</f>
        <v>386.21231999999998</v>
      </c>
      <c r="G154" s="41">
        <v>0</v>
      </c>
      <c r="H154" s="41">
        <f>F154*(($H$136)+1)+(IF(G154&lt;101,G154,IF(G154&lt;201,G154/2,IF(G154&lt;=301,G154/3,G154/4))))</f>
        <v>579.31847999999991</v>
      </c>
      <c r="I154" s="35"/>
      <c r="M154" s="36">
        <f>6600*H154</f>
        <v>3823501.9679999994</v>
      </c>
      <c r="N154" s="35"/>
    </row>
    <row r="155" spans="1:14" s="36" customFormat="1" x14ac:dyDescent="0.3">
      <c r="A155" s="41">
        <f>A154+1</f>
        <v>2</v>
      </c>
      <c r="B155" s="67" t="s">
        <v>324</v>
      </c>
      <c r="C155" s="41" t="s">
        <v>313</v>
      </c>
      <c r="D155" s="41">
        <f t="shared" ref="D155:D160" si="6">(52.03)*10.764</f>
        <v>560.05092000000002</v>
      </c>
      <c r="E155" s="41">
        <v>0</v>
      </c>
      <c r="F155" s="41">
        <f t="shared" si="5"/>
        <v>560.05092000000002</v>
      </c>
      <c r="G155" s="41">
        <v>0</v>
      </c>
      <c r="H155" s="41">
        <f>F155*(($H$136)+1)+(IF(G155&lt;101,G155,IF(G155&lt;201,G155/2,IF(G155&lt;=301,G155/3,G155/4))))</f>
        <v>840.07637999999997</v>
      </c>
      <c r="I155" s="35"/>
      <c r="M155" s="36">
        <f t="shared" ref="M155:M165" si="7">6600*H155</f>
        <v>5544504.108</v>
      </c>
      <c r="N155" s="35">
        <f>64000000/H155</f>
        <v>76183.548929205703</v>
      </c>
    </row>
    <row r="156" spans="1:14" s="36" customFormat="1" x14ac:dyDescent="0.3">
      <c r="A156" s="41">
        <f t="shared" ref="A156:A165" si="8">A155+1</f>
        <v>3</v>
      </c>
      <c r="B156" s="67" t="s">
        <v>324</v>
      </c>
      <c r="C156" s="41" t="s">
        <v>313</v>
      </c>
      <c r="D156" s="41">
        <f t="shared" si="6"/>
        <v>560.05092000000002</v>
      </c>
      <c r="E156" s="41">
        <v>0</v>
      </c>
      <c r="F156" s="41">
        <f t="shared" si="5"/>
        <v>560.05092000000002</v>
      </c>
      <c r="G156" s="41">
        <v>0</v>
      </c>
      <c r="H156" s="41">
        <f>F156*(($H$136)+1)+(IF(G156&lt;101,G156,IF(G156&lt;201,G156/2,IF(G156&lt;=301,G156/3,G156/4))))</f>
        <v>840.07637999999997</v>
      </c>
      <c r="I156" s="35"/>
      <c r="M156" s="36">
        <f t="shared" si="7"/>
        <v>5544504.108</v>
      </c>
      <c r="N156" s="35"/>
    </row>
    <row r="157" spans="1:14" s="36" customFormat="1" x14ac:dyDescent="0.3">
      <c r="A157" s="41">
        <f t="shared" si="8"/>
        <v>4</v>
      </c>
      <c r="B157" s="67" t="s">
        <v>324</v>
      </c>
      <c r="C157" s="41" t="s">
        <v>313</v>
      </c>
      <c r="D157" s="41">
        <f t="shared" si="6"/>
        <v>560.05092000000002</v>
      </c>
      <c r="E157" s="41">
        <v>0</v>
      </c>
      <c r="F157" s="66">
        <f t="shared" si="5"/>
        <v>560.05092000000002</v>
      </c>
      <c r="G157" s="41">
        <f>(2.2*2.9)*10.764</f>
        <v>68.674319999999994</v>
      </c>
      <c r="H157" s="66">
        <f>F157*(($H$136)+1)+(IF(G157&lt;101,G157,IF(G157&lt;201,G157/2,IF(G157&lt;=301,G157/3,G157/4))))</f>
        <v>908.75069999999994</v>
      </c>
      <c r="I157" s="69" t="s">
        <v>337</v>
      </c>
      <c r="M157" s="36">
        <f t="shared" si="7"/>
        <v>5997754.6199999992</v>
      </c>
      <c r="N157" s="35"/>
    </row>
    <row r="158" spans="1:14" s="36" customFormat="1" x14ac:dyDescent="0.3">
      <c r="A158" s="41">
        <f t="shared" si="8"/>
        <v>5</v>
      </c>
      <c r="B158" s="67" t="s">
        <v>324</v>
      </c>
      <c r="C158" s="41" t="s">
        <v>313</v>
      </c>
      <c r="D158" s="41">
        <f t="shared" si="6"/>
        <v>560.05092000000002</v>
      </c>
      <c r="E158" s="41">
        <v>0</v>
      </c>
      <c r="F158" s="66">
        <f t="shared" si="5"/>
        <v>560.05092000000002</v>
      </c>
      <c r="G158" s="41">
        <f>(2.2*2.9)*10.764</f>
        <v>68.674319999999994</v>
      </c>
      <c r="H158" s="66">
        <f>F158*(($H$136)+1)+(IF(G158&lt;101,G158,IF(G158&lt;201,G158/2,IF(G158&lt;=301,G158/3,G158/4))))</f>
        <v>908.75069999999994</v>
      </c>
      <c r="I158" s="69" t="s">
        <v>335</v>
      </c>
      <c r="M158" s="36">
        <f t="shared" si="7"/>
        <v>5997754.6199999992</v>
      </c>
      <c r="N158" s="35"/>
    </row>
    <row r="159" spans="1:14" s="36" customFormat="1" x14ac:dyDescent="0.3">
      <c r="A159" s="41">
        <f t="shared" si="8"/>
        <v>6</v>
      </c>
      <c r="B159" s="67" t="s">
        <v>324</v>
      </c>
      <c r="C159" s="41" t="s">
        <v>313</v>
      </c>
      <c r="D159" s="41">
        <f t="shared" si="6"/>
        <v>560.05092000000002</v>
      </c>
      <c r="E159" s="41">
        <v>0</v>
      </c>
      <c r="F159" s="41">
        <f t="shared" si="5"/>
        <v>560.05092000000002</v>
      </c>
      <c r="G159" s="41">
        <f>(2.2*2.9)*10.764</f>
        <v>68.674319999999994</v>
      </c>
      <c r="H159" s="41">
        <f t="shared" ref="H159:H165" si="9">F159*(($H$136)+1)+(IF(G159&lt;101,G159,IF(G159&lt;201,G159/2,IF(G159&lt;=301,G159/3,G159/4))))</f>
        <v>908.75069999999994</v>
      </c>
      <c r="I159" s="64" t="s">
        <v>334</v>
      </c>
      <c r="J159" s="63" t="s">
        <v>336</v>
      </c>
      <c r="K159" s="63" t="s">
        <v>338</v>
      </c>
      <c r="M159" s="36">
        <f t="shared" si="7"/>
        <v>5997754.6199999992</v>
      </c>
      <c r="N159" s="35"/>
    </row>
    <row r="160" spans="1:14" s="36" customFormat="1" x14ac:dyDescent="0.3">
      <c r="A160" s="41">
        <f t="shared" si="8"/>
        <v>7</v>
      </c>
      <c r="B160" s="67" t="s">
        <v>324</v>
      </c>
      <c r="C160" s="41" t="s">
        <v>313</v>
      </c>
      <c r="D160" s="41">
        <f t="shared" si="6"/>
        <v>560.05092000000002</v>
      </c>
      <c r="E160" s="41">
        <v>0</v>
      </c>
      <c r="F160" s="41">
        <f t="shared" si="5"/>
        <v>560.05092000000002</v>
      </c>
      <c r="G160" s="41">
        <v>0</v>
      </c>
      <c r="H160" s="41">
        <f t="shared" si="9"/>
        <v>840.07637999999997</v>
      </c>
      <c r="I160" s="35">
        <f>3669000/H162</f>
        <v>6333.3039194606745</v>
      </c>
      <c r="J160" s="35">
        <f>3949000/H162</f>
        <v>6816.6304655083686</v>
      </c>
      <c r="K160" s="35">
        <f>4100000/H154</f>
        <v>7077.2815671269464</v>
      </c>
      <c r="M160" s="36">
        <f t="shared" si="7"/>
        <v>5544504.108</v>
      </c>
      <c r="N160" s="35"/>
    </row>
    <row r="161" spans="1:14" s="36" customFormat="1" x14ac:dyDescent="0.3">
      <c r="A161" s="41">
        <f t="shared" si="8"/>
        <v>8</v>
      </c>
      <c r="B161" s="67" t="s">
        <v>324</v>
      </c>
      <c r="C161" s="41" t="s">
        <v>313</v>
      </c>
      <c r="D161" s="41">
        <f>(48.8)*10.764</f>
        <v>525.28319999999997</v>
      </c>
      <c r="E161" s="41">
        <v>0</v>
      </c>
      <c r="F161" s="41">
        <f t="shared" si="5"/>
        <v>525.28319999999997</v>
      </c>
      <c r="G161" s="41">
        <v>0</v>
      </c>
      <c r="H161" s="41">
        <f>F161*(($H$136)+1)+(IF(G161&lt;101,G161,IF(G161&lt;201,G161/2,IF(G161&lt;=301,G161/3,G161/4))))</f>
        <v>787.9248</v>
      </c>
      <c r="I161" s="35">
        <f>5107000/H161</f>
        <v>6481.5830140135204</v>
      </c>
      <c r="J161" s="35">
        <f>5949000/H160</f>
        <v>7081.4989465600738</v>
      </c>
      <c r="K161" s="35">
        <f>5900000/H156</f>
        <v>7023.1709169111509</v>
      </c>
      <c r="M161" s="36">
        <f t="shared" si="7"/>
        <v>5200303.68</v>
      </c>
      <c r="N161" s="35"/>
    </row>
    <row r="162" spans="1:14" s="36" customFormat="1" x14ac:dyDescent="0.3">
      <c r="A162" s="41">
        <f t="shared" si="8"/>
        <v>9</v>
      </c>
      <c r="B162" s="67" t="s">
        <v>324</v>
      </c>
      <c r="C162" s="41" t="s">
        <v>312</v>
      </c>
      <c r="D162" s="41">
        <f>(35.88)*10.764</f>
        <v>386.21231999999998</v>
      </c>
      <c r="E162" s="41">
        <v>0</v>
      </c>
      <c r="F162" s="41">
        <f t="shared" si="5"/>
        <v>386.21231999999998</v>
      </c>
      <c r="G162" s="41">
        <v>0</v>
      </c>
      <c r="H162" s="41">
        <f t="shared" si="9"/>
        <v>579.31847999999991</v>
      </c>
      <c r="I162" s="35">
        <f>5320000/H160</f>
        <v>6332.7575047402242</v>
      </c>
      <c r="J162" s="35">
        <f>AVERAGE(J160:J161)</f>
        <v>6949.0647060342217</v>
      </c>
      <c r="M162" s="36">
        <f t="shared" si="7"/>
        <v>3823501.9679999994</v>
      </c>
      <c r="N162" s="35"/>
    </row>
    <row r="163" spans="1:14" s="36" customFormat="1" x14ac:dyDescent="0.3">
      <c r="A163" s="41">
        <f t="shared" si="8"/>
        <v>10</v>
      </c>
      <c r="B163" s="67" t="s">
        <v>324</v>
      </c>
      <c r="C163" s="41" t="s">
        <v>312</v>
      </c>
      <c r="D163" s="41">
        <f>(35.88)*10.764</f>
        <v>386.21231999999998</v>
      </c>
      <c r="E163" s="41">
        <v>0</v>
      </c>
      <c r="F163" s="41">
        <f t="shared" si="5"/>
        <v>386.21231999999998</v>
      </c>
      <c r="G163" s="41">
        <v>0</v>
      </c>
      <c r="H163" s="41">
        <f t="shared" si="9"/>
        <v>579.31847999999991</v>
      </c>
      <c r="I163" s="64">
        <f>AVERAGE(I160:I162)</f>
        <v>6382.5481460714727</v>
      </c>
      <c r="M163" s="36">
        <f t="shared" si="7"/>
        <v>3823501.9679999994</v>
      </c>
      <c r="N163" s="35"/>
    </row>
    <row r="164" spans="1:14" s="36" customFormat="1" x14ac:dyDescent="0.3">
      <c r="A164" s="41">
        <f t="shared" si="8"/>
        <v>11</v>
      </c>
      <c r="B164" s="67" t="s">
        <v>324</v>
      </c>
      <c r="C164" s="41" t="s">
        <v>312</v>
      </c>
      <c r="D164" s="41">
        <f>(35.88)*10.764</f>
        <v>386.21231999999998</v>
      </c>
      <c r="E164" s="41">
        <v>0</v>
      </c>
      <c r="F164" s="41">
        <f t="shared" si="5"/>
        <v>386.21231999999998</v>
      </c>
      <c r="G164" s="41">
        <v>0</v>
      </c>
      <c r="H164" s="41">
        <f t="shared" si="9"/>
        <v>579.31847999999991</v>
      </c>
      <c r="I164" s="35"/>
      <c r="M164" s="36">
        <f t="shared" si="7"/>
        <v>3823501.9679999994</v>
      </c>
      <c r="N164" s="35"/>
    </row>
    <row r="165" spans="1:14" s="36" customFormat="1" x14ac:dyDescent="0.3">
      <c r="A165" s="41">
        <f t="shared" si="8"/>
        <v>12</v>
      </c>
      <c r="B165" s="67" t="s">
        <v>324</v>
      </c>
      <c r="C165" s="41" t="s">
        <v>312</v>
      </c>
      <c r="D165" s="41">
        <f>(35.89)*10.764</f>
        <v>386.31995999999998</v>
      </c>
      <c r="E165" s="41">
        <v>0</v>
      </c>
      <c r="F165" s="41">
        <f t="shared" si="5"/>
        <v>386.31995999999998</v>
      </c>
      <c r="G165" s="41">
        <v>0</v>
      </c>
      <c r="H165" s="41">
        <f t="shared" si="9"/>
        <v>579.47993999999994</v>
      </c>
      <c r="I165" s="35"/>
      <c r="M165" s="36">
        <f t="shared" si="7"/>
        <v>3824567.6039999998</v>
      </c>
      <c r="N165" s="35"/>
    </row>
    <row r="166" spans="1:14" s="36" customFormat="1" x14ac:dyDescent="0.3">
      <c r="A166" s="183" t="s">
        <v>319</v>
      </c>
      <c r="B166" s="183"/>
      <c r="C166" s="183"/>
      <c r="D166" s="183"/>
      <c r="E166" s="183"/>
      <c r="F166" s="183"/>
      <c r="G166" s="183"/>
      <c r="H166" s="183"/>
      <c r="I166" s="64">
        <v>13</v>
      </c>
      <c r="L166" s="73"/>
      <c r="M166" s="73"/>
    </row>
    <row r="167" spans="1:14" s="36" customFormat="1" ht="15.75" customHeight="1" x14ac:dyDescent="0.3">
      <c r="A167" s="41">
        <v>1</v>
      </c>
      <c r="B167" s="67" t="s">
        <v>324</v>
      </c>
      <c r="C167" s="41" t="s">
        <v>312</v>
      </c>
      <c r="D167" s="41">
        <f>(35.88)*10.764</f>
        <v>386.21231999999998</v>
      </c>
      <c r="E167" s="41">
        <v>0</v>
      </c>
      <c r="F167" s="41">
        <f>D167+E167</f>
        <v>386.21231999999998</v>
      </c>
      <c r="G167" s="41">
        <v>0</v>
      </c>
      <c r="H167" s="41">
        <f>F167*(($H$136)+1)+(IF(G167&lt;101,G167,IF(G167&lt;201,G167/2,IF(G167&lt;=301,G167/3,G167/4))))</f>
        <v>579.31847999999991</v>
      </c>
      <c r="I167" s="35"/>
      <c r="N167" s="35"/>
    </row>
    <row r="168" spans="1:14" s="36" customFormat="1" ht="15.75" customHeight="1" x14ac:dyDescent="0.3">
      <c r="A168" s="41">
        <f>A167+1</f>
        <v>2</v>
      </c>
      <c r="B168" s="67" t="s">
        <v>324</v>
      </c>
      <c r="C168" s="41" t="s">
        <v>313</v>
      </c>
      <c r="D168" s="41">
        <f t="shared" ref="D168:D173" si="10">(52.03)*10.764</f>
        <v>560.05092000000002</v>
      </c>
      <c r="E168" s="41">
        <v>0</v>
      </c>
      <c r="F168" s="41">
        <f>D168+E168</f>
        <v>560.05092000000002</v>
      </c>
      <c r="G168" s="41">
        <v>0</v>
      </c>
      <c r="H168" s="41">
        <f>F168*(($H$136)+1)+(IF(G168&lt;101,G168,IF(G168&lt;201,G168/2,IF(G168&lt;=301,G168/3,G168/4))))</f>
        <v>840.07637999999997</v>
      </c>
      <c r="I168" s="35"/>
      <c r="N168" s="35"/>
    </row>
    <row r="169" spans="1:14" s="36" customFormat="1" ht="15.75" customHeight="1" x14ac:dyDescent="0.3">
      <c r="A169" s="41">
        <f t="shared" ref="A169:A178" si="11">A168+1</f>
        <v>3</v>
      </c>
      <c r="B169" s="67" t="s">
        <v>324</v>
      </c>
      <c r="C169" s="41" t="s">
        <v>313</v>
      </c>
      <c r="D169" s="41">
        <f t="shared" si="10"/>
        <v>560.05092000000002</v>
      </c>
      <c r="E169" s="41">
        <v>0</v>
      </c>
      <c r="F169" s="41">
        <f>D169+E169</f>
        <v>560.05092000000002</v>
      </c>
      <c r="G169" s="41">
        <v>0</v>
      </c>
      <c r="H169" s="41">
        <f>F169*(($H$136)+1)+(IF(G169&lt;101,G169,IF(G169&lt;201,G169/2,IF(G169&lt;=301,G169/3,G169/4))))</f>
        <v>840.07637999999997</v>
      </c>
      <c r="I169" s="35"/>
      <c r="N169" s="35"/>
    </row>
    <row r="170" spans="1:14" s="36" customFormat="1" ht="15.75" customHeight="1" x14ac:dyDescent="0.3">
      <c r="A170" s="41">
        <f t="shared" si="11"/>
        <v>4</v>
      </c>
      <c r="B170" s="67" t="s">
        <v>324</v>
      </c>
      <c r="C170" s="41" t="s">
        <v>313</v>
      </c>
      <c r="D170" s="41">
        <f t="shared" si="10"/>
        <v>560.05092000000002</v>
      </c>
      <c r="E170" s="41">
        <v>0</v>
      </c>
      <c r="F170" s="41">
        <f>D170+E170</f>
        <v>560.05092000000002</v>
      </c>
      <c r="G170" s="66">
        <v>0</v>
      </c>
      <c r="H170" s="41">
        <f>F170*(($H$136)+1)+(IF(G170&lt;101,G170,IF(G170&lt;201,G170/2,IF(G170&lt;=301,G170/3,G170/4))))</f>
        <v>840.07637999999997</v>
      </c>
      <c r="I170" s="35"/>
      <c r="N170" s="35"/>
    </row>
    <row r="171" spans="1:14" s="36" customFormat="1" ht="15.75" customHeight="1" x14ac:dyDescent="0.3">
      <c r="A171" s="41">
        <f t="shared" si="11"/>
        <v>5</v>
      </c>
      <c r="B171" s="67" t="s">
        <v>324</v>
      </c>
      <c r="C171" s="41" t="s">
        <v>313</v>
      </c>
      <c r="D171" s="41">
        <f t="shared" si="10"/>
        <v>560.05092000000002</v>
      </c>
      <c r="E171" s="41">
        <v>0</v>
      </c>
      <c r="F171" s="41">
        <f>D171+E171</f>
        <v>560.05092000000002</v>
      </c>
      <c r="G171" s="66">
        <v>0</v>
      </c>
      <c r="H171" s="41">
        <f>F171*(($H$136)+1)+(IF(G171&lt;101,G171,IF(G171&lt;201,G171/2,IF(G171&lt;=301,G171/3,G171/4))))</f>
        <v>840.07637999999997</v>
      </c>
      <c r="I171" s="35"/>
      <c r="N171" s="35"/>
    </row>
    <row r="172" spans="1:14" s="36" customFormat="1" ht="15.75" customHeight="1" x14ac:dyDescent="0.3">
      <c r="A172" s="41">
        <f t="shared" si="11"/>
        <v>6</v>
      </c>
      <c r="B172" s="67" t="s">
        <v>324</v>
      </c>
      <c r="C172" s="41" t="s">
        <v>313</v>
      </c>
      <c r="D172" s="41">
        <f t="shared" si="10"/>
        <v>560.05092000000002</v>
      </c>
      <c r="E172" s="41">
        <v>0</v>
      </c>
      <c r="F172" s="41">
        <f t="shared" ref="F172:F178" si="12">D172+E172</f>
        <v>560.05092000000002</v>
      </c>
      <c r="G172" s="41">
        <v>0</v>
      </c>
      <c r="H172" s="41">
        <f t="shared" ref="H172:H178" si="13">F172*(($H$136)+1)+(IF(G172&lt;101,G172,IF(G172&lt;201,G172/2,IF(G172&lt;=301,G172/3,G172/4))))</f>
        <v>840.07637999999997</v>
      </c>
      <c r="I172" s="35"/>
      <c r="N172" s="35"/>
    </row>
    <row r="173" spans="1:14" s="36" customFormat="1" ht="15.75" customHeight="1" x14ac:dyDescent="0.3">
      <c r="A173" s="41">
        <f t="shared" si="11"/>
        <v>7</v>
      </c>
      <c r="B173" s="67" t="s">
        <v>324</v>
      </c>
      <c r="C173" s="41" t="s">
        <v>313</v>
      </c>
      <c r="D173" s="41">
        <f t="shared" si="10"/>
        <v>560.05092000000002</v>
      </c>
      <c r="E173" s="41">
        <v>0</v>
      </c>
      <c r="F173" s="41">
        <f t="shared" si="12"/>
        <v>560.05092000000002</v>
      </c>
      <c r="G173" s="41">
        <v>0</v>
      </c>
      <c r="H173" s="41">
        <f t="shared" si="13"/>
        <v>840.07637999999997</v>
      </c>
      <c r="I173" s="35"/>
      <c r="N173" s="35"/>
    </row>
    <row r="174" spans="1:14" s="36" customFormat="1" ht="15.75" customHeight="1" x14ac:dyDescent="0.3">
      <c r="A174" s="41">
        <f t="shared" si="11"/>
        <v>8</v>
      </c>
      <c r="B174" s="67" t="s">
        <v>324</v>
      </c>
      <c r="C174" s="41" t="s">
        <v>313</v>
      </c>
      <c r="D174" s="41">
        <f>(48.8)*10.764</f>
        <v>525.28319999999997</v>
      </c>
      <c r="E174" s="41">
        <v>0</v>
      </c>
      <c r="F174" s="41">
        <f t="shared" si="12"/>
        <v>525.28319999999997</v>
      </c>
      <c r="G174" s="41">
        <v>0</v>
      </c>
      <c r="H174" s="41">
        <f t="shared" si="13"/>
        <v>787.9248</v>
      </c>
      <c r="I174" s="35"/>
      <c r="N174" s="35"/>
    </row>
    <row r="175" spans="1:14" s="36" customFormat="1" ht="15.75" customHeight="1" x14ac:dyDescent="0.3">
      <c r="A175" s="41">
        <f t="shared" si="11"/>
        <v>9</v>
      </c>
      <c r="B175" s="67" t="s">
        <v>324</v>
      </c>
      <c r="C175" s="41" t="s">
        <v>312</v>
      </c>
      <c r="D175" s="41">
        <f>(35.88)*10.764</f>
        <v>386.21231999999998</v>
      </c>
      <c r="E175" s="41">
        <v>0</v>
      </c>
      <c r="F175" s="41">
        <f t="shared" si="12"/>
        <v>386.21231999999998</v>
      </c>
      <c r="G175" s="41">
        <v>0</v>
      </c>
      <c r="H175" s="41">
        <f t="shared" si="13"/>
        <v>579.31847999999991</v>
      </c>
      <c r="I175" s="35"/>
      <c r="N175" s="35"/>
    </row>
    <row r="176" spans="1:14" s="36" customFormat="1" ht="15.75" customHeight="1" x14ac:dyDescent="0.3">
      <c r="A176" s="41">
        <f t="shared" si="11"/>
        <v>10</v>
      </c>
      <c r="B176" s="67" t="s">
        <v>324</v>
      </c>
      <c r="C176" s="41" t="s">
        <v>312</v>
      </c>
      <c r="D176" s="41">
        <f>(35.88)*10.764</f>
        <v>386.21231999999998</v>
      </c>
      <c r="E176" s="41">
        <v>0</v>
      </c>
      <c r="F176" s="41">
        <f t="shared" si="12"/>
        <v>386.21231999999998</v>
      </c>
      <c r="G176" s="41">
        <v>0</v>
      </c>
      <c r="H176" s="41">
        <f t="shared" si="13"/>
        <v>579.31847999999991</v>
      </c>
      <c r="I176" s="35"/>
      <c r="N176" s="35"/>
    </row>
    <row r="177" spans="1:14" s="36" customFormat="1" ht="15.75" customHeight="1" x14ac:dyDescent="0.3">
      <c r="A177" s="41">
        <f t="shared" si="11"/>
        <v>11</v>
      </c>
      <c r="B177" s="67" t="s">
        <v>324</v>
      </c>
      <c r="C177" s="41" t="s">
        <v>312</v>
      </c>
      <c r="D177" s="41">
        <f>(35.88)*10.764</f>
        <v>386.21231999999998</v>
      </c>
      <c r="E177" s="41">
        <v>0</v>
      </c>
      <c r="F177" s="41">
        <f t="shared" si="12"/>
        <v>386.21231999999998</v>
      </c>
      <c r="G177" s="41">
        <v>0</v>
      </c>
      <c r="H177" s="41">
        <f t="shared" si="13"/>
        <v>579.31847999999991</v>
      </c>
      <c r="I177" s="35"/>
      <c r="N177" s="35"/>
    </row>
    <row r="178" spans="1:14" s="36" customFormat="1" ht="15.75" customHeight="1" x14ac:dyDescent="0.3">
      <c r="A178" s="41">
        <f t="shared" si="11"/>
        <v>12</v>
      </c>
      <c r="B178" s="67" t="s">
        <v>324</v>
      </c>
      <c r="C178" s="41" t="s">
        <v>312</v>
      </c>
      <c r="D178" s="41">
        <f>(35.89)*10.764</f>
        <v>386.31995999999998</v>
      </c>
      <c r="E178" s="41">
        <v>0</v>
      </c>
      <c r="F178" s="41">
        <f t="shared" si="12"/>
        <v>386.31995999999998</v>
      </c>
      <c r="G178" s="41">
        <v>0</v>
      </c>
      <c r="H178" s="41">
        <f t="shared" si="13"/>
        <v>579.47993999999994</v>
      </c>
      <c r="I178" s="35"/>
      <c r="N178" s="35"/>
    </row>
    <row r="179" spans="1:14" s="36" customFormat="1" x14ac:dyDescent="0.3">
      <c r="A179" s="183" t="s">
        <v>360</v>
      </c>
      <c r="B179" s="183"/>
      <c r="C179" s="183"/>
      <c r="D179" s="183"/>
      <c r="E179" s="183"/>
      <c r="F179" s="183"/>
      <c r="G179" s="183"/>
      <c r="H179" s="183"/>
      <c r="I179" s="64">
        <v>1</v>
      </c>
      <c r="L179" s="73"/>
      <c r="M179" s="73"/>
    </row>
    <row r="180" spans="1:14" s="36" customFormat="1" x14ac:dyDescent="0.3">
      <c r="A180" s="41">
        <v>1</v>
      </c>
      <c r="B180" s="67" t="s">
        <v>324</v>
      </c>
      <c r="C180" s="41" t="s">
        <v>312</v>
      </c>
      <c r="D180" s="41">
        <f>(35.88)*10.764</f>
        <v>386.21231999999998</v>
      </c>
      <c r="E180" s="41">
        <v>0</v>
      </c>
      <c r="F180" s="41">
        <f>D180+E180</f>
        <v>386.21231999999998</v>
      </c>
      <c r="G180" s="41">
        <v>0</v>
      </c>
      <c r="H180" s="41">
        <f>F180*(($H$136)+1)+(IF(G180&lt;101,G180,IF(G180&lt;201,G180/2,IF(G180&lt;=301,G180/3,G180/4))))</f>
        <v>579.31847999999991</v>
      </c>
      <c r="I180" s="35"/>
      <c r="N180" s="35"/>
    </row>
    <row r="181" spans="1:14" s="36" customFormat="1" x14ac:dyDescent="0.3">
      <c r="A181" s="41">
        <f>A180+1</f>
        <v>2</v>
      </c>
      <c r="B181" s="67" t="s">
        <v>324</v>
      </c>
      <c r="C181" s="41" t="s">
        <v>313</v>
      </c>
      <c r="D181" s="41">
        <f t="shared" ref="D181:D186" si="14">(52.03)*10.764</f>
        <v>560.05092000000002</v>
      </c>
      <c r="E181" s="41">
        <v>0</v>
      </c>
      <c r="F181" s="41">
        <f>D181+E181</f>
        <v>560.05092000000002</v>
      </c>
      <c r="G181" s="41">
        <v>0</v>
      </c>
      <c r="H181" s="41">
        <f>F181*(($H$136)+1)+(IF(G181&lt;101,G181,IF(G181&lt;201,G181/2,IF(G181&lt;=301,G181/3,G181/4))))</f>
        <v>840.07637999999997</v>
      </c>
      <c r="I181" s="35"/>
      <c r="N181" s="35"/>
    </row>
    <row r="182" spans="1:14" s="36" customFormat="1" x14ac:dyDescent="0.3">
      <c r="A182" s="41">
        <f t="shared" ref="A182:A191" si="15">A181+1</f>
        <v>3</v>
      </c>
      <c r="B182" s="67" t="s">
        <v>324</v>
      </c>
      <c r="C182" s="41" t="s">
        <v>313</v>
      </c>
      <c r="D182" s="41">
        <f t="shared" si="14"/>
        <v>560.05092000000002</v>
      </c>
      <c r="E182" s="41">
        <v>0</v>
      </c>
      <c r="F182" s="41">
        <f>D182+E182</f>
        <v>560.05092000000002</v>
      </c>
      <c r="G182" s="41">
        <v>0</v>
      </c>
      <c r="H182" s="41">
        <f>F182*(($H$136)+1)+(IF(G182&lt;101,G182,IF(G182&lt;201,G182/2,IF(G182&lt;=301,G182/3,G182/4))))</f>
        <v>840.07637999999997</v>
      </c>
      <c r="I182" s="35"/>
      <c r="N182" s="35"/>
    </row>
    <row r="183" spans="1:14" s="36" customFormat="1" x14ac:dyDescent="0.3">
      <c r="A183" s="41">
        <f t="shared" si="15"/>
        <v>4</v>
      </c>
      <c r="B183" s="67" t="s">
        <v>324</v>
      </c>
      <c r="C183" s="41" t="s">
        <v>313</v>
      </c>
      <c r="D183" s="41">
        <f t="shared" si="14"/>
        <v>560.05092000000002</v>
      </c>
      <c r="E183" s="41">
        <v>0</v>
      </c>
      <c r="F183" s="41">
        <f>D183+E183</f>
        <v>560.05092000000002</v>
      </c>
      <c r="G183" s="41">
        <v>0</v>
      </c>
      <c r="H183" s="41">
        <f>F183*(($H$136)+1)+(IF(G183&lt;101,G183,IF(G183&lt;201,G183/2,IF(G183&lt;=301,G183/3,G183/4))))</f>
        <v>840.07637999999997</v>
      </c>
      <c r="I183" s="35"/>
      <c r="N183" s="35"/>
    </row>
    <row r="184" spans="1:14" s="36" customFormat="1" x14ac:dyDescent="0.3">
      <c r="A184" s="41">
        <f t="shared" si="15"/>
        <v>5</v>
      </c>
      <c r="B184" s="67" t="s">
        <v>324</v>
      </c>
      <c r="C184" s="41" t="s">
        <v>313</v>
      </c>
      <c r="D184" s="41">
        <f t="shared" si="14"/>
        <v>560.05092000000002</v>
      </c>
      <c r="E184" s="41">
        <v>0</v>
      </c>
      <c r="F184" s="41">
        <f>D184+E184</f>
        <v>560.05092000000002</v>
      </c>
      <c r="G184" s="41">
        <v>0</v>
      </c>
      <c r="H184" s="41">
        <f>F184*(($H$136)+1)+(IF(G184&lt;101,G184,IF(G184&lt;201,G184/2,IF(G184&lt;=301,G184/3,G184/4))))</f>
        <v>840.07637999999997</v>
      </c>
      <c r="I184" s="35"/>
      <c r="N184" s="35"/>
    </row>
    <row r="185" spans="1:14" s="36" customFormat="1" x14ac:dyDescent="0.3">
      <c r="A185" s="41">
        <f t="shared" si="15"/>
        <v>6</v>
      </c>
      <c r="B185" s="67" t="s">
        <v>324</v>
      </c>
      <c r="C185" s="41" t="s">
        <v>313</v>
      </c>
      <c r="D185" s="41">
        <f t="shared" si="14"/>
        <v>560.05092000000002</v>
      </c>
      <c r="E185" s="41">
        <v>0</v>
      </c>
      <c r="F185" s="41">
        <f t="shared" ref="F185:F187" si="16">D185+E185</f>
        <v>560.05092000000002</v>
      </c>
      <c r="G185" s="41">
        <v>0</v>
      </c>
      <c r="H185" s="41">
        <f t="shared" ref="H185:H187" si="17">F185*(($H$136)+1)+(IF(G185&lt;101,G185,IF(G185&lt;201,G185/2,IF(G185&lt;=301,G185/3,G185/4))))</f>
        <v>840.07637999999997</v>
      </c>
      <c r="I185" s="35"/>
      <c r="N185" s="35"/>
    </row>
    <row r="186" spans="1:14" s="36" customFormat="1" x14ac:dyDescent="0.3">
      <c r="A186" s="41">
        <f t="shared" si="15"/>
        <v>7</v>
      </c>
      <c r="B186" s="67" t="s">
        <v>324</v>
      </c>
      <c r="C186" s="41" t="s">
        <v>313</v>
      </c>
      <c r="D186" s="41">
        <f t="shared" si="14"/>
        <v>560.05092000000002</v>
      </c>
      <c r="E186" s="41">
        <v>0</v>
      </c>
      <c r="F186" s="41">
        <f t="shared" si="16"/>
        <v>560.05092000000002</v>
      </c>
      <c r="G186" s="41">
        <v>0</v>
      </c>
      <c r="H186" s="41">
        <f t="shared" si="17"/>
        <v>840.07637999999997</v>
      </c>
      <c r="I186" s="35"/>
      <c r="N186" s="35"/>
    </row>
    <row r="187" spans="1:14" s="36" customFormat="1" x14ac:dyDescent="0.3">
      <c r="A187" s="41">
        <f t="shared" si="15"/>
        <v>8</v>
      </c>
      <c r="B187" s="67" t="s">
        <v>324</v>
      </c>
      <c r="C187" s="41" t="s">
        <v>313</v>
      </c>
      <c r="D187" s="41">
        <f>(48.8)*10.764</f>
        <v>525.28319999999997</v>
      </c>
      <c r="E187" s="41">
        <v>0</v>
      </c>
      <c r="F187" s="41">
        <f t="shared" si="16"/>
        <v>525.28319999999997</v>
      </c>
      <c r="G187" s="41">
        <v>0</v>
      </c>
      <c r="H187" s="41">
        <f t="shared" si="17"/>
        <v>787.9248</v>
      </c>
      <c r="I187" s="35"/>
      <c r="N187" s="35"/>
    </row>
    <row r="188" spans="1:14" s="36" customFormat="1" x14ac:dyDescent="0.3">
      <c r="A188" s="41">
        <f t="shared" si="15"/>
        <v>9</v>
      </c>
      <c r="B188" s="41" t="s">
        <v>325</v>
      </c>
      <c r="C188" s="221" t="s">
        <v>315</v>
      </c>
      <c r="D188" s="222"/>
      <c r="E188" s="222"/>
      <c r="F188" s="222"/>
      <c r="G188" s="222"/>
      <c r="H188" s="223"/>
      <c r="I188" s="35"/>
      <c r="N188" s="35"/>
    </row>
    <row r="189" spans="1:14" s="36" customFormat="1" x14ac:dyDescent="0.3">
      <c r="A189" s="41">
        <f t="shared" si="15"/>
        <v>10</v>
      </c>
      <c r="B189" s="41" t="s">
        <v>325</v>
      </c>
      <c r="C189" s="224"/>
      <c r="D189" s="225"/>
      <c r="E189" s="225"/>
      <c r="F189" s="225"/>
      <c r="G189" s="225"/>
      <c r="H189" s="226"/>
      <c r="I189" s="35"/>
      <c r="N189" s="35"/>
    </row>
    <row r="190" spans="1:14" s="36" customFormat="1" x14ac:dyDescent="0.3">
      <c r="A190" s="41">
        <f t="shared" si="15"/>
        <v>11</v>
      </c>
      <c r="B190" s="41" t="s">
        <v>325</v>
      </c>
      <c r="C190" s="224"/>
      <c r="D190" s="225"/>
      <c r="E190" s="225"/>
      <c r="F190" s="225"/>
      <c r="G190" s="225"/>
      <c r="H190" s="226"/>
      <c r="I190" s="35"/>
      <c r="N190" s="35"/>
    </row>
    <row r="191" spans="1:14" s="36" customFormat="1" x14ac:dyDescent="0.3">
      <c r="A191" s="41">
        <f t="shared" si="15"/>
        <v>12</v>
      </c>
      <c r="B191" s="41" t="s">
        <v>325</v>
      </c>
      <c r="C191" s="227"/>
      <c r="D191" s="228"/>
      <c r="E191" s="228"/>
      <c r="F191" s="228"/>
      <c r="G191" s="228"/>
      <c r="H191" s="229"/>
      <c r="I191" s="35"/>
      <c r="N191" s="35"/>
    </row>
    <row r="192" spans="1:14" s="36" customFormat="1" ht="15.75" customHeight="1" x14ac:dyDescent="0.3">
      <c r="A192" s="74" t="s">
        <v>342</v>
      </c>
      <c r="B192" s="74"/>
      <c r="C192" s="74"/>
      <c r="D192" s="74"/>
      <c r="E192" s="74"/>
      <c r="F192" s="74"/>
      <c r="G192" s="74"/>
      <c r="H192" s="74"/>
      <c r="I192" s="64">
        <v>1</v>
      </c>
      <c r="L192" s="73"/>
      <c r="M192" s="73"/>
    </row>
    <row r="193" spans="1:14" s="36" customFormat="1" x14ac:dyDescent="0.3">
      <c r="A193" s="41">
        <v>1</v>
      </c>
      <c r="B193" s="41" t="s">
        <v>326</v>
      </c>
      <c r="C193" s="41" t="s">
        <v>312</v>
      </c>
      <c r="D193" s="41">
        <f>(35.88)*10.764</f>
        <v>386.21231999999998</v>
      </c>
      <c r="E193" s="41">
        <v>0</v>
      </c>
      <c r="F193" s="41">
        <f>D193+E193</f>
        <v>386.21231999999998</v>
      </c>
      <c r="G193" s="41">
        <v>0</v>
      </c>
      <c r="H193" s="41">
        <f>F193*(($H$136)+1)+(IF(G193&lt;101,G193,IF(G193&lt;201,G193/2,IF(G193&lt;=301,G193/3,G193/4))))</f>
        <v>579.31847999999991</v>
      </c>
      <c r="I193" s="35"/>
      <c r="N193" s="35"/>
    </row>
    <row r="194" spans="1:14" s="36" customFormat="1" x14ac:dyDescent="0.3">
      <c r="A194" s="41">
        <f>A193+1</f>
        <v>2</v>
      </c>
      <c r="B194" s="41" t="s">
        <v>326</v>
      </c>
      <c r="C194" s="41" t="s">
        <v>313</v>
      </c>
      <c r="D194" s="41">
        <f t="shared" ref="D194:D199" si="18">(49.88)*10.764</f>
        <v>536.90832</v>
      </c>
      <c r="E194" s="41">
        <v>0</v>
      </c>
      <c r="F194" s="41">
        <f>D194+E194</f>
        <v>536.90832</v>
      </c>
      <c r="G194" s="41">
        <v>0</v>
      </c>
      <c r="H194" s="41">
        <f>F194*(($H$136)+1)+(IF(G194&lt;101,G194,IF(G194&lt;201,G194/2,IF(G194&lt;=301,G194/3,G194/4))))</f>
        <v>805.36248000000001</v>
      </c>
      <c r="I194" s="35"/>
      <c r="N194" s="35"/>
    </row>
    <row r="195" spans="1:14" s="36" customFormat="1" x14ac:dyDescent="0.3">
      <c r="A195" s="41">
        <f t="shared" ref="A195:A204" si="19">A194+1</f>
        <v>3</v>
      </c>
      <c r="B195" s="41" t="s">
        <v>326</v>
      </c>
      <c r="C195" s="41" t="s">
        <v>313</v>
      </c>
      <c r="D195" s="41">
        <f t="shared" si="18"/>
        <v>536.90832</v>
      </c>
      <c r="E195" s="41">
        <v>0</v>
      </c>
      <c r="F195" s="41">
        <f>D195+E195</f>
        <v>536.90832</v>
      </c>
      <c r="G195" s="41">
        <v>0</v>
      </c>
      <c r="H195" s="41">
        <f>F195*(($H$136)+1)+(IF(G195&lt;101,G195,IF(G195&lt;201,G195/2,IF(G195&lt;=301,G195/3,G195/4))))</f>
        <v>805.36248000000001</v>
      </c>
      <c r="I195" s="35"/>
      <c r="N195" s="35"/>
    </row>
    <row r="196" spans="1:14" s="36" customFormat="1" x14ac:dyDescent="0.3">
      <c r="A196" s="41">
        <f t="shared" si="19"/>
        <v>4</v>
      </c>
      <c r="B196" s="41" t="s">
        <v>326</v>
      </c>
      <c r="C196" s="41" t="s">
        <v>313</v>
      </c>
      <c r="D196" s="41">
        <f t="shared" si="18"/>
        <v>536.90832</v>
      </c>
      <c r="E196" s="41">
        <v>0</v>
      </c>
      <c r="F196" s="41">
        <f>D196+E196</f>
        <v>536.90832</v>
      </c>
      <c r="G196" s="41">
        <v>0</v>
      </c>
      <c r="H196" s="41">
        <f>F196*(($H$136)+1)+(IF(G196&lt;101,G196,IF(G196&lt;201,G196/2,IF(G196&lt;=301,G196/3,G196/4))))</f>
        <v>805.36248000000001</v>
      </c>
      <c r="I196" s="35"/>
      <c r="N196" s="35"/>
    </row>
    <row r="197" spans="1:14" s="36" customFormat="1" x14ac:dyDescent="0.3">
      <c r="A197" s="41">
        <f t="shared" si="19"/>
        <v>5</v>
      </c>
      <c r="B197" s="41" t="s">
        <v>326</v>
      </c>
      <c r="C197" s="41" t="s">
        <v>313</v>
      </c>
      <c r="D197" s="41">
        <f t="shared" si="18"/>
        <v>536.90832</v>
      </c>
      <c r="E197" s="41">
        <v>0</v>
      </c>
      <c r="F197" s="41">
        <f>D197+E197</f>
        <v>536.90832</v>
      </c>
      <c r="G197" s="41">
        <v>0</v>
      </c>
      <c r="H197" s="41">
        <f>F197*(($H$136)+1)+(IF(G197&lt;101,G197,IF(G197&lt;201,G197/2,IF(G197&lt;=301,G197/3,G197/4))))</f>
        <v>805.36248000000001</v>
      </c>
      <c r="I197" s="35"/>
      <c r="N197" s="35"/>
    </row>
    <row r="198" spans="1:14" s="36" customFormat="1" x14ac:dyDescent="0.3">
      <c r="A198" s="41">
        <f t="shared" si="19"/>
        <v>6</v>
      </c>
      <c r="B198" s="41" t="s">
        <v>326</v>
      </c>
      <c r="C198" s="41" t="s">
        <v>313</v>
      </c>
      <c r="D198" s="41">
        <f t="shared" si="18"/>
        <v>536.90832</v>
      </c>
      <c r="E198" s="41">
        <v>0</v>
      </c>
      <c r="F198" s="41">
        <f t="shared" ref="F198:F200" si="20">D198+E198</f>
        <v>536.90832</v>
      </c>
      <c r="G198" s="41">
        <v>0</v>
      </c>
      <c r="H198" s="41">
        <f t="shared" ref="H198:H200" si="21">F198*(($H$136)+1)+(IF(G198&lt;101,G198,IF(G198&lt;201,G198/2,IF(G198&lt;=301,G198/3,G198/4))))</f>
        <v>805.36248000000001</v>
      </c>
      <c r="I198" s="35"/>
      <c r="N198" s="35"/>
    </row>
    <row r="199" spans="1:14" s="36" customFormat="1" x14ac:dyDescent="0.3">
      <c r="A199" s="41">
        <f t="shared" si="19"/>
        <v>7</v>
      </c>
      <c r="B199" s="41" t="s">
        <v>326</v>
      </c>
      <c r="C199" s="41" t="s">
        <v>313</v>
      </c>
      <c r="D199" s="41">
        <f t="shared" si="18"/>
        <v>536.90832</v>
      </c>
      <c r="E199" s="41">
        <v>0</v>
      </c>
      <c r="F199" s="41">
        <f t="shared" si="20"/>
        <v>536.90832</v>
      </c>
      <c r="G199" s="41">
        <v>0</v>
      </c>
      <c r="H199" s="41">
        <f t="shared" si="21"/>
        <v>805.36248000000001</v>
      </c>
      <c r="I199" s="35"/>
      <c r="N199" s="35"/>
    </row>
    <row r="200" spans="1:14" s="36" customFormat="1" x14ac:dyDescent="0.3">
      <c r="A200" s="41">
        <f t="shared" si="19"/>
        <v>8</v>
      </c>
      <c r="B200" s="41" t="s">
        <v>326</v>
      </c>
      <c r="C200" s="41" t="s">
        <v>313</v>
      </c>
      <c r="D200" s="41">
        <f>(48.8)*10.764</f>
        <v>525.28319999999997</v>
      </c>
      <c r="E200" s="41">
        <v>0</v>
      </c>
      <c r="F200" s="41">
        <f t="shared" si="20"/>
        <v>525.28319999999997</v>
      </c>
      <c r="G200" s="41">
        <v>0</v>
      </c>
      <c r="H200" s="41">
        <f t="shared" si="21"/>
        <v>787.9248</v>
      </c>
      <c r="I200" s="35"/>
      <c r="N200" s="35"/>
    </row>
    <row r="201" spans="1:14" s="36" customFormat="1" x14ac:dyDescent="0.3">
      <c r="A201" s="41">
        <f t="shared" si="19"/>
        <v>9</v>
      </c>
      <c r="B201" s="41" t="s">
        <v>325</v>
      </c>
      <c r="C201" s="221" t="s">
        <v>341</v>
      </c>
      <c r="D201" s="222"/>
      <c r="E201" s="222"/>
      <c r="F201" s="222"/>
      <c r="G201" s="222"/>
      <c r="H201" s="223"/>
      <c r="I201" s="35"/>
      <c r="N201" s="35"/>
    </row>
    <row r="202" spans="1:14" s="36" customFormat="1" x14ac:dyDescent="0.3">
      <c r="A202" s="41">
        <f t="shared" si="19"/>
        <v>10</v>
      </c>
      <c r="B202" s="41" t="s">
        <v>325</v>
      </c>
      <c r="C202" s="224"/>
      <c r="D202" s="225"/>
      <c r="E202" s="225"/>
      <c r="F202" s="225"/>
      <c r="G202" s="225"/>
      <c r="H202" s="226"/>
      <c r="I202" s="35"/>
      <c r="N202" s="35"/>
    </row>
    <row r="203" spans="1:14" s="36" customFormat="1" x14ac:dyDescent="0.3">
      <c r="A203" s="41">
        <f t="shared" si="19"/>
        <v>11</v>
      </c>
      <c r="B203" s="41" t="s">
        <v>325</v>
      </c>
      <c r="C203" s="224"/>
      <c r="D203" s="225"/>
      <c r="E203" s="225"/>
      <c r="F203" s="225"/>
      <c r="G203" s="225"/>
      <c r="H203" s="226"/>
      <c r="I203" s="35"/>
      <c r="N203" s="35"/>
    </row>
    <row r="204" spans="1:14" s="36" customFormat="1" x14ac:dyDescent="0.3">
      <c r="A204" s="41">
        <f t="shared" si="19"/>
        <v>12</v>
      </c>
      <c r="B204" s="41" t="s">
        <v>325</v>
      </c>
      <c r="C204" s="227"/>
      <c r="D204" s="228"/>
      <c r="E204" s="228"/>
      <c r="F204" s="228"/>
      <c r="G204" s="228"/>
      <c r="H204" s="229"/>
      <c r="I204" s="35"/>
      <c r="N204" s="35"/>
    </row>
    <row r="205" spans="1:14" s="36" customFormat="1" x14ac:dyDescent="0.3">
      <c r="A205" s="74" t="s">
        <v>361</v>
      </c>
      <c r="B205" s="74"/>
      <c r="C205" s="74"/>
      <c r="D205" s="74"/>
      <c r="E205" s="74"/>
      <c r="F205" s="74"/>
      <c r="G205" s="74"/>
      <c r="H205" s="74"/>
      <c r="I205" s="64">
        <v>3</v>
      </c>
      <c r="L205" s="73"/>
      <c r="M205" s="73"/>
    </row>
    <row r="206" spans="1:14" s="36" customFormat="1" ht="15.75" customHeight="1" x14ac:dyDescent="0.3">
      <c r="A206" s="41">
        <v>1</v>
      </c>
      <c r="B206" s="67" t="s">
        <v>324</v>
      </c>
      <c r="C206" s="41" t="s">
        <v>312</v>
      </c>
      <c r="D206" s="41">
        <f>(35.88)*10.764</f>
        <v>386.21231999999998</v>
      </c>
      <c r="E206" s="41">
        <v>0</v>
      </c>
      <c r="F206" s="41">
        <f>D206+E206</f>
        <v>386.21231999999998</v>
      </c>
      <c r="G206" s="41">
        <v>0</v>
      </c>
      <c r="H206" s="41">
        <f>F206*(($H$136)+1)+(IF(G206&lt;101,G206,IF(G206&lt;201,G206/2,IF(G206&lt;=301,G206/3,G206/4))))</f>
        <v>579.31847999999991</v>
      </c>
      <c r="I206" s="35"/>
      <c r="N206" s="35"/>
    </row>
    <row r="207" spans="1:14" s="36" customFormat="1" ht="15.75" customHeight="1" x14ac:dyDescent="0.3">
      <c r="A207" s="41">
        <f>A206+1</f>
        <v>2</v>
      </c>
      <c r="B207" s="67" t="s">
        <v>324</v>
      </c>
      <c r="C207" s="41" t="s">
        <v>313</v>
      </c>
      <c r="D207" s="41">
        <f t="shared" ref="D207:D212" si="22">(52.03)*10.764</f>
        <v>560.05092000000002</v>
      </c>
      <c r="E207" s="41">
        <v>0</v>
      </c>
      <c r="F207" s="41">
        <f>D207+E207</f>
        <v>560.05092000000002</v>
      </c>
      <c r="G207" s="41">
        <v>0</v>
      </c>
      <c r="H207" s="41">
        <f>F207*(($H$136)+1)+(IF(G207&lt;101,G207,IF(G207&lt;201,G207/2,IF(G207&lt;=301,G207/3,G207/4))))</f>
        <v>840.07637999999997</v>
      </c>
      <c r="I207" s="35"/>
      <c r="N207" s="35"/>
    </row>
    <row r="208" spans="1:14" s="36" customFormat="1" ht="15.75" customHeight="1" x14ac:dyDescent="0.3">
      <c r="A208" s="41">
        <f t="shared" ref="A208:A217" si="23">A207+1</f>
        <v>3</v>
      </c>
      <c r="B208" s="67" t="s">
        <v>324</v>
      </c>
      <c r="C208" s="41" t="s">
        <v>313</v>
      </c>
      <c r="D208" s="41">
        <f t="shared" si="22"/>
        <v>560.05092000000002</v>
      </c>
      <c r="E208" s="41">
        <v>0</v>
      </c>
      <c r="F208" s="41">
        <f>D208+E208</f>
        <v>560.05092000000002</v>
      </c>
      <c r="G208" s="41">
        <v>0</v>
      </c>
      <c r="H208" s="41">
        <f>F208*(($H$136)+1)+(IF(G208&lt;101,G208,IF(G208&lt;201,G208/2,IF(G208&lt;=301,G208/3,G208/4))))</f>
        <v>840.07637999999997</v>
      </c>
      <c r="I208" s="35"/>
      <c r="N208" s="35"/>
    </row>
    <row r="209" spans="1:14" s="36" customFormat="1" ht="15.75" customHeight="1" x14ac:dyDescent="0.3">
      <c r="A209" s="41">
        <f t="shared" si="23"/>
        <v>4</v>
      </c>
      <c r="B209" s="67" t="s">
        <v>324</v>
      </c>
      <c r="C209" s="41" t="s">
        <v>313</v>
      </c>
      <c r="D209" s="41">
        <f t="shared" si="22"/>
        <v>560.05092000000002</v>
      </c>
      <c r="E209" s="41">
        <v>0</v>
      </c>
      <c r="F209" s="41">
        <f>D209+E209</f>
        <v>560.05092000000002</v>
      </c>
      <c r="G209" s="41">
        <v>0</v>
      </c>
      <c r="H209" s="41">
        <f>F209*(($H$136)+1)+(IF(G209&lt;101,G209,IF(G209&lt;201,G209/2,IF(G209&lt;=301,G209/3,G209/4))))</f>
        <v>840.07637999999997</v>
      </c>
      <c r="I209" s="35"/>
      <c r="N209" s="35"/>
    </row>
    <row r="210" spans="1:14" s="36" customFormat="1" ht="15.75" customHeight="1" x14ac:dyDescent="0.3">
      <c r="A210" s="41">
        <f t="shared" si="23"/>
        <v>5</v>
      </c>
      <c r="B210" s="67" t="s">
        <v>324</v>
      </c>
      <c r="C210" s="41" t="s">
        <v>313</v>
      </c>
      <c r="D210" s="41">
        <f t="shared" si="22"/>
        <v>560.05092000000002</v>
      </c>
      <c r="E210" s="41">
        <v>0</v>
      </c>
      <c r="F210" s="41">
        <f>D210+E210</f>
        <v>560.05092000000002</v>
      </c>
      <c r="G210" s="41">
        <v>0</v>
      </c>
      <c r="H210" s="41">
        <f>F210*(($H$136)+1)+(IF(G210&lt;101,G210,IF(G210&lt;201,G210/2,IF(G210&lt;=301,G210/3,G210/4))))</f>
        <v>840.07637999999997</v>
      </c>
      <c r="I210" s="35"/>
      <c r="N210" s="35"/>
    </row>
    <row r="211" spans="1:14" s="36" customFormat="1" ht="15.75" customHeight="1" x14ac:dyDescent="0.3">
      <c r="A211" s="41">
        <f t="shared" si="23"/>
        <v>6</v>
      </c>
      <c r="B211" s="67" t="s">
        <v>324</v>
      </c>
      <c r="C211" s="41" t="s">
        <v>313</v>
      </c>
      <c r="D211" s="41">
        <f t="shared" si="22"/>
        <v>560.05092000000002</v>
      </c>
      <c r="E211" s="41">
        <v>0</v>
      </c>
      <c r="F211" s="41">
        <f t="shared" ref="F211:F217" si="24">D211+E211</f>
        <v>560.05092000000002</v>
      </c>
      <c r="G211" s="41">
        <v>0</v>
      </c>
      <c r="H211" s="41">
        <f t="shared" ref="H211:H217" si="25">F211*(($H$136)+1)+(IF(G211&lt;101,G211,IF(G211&lt;201,G211/2,IF(G211&lt;=301,G211/3,G211/4))))</f>
        <v>840.07637999999997</v>
      </c>
      <c r="I211" s="35"/>
      <c r="N211" s="35"/>
    </row>
    <row r="212" spans="1:14" s="36" customFormat="1" ht="15.75" customHeight="1" x14ac:dyDescent="0.3">
      <c r="A212" s="41">
        <f t="shared" si="23"/>
        <v>7</v>
      </c>
      <c r="B212" s="67" t="s">
        <v>324</v>
      </c>
      <c r="C212" s="41" t="s">
        <v>313</v>
      </c>
      <c r="D212" s="41">
        <f t="shared" si="22"/>
        <v>560.05092000000002</v>
      </c>
      <c r="E212" s="41">
        <v>0</v>
      </c>
      <c r="F212" s="41">
        <f t="shared" si="24"/>
        <v>560.05092000000002</v>
      </c>
      <c r="G212" s="41">
        <v>0</v>
      </c>
      <c r="H212" s="41">
        <f t="shared" si="25"/>
        <v>840.07637999999997</v>
      </c>
      <c r="I212" s="35"/>
      <c r="N212" s="35"/>
    </row>
    <row r="213" spans="1:14" s="36" customFormat="1" ht="15.75" customHeight="1" x14ac:dyDescent="0.3">
      <c r="A213" s="41">
        <f t="shared" si="23"/>
        <v>8</v>
      </c>
      <c r="B213" s="67" t="s">
        <v>324</v>
      </c>
      <c r="C213" s="41" t="s">
        <v>313</v>
      </c>
      <c r="D213" s="41">
        <f>(48.8)*10.764</f>
        <v>525.28319999999997</v>
      </c>
      <c r="E213" s="41">
        <v>0</v>
      </c>
      <c r="F213" s="41">
        <f t="shared" si="24"/>
        <v>525.28319999999997</v>
      </c>
      <c r="G213" s="41">
        <v>0</v>
      </c>
      <c r="H213" s="41">
        <f t="shared" si="25"/>
        <v>787.9248</v>
      </c>
      <c r="I213" s="35"/>
      <c r="N213" s="35"/>
    </row>
    <row r="214" spans="1:14" s="36" customFormat="1" ht="15.75" customHeight="1" x14ac:dyDescent="0.3">
      <c r="A214" s="41">
        <f t="shared" si="23"/>
        <v>9</v>
      </c>
      <c r="B214" s="67" t="s">
        <v>324</v>
      </c>
      <c r="C214" s="41" t="s">
        <v>312</v>
      </c>
      <c r="D214" s="41">
        <f>(35.88)*10.764</f>
        <v>386.21231999999998</v>
      </c>
      <c r="E214" s="41">
        <v>0</v>
      </c>
      <c r="F214" s="41">
        <f t="shared" si="24"/>
        <v>386.21231999999998</v>
      </c>
      <c r="G214" s="41">
        <v>0</v>
      </c>
      <c r="H214" s="41">
        <f t="shared" si="25"/>
        <v>579.31847999999991</v>
      </c>
      <c r="I214" s="35"/>
      <c r="N214" s="35"/>
    </row>
    <row r="215" spans="1:14" s="36" customFormat="1" ht="15.75" customHeight="1" x14ac:dyDescent="0.3">
      <c r="A215" s="41">
        <f t="shared" si="23"/>
        <v>10</v>
      </c>
      <c r="B215" s="67" t="s">
        <v>324</v>
      </c>
      <c r="C215" s="41" t="s">
        <v>312</v>
      </c>
      <c r="D215" s="41">
        <f>(35.88)*10.764</f>
        <v>386.21231999999998</v>
      </c>
      <c r="E215" s="41">
        <v>0</v>
      </c>
      <c r="F215" s="41">
        <f t="shared" si="24"/>
        <v>386.21231999999998</v>
      </c>
      <c r="G215" s="41">
        <v>0</v>
      </c>
      <c r="H215" s="41">
        <f t="shared" si="25"/>
        <v>579.31847999999991</v>
      </c>
      <c r="I215" s="35"/>
      <c r="N215" s="35"/>
    </row>
    <row r="216" spans="1:14" s="36" customFormat="1" ht="15.75" customHeight="1" x14ac:dyDescent="0.3">
      <c r="A216" s="41">
        <f t="shared" si="23"/>
        <v>11</v>
      </c>
      <c r="B216" s="41" t="s">
        <v>325</v>
      </c>
      <c r="C216" s="75" t="s">
        <v>316</v>
      </c>
      <c r="D216" s="76"/>
      <c r="E216" s="76"/>
      <c r="F216" s="76"/>
      <c r="G216" s="76"/>
      <c r="H216" s="77"/>
      <c r="I216" s="35"/>
      <c r="N216" s="35"/>
    </row>
    <row r="217" spans="1:14" s="36" customFormat="1" ht="15.75" customHeight="1" x14ac:dyDescent="0.3">
      <c r="A217" s="41">
        <f t="shared" si="23"/>
        <v>12</v>
      </c>
      <c r="B217" s="67" t="s">
        <v>324</v>
      </c>
      <c r="C217" s="41" t="s">
        <v>312</v>
      </c>
      <c r="D217" s="41">
        <f>(35.89)*10.764</f>
        <v>386.31995999999998</v>
      </c>
      <c r="E217" s="41">
        <v>0</v>
      </c>
      <c r="F217" s="41">
        <f t="shared" si="24"/>
        <v>386.31995999999998</v>
      </c>
      <c r="G217" s="41">
        <v>0</v>
      </c>
      <c r="H217" s="41">
        <f t="shared" si="25"/>
        <v>579.47993999999994</v>
      </c>
      <c r="I217" s="35"/>
      <c r="N217" s="35"/>
    </row>
    <row r="218" spans="1:14" s="36" customFormat="1" x14ac:dyDescent="0.3">
      <c r="A218" s="183" t="s">
        <v>365</v>
      </c>
      <c r="B218" s="183"/>
      <c r="C218" s="183"/>
      <c r="D218" s="183"/>
      <c r="E218" s="183"/>
      <c r="F218" s="183"/>
      <c r="G218" s="183"/>
      <c r="H218" s="183"/>
      <c r="I218" s="64">
        <v>13</v>
      </c>
      <c r="L218" s="73"/>
      <c r="M218" s="73"/>
    </row>
    <row r="219" spans="1:14" s="36" customFormat="1" ht="15.75" customHeight="1" x14ac:dyDescent="0.3">
      <c r="A219" s="41">
        <v>1</v>
      </c>
      <c r="B219" s="67" t="s">
        <v>324</v>
      </c>
      <c r="C219" s="41" t="s">
        <v>312</v>
      </c>
      <c r="D219" s="41">
        <f>(35.88)*10.764</f>
        <v>386.21231999999998</v>
      </c>
      <c r="E219" s="41">
        <v>0</v>
      </c>
      <c r="F219" s="41">
        <f>D219+E219</f>
        <v>386.21231999999998</v>
      </c>
      <c r="G219" s="41">
        <v>0</v>
      </c>
      <c r="H219" s="41">
        <f>F219*(($H$136)+1)+(IF(G219&lt;101,G219,IF(G219&lt;201,G219/2,IF(G219&lt;=301,G219/3,G219/4))))</f>
        <v>579.31847999999991</v>
      </c>
      <c r="I219" s="35"/>
      <c r="N219" s="35"/>
    </row>
    <row r="220" spans="1:14" s="36" customFormat="1" ht="15.75" customHeight="1" x14ac:dyDescent="0.3">
      <c r="A220" s="41">
        <f>A219+1</f>
        <v>2</v>
      </c>
      <c r="B220" s="67" t="s">
        <v>324</v>
      </c>
      <c r="C220" s="41" t="s">
        <v>313</v>
      </c>
      <c r="D220" s="41">
        <f t="shared" ref="D220:D225" si="26">(52.03)*10.764</f>
        <v>560.05092000000002</v>
      </c>
      <c r="E220" s="41">
        <v>0</v>
      </c>
      <c r="F220" s="41">
        <f>D220+E220</f>
        <v>560.05092000000002</v>
      </c>
      <c r="G220" s="41">
        <v>0</v>
      </c>
      <c r="H220" s="41">
        <f>F220*(($H$136)+1)+(IF(G220&lt;101,G220,IF(G220&lt;201,G220/2,IF(G220&lt;=301,G220/3,G220/4))))</f>
        <v>840.07637999999997</v>
      </c>
      <c r="I220" s="35"/>
      <c r="N220" s="35"/>
    </row>
    <row r="221" spans="1:14" s="36" customFormat="1" ht="15.75" customHeight="1" x14ac:dyDescent="0.3">
      <c r="A221" s="41">
        <f t="shared" ref="A221:A230" si="27">A220+1</f>
        <v>3</v>
      </c>
      <c r="B221" s="67" t="s">
        <v>324</v>
      </c>
      <c r="C221" s="41" t="s">
        <v>313</v>
      </c>
      <c r="D221" s="41">
        <f t="shared" si="26"/>
        <v>560.05092000000002</v>
      </c>
      <c r="E221" s="41">
        <v>0</v>
      </c>
      <c r="F221" s="41">
        <f>D221+E221</f>
        <v>560.05092000000002</v>
      </c>
      <c r="G221" s="41">
        <v>0</v>
      </c>
      <c r="H221" s="41">
        <f>F221*(($H$136)+1)+(IF(G221&lt;101,G221,IF(G221&lt;201,G221/2,IF(G221&lt;=301,G221/3,G221/4))))</f>
        <v>840.07637999999997</v>
      </c>
      <c r="I221" s="35"/>
      <c r="N221" s="35"/>
    </row>
    <row r="222" spans="1:14" s="36" customFormat="1" ht="15.75" customHeight="1" x14ac:dyDescent="0.3">
      <c r="A222" s="41">
        <f t="shared" si="27"/>
        <v>4</v>
      </c>
      <c r="B222" s="67" t="s">
        <v>324</v>
      </c>
      <c r="C222" s="41" t="s">
        <v>313</v>
      </c>
      <c r="D222" s="41">
        <f t="shared" si="26"/>
        <v>560.05092000000002</v>
      </c>
      <c r="E222" s="41">
        <v>0</v>
      </c>
      <c r="F222" s="41">
        <f>D222+E222</f>
        <v>560.05092000000002</v>
      </c>
      <c r="G222" s="66">
        <v>0</v>
      </c>
      <c r="H222" s="41">
        <f>F222*(($H$136)+1)+(IF(G222&lt;101,G222,IF(G222&lt;201,G222/2,IF(G222&lt;=301,G222/3,G222/4))))</f>
        <v>840.07637999999997</v>
      </c>
      <c r="I222" s="35"/>
      <c r="N222" s="35"/>
    </row>
    <row r="223" spans="1:14" s="36" customFormat="1" ht="15.75" customHeight="1" x14ac:dyDescent="0.3">
      <c r="A223" s="41">
        <f t="shared" si="27"/>
        <v>5</v>
      </c>
      <c r="B223" s="67" t="s">
        <v>324</v>
      </c>
      <c r="C223" s="41" t="s">
        <v>313</v>
      </c>
      <c r="D223" s="41">
        <f t="shared" si="26"/>
        <v>560.05092000000002</v>
      </c>
      <c r="E223" s="41">
        <v>0</v>
      </c>
      <c r="F223" s="41">
        <f>D223+E223</f>
        <v>560.05092000000002</v>
      </c>
      <c r="G223" s="66">
        <v>0</v>
      </c>
      <c r="H223" s="41">
        <f>F223*(($H$136)+1)+(IF(G223&lt;101,G223,IF(G223&lt;201,G223/2,IF(G223&lt;=301,G223/3,G223/4))))</f>
        <v>840.07637999999997</v>
      </c>
      <c r="I223" s="35"/>
      <c r="N223" s="35"/>
    </row>
    <row r="224" spans="1:14" s="36" customFormat="1" ht="15.75" customHeight="1" x14ac:dyDescent="0.3">
      <c r="A224" s="41">
        <f t="shared" si="27"/>
        <v>6</v>
      </c>
      <c r="B224" s="67" t="s">
        <v>324</v>
      </c>
      <c r="C224" s="41" t="s">
        <v>313</v>
      </c>
      <c r="D224" s="41">
        <f t="shared" si="26"/>
        <v>560.05092000000002</v>
      </c>
      <c r="E224" s="41">
        <v>0</v>
      </c>
      <c r="F224" s="41">
        <f t="shared" ref="F224:F230" si="28">D224+E224</f>
        <v>560.05092000000002</v>
      </c>
      <c r="G224" s="41">
        <v>0</v>
      </c>
      <c r="H224" s="41">
        <f t="shared" ref="H224:H230" si="29">F224*(($H$136)+1)+(IF(G224&lt;101,G224,IF(G224&lt;201,G224/2,IF(G224&lt;=301,G224/3,G224/4))))</f>
        <v>840.07637999999997</v>
      </c>
      <c r="I224" s="35"/>
      <c r="N224" s="35"/>
    </row>
    <row r="225" spans="1:14" s="36" customFormat="1" ht="15.75" customHeight="1" x14ac:dyDescent="0.3">
      <c r="A225" s="41">
        <f t="shared" si="27"/>
        <v>7</v>
      </c>
      <c r="B225" s="67" t="s">
        <v>324</v>
      </c>
      <c r="C225" s="41" t="s">
        <v>313</v>
      </c>
      <c r="D225" s="41">
        <f t="shared" si="26"/>
        <v>560.05092000000002</v>
      </c>
      <c r="E225" s="41">
        <v>0</v>
      </c>
      <c r="F225" s="41">
        <f t="shared" si="28"/>
        <v>560.05092000000002</v>
      </c>
      <c r="G225" s="41">
        <v>0</v>
      </c>
      <c r="H225" s="41">
        <f t="shared" si="29"/>
        <v>840.07637999999997</v>
      </c>
      <c r="I225" s="35"/>
      <c r="N225" s="35"/>
    </row>
    <row r="226" spans="1:14" s="36" customFormat="1" ht="15.75" customHeight="1" x14ac:dyDescent="0.3">
      <c r="A226" s="41">
        <f t="shared" si="27"/>
        <v>8</v>
      </c>
      <c r="B226" s="67" t="s">
        <v>324</v>
      </c>
      <c r="C226" s="41" t="s">
        <v>313</v>
      </c>
      <c r="D226" s="41">
        <f>(48.8)*10.764</f>
        <v>525.28319999999997</v>
      </c>
      <c r="E226" s="41">
        <v>0</v>
      </c>
      <c r="F226" s="41">
        <f t="shared" si="28"/>
        <v>525.28319999999997</v>
      </c>
      <c r="G226" s="41">
        <v>0</v>
      </c>
      <c r="H226" s="41">
        <f t="shared" si="29"/>
        <v>787.9248</v>
      </c>
      <c r="I226" s="35"/>
      <c r="N226" s="35"/>
    </row>
    <row r="227" spans="1:14" s="36" customFormat="1" ht="15.75" customHeight="1" x14ac:dyDescent="0.3">
      <c r="A227" s="41">
        <f t="shared" si="27"/>
        <v>9</v>
      </c>
      <c r="B227" s="67" t="s">
        <v>324</v>
      </c>
      <c r="C227" s="41" t="s">
        <v>312</v>
      </c>
      <c r="D227" s="41">
        <f>(35.88)*10.764</f>
        <v>386.21231999999998</v>
      </c>
      <c r="E227" s="41">
        <v>0</v>
      </c>
      <c r="F227" s="41">
        <f t="shared" si="28"/>
        <v>386.21231999999998</v>
      </c>
      <c r="G227" s="41">
        <v>0</v>
      </c>
      <c r="H227" s="41">
        <f t="shared" si="29"/>
        <v>579.31847999999991</v>
      </c>
      <c r="I227" s="35"/>
      <c r="N227" s="35"/>
    </row>
    <row r="228" spans="1:14" s="36" customFormat="1" ht="15.75" customHeight="1" x14ac:dyDescent="0.3">
      <c r="A228" s="41">
        <f t="shared" si="27"/>
        <v>10</v>
      </c>
      <c r="B228" s="67" t="s">
        <v>324</v>
      </c>
      <c r="C228" s="41" t="s">
        <v>312</v>
      </c>
      <c r="D228" s="41">
        <f>(35.88)*10.764</f>
        <v>386.21231999999998</v>
      </c>
      <c r="E228" s="41">
        <v>0</v>
      </c>
      <c r="F228" s="41">
        <f t="shared" si="28"/>
        <v>386.21231999999998</v>
      </c>
      <c r="G228" s="41">
        <v>0</v>
      </c>
      <c r="H228" s="41">
        <f t="shared" si="29"/>
        <v>579.31847999999991</v>
      </c>
      <c r="I228" s="35"/>
      <c r="N228" s="35"/>
    </row>
    <row r="229" spans="1:14" s="36" customFormat="1" ht="15.75" customHeight="1" x14ac:dyDescent="0.3">
      <c r="A229" s="41">
        <f t="shared" si="27"/>
        <v>11</v>
      </c>
      <c r="B229" s="67" t="s">
        <v>324</v>
      </c>
      <c r="C229" s="41" t="s">
        <v>312</v>
      </c>
      <c r="D229" s="41">
        <f>(35.88)*10.764</f>
        <v>386.21231999999998</v>
      </c>
      <c r="E229" s="41">
        <v>0</v>
      </c>
      <c r="F229" s="41">
        <f t="shared" si="28"/>
        <v>386.21231999999998</v>
      </c>
      <c r="G229" s="41">
        <v>0</v>
      </c>
      <c r="H229" s="41">
        <f t="shared" si="29"/>
        <v>579.31847999999991</v>
      </c>
      <c r="I229" s="35"/>
      <c r="N229" s="35"/>
    </row>
    <row r="230" spans="1:14" s="36" customFormat="1" ht="15.75" customHeight="1" x14ac:dyDescent="0.3">
      <c r="A230" s="41">
        <f t="shared" si="27"/>
        <v>12</v>
      </c>
      <c r="B230" s="67" t="s">
        <v>324</v>
      </c>
      <c r="C230" s="41" t="s">
        <v>312</v>
      </c>
      <c r="D230" s="41">
        <f>(35.89)*10.764</f>
        <v>386.31995999999998</v>
      </c>
      <c r="E230" s="41">
        <v>0</v>
      </c>
      <c r="F230" s="41">
        <f t="shared" si="28"/>
        <v>386.31995999999998</v>
      </c>
      <c r="G230" s="41">
        <v>0</v>
      </c>
      <c r="H230" s="41">
        <f t="shared" si="29"/>
        <v>579.47993999999994</v>
      </c>
      <c r="I230" s="35"/>
      <c r="N230" s="35"/>
    </row>
    <row r="231" spans="1:14" s="36" customFormat="1" x14ac:dyDescent="0.3">
      <c r="A231" s="74" t="s">
        <v>366</v>
      </c>
      <c r="B231" s="74"/>
      <c r="C231" s="74"/>
      <c r="D231" s="74"/>
      <c r="E231" s="74"/>
      <c r="F231" s="74"/>
      <c r="G231" s="74"/>
      <c r="H231" s="74"/>
      <c r="I231" s="64">
        <v>3</v>
      </c>
      <c r="L231" s="73"/>
      <c r="M231" s="73"/>
    </row>
    <row r="232" spans="1:14" s="36" customFormat="1" ht="15.75" customHeight="1" x14ac:dyDescent="0.3">
      <c r="A232" s="41">
        <v>1</v>
      </c>
      <c r="B232" s="67" t="s">
        <v>324</v>
      </c>
      <c r="C232" s="41" t="s">
        <v>312</v>
      </c>
      <c r="D232" s="41">
        <f>(35.88)*10.764</f>
        <v>386.21231999999998</v>
      </c>
      <c r="E232" s="41">
        <v>0</v>
      </c>
      <c r="F232" s="41">
        <f>D232+E232</f>
        <v>386.21231999999998</v>
      </c>
      <c r="G232" s="41">
        <v>0</v>
      </c>
      <c r="H232" s="41">
        <f>F232*(($H$136)+1)+(IF(G232&lt;101,G232,IF(G232&lt;201,G232/2,IF(G232&lt;=301,G232/3,G232/4))))</f>
        <v>579.31847999999991</v>
      </c>
      <c r="I232" s="35"/>
      <c r="N232" s="35"/>
    </row>
    <row r="233" spans="1:14" s="36" customFormat="1" ht="15.75" customHeight="1" x14ac:dyDescent="0.3">
      <c r="A233" s="41">
        <f>A232+1</f>
        <v>2</v>
      </c>
      <c r="B233" s="67" t="s">
        <v>324</v>
      </c>
      <c r="C233" s="41" t="s">
        <v>313</v>
      </c>
      <c r="D233" s="41">
        <f t="shared" ref="D233:D238" si="30">(52.03)*10.764</f>
        <v>560.05092000000002</v>
      </c>
      <c r="E233" s="41">
        <v>0</v>
      </c>
      <c r="F233" s="41">
        <f>D233+E233</f>
        <v>560.05092000000002</v>
      </c>
      <c r="G233" s="41">
        <v>0</v>
      </c>
      <c r="H233" s="41">
        <f>F233*(($H$136)+1)+(IF(G233&lt;101,G233,IF(G233&lt;201,G233/2,IF(G233&lt;=301,G233/3,G233/4))))</f>
        <v>840.07637999999997</v>
      </c>
      <c r="I233" s="35"/>
      <c r="N233" s="35"/>
    </row>
    <row r="234" spans="1:14" s="36" customFormat="1" ht="15.75" customHeight="1" x14ac:dyDescent="0.3">
      <c r="A234" s="41">
        <f t="shared" ref="A234:A243" si="31">A233+1</f>
        <v>3</v>
      </c>
      <c r="B234" s="67" t="s">
        <v>324</v>
      </c>
      <c r="C234" s="41" t="s">
        <v>313</v>
      </c>
      <c r="D234" s="41">
        <f t="shared" si="30"/>
        <v>560.05092000000002</v>
      </c>
      <c r="E234" s="41">
        <v>0</v>
      </c>
      <c r="F234" s="41">
        <f>D234+E234</f>
        <v>560.05092000000002</v>
      </c>
      <c r="G234" s="41">
        <v>0</v>
      </c>
      <c r="H234" s="41">
        <f>F234*(($H$136)+1)+(IF(G234&lt;101,G234,IF(G234&lt;201,G234/2,IF(G234&lt;=301,G234/3,G234/4))))</f>
        <v>840.07637999999997</v>
      </c>
      <c r="I234" s="35"/>
      <c r="N234" s="35"/>
    </row>
    <row r="235" spans="1:14" s="36" customFormat="1" ht="15.75" customHeight="1" x14ac:dyDescent="0.3">
      <c r="A235" s="41">
        <f t="shared" si="31"/>
        <v>4</v>
      </c>
      <c r="B235" s="67" t="s">
        <v>324</v>
      </c>
      <c r="C235" s="41" t="s">
        <v>313</v>
      </c>
      <c r="D235" s="41">
        <f t="shared" si="30"/>
        <v>560.05092000000002</v>
      </c>
      <c r="E235" s="41">
        <v>0</v>
      </c>
      <c r="F235" s="41">
        <f>D235+E235</f>
        <v>560.05092000000002</v>
      </c>
      <c r="G235" s="41">
        <v>0</v>
      </c>
      <c r="H235" s="41">
        <f>F235*(($H$136)+1)+(IF(G235&lt;101,G235,IF(G235&lt;201,G235/2,IF(G235&lt;=301,G235/3,G235/4))))</f>
        <v>840.07637999999997</v>
      </c>
      <c r="I235" s="35"/>
      <c r="N235" s="35"/>
    </row>
    <row r="236" spans="1:14" s="36" customFormat="1" ht="15.75" customHeight="1" x14ac:dyDescent="0.3">
      <c r="A236" s="41">
        <f t="shared" si="31"/>
        <v>5</v>
      </c>
      <c r="B236" s="67" t="s">
        <v>324</v>
      </c>
      <c r="C236" s="41" t="s">
        <v>313</v>
      </c>
      <c r="D236" s="41">
        <f t="shared" si="30"/>
        <v>560.05092000000002</v>
      </c>
      <c r="E236" s="41">
        <v>0</v>
      </c>
      <c r="F236" s="41">
        <f>D236+E236</f>
        <v>560.05092000000002</v>
      </c>
      <c r="G236" s="41">
        <v>0</v>
      </c>
      <c r="H236" s="41">
        <f>F236*(($H$136)+1)+(IF(G236&lt;101,G236,IF(G236&lt;201,G236/2,IF(G236&lt;=301,G236/3,G236/4))))</f>
        <v>840.07637999999997</v>
      </c>
      <c r="I236" s="35"/>
      <c r="N236" s="35"/>
    </row>
    <row r="237" spans="1:14" s="36" customFormat="1" ht="15.75" customHeight="1" x14ac:dyDescent="0.3">
      <c r="A237" s="41">
        <f t="shared" si="31"/>
        <v>6</v>
      </c>
      <c r="B237" s="67" t="s">
        <v>324</v>
      </c>
      <c r="C237" s="41" t="s">
        <v>313</v>
      </c>
      <c r="D237" s="41">
        <f t="shared" si="30"/>
        <v>560.05092000000002</v>
      </c>
      <c r="E237" s="41">
        <v>0</v>
      </c>
      <c r="F237" s="41">
        <f t="shared" ref="F237:F241" si="32">D237+E237</f>
        <v>560.05092000000002</v>
      </c>
      <c r="G237" s="41">
        <v>0</v>
      </c>
      <c r="H237" s="41">
        <f t="shared" ref="H237:H241" si="33">F237*(($H$136)+1)+(IF(G237&lt;101,G237,IF(G237&lt;201,G237/2,IF(G237&lt;=301,G237/3,G237/4))))</f>
        <v>840.07637999999997</v>
      </c>
      <c r="I237" s="35"/>
      <c r="N237" s="35"/>
    </row>
    <row r="238" spans="1:14" s="36" customFormat="1" ht="15.75" customHeight="1" x14ac:dyDescent="0.3">
      <c r="A238" s="41">
        <f t="shared" si="31"/>
        <v>7</v>
      </c>
      <c r="B238" s="67" t="s">
        <v>324</v>
      </c>
      <c r="C238" s="41" t="s">
        <v>313</v>
      </c>
      <c r="D238" s="41">
        <f t="shared" si="30"/>
        <v>560.05092000000002</v>
      </c>
      <c r="E238" s="41">
        <v>0</v>
      </c>
      <c r="F238" s="41">
        <f t="shared" si="32"/>
        <v>560.05092000000002</v>
      </c>
      <c r="G238" s="41">
        <v>0</v>
      </c>
      <c r="H238" s="41">
        <f t="shared" si="33"/>
        <v>840.07637999999997</v>
      </c>
      <c r="I238" s="35"/>
      <c r="N238" s="35"/>
    </row>
    <row r="239" spans="1:14" s="36" customFormat="1" ht="15.75" customHeight="1" x14ac:dyDescent="0.3">
      <c r="A239" s="41">
        <f t="shared" si="31"/>
        <v>8</v>
      </c>
      <c r="B239" s="67" t="s">
        <v>324</v>
      </c>
      <c r="C239" s="41" t="s">
        <v>313</v>
      </c>
      <c r="D239" s="41">
        <f>(48.8)*10.764</f>
        <v>525.28319999999997</v>
      </c>
      <c r="E239" s="41">
        <v>0</v>
      </c>
      <c r="F239" s="41">
        <f t="shared" si="32"/>
        <v>525.28319999999997</v>
      </c>
      <c r="G239" s="41">
        <v>0</v>
      </c>
      <c r="H239" s="41">
        <f t="shared" si="33"/>
        <v>787.9248</v>
      </c>
      <c r="I239" s="35"/>
      <c r="N239" s="35"/>
    </row>
    <row r="240" spans="1:14" s="36" customFormat="1" ht="15.75" customHeight="1" x14ac:dyDescent="0.3">
      <c r="A240" s="41">
        <f t="shared" si="31"/>
        <v>9</v>
      </c>
      <c r="B240" s="67" t="s">
        <v>324</v>
      </c>
      <c r="C240" s="41" t="s">
        <v>312</v>
      </c>
      <c r="D240" s="41">
        <f>(35.88)*10.764</f>
        <v>386.21231999999998</v>
      </c>
      <c r="E240" s="41">
        <v>0</v>
      </c>
      <c r="F240" s="41">
        <f t="shared" si="32"/>
        <v>386.21231999999998</v>
      </c>
      <c r="G240" s="41">
        <v>0</v>
      </c>
      <c r="H240" s="41">
        <f t="shared" si="33"/>
        <v>579.31847999999991</v>
      </c>
      <c r="I240" s="35"/>
      <c r="N240" s="35"/>
    </row>
    <row r="241" spans="1:20" s="36" customFormat="1" ht="15.75" customHeight="1" x14ac:dyDescent="0.3">
      <c r="A241" s="41">
        <f t="shared" si="31"/>
        <v>10</v>
      </c>
      <c r="B241" s="67" t="s">
        <v>324</v>
      </c>
      <c r="C241" s="41" t="s">
        <v>312</v>
      </c>
      <c r="D241" s="41">
        <f>(35.88)*10.764</f>
        <v>386.21231999999998</v>
      </c>
      <c r="E241" s="41">
        <v>0</v>
      </c>
      <c r="F241" s="41">
        <f t="shared" si="32"/>
        <v>386.21231999999998</v>
      </c>
      <c r="G241" s="41">
        <v>0</v>
      </c>
      <c r="H241" s="41">
        <f t="shared" si="33"/>
        <v>579.31847999999991</v>
      </c>
      <c r="I241" s="35"/>
      <c r="N241" s="35"/>
    </row>
    <row r="242" spans="1:20" s="36" customFormat="1" ht="15.75" customHeight="1" x14ac:dyDescent="0.3">
      <c r="A242" s="41">
        <f t="shared" si="31"/>
        <v>11</v>
      </c>
      <c r="B242" s="41" t="s">
        <v>325</v>
      </c>
      <c r="C242" s="75" t="s">
        <v>316</v>
      </c>
      <c r="D242" s="76"/>
      <c r="E242" s="76"/>
      <c r="F242" s="76"/>
      <c r="G242" s="76"/>
      <c r="H242" s="77"/>
      <c r="I242" s="35"/>
      <c r="N242" s="35"/>
    </row>
    <row r="243" spans="1:20" s="36" customFormat="1" ht="15.75" customHeight="1" x14ac:dyDescent="0.3">
      <c r="A243" s="41">
        <f t="shared" si="31"/>
        <v>12</v>
      </c>
      <c r="B243" s="67" t="s">
        <v>324</v>
      </c>
      <c r="C243" s="41" t="s">
        <v>312</v>
      </c>
      <c r="D243" s="41">
        <f>(35.89)*10.764</f>
        <v>386.31995999999998</v>
      </c>
      <c r="E243" s="41">
        <v>0</v>
      </c>
      <c r="F243" s="41">
        <f t="shared" ref="F243" si="34">D243+E243</f>
        <v>386.31995999999998</v>
      </c>
      <c r="G243" s="41">
        <v>0</v>
      </c>
      <c r="H243" s="41">
        <f t="shared" ref="H243" si="35">F243*(($H$136)+1)+(IF(G243&lt;101,G243,IF(G243&lt;201,G243/2,IF(G243&lt;=301,G243/3,G243/4))))</f>
        <v>579.47993999999994</v>
      </c>
      <c r="I243" s="35"/>
      <c r="N243" s="35"/>
    </row>
    <row r="244" spans="1:20" s="34" customFormat="1" x14ac:dyDescent="0.3">
      <c r="A244" s="200" t="s">
        <v>63</v>
      </c>
      <c r="B244" s="200"/>
      <c r="C244" s="200"/>
      <c r="D244" s="200"/>
      <c r="E244" s="200"/>
      <c r="F244" s="200"/>
      <c r="G244" s="200"/>
      <c r="H244" s="200"/>
      <c r="T244" s="36"/>
    </row>
    <row r="245" spans="1:20" s="34" customFormat="1" ht="31.8" customHeight="1" x14ac:dyDescent="0.3">
      <c r="A245" s="45" t="s">
        <v>149</v>
      </c>
      <c r="B245" s="187" t="s">
        <v>375</v>
      </c>
      <c r="C245" s="188"/>
      <c r="D245" s="188"/>
      <c r="E245" s="188"/>
      <c r="F245" s="188"/>
      <c r="G245" s="188"/>
      <c r="H245" s="189"/>
      <c r="T245" s="36"/>
    </row>
    <row r="246" spans="1:20" s="34" customFormat="1" x14ac:dyDescent="0.3">
      <c r="A246" s="45" t="s">
        <v>149</v>
      </c>
      <c r="B246" s="187" t="str">
        <f>(IF(H135="Saleable area Loading :","We have considered Saleable area of Flats as per our Calculation.","We considered Saleable area of Flat as per Builder area Sheet."))</f>
        <v>We have considered Saleable area of Flats as per our Calculation.</v>
      </c>
      <c r="C246" s="188"/>
      <c r="D246" s="188"/>
      <c r="E246" s="188"/>
      <c r="F246" s="188"/>
      <c r="G246" s="188"/>
      <c r="H246" s="189"/>
      <c r="T246" s="36"/>
    </row>
    <row r="247" spans="1:20" s="34" customFormat="1" hidden="1" x14ac:dyDescent="0.3">
      <c r="A247" s="45" t="s">
        <v>149</v>
      </c>
      <c r="B247" s="187" t="str">
        <f>(IF(H127="Saleable area Loading :","We have considered Saleable area of Commercial as per our Calculation.","We considered Saleable area of Commercial as per Builder area Sheet."))</f>
        <v>We have considered Saleable area of Commercial as per our Calculation.</v>
      </c>
      <c r="C247" s="188"/>
      <c r="D247" s="188"/>
      <c r="E247" s="188"/>
      <c r="F247" s="188"/>
      <c r="G247" s="188"/>
      <c r="H247" s="189"/>
    </row>
    <row r="248" spans="1:20" s="34" customFormat="1" x14ac:dyDescent="0.3">
      <c r="A248" s="45" t="s">
        <v>149</v>
      </c>
      <c r="B248" s="78" t="s">
        <v>120</v>
      </c>
      <c r="C248" s="79"/>
      <c r="D248" s="79"/>
      <c r="E248" s="79"/>
      <c r="F248" s="79"/>
      <c r="G248" s="79"/>
      <c r="H248" s="80"/>
    </row>
    <row r="249" spans="1:20" s="34" customFormat="1" x14ac:dyDescent="0.3">
      <c r="A249" s="45" t="s">
        <v>149</v>
      </c>
      <c r="B249" s="187" t="s">
        <v>320</v>
      </c>
      <c r="C249" s="188"/>
      <c r="D249" s="188"/>
      <c r="E249" s="188"/>
      <c r="F249" s="188"/>
      <c r="G249" s="188"/>
      <c r="H249" s="189"/>
    </row>
    <row r="250" spans="1:20" s="34" customFormat="1" x14ac:dyDescent="0.3">
      <c r="A250" s="45" t="s">
        <v>149</v>
      </c>
      <c r="B250" s="78" t="s">
        <v>362</v>
      </c>
      <c r="C250" s="79"/>
      <c r="D250" s="79"/>
      <c r="E250" s="79"/>
      <c r="F250" s="79"/>
      <c r="G250" s="79"/>
      <c r="H250" s="80"/>
    </row>
    <row r="251" spans="1:20" s="34" customFormat="1" x14ac:dyDescent="0.3">
      <c r="A251" s="45" t="s">
        <v>149</v>
      </c>
      <c r="B251" s="78" t="s">
        <v>121</v>
      </c>
      <c r="C251" s="79"/>
      <c r="D251" s="79"/>
      <c r="E251" s="79"/>
      <c r="F251" s="79"/>
      <c r="G251" s="79"/>
      <c r="H251" s="80"/>
    </row>
    <row r="252" spans="1:20" s="34" customFormat="1" ht="34.5" customHeight="1" x14ac:dyDescent="0.3">
      <c r="A252" s="45" t="s">
        <v>149</v>
      </c>
      <c r="B252" s="78" t="s">
        <v>150</v>
      </c>
      <c r="C252" s="79"/>
      <c r="D252" s="79"/>
      <c r="E252" s="79"/>
      <c r="F252" s="79"/>
      <c r="G252" s="79"/>
      <c r="H252" s="80"/>
    </row>
    <row r="253" spans="1:20" s="34" customFormat="1" x14ac:dyDescent="0.3">
      <c r="A253" s="45" t="s">
        <v>149</v>
      </c>
      <c r="B253" s="78" t="s">
        <v>122</v>
      </c>
      <c r="C253" s="79"/>
      <c r="D253" s="79"/>
      <c r="E253" s="79"/>
      <c r="F253" s="79"/>
      <c r="G253" s="79"/>
      <c r="H253" s="80"/>
    </row>
    <row r="254" spans="1:20" s="34" customFormat="1" ht="33" customHeight="1" x14ac:dyDescent="0.3">
      <c r="A254" s="72" t="s">
        <v>149</v>
      </c>
      <c r="B254" s="184" t="s">
        <v>372</v>
      </c>
      <c r="C254" s="185"/>
      <c r="D254" s="185"/>
      <c r="E254" s="185"/>
      <c r="F254" s="185"/>
      <c r="G254" s="185"/>
      <c r="H254" s="186"/>
    </row>
    <row r="255" spans="1:20" s="34" customFormat="1" x14ac:dyDescent="0.3">
      <c r="A255" s="45" t="s">
        <v>149</v>
      </c>
      <c r="B255" s="78" t="s">
        <v>367</v>
      </c>
      <c r="C255" s="79"/>
      <c r="D255" s="79"/>
      <c r="E255" s="79"/>
      <c r="F255" s="79"/>
      <c r="G255" s="79"/>
      <c r="H255" s="80"/>
    </row>
    <row r="256" spans="1:20" x14ac:dyDescent="0.3">
      <c r="A256" s="167" t="s">
        <v>56</v>
      </c>
      <c r="B256" s="167"/>
      <c r="C256" s="167"/>
      <c r="D256" s="167"/>
      <c r="E256" s="167"/>
      <c r="F256" s="167"/>
      <c r="G256" s="167"/>
      <c r="H256" s="167"/>
      <c r="T256" s="34"/>
    </row>
    <row r="257" spans="1:20" x14ac:dyDescent="0.3">
      <c r="A257" s="87" t="s">
        <v>57</v>
      </c>
      <c r="B257" s="87"/>
      <c r="C257" s="87"/>
      <c r="D257" s="87"/>
      <c r="E257" s="87"/>
      <c r="F257" s="87"/>
      <c r="G257" s="87"/>
      <c r="H257" s="87"/>
      <c r="T257" s="34"/>
    </row>
    <row r="258" spans="1:20" ht="15.75" customHeight="1" x14ac:dyDescent="0.3">
      <c r="A258" s="182" t="s">
        <v>58</v>
      </c>
      <c r="B258" s="182"/>
      <c r="C258" s="182"/>
      <c r="D258" s="182"/>
      <c r="E258" s="182"/>
      <c r="F258" s="182"/>
      <c r="G258" s="182"/>
      <c r="H258" s="182"/>
      <c r="T258" s="34"/>
    </row>
    <row r="259" spans="1:20" x14ac:dyDescent="0.3">
      <c r="A259" s="87" t="s">
        <v>59</v>
      </c>
      <c r="B259" s="87"/>
      <c r="C259" s="87"/>
      <c r="D259" s="87"/>
      <c r="E259" s="87"/>
      <c r="F259" s="87"/>
      <c r="G259" s="87"/>
      <c r="H259" s="87"/>
    </row>
    <row r="260" spans="1:20" x14ac:dyDescent="0.3">
      <c r="A260" s="87" t="s">
        <v>60</v>
      </c>
      <c r="B260" s="87"/>
      <c r="C260" s="87"/>
      <c r="D260" s="87"/>
      <c r="E260" s="87"/>
      <c r="F260" s="87"/>
      <c r="G260" s="87"/>
      <c r="H260" s="87"/>
    </row>
    <row r="261" spans="1:20" x14ac:dyDescent="0.3">
      <c r="A261" s="87" t="s">
        <v>123</v>
      </c>
      <c r="B261" s="87"/>
      <c r="C261" s="87"/>
      <c r="D261" s="87"/>
      <c r="E261" s="87"/>
      <c r="F261" s="87"/>
      <c r="G261" s="87"/>
      <c r="H261" s="87"/>
    </row>
    <row r="262" spans="1:20" ht="33.9" customHeight="1" x14ac:dyDescent="0.3">
      <c r="A262" s="126" t="s">
        <v>124</v>
      </c>
      <c r="B262" s="126"/>
      <c r="C262" s="126"/>
      <c r="D262" s="126"/>
      <c r="E262" s="126"/>
      <c r="F262" s="126"/>
      <c r="G262" s="126"/>
      <c r="H262" s="126"/>
    </row>
    <row r="263" spans="1:20" x14ac:dyDescent="0.3">
      <c r="A263" s="180" t="s">
        <v>72</v>
      </c>
      <c r="B263" s="180"/>
      <c r="C263" s="180" t="s">
        <v>349</v>
      </c>
      <c r="D263" s="180"/>
      <c r="E263" s="180" t="s">
        <v>101</v>
      </c>
      <c r="F263" s="180"/>
      <c r="G263" s="180" t="s">
        <v>374</v>
      </c>
      <c r="H263" s="180"/>
    </row>
    <row r="264" spans="1:20" x14ac:dyDescent="0.3">
      <c r="A264" s="179" t="s">
        <v>74</v>
      </c>
      <c r="B264" s="179"/>
      <c r="C264" s="179"/>
      <c r="D264" s="179"/>
      <c r="E264" s="179"/>
      <c r="F264" s="179"/>
      <c r="G264" s="179"/>
      <c r="H264" s="179"/>
    </row>
    <row r="265" spans="1:20" x14ac:dyDescent="0.3">
      <c r="A265" s="179"/>
      <c r="B265" s="179"/>
      <c r="C265" s="179"/>
      <c r="D265" s="179"/>
      <c r="E265" s="179"/>
      <c r="F265" s="179"/>
      <c r="G265" s="179"/>
      <c r="H265" s="179"/>
    </row>
    <row r="266" spans="1:20" x14ac:dyDescent="0.3">
      <c r="A266" s="179"/>
      <c r="B266" s="179"/>
      <c r="C266" s="179"/>
      <c r="D266" s="179"/>
      <c r="E266" s="179"/>
      <c r="F266" s="179"/>
      <c r="G266" s="179"/>
      <c r="H266" s="179"/>
    </row>
    <row r="267" spans="1:20" x14ac:dyDescent="0.3">
      <c r="A267" s="179"/>
      <c r="B267" s="179"/>
      <c r="C267" s="179"/>
      <c r="D267" s="179"/>
      <c r="E267" s="179"/>
      <c r="F267" s="179"/>
      <c r="G267" s="179"/>
      <c r="H267" s="179"/>
    </row>
    <row r="268" spans="1:20" x14ac:dyDescent="0.3">
      <c r="A268" s="37" t="s">
        <v>61</v>
      </c>
      <c r="B268" s="38"/>
      <c r="C268" s="38"/>
      <c r="D268" s="37" t="str">
        <f>E9</f>
        <v>Raunak Fortuna</v>
      </c>
      <c r="F268" s="38"/>
      <c r="G268" s="38"/>
      <c r="H268" s="38"/>
    </row>
    <row r="269" spans="1:20" x14ac:dyDescent="0.3">
      <c r="A269" s="38"/>
      <c r="B269" s="38"/>
      <c r="C269" s="38"/>
      <c r="D269" s="38"/>
      <c r="E269" s="38"/>
      <c r="F269" s="38"/>
      <c r="G269" s="38"/>
      <c r="H269" s="38"/>
    </row>
    <row r="270" spans="1:20" x14ac:dyDescent="0.3">
      <c r="A270" s="38"/>
      <c r="B270" s="38"/>
      <c r="C270" s="38"/>
      <c r="D270" s="38"/>
      <c r="E270" s="38"/>
      <c r="F270" s="38"/>
      <c r="G270" s="38"/>
      <c r="H270" s="38"/>
    </row>
    <row r="271" spans="1:20" ht="15" customHeight="1" x14ac:dyDescent="0.3"/>
    <row r="310" spans="1:1" x14ac:dyDescent="0.3">
      <c r="A310" s="40" t="s">
        <v>160</v>
      </c>
    </row>
    <row r="352" spans="1:1" x14ac:dyDescent="0.3">
      <c r="A352" s="40" t="s">
        <v>62</v>
      </c>
    </row>
  </sheetData>
  <mergeCells count="341">
    <mergeCell ref="L179:M179"/>
    <mergeCell ref="L192:M192"/>
    <mergeCell ref="C201:H204"/>
    <mergeCell ref="C188:H191"/>
    <mergeCell ref="A192:H192"/>
    <mergeCell ref="C216:H216"/>
    <mergeCell ref="A137:H137"/>
    <mergeCell ref="A166:H166"/>
    <mergeCell ref="L166:M166"/>
    <mergeCell ref="A205:H205"/>
    <mergeCell ref="L205:M205"/>
    <mergeCell ref="L153:M153"/>
    <mergeCell ref="L144:M144"/>
    <mergeCell ref="L141:M141"/>
    <mergeCell ref="L142:M142"/>
    <mergeCell ref="L143:M143"/>
    <mergeCell ref="L150:M150"/>
    <mergeCell ref="L151:M151"/>
    <mergeCell ref="L152:M152"/>
    <mergeCell ref="C143:H147"/>
    <mergeCell ref="A139:H139"/>
    <mergeCell ref="A140:H140"/>
    <mergeCell ref="L145:M145"/>
    <mergeCell ref="L146:M146"/>
    <mergeCell ref="A109:E109"/>
    <mergeCell ref="A115:H115"/>
    <mergeCell ref="A113:E113"/>
    <mergeCell ref="F113:H113"/>
    <mergeCell ref="A114:E114"/>
    <mergeCell ref="F114:H114"/>
    <mergeCell ref="A117:B117"/>
    <mergeCell ref="A120:H120"/>
    <mergeCell ref="G117:H117"/>
    <mergeCell ref="F109:H109"/>
    <mergeCell ref="C116:D116"/>
    <mergeCell ref="E119:F119"/>
    <mergeCell ref="A138:H138"/>
    <mergeCell ref="A130:B130"/>
    <mergeCell ref="A122:B122"/>
    <mergeCell ref="G121:H121"/>
    <mergeCell ref="A121:B121"/>
    <mergeCell ref="A123:B123"/>
    <mergeCell ref="C123:D123"/>
    <mergeCell ref="E123:F123"/>
    <mergeCell ref="G123:H123"/>
    <mergeCell ref="C122:D122"/>
    <mergeCell ref="F127:F128"/>
    <mergeCell ref="C135:C136"/>
    <mergeCell ref="G135:G136"/>
    <mergeCell ref="A127:A128"/>
    <mergeCell ref="E122:F122"/>
    <mergeCell ref="L133:M133"/>
    <mergeCell ref="L132:M132"/>
    <mergeCell ref="A103:E103"/>
    <mergeCell ref="A87:B87"/>
    <mergeCell ref="C87:H87"/>
    <mergeCell ref="A89:B89"/>
    <mergeCell ref="C89:H89"/>
    <mergeCell ref="A90:B90"/>
    <mergeCell ref="E90:F90"/>
    <mergeCell ref="G90:H90"/>
    <mergeCell ref="A91:B91"/>
    <mergeCell ref="E91:F100"/>
    <mergeCell ref="G91:H100"/>
    <mergeCell ref="A92:B92"/>
    <mergeCell ref="A93:B93"/>
    <mergeCell ref="A94:B94"/>
    <mergeCell ref="A95:B95"/>
    <mergeCell ref="F103:H103"/>
    <mergeCell ref="G101:H101"/>
    <mergeCell ref="A124:B124"/>
    <mergeCell ref="C124:D124"/>
    <mergeCell ref="C127:C128"/>
    <mergeCell ref="A129:H129"/>
    <mergeCell ref="E127:E128"/>
    <mergeCell ref="A244:H244"/>
    <mergeCell ref="A179:H179"/>
    <mergeCell ref="L147:M147"/>
    <mergeCell ref="L148:M148"/>
    <mergeCell ref="L149:M149"/>
    <mergeCell ref="I15:P15"/>
    <mergeCell ref="F112:H112"/>
    <mergeCell ref="F110:H110"/>
    <mergeCell ref="A126:H126"/>
    <mergeCell ref="G116:H116"/>
    <mergeCell ref="A111:E111"/>
    <mergeCell ref="A60:B60"/>
    <mergeCell ref="C60:E60"/>
    <mergeCell ref="D62:H62"/>
    <mergeCell ref="F111:H111"/>
    <mergeCell ref="E116:F116"/>
    <mergeCell ref="A116:B116"/>
    <mergeCell ref="A118:B118"/>
    <mergeCell ref="C121:D121"/>
    <mergeCell ref="D70:H70"/>
    <mergeCell ref="A71:C71"/>
    <mergeCell ref="E43:H43"/>
    <mergeCell ref="A43:D43"/>
    <mergeCell ref="A82:B82"/>
    <mergeCell ref="F107:H107"/>
    <mergeCell ref="A133:B133"/>
    <mergeCell ref="F105:H105"/>
    <mergeCell ref="A132:B132"/>
    <mergeCell ref="A108:E108"/>
    <mergeCell ref="F108:H108"/>
    <mergeCell ref="A110:E110"/>
    <mergeCell ref="A135:A136"/>
    <mergeCell ref="F135:F136"/>
    <mergeCell ref="A131:B131"/>
    <mergeCell ref="B135:B136"/>
    <mergeCell ref="D135:D136"/>
    <mergeCell ref="E135:E136"/>
    <mergeCell ref="G119:H119"/>
    <mergeCell ref="G122:H122"/>
    <mergeCell ref="G118:H118"/>
    <mergeCell ref="A119:B119"/>
    <mergeCell ref="C119:D119"/>
    <mergeCell ref="C118:D118"/>
    <mergeCell ref="E118:F118"/>
    <mergeCell ref="E124:F124"/>
    <mergeCell ref="A134:H134"/>
    <mergeCell ref="E121:F121"/>
    <mergeCell ref="A125:H125"/>
    <mergeCell ref="A264:H267"/>
    <mergeCell ref="A263:B263"/>
    <mergeCell ref="E263:F263"/>
    <mergeCell ref="C263:D263"/>
    <mergeCell ref="G263:H263"/>
    <mergeCell ref="A153:H153"/>
    <mergeCell ref="A259:H259"/>
    <mergeCell ref="A262:H262"/>
    <mergeCell ref="A260:H260"/>
    <mergeCell ref="A256:H256"/>
    <mergeCell ref="A257:H257"/>
    <mergeCell ref="B252:H252"/>
    <mergeCell ref="A261:H261"/>
    <mergeCell ref="A258:H258"/>
    <mergeCell ref="B250:H250"/>
    <mergeCell ref="A218:H218"/>
    <mergeCell ref="B254:H254"/>
    <mergeCell ref="B253:H253"/>
    <mergeCell ref="B251:H251"/>
    <mergeCell ref="B247:H247"/>
    <mergeCell ref="B245:H245"/>
    <mergeCell ref="B246:H246"/>
    <mergeCell ref="B248:H248"/>
    <mergeCell ref="B249:H249"/>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63:C63"/>
    <mergeCell ref="D63:H63"/>
    <mergeCell ref="G60:H60"/>
    <mergeCell ref="A54:B55"/>
    <mergeCell ref="C54:E54"/>
    <mergeCell ref="G54:H54"/>
    <mergeCell ref="A56:B57"/>
    <mergeCell ref="C56:E56"/>
    <mergeCell ref="G56:H56"/>
    <mergeCell ref="A58:B59"/>
    <mergeCell ref="C58:E58"/>
    <mergeCell ref="G58:H58"/>
    <mergeCell ref="G51:H51"/>
    <mergeCell ref="G50:H50"/>
    <mergeCell ref="G52:H52"/>
    <mergeCell ref="A52:B53"/>
    <mergeCell ref="C53:H53"/>
    <mergeCell ref="C52:E52"/>
    <mergeCell ref="A51:B51"/>
    <mergeCell ref="A61:H61"/>
    <mergeCell ref="A62:C62"/>
    <mergeCell ref="C55:H55"/>
    <mergeCell ref="F37:H37"/>
    <mergeCell ref="A68:C68"/>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A65:C65"/>
    <mergeCell ref="D65:H65"/>
    <mergeCell ref="C51:E51"/>
    <mergeCell ref="A39:B39"/>
    <mergeCell ref="C39:H39"/>
    <mergeCell ref="A46:D46"/>
    <mergeCell ref="A47:D47"/>
    <mergeCell ref="J50:O50"/>
    <mergeCell ref="A45:D45"/>
    <mergeCell ref="A40:B40"/>
    <mergeCell ref="C40:H40"/>
    <mergeCell ref="A96:B96"/>
    <mergeCell ref="A97:B97"/>
    <mergeCell ref="A98:B98"/>
    <mergeCell ref="A99:B99"/>
    <mergeCell ref="A100:B100"/>
    <mergeCell ref="D68:H68"/>
    <mergeCell ref="C75:H75"/>
    <mergeCell ref="A78:B78"/>
    <mergeCell ref="A80:B80"/>
    <mergeCell ref="E76:F76"/>
    <mergeCell ref="A69:C69"/>
    <mergeCell ref="D69:H69"/>
    <mergeCell ref="A72:C72"/>
    <mergeCell ref="D72:H72"/>
    <mergeCell ref="A70:C70"/>
    <mergeCell ref="D71:H71"/>
    <mergeCell ref="A77:B77"/>
    <mergeCell ref="G76:H76"/>
    <mergeCell ref="E77:F86"/>
    <mergeCell ref="G77:H86"/>
    <mergeCell ref="A101:B101"/>
    <mergeCell ref="C101:D101"/>
    <mergeCell ref="E101:F101"/>
    <mergeCell ref="A48:H48"/>
    <mergeCell ref="D64:H64"/>
    <mergeCell ref="A64:C64"/>
    <mergeCell ref="F102:H102"/>
    <mergeCell ref="A73:B73"/>
    <mergeCell ref="C73:H73"/>
    <mergeCell ref="A81:B81"/>
    <mergeCell ref="C57:H57"/>
    <mergeCell ref="C59:H59"/>
    <mergeCell ref="A85:B85"/>
    <mergeCell ref="A86:B86"/>
    <mergeCell ref="A83:B83"/>
    <mergeCell ref="A76:B76"/>
    <mergeCell ref="A84:B84"/>
    <mergeCell ref="A75:B75"/>
    <mergeCell ref="A50:B50"/>
    <mergeCell ref="C50:E50"/>
    <mergeCell ref="L218:M218"/>
    <mergeCell ref="A231:H231"/>
    <mergeCell ref="L231:M231"/>
    <mergeCell ref="C242:H242"/>
    <mergeCell ref="B255:H255"/>
    <mergeCell ref="L131:M131"/>
    <mergeCell ref="L130:M130"/>
    <mergeCell ref="A49:B49"/>
    <mergeCell ref="C49:H49"/>
    <mergeCell ref="F104:H104"/>
    <mergeCell ref="A104:E104"/>
    <mergeCell ref="D127:D128"/>
    <mergeCell ref="A106:E106"/>
    <mergeCell ref="A105:E105"/>
    <mergeCell ref="A102:E102"/>
    <mergeCell ref="F106:H106"/>
    <mergeCell ref="G127:G128"/>
    <mergeCell ref="A79:B79"/>
    <mergeCell ref="A107:E107"/>
    <mergeCell ref="A112:E112"/>
    <mergeCell ref="G124:H124"/>
    <mergeCell ref="C117:D117"/>
    <mergeCell ref="E117:F117"/>
    <mergeCell ref="B127:B128"/>
  </mergeCells>
  <dataValidations count="15">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27:E128" xr:uid="{00000000-0002-0000-0000-000003000000}">
      <formula1>"Attached Loft area,Attached Otla area,Attached Mezzanine area"</formula1>
    </dataValidation>
    <dataValidation type="list" allowBlank="1" showInputMessage="1" showErrorMessage="1" sqref="G263:H263" xr:uid="{00000000-0002-0000-0000-000004000000}">
      <formula1>"Kunal Kadam,Shruti Tathare,Pranita Mhatre,Shruti Fule,Pooja Kawale,Mansee Mohite,Anjali Kamble, Hitakshi Mhatre, Sachin Sawant"</formula1>
    </dataValidation>
    <dataValidation type="list" allowBlank="1" showInputMessage="1" showErrorMessage="1" sqref="F102:H102" xr:uid="{00000000-0002-0000-0000-000005000000}">
      <formula1>"On Saleable Area,On Builtup Area,On Carpet Area,On Plot Area"</formula1>
    </dataValidation>
    <dataValidation type="list" allowBlank="1" showInputMessage="1" showErrorMessage="1" sqref="F113:H113" xr:uid="{00000000-0002-0000-0000-000006000000}">
      <formula1>OFFSET($S$102,1,MATCH($G20,$S$102:$W$102,0)-1,15,1)</formula1>
    </dataValidation>
    <dataValidation type="list" allowBlank="1" showInputMessage="1" showErrorMessage="1" sqref="B127:B128" xr:uid="{00000000-0002-0000-0000-000007000000}">
      <formula1>"Shop No. (Sale Plan),Sale / Rehab,Sale / Mhada"</formula1>
    </dataValidation>
    <dataValidation type="list" allowBlank="1" showInputMessage="1" showErrorMessage="1" sqref="B135:B136"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35:E136" xr:uid="{00000000-0002-0000-0000-00000B000000}">
      <formula1>"Fungible area,Balcony Area,Chajja Area,Cornice Area,AP Area,WS Area"</formula1>
    </dataValidation>
    <dataValidation type="list" allowBlank="1" showInputMessage="1" showErrorMessage="1" sqref="H128 H136"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s>
  <hyperlinks>
    <hyperlink ref="C40" r:id="rId1" xr:uid="{00000000-0004-0000-0000-000000000000}"/>
    <hyperlink ref="I69" display="https://fortuna-shilphata.new-property-launch.com/?utm_source=g&amp;utm_campaign=20754551685&amp;utm_adgroup=161157555811&amp;utm_location=9300528&amp;utm_matchtype=p&amp;utm_device=c&amp;utm_creative=680256218567&amp;utm_keyword=raunak%20fortuna&amp;utm_placement=&amp;utm_devicemodel=&amp;gcli" xr:uid="{00000000-0004-0000-0000-000001000000}"/>
    <hyperlink ref="I139" r:id="rId2" xr:uid="{00000000-0004-0000-0000-000002000000}"/>
    <hyperlink ref="I158" r:id="rId3" xr:uid="{00000000-0004-0000-0000-000003000000}"/>
    <hyperlink ref="I157" r:id="rId4" xr:uid="{00000000-0004-0000-0000-000004000000}"/>
  </hyperlinks>
  <printOptions horizontalCentered="1"/>
  <pageMargins left="0.39370078740157483" right="0.39370078740157483" top="0.82677165354330717" bottom="0.78740157480314965" header="0.15748031496062992" footer="0.19685039370078741"/>
  <pageSetup paperSize="2" fitToHeight="0" orientation="portrait" r:id="rId5"/>
  <headerFooter>
    <oddHeader>&amp;C&amp;G</oddHeader>
    <oddFooter>&amp;L&amp;"Times New Roman,Bold"&amp;12Ref No: &amp;F&amp;R&amp;"Times New Roman,Bold"&amp;12&amp;P</oddFooter>
  </headerFooter>
  <rowBreaks count="4" manualBreakCount="4">
    <brk id="72" max="16383" man="1"/>
    <brk id="267" max="16383" man="1"/>
    <brk id="309" max="16383" man="1"/>
    <brk id="351" max="16383" man="1"/>
  </rowBreaks>
  <colBreaks count="1" manualBreakCount="1">
    <brk id="8" max="1048575" man="1"/>
  </colBreaks>
  <drawing r:id="rId6"/>
  <legacy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13" zoomScale="85" zoomScaleNormal="85" workbookViewId="0">
      <selection activeCell="B16" sqref="B16"/>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32" t="s">
        <v>102</v>
      </c>
      <c r="C3" s="232"/>
      <c r="D3" s="232"/>
      <c r="E3" s="232"/>
      <c r="F3" s="232"/>
      <c r="G3" s="232"/>
      <c r="H3" s="232"/>
    </row>
    <row r="4" spans="1:9" x14ac:dyDescent="0.3">
      <c r="A4" s="2"/>
      <c r="B4" s="3" t="s">
        <v>103</v>
      </c>
      <c r="C4" s="3" t="s">
        <v>104</v>
      </c>
      <c r="D4" s="3" t="s">
        <v>64</v>
      </c>
      <c r="E4" s="3" t="s">
        <v>105</v>
      </c>
      <c r="F4" s="3" t="s">
        <v>111</v>
      </c>
      <c r="G4" s="3" t="s">
        <v>112</v>
      </c>
      <c r="H4" s="3" t="s">
        <v>106</v>
      </c>
    </row>
    <row r="5" spans="1:9" ht="15" customHeight="1" x14ac:dyDescent="0.3">
      <c r="A5" s="2"/>
      <c r="B5" s="5" t="s">
        <v>107</v>
      </c>
      <c r="C5" s="6"/>
      <c r="D5" s="5"/>
      <c r="E5" s="5"/>
      <c r="F5" s="7">
        <f>E5*1.6</f>
        <v>0</v>
      </c>
      <c r="G5" s="7" t="e">
        <f>H5/F5</f>
        <v>#DIV/0!</v>
      </c>
      <c r="H5" s="8"/>
    </row>
    <row r="6" spans="1:9" x14ac:dyDescent="0.3">
      <c r="A6" s="2"/>
      <c r="B6" s="5" t="s">
        <v>107</v>
      </c>
      <c r="C6" s="9"/>
      <c r="D6" s="5"/>
      <c r="E6" s="5"/>
      <c r="F6" s="7">
        <f t="shared" ref="F6:F11" si="0">E6*1.6</f>
        <v>0</v>
      </c>
      <c r="G6" s="7" t="e">
        <f t="shared" ref="G6:G11" si="1">H6/F6</f>
        <v>#DIV/0!</v>
      </c>
      <c r="H6" s="8"/>
    </row>
    <row r="7" spans="1:9" ht="15" customHeight="1" x14ac:dyDescent="0.3">
      <c r="A7" s="2"/>
      <c r="B7" s="5" t="s">
        <v>107</v>
      </c>
      <c r="C7" s="6"/>
      <c r="D7" s="5"/>
      <c r="E7" s="5"/>
      <c r="F7" s="7">
        <f t="shared" si="0"/>
        <v>0</v>
      </c>
      <c r="G7" s="7" t="e">
        <f t="shared" si="1"/>
        <v>#DIV/0!</v>
      </c>
      <c r="H7" s="8"/>
    </row>
    <row r="8" spans="1:9" x14ac:dyDescent="0.3">
      <c r="A8" s="2"/>
      <c r="B8" s="5" t="s">
        <v>107</v>
      </c>
      <c r="C8" s="9"/>
      <c r="D8" s="5"/>
      <c r="E8" s="5"/>
      <c r="F8" s="7">
        <f t="shared" si="0"/>
        <v>0</v>
      </c>
      <c r="G8" s="7" t="e">
        <f t="shared" si="1"/>
        <v>#DIV/0!</v>
      </c>
      <c r="H8" s="8"/>
    </row>
    <row r="9" spans="1:9" ht="15" customHeight="1" x14ac:dyDescent="0.3">
      <c r="A9" s="2"/>
      <c r="B9" s="5" t="s">
        <v>107</v>
      </c>
      <c r="C9" s="9"/>
      <c r="D9" s="5"/>
      <c r="E9" s="5"/>
      <c r="F9" s="7">
        <f t="shared" si="0"/>
        <v>0</v>
      </c>
      <c r="G9" s="7" t="e">
        <f t="shared" si="1"/>
        <v>#DIV/0!</v>
      </c>
      <c r="H9" s="8"/>
    </row>
    <row r="10" spans="1:9" ht="15" customHeight="1" x14ac:dyDescent="0.3">
      <c r="A10" s="2"/>
      <c r="B10" s="5" t="s">
        <v>108</v>
      </c>
      <c r="C10" s="6"/>
      <c r="D10" s="5"/>
      <c r="E10" s="5"/>
      <c r="F10" s="7">
        <f t="shared" si="0"/>
        <v>0</v>
      </c>
      <c r="G10" s="7" t="e">
        <f t="shared" si="1"/>
        <v>#DIV/0!</v>
      </c>
      <c r="H10" s="8"/>
    </row>
    <row r="11" spans="1:9" ht="15" customHeight="1" x14ac:dyDescent="0.3">
      <c r="A11" s="2"/>
      <c r="B11" s="5" t="s">
        <v>108</v>
      </c>
      <c r="C11" s="6"/>
      <c r="D11" s="5"/>
      <c r="E11" s="5"/>
      <c r="F11" s="7">
        <f t="shared" si="0"/>
        <v>0</v>
      </c>
      <c r="G11" s="7" t="e">
        <f t="shared" si="1"/>
        <v>#DIV/0!</v>
      </c>
      <c r="H11" s="8"/>
    </row>
    <row r="12" spans="1:9" ht="15" customHeight="1" x14ac:dyDescent="0.3">
      <c r="A12" s="2"/>
      <c r="B12" s="10" t="s">
        <v>109</v>
      </c>
      <c r="C12" s="5"/>
      <c r="D12" s="5"/>
      <c r="E12" s="5"/>
      <c r="F12" s="5"/>
      <c r="G12" s="11" t="e">
        <f>AVERAGE(G5:G11)</f>
        <v>#DIV/0!</v>
      </c>
      <c r="H12" s="5"/>
    </row>
    <row r="13" spans="1:9" ht="15" customHeight="1" x14ac:dyDescent="0.3">
      <c r="B13" s="10" t="s">
        <v>110</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2"/>
      <c r="C4" s="52" t="s">
        <v>11</v>
      </c>
      <c r="D4" s="53" t="s">
        <v>172</v>
      </c>
      <c r="E4" s="53" t="s">
        <v>182</v>
      </c>
      <c r="F4" s="53" t="s">
        <v>168</v>
      </c>
      <c r="G4" s="53" t="s">
        <v>187</v>
      </c>
      <c r="H4" s="53" t="s">
        <v>205</v>
      </c>
      <c r="J4" t="s">
        <v>187</v>
      </c>
      <c r="K4" t="s">
        <v>203</v>
      </c>
    </row>
    <row r="5" spans="2:11" x14ac:dyDescent="0.3">
      <c r="B5" s="52"/>
      <c r="C5" s="52"/>
      <c r="D5" s="53" t="s">
        <v>173</v>
      </c>
      <c r="E5" s="53" t="s">
        <v>180</v>
      </c>
      <c r="F5" s="53" t="s">
        <v>202</v>
      </c>
      <c r="G5" s="53" t="s">
        <v>188</v>
      </c>
      <c r="H5" s="53" t="s">
        <v>206</v>
      </c>
    </row>
    <row r="6" spans="2:11" x14ac:dyDescent="0.3">
      <c r="B6" s="52"/>
      <c r="C6" s="52"/>
      <c r="D6" s="53" t="s">
        <v>174</v>
      </c>
      <c r="E6" s="53" t="s">
        <v>181</v>
      </c>
      <c r="F6" s="53" t="s">
        <v>203</v>
      </c>
      <c r="G6" s="53" t="s">
        <v>189</v>
      </c>
      <c r="H6" s="53" t="s">
        <v>219</v>
      </c>
    </row>
    <row r="7" spans="2:11" x14ac:dyDescent="0.3">
      <c r="B7" s="52"/>
      <c r="C7" s="52"/>
      <c r="D7" s="53" t="s">
        <v>175</v>
      </c>
      <c r="E7" s="53" t="s">
        <v>183</v>
      </c>
      <c r="F7" s="53" t="s">
        <v>204</v>
      </c>
      <c r="G7" s="53" t="s">
        <v>190</v>
      </c>
      <c r="H7" s="53" t="s">
        <v>207</v>
      </c>
    </row>
    <row r="8" spans="2:11" x14ac:dyDescent="0.3">
      <c r="B8" s="52"/>
      <c r="C8" s="52"/>
      <c r="D8" s="53" t="s">
        <v>176</v>
      </c>
      <c r="E8" s="53" t="s">
        <v>184</v>
      </c>
      <c r="F8" s="53"/>
      <c r="G8" s="53" t="s">
        <v>191</v>
      </c>
      <c r="H8" s="53" t="s">
        <v>208</v>
      </c>
    </row>
    <row r="9" spans="2:11" x14ac:dyDescent="0.3">
      <c r="B9" s="52"/>
      <c r="C9" s="52"/>
      <c r="D9" s="53" t="s">
        <v>177</v>
      </c>
      <c r="E9" s="53" t="s">
        <v>182</v>
      </c>
      <c r="F9" s="53"/>
      <c r="G9" s="53" t="s">
        <v>192</v>
      </c>
      <c r="H9" s="53" t="s">
        <v>209</v>
      </c>
    </row>
    <row r="10" spans="2:11" x14ac:dyDescent="0.3">
      <c r="B10" s="52"/>
      <c r="C10" s="52"/>
      <c r="D10" s="53" t="s">
        <v>178</v>
      </c>
      <c r="E10" s="53" t="s">
        <v>185</v>
      </c>
      <c r="F10" s="53"/>
      <c r="G10" s="53" t="s">
        <v>193</v>
      </c>
      <c r="H10" s="53" t="s">
        <v>210</v>
      </c>
    </row>
    <row r="11" spans="2:11" x14ac:dyDescent="0.3">
      <c r="B11" s="52"/>
      <c r="C11" s="52"/>
      <c r="D11" s="53" t="s">
        <v>179</v>
      </c>
      <c r="E11" s="53" t="s">
        <v>186</v>
      </c>
      <c r="F11" s="53"/>
      <c r="G11" s="53" t="s">
        <v>194</v>
      </c>
      <c r="H11" s="53" t="s">
        <v>211</v>
      </c>
    </row>
    <row r="12" spans="2:11" x14ac:dyDescent="0.3">
      <c r="B12" s="52"/>
      <c r="C12" s="52"/>
      <c r="D12" s="53"/>
      <c r="E12" s="53"/>
      <c r="F12" s="53"/>
      <c r="G12" s="53" t="s">
        <v>195</v>
      </c>
      <c r="H12" s="53" t="s">
        <v>212</v>
      </c>
    </row>
    <row r="13" spans="2:11" x14ac:dyDescent="0.3">
      <c r="B13" s="52"/>
      <c r="C13" s="52"/>
      <c r="D13" s="53"/>
      <c r="E13" s="53"/>
      <c r="F13" s="53"/>
      <c r="G13" s="53" t="s">
        <v>196</v>
      </c>
      <c r="H13" s="53" t="s">
        <v>213</v>
      </c>
    </row>
    <row r="14" spans="2:11" x14ac:dyDescent="0.3">
      <c r="B14" s="52"/>
      <c r="C14" s="52"/>
      <c r="D14" s="53"/>
      <c r="E14" s="53"/>
      <c r="F14" s="53"/>
      <c r="G14" s="53" t="s">
        <v>197</v>
      </c>
      <c r="H14" s="53" t="s">
        <v>214</v>
      </c>
    </row>
    <row r="15" spans="2:11" x14ac:dyDescent="0.3">
      <c r="B15" s="52"/>
      <c r="C15" s="52"/>
      <c r="D15" s="53"/>
      <c r="E15" s="53"/>
      <c r="F15" s="53"/>
      <c r="G15" s="53" t="s">
        <v>198</v>
      </c>
      <c r="H15" s="53" t="s">
        <v>215</v>
      </c>
    </row>
    <row r="16" spans="2:11" x14ac:dyDescent="0.3">
      <c r="B16" s="52"/>
      <c r="C16" s="52"/>
      <c r="D16" s="53"/>
      <c r="E16" s="53"/>
      <c r="F16" s="53"/>
      <c r="G16" s="53" t="s">
        <v>199</v>
      </c>
      <c r="H16" s="53" t="s">
        <v>216</v>
      </c>
    </row>
    <row r="17" spans="2:8" x14ac:dyDescent="0.3">
      <c r="B17" s="52"/>
      <c r="C17" s="52"/>
      <c r="D17" s="53"/>
      <c r="E17" s="53"/>
      <c r="F17" s="53"/>
      <c r="G17" s="53" t="s">
        <v>200</v>
      </c>
      <c r="H17" s="53" t="s">
        <v>217</v>
      </c>
    </row>
    <row r="18" spans="2:8" x14ac:dyDescent="0.3">
      <c r="B18" s="52"/>
      <c r="C18" s="52"/>
      <c r="D18" s="53"/>
      <c r="E18" s="53"/>
      <c r="F18" s="53"/>
      <c r="G18" s="53" t="s">
        <v>201</v>
      </c>
      <c r="H18" s="53" t="s">
        <v>218</v>
      </c>
    </row>
    <row r="24" spans="2:8" x14ac:dyDescent="0.3">
      <c r="C24" t="s">
        <v>165</v>
      </c>
    </row>
    <row r="25" spans="2:8" x14ac:dyDescent="0.3">
      <c r="C25" t="s">
        <v>220</v>
      </c>
    </row>
    <row r="26" spans="2:8" x14ac:dyDescent="0.3">
      <c r="C26" t="s">
        <v>221</v>
      </c>
    </row>
    <row r="27" spans="2:8" x14ac:dyDescent="0.3">
      <c r="C27" t="s">
        <v>222</v>
      </c>
    </row>
    <row r="28" spans="2:8" x14ac:dyDescent="0.3">
      <c r="C28" t="s">
        <v>223</v>
      </c>
    </row>
    <row r="29" spans="2:8" x14ac:dyDescent="0.3">
      <c r="C29" t="s">
        <v>224</v>
      </c>
    </row>
    <row r="30" spans="2:8" x14ac:dyDescent="0.3">
      <c r="C30" t="s">
        <v>165</v>
      </c>
    </row>
    <row r="33" spans="3:11" x14ac:dyDescent="0.3">
      <c r="J33">
        <v>1</v>
      </c>
      <c r="K33">
        <v>2</v>
      </c>
    </row>
    <row r="34" spans="3:11" x14ac:dyDescent="0.3">
      <c r="C34" s="56" t="s">
        <v>229</v>
      </c>
      <c r="D34" s="53" t="s">
        <v>227</v>
      </c>
      <c r="E34" s="53" t="s">
        <v>232</v>
      </c>
      <c r="F34" s="53" t="s">
        <v>230</v>
      </c>
      <c r="G34" s="53" t="s">
        <v>231</v>
      </c>
      <c r="H34" s="53" t="s">
        <v>233</v>
      </c>
      <c r="J34" t="s">
        <v>187</v>
      </c>
      <c r="K34" t="s">
        <v>203</v>
      </c>
    </row>
    <row r="35" spans="3:11" x14ac:dyDescent="0.3">
      <c r="C35" s="52" t="s">
        <v>228</v>
      </c>
      <c r="D35" s="53" t="s">
        <v>166</v>
      </c>
      <c r="E35" s="53" t="s">
        <v>237</v>
      </c>
      <c r="F35" s="53" t="s">
        <v>239</v>
      </c>
      <c r="G35" s="53" t="s">
        <v>241</v>
      </c>
      <c r="H35" s="53"/>
    </row>
    <row r="36" spans="3:11" x14ac:dyDescent="0.3">
      <c r="C36" s="52"/>
      <c r="D36" s="53" t="s">
        <v>234</v>
      </c>
      <c r="E36" s="53" t="s">
        <v>238</v>
      </c>
      <c r="F36" s="53" t="s">
        <v>240</v>
      </c>
      <c r="G36" s="53" t="s">
        <v>242</v>
      </c>
      <c r="H36" s="53"/>
    </row>
    <row r="37" spans="3:11" x14ac:dyDescent="0.3">
      <c r="C37" s="52"/>
      <c r="D37" s="53" t="s">
        <v>235</v>
      </c>
      <c r="E37" s="53"/>
      <c r="F37" s="53"/>
      <c r="G37" s="53" t="s">
        <v>243</v>
      </c>
      <c r="H37" s="53"/>
    </row>
    <row r="38" spans="3:11" x14ac:dyDescent="0.3">
      <c r="C38" s="52"/>
      <c r="D38" s="53" t="s">
        <v>236</v>
      </c>
      <c r="E38" s="53"/>
      <c r="F38" s="53"/>
      <c r="G38" s="53" t="s">
        <v>243</v>
      </c>
      <c r="H38" s="53"/>
    </row>
    <row r="39" spans="3:11" x14ac:dyDescent="0.3">
      <c r="C39" s="52"/>
      <c r="D39" s="53"/>
      <c r="E39" s="53"/>
      <c r="F39" s="53"/>
      <c r="G39" s="53" t="s">
        <v>244</v>
      </c>
      <c r="H39" s="53"/>
    </row>
    <row r="40" spans="3:11" x14ac:dyDescent="0.3">
      <c r="C40" s="52"/>
      <c r="D40" s="53"/>
      <c r="E40" s="53"/>
      <c r="F40" s="53"/>
      <c r="G40" s="53" t="s">
        <v>245</v>
      </c>
      <c r="H40" s="53"/>
    </row>
    <row r="41" spans="3:11" x14ac:dyDescent="0.3">
      <c r="C41" s="52"/>
      <c r="D41" s="53"/>
      <c r="E41" s="53"/>
      <c r="F41" s="53"/>
      <c r="G41" s="53"/>
      <c r="H41" s="53"/>
    </row>
    <row r="43" spans="3:11" x14ac:dyDescent="0.3">
      <c r="C43" t="s">
        <v>246</v>
      </c>
    </row>
    <row r="44" spans="3:11" x14ac:dyDescent="0.3">
      <c r="C44" t="s">
        <v>168</v>
      </c>
      <c r="D44" t="s">
        <v>247</v>
      </c>
    </row>
    <row r="45" spans="3:11" x14ac:dyDescent="0.3">
      <c r="D45" t="s">
        <v>248</v>
      </c>
    </row>
    <row r="46" spans="3:11" x14ac:dyDescent="0.3">
      <c r="D46" t="s">
        <v>249</v>
      </c>
    </row>
    <row r="47" spans="3:11" x14ac:dyDescent="0.3">
      <c r="D47" t="s">
        <v>250</v>
      </c>
    </row>
    <row r="48" spans="3:11" x14ac:dyDescent="0.3">
      <c r="D48" t="s">
        <v>251</v>
      </c>
    </row>
    <row r="49" spans="3:4" x14ac:dyDescent="0.3">
      <c r="C49" t="s">
        <v>172</v>
      </c>
      <c r="D49" t="s">
        <v>252</v>
      </c>
    </row>
    <row r="50" spans="3:4" x14ac:dyDescent="0.3">
      <c r="D50" t="s">
        <v>253</v>
      </c>
    </row>
    <row r="51" spans="3:4" x14ac:dyDescent="0.3">
      <c r="D51" t="s">
        <v>254</v>
      </c>
    </row>
    <row r="52" spans="3:4" x14ac:dyDescent="0.3">
      <c r="D52" t="s">
        <v>257</v>
      </c>
    </row>
    <row r="53" spans="3:4" x14ac:dyDescent="0.3">
      <c r="D53" t="s">
        <v>255</v>
      </c>
    </row>
    <row r="54" spans="3:4" x14ac:dyDescent="0.3">
      <c r="D54" t="s">
        <v>256</v>
      </c>
    </row>
    <row r="55" spans="3:4" x14ac:dyDescent="0.3">
      <c r="D55" t="s">
        <v>258</v>
      </c>
    </row>
    <row r="56" spans="3:4" x14ac:dyDescent="0.3">
      <c r="D56" t="s">
        <v>259</v>
      </c>
    </row>
    <row r="57" spans="3:4" x14ac:dyDescent="0.3">
      <c r="D57" t="s">
        <v>260</v>
      </c>
    </row>
    <row r="58" spans="3:4" x14ac:dyDescent="0.3">
      <c r="D58" t="s">
        <v>262</v>
      </c>
    </row>
    <row r="59" spans="3:4" x14ac:dyDescent="0.3">
      <c r="D59" t="s">
        <v>271</v>
      </c>
    </row>
    <row r="60" spans="3:4" x14ac:dyDescent="0.3">
      <c r="C60" t="s">
        <v>187</v>
      </c>
      <c r="D60" t="s">
        <v>263</v>
      </c>
    </row>
    <row r="61" spans="3:4" x14ac:dyDescent="0.3">
      <c r="D61" t="s">
        <v>261</v>
      </c>
    </row>
    <row r="62" spans="3:4" x14ac:dyDescent="0.3">
      <c r="D62" t="s">
        <v>251</v>
      </c>
    </row>
    <row r="63" spans="3:4" x14ac:dyDescent="0.3">
      <c r="D63" t="s">
        <v>264</v>
      </c>
    </row>
    <row r="64" spans="3:4" x14ac:dyDescent="0.3">
      <c r="D64" t="s">
        <v>265</v>
      </c>
    </row>
    <row r="65" spans="3:4" x14ac:dyDescent="0.3">
      <c r="D65" t="s">
        <v>266</v>
      </c>
    </row>
    <row r="66" spans="3:4" x14ac:dyDescent="0.3">
      <c r="D66" t="s">
        <v>267</v>
      </c>
    </row>
    <row r="67" spans="3:4" x14ac:dyDescent="0.3">
      <c r="C67" t="s">
        <v>182</v>
      </c>
      <c r="D67" t="s">
        <v>268</v>
      </c>
    </row>
    <row r="68" spans="3:4" x14ac:dyDescent="0.3">
      <c r="D68" t="s">
        <v>269</v>
      </c>
    </row>
    <row r="69" spans="3:4" x14ac:dyDescent="0.3">
      <c r="D69" t="s">
        <v>270</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16"/>
  <sheetViews>
    <sheetView topLeftCell="A7" workbookViewId="0">
      <selection activeCell="C21" sqref="C21"/>
    </sheetView>
  </sheetViews>
  <sheetFormatPr defaultRowHeight="14.4" x14ac:dyDescent="0.3"/>
  <cols>
    <col min="2" max="2" width="3" bestFit="1" customWidth="1"/>
    <col min="3" max="3" width="130" customWidth="1"/>
  </cols>
  <sheetData>
    <row r="2" spans="2:3" ht="15" customHeight="1" x14ac:dyDescent="0.3">
      <c r="B2" s="57">
        <v>1</v>
      </c>
      <c r="C2" s="59" t="s">
        <v>277</v>
      </c>
    </row>
    <row r="3" spans="2:3" x14ac:dyDescent="0.3">
      <c r="B3" s="57">
        <v>2</v>
      </c>
      <c r="C3" s="58" t="s">
        <v>278</v>
      </c>
    </row>
    <row r="4" spans="2:3" x14ac:dyDescent="0.3">
      <c r="B4" s="57">
        <v>3</v>
      </c>
      <c r="C4" s="57" t="s">
        <v>279</v>
      </c>
    </row>
    <row r="5" spans="2:3" x14ac:dyDescent="0.3">
      <c r="B5" s="57">
        <v>4</v>
      </c>
      <c r="C5" s="58" t="s">
        <v>280</v>
      </c>
    </row>
    <row r="6" spans="2:3" x14ac:dyDescent="0.3">
      <c r="B6" s="57">
        <v>5</v>
      </c>
      <c r="C6" s="57" t="s">
        <v>281</v>
      </c>
    </row>
    <row r="7" spans="2:3" ht="28.8" x14ac:dyDescent="0.3">
      <c r="B7" s="57">
        <v>6</v>
      </c>
      <c r="C7" s="58" t="s">
        <v>282</v>
      </c>
    </row>
    <row r="8" spans="2:3" ht="72" x14ac:dyDescent="0.3">
      <c r="B8" s="57">
        <v>7</v>
      </c>
      <c r="C8" s="58" t="s">
        <v>283</v>
      </c>
    </row>
    <row r="9" spans="2:3" x14ac:dyDescent="0.3">
      <c r="B9" s="57">
        <v>8</v>
      </c>
      <c r="C9" s="57" t="s">
        <v>284</v>
      </c>
    </row>
    <row r="10" spans="2:3" x14ac:dyDescent="0.3">
      <c r="B10" s="57">
        <v>9</v>
      </c>
      <c r="C10" s="57" t="s">
        <v>285</v>
      </c>
    </row>
    <row r="11" spans="2:3" x14ac:dyDescent="0.3">
      <c r="B11" s="57">
        <v>10</v>
      </c>
      <c r="C11" s="57" t="s">
        <v>286</v>
      </c>
    </row>
    <row r="12" spans="2:3" x14ac:dyDescent="0.3">
      <c r="B12" s="57">
        <v>11</v>
      </c>
      <c r="C12" s="57" t="s">
        <v>287</v>
      </c>
    </row>
    <row r="13" spans="2:3" x14ac:dyDescent="0.3">
      <c r="B13" s="57">
        <v>12</v>
      </c>
      <c r="C13" s="57" t="s">
        <v>288</v>
      </c>
    </row>
    <row r="14" spans="2:3" x14ac:dyDescent="0.3">
      <c r="B14" s="57">
        <v>13</v>
      </c>
      <c r="C14" s="57" t="s">
        <v>289</v>
      </c>
    </row>
    <row r="15" spans="2:3" x14ac:dyDescent="0.3">
      <c r="B15" s="57">
        <v>14</v>
      </c>
      <c r="C15" s="57" t="s">
        <v>291</v>
      </c>
    </row>
    <row r="16" spans="2:3" x14ac:dyDescent="0.3">
      <c r="B16" s="57">
        <v>15</v>
      </c>
      <c r="C16" s="57" t="s">
        <v>292</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2025-09-11T09:51:11Z</cp:lastPrinted>
  <dcterms:created xsi:type="dcterms:W3CDTF">2019-07-16T09:29:46Z</dcterms:created>
  <dcterms:modified xsi:type="dcterms:W3CDTF">2025-09-11T09:51:13Z</dcterms:modified>
</cp:coreProperties>
</file>