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909CF586-A73B-41ED-A89C-A9F3B32E334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" i="1" l="1"/>
  <c r="J149" i="1"/>
  <c r="J100" i="1"/>
  <c r="J134" i="1"/>
  <c r="K107" i="1"/>
  <c r="J172" i="1"/>
  <c r="J133" i="1"/>
  <c r="D149" i="1"/>
  <c r="D148" i="1"/>
  <c r="D166" i="1"/>
  <c r="E137" i="1"/>
  <c r="D138" i="1"/>
  <c r="D137" i="1"/>
  <c r="D133" i="1"/>
  <c r="D132" i="1"/>
  <c r="I131" i="1" s="1"/>
  <c r="K99" i="1" l="1"/>
  <c r="J99" i="1"/>
  <c r="K100" i="1"/>
  <c r="D136" i="1"/>
  <c r="D185" i="1"/>
  <c r="D186" i="1"/>
  <c r="D187" i="1"/>
  <c r="D188" i="1"/>
  <c r="D189" i="1"/>
  <c r="D190" i="1"/>
  <c r="D184" i="1"/>
  <c r="D182" i="1"/>
  <c r="D181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D167" i="1"/>
  <c r="A185" i="1"/>
  <c r="A186" i="1" s="1"/>
  <c r="A187" i="1" s="1"/>
  <c r="A188" i="1" s="1"/>
  <c r="A189" i="1" s="1"/>
  <c r="A190" i="1" s="1"/>
  <c r="G184" i="1"/>
  <c r="G185" i="1" s="1"/>
  <c r="G186" i="1" s="1"/>
  <c r="G187" i="1" s="1"/>
  <c r="G188" i="1" s="1"/>
  <c r="G189" i="1" s="1"/>
  <c r="G190" i="1" s="1"/>
  <c r="A176" i="1"/>
  <c r="A177" i="1" s="1"/>
  <c r="A178" i="1" s="1"/>
  <c r="A179" i="1" s="1"/>
  <c r="A180" i="1" s="1"/>
  <c r="A181" i="1" s="1"/>
  <c r="A182" i="1" s="1"/>
  <c r="G175" i="1"/>
  <c r="G176" i="1" s="1"/>
  <c r="G177" i="1" s="1"/>
  <c r="G178" i="1" s="1"/>
  <c r="G179" i="1" s="1"/>
  <c r="G180" i="1" s="1"/>
  <c r="G181" i="1" s="1"/>
  <c r="G182" i="1" s="1"/>
  <c r="D162" i="1"/>
  <c r="D161" i="1"/>
  <c r="D160" i="1"/>
  <c r="D159" i="1"/>
  <c r="D158" i="1"/>
  <c r="D157" i="1"/>
  <c r="D156" i="1"/>
  <c r="D155" i="1"/>
  <c r="D154" i="1"/>
  <c r="D152" i="1"/>
  <c r="D151" i="1"/>
  <c r="D150" i="1"/>
  <c r="D147" i="1"/>
  <c r="D146" i="1"/>
  <c r="D145" i="1"/>
  <c r="D144" i="1"/>
  <c r="D143" i="1"/>
  <c r="E138" i="1"/>
  <c r="D141" i="1"/>
  <c r="D140" i="1"/>
  <c r="D139" i="1"/>
  <c r="D135" i="1"/>
  <c r="D134" i="1"/>
  <c r="A155" i="1"/>
  <c r="A156" i="1" s="1"/>
  <c r="A157" i="1" s="1"/>
  <c r="A158" i="1" s="1"/>
  <c r="A159" i="1" s="1"/>
  <c r="A160" i="1" s="1"/>
  <c r="A161" i="1" s="1"/>
  <c r="A162" i="1" s="1"/>
  <c r="G154" i="1"/>
  <c r="G155" i="1" s="1"/>
  <c r="G156" i="1" s="1"/>
  <c r="G157" i="1" s="1"/>
  <c r="G158" i="1" s="1"/>
  <c r="G159" i="1" s="1"/>
  <c r="G160" i="1" s="1"/>
  <c r="G161" i="1" s="1"/>
  <c r="G162" i="1" s="1"/>
  <c r="A144" i="1"/>
  <c r="A145" i="1" s="1"/>
  <c r="A146" i="1" s="1"/>
  <c r="A147" i="1" s="1"/>
  <c r="A148" i="1" s="1"/>
  <c r="A149" i="1" s="1"/>
  <c r="A150" i="1" s="1"/>
  <c r="A151" i="1" s="1"/>
  <c r="A152" i="1" s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A133" i="1"/>
  <c r="A134" i="1" s="1"/>
  <c r="A135" i="1" s="1"/>
  <c r="A136" i="1" s="1"/>
  <c r="A137" i="1" s="1"/>
  <c r="A138" i="1" s="1"/>
  <c r="A139" i="1" s="1"/>
  <c r="A140" i="1" s="1"/>
  <c r="A141" i="1" s="1"/>
  <c r="G132" i="1"/>
  <c r="G133" i="1" s="1"/>
  <c r="G134" i="1" s="1"/>
  <c r="G135" i="1" s="1"/>
  <c r="G136" i="1" s="1"/>
  <c r="G137" i="1" s="1"/>
  <c r="G138" i="1" s="1"/>
  <c r="G139" i="1" s="1"/>
  <c r="G140" i="1" s="1"/>
  <c r="G141" i="1" s="1"/>
  <c r="D127" i="1"/>
  <c r="D126" i="1"/>
  <c r="D125" i="1"/>
  <c r="D124" i="1"/>
  <c r="D123" i="1"/>
  <c r="D122" i="1"/>
  <c r="J121" i="1"/>
  <c r="C114" i="1" l="1"/>
  <c r="E111" i="1"/>
  <c r="C111" i="1"/>
  <c r="E114" i="1"/>
  <c r="E115" i="1"/>
  <c r="C115" i="1"/>
  <c r="G114" i="1"/>
  <c r="C14" i="1"/>
  <c r="C116" i="1" l="1"/>
  <c r="E116" i="1"/>
  <c r="E29" i="1"/>
  <c r="A167" i="1" l="1"/>
  <c r="A168" i="1" s="1"/>
  <c r="A169" i="1" s="1"/>
  <c r="A170" i="1" s="1"/>
  <c r="A171" i="1" s="1"/>
  <c r="A172" i="1" s="1"/>
  <c r="A173" i="1" s="1"/>
  <c r="G166" i="1"/>
  <c r="G167" i="1" s="1"/>
  <c r="G168" i="1" s="1"/>
  <c r="G169" i="1" s="1"/>
  <c r="G170" i="1" s="1"/>
  <c r="G171" i="1" s="1"/>
  <c r="G172" i="1" s="1"/>
  <c r="G173" i="1" s="1"/>
  <c r="G115" i="1" l="1"/>
  <c r="G116" i="1" s="1"/>
  <c r="F108" i="1"/>
  <c r="G111" i="1" l="1"/>
  <c r="B217" i="1"/>
  <c r="A204" i="1"/>
  <c r="A210" i="1"/>
  <c r="A198" i="1"/>
  <c r="F214" i="1" l="1"/>
  <c r="F213" i="1"/>
  <c r="F212" i="1"/>
  <c r="F211" i="1"/>
  <c r="F210" i="1"/>
  <c r="F208" i="1"/>
  <c r="F207" i="1"/>
  <c r="F206" i="1"/>
  <c r="F205" i="1"/>
  <c r="F204" i="1"/>
  <c r="F202" i="1"/>
  <c r="F201" i="1"/>
  <c r="F200" i="1"/>
  <c r="F199" i="1"/>
  <c r="F198" i="1"/>
  <c r="F196" i="1"/>
  <c r="F195" i="1"/>
  <c r="F193" i="1"/>
  <c r="F192" i="1"/>
  <c r="F194" i="1"/>
  <c r="A205" i="1"/>
  <c r="A211" i="1"/>
  <c r="A199" i="1"/>
  <c r="B218" i="1" l="1"/>
  <c r="A200" i="1"/>
  <c r="A206" i="1"/>
  <c r="A2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9" i="1"/>
  <c r="G210" i="1"/>
  <c r="G211" i="1" s="1"/>
  <c r="G212" i="1" s="1"/>
  <c r="G213" i="1" s="1"/>
  <c r="G214" i="1" s="1"/>
  <c r="G204" i="1"/>
  <c r="G205" i="1" s="1"/>
  <c r="G206" i="1" s="1"/>
  <c r="G207" i="1" s="1"/>
  <c r="G208" i="1" s="1"/>
  <c r="G198" i="1"/>
  <c r="G199" i="1" s="1"/>
  <c r="G200" i="1" s="1"/>
  <c r="G201" i="1" s="1"/>
  <c r="G202" i="1" s="1"/>
  <c r="G192" i="1"/>
  <c r="G193" i="1" s="1"/>
  <c r="G194" i="1" s="1"/>
  <c r="G195" i="1" s="1"/>
  <c r="G196" i="1" s="1"/>
  <c r="A192" i="1"/>
  <c r="A193" i="1" s="1"/>
  <c r="A194" i="1" s="1"/>
  <c r="A195" i="1" s="1"/>
  <c r="A196" i="1" s="1"/>
  <c r="A123" i="1"/>
  <c r="A124" i="1" s="1"/>
  <c r="A125" i="1" s="1"/>
  <c r="A126" i="1" s="1"/>
  <c r="A127" i="1" s="1"/>
  <c r="G122" i="1"/>
  <c r="G123" i="1" s="1"/>
  <c r="G124" i="1" s="1"/>
  <c r="G125" i="1" s="1"/>
  <c r="G126" i="1" s="1"/>
  <c r="G127" i="1" s="1"/>
  <c r="J92" i="1"/>
  <c r="J91" i="1"/>
  <c r="J90" i="1"/>
  <c r="J89" i="1"/>
  <c r="C81" i="1"/>
  <c r="J78" i="1"/>
  <c r="J77" i="1"/>
  <c r="J76" i="1"/>
  <c r="J75" i="1"/>
  <c r="C67" i="1"/>
  <c r="D55" i="1"/>
  <c r="G49" i="1"/>
  <c r="G50" i="1" s="1"/>
  <c r="C49" i="1"/>
  <c r="E42" i="1"/>
  <c r="E43" i="1" s="1"/>
  <c r="E26" i="1"/>
  <c r="E24" i="1"/>
  <c r="E3" i="1"/>
  <c r="H68" i="1"/>
  <c r="A201" i="1"/>
  <c r="H82" i="1"/>
  <c r="A207" i="1"/>
  <c r="A213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J70" i="1"/>
  <c r="J73" i="1"/>
  <c r="J74" i="1" s="1"/>
  <c r="J87" i="1"/>
  <c r="J88" i="1" s="1"/>
  <c r="J93" i="1" s="1"/>
  <c r="J85" i="1"/>
  <c r="J86" i="1"/>
  <c r="C85" i="1" s="1"/>
  <c r="J84" i="1"/>
  <c r="A208" i="1"/>
  <c r="A214" i="1"/>
  <c r="A202" i="1"/>
  <c r="C71" i="1" l="1"/>
  <c r="D71" i="1" s="1"/>
  <c r="C72" i="1"/>
  <c r="E71" i="1" s="1"/>
  <c r="J79" i="1"/>
  <c r="J80" i="1" s="1"/>
  <c r="J94" i="1"/>
  <c r="C86" i="1" s="1"/>
  <c r="D86" i="1" s="1"/>
  <c r="D87" i="1"/>
  <c r="J83" i="1"/>
  <c r="D73" i="1"/>
  <c r="J69" i="1"/>
  <c r="D85" i="1"/>
  <c r="E85" i="1" l="1"/>
  <c r="G85" i="1"/>
  <c r="G71" i="1"/>
  <c r="D65" i="1" s="1"/>
  <c r="D66" i="1" s="1"/>
  <c r="D72" i="1"/>
  <c r="I68" i="1" s="1"/>
  <c r="J68" i="1"/>
  <c r="I82" i="1"/>
  <c r="I83" i="1" s="1"/>
  <c r="J82" i="1"/>
  <c r="F66" i="1" l="1"/>
  <c r="I81" i="1"/>
  <c r="C83" i="1" s="1"/>
  <c r="I69" i="1"/>
  <c r="I67" i="1" s="1"/>
  <c r="C69" i="1" s="1"/>
</calcChain>
</file>

<file path=xl/sharedStrings.xml><?xml version="1.0" encoding="utf-8"?>
<sst xmlns="http://schemas.openxmlformats.org/spreadsheetml/2006/main" count="321" uniqueCount="232">
  <si>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</si>
  <si>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</si>
  <si>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</si>
  <si>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</si>
  <si>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</si>
  <si>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</si>
  <si>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</si>
  <si>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</si>
  <si>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</si>
  <si>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</si>
  <si>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</si>
  <si>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</si>
  <si>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</si>
  <si>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</si>
  <si>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</si>
  <si>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</si>
  <si>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</si>
  <si>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</si>
  <si>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</si>
  <si>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</si>
  <si>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</si>
  <si>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</si>
  <si>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</si>
  <si>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</si>
  <si>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</si>
  <si>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</si>
  <si>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</si>
  <si>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</si>
  <si>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</si>
  <si>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</si>
  <si>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</si>
  <si>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</si>
  <si>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</si>
  <si>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</si>
  <si>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</si>
  <si>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</si>
  <si>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</si>
  <si>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</si>
  <si>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</si>
  <si>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</si>
  <si>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</si>
  <si>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</si>
  <si>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</si>
  <si>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</si>
  <si>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</si>
  <si>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</si>
  <si>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</si>
  <si>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</si>
  <si>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</si>
  <si>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</si>
  <si>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</si>
  <si>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</si>
  <si>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</si>
  <si>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</si>
  <si>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</si>
  <si>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</si>
  <si>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</si>
  <si>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</si>
  <si>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</si>
  <si>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</si>
  <si>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</si>
  <si>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</si>
  <si>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</si>
  <si>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</si>
  <si>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</si>
  <si>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</si>
  <si>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</si>
  <si>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</si>
  <si>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</si>
  <si>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</si>
  <si>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</si>
  <si>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</si>
  <si>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</si>
  <si>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</si>
  <si>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</si>
  <si>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</si>
  <si>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</si>
  <si>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</si>
  <si>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</si>
  <si>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</si>
  <si>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</si>
  <si>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</si>
  <si>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</si>
  <si>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</si>
  <si>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</si>
  <si>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</si>
  <si>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</si>
  <si>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</si>
  <si>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</si>
  <si>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</si>
  <si>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</si>
  <si>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</si>
  <si>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</si>
  <si>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</si>
  <si>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</si>
  <si>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</si>
  <si>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</si>
  <si>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</si>
  <si>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</si>
  <si>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</si>
  <si>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</si>
  <si>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</si>
  <si>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</si>
  <si>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</si>
  <si>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</si>
  <si>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</si>
  <si>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</si>
  <si>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</si>
  <si>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</si>
  <si>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</si>
  <si>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</si>
  <si>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</si>
  <si>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</si>
  <si>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</si>
  <si>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</si>
  <si>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</si>
  <si>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</si>
  <si>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</si>
  <si>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</si>
  <si>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</si>
  <si>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</si>
  <si>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</si>
  <si>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</si>
  <si>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</si>
  <si>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</si>
  <si>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</si>
  <si>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</si>
  <si>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</si>
  <si>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</si>
  <si>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</si>
  <si>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</si>
  <si>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</si>
  <si>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</si>
  <si>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</si>
  <si>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</si>
  <si>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</si>
  <si>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</si>
  <si>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</si>
  <si>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</si>
  <si>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</si>
  <si>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</si>
  <si>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</si>
  <si>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</si>
  <si>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</si>
  <si>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</si>
  <si>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</si>
  <si>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</si>
  <si>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</si>
  <si>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</si>
  <si>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</si>
  <si>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</si>
  <si>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</si>
  <si>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</si>
  <si>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</si>
  <si>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</si>
  <si>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</si>
  <si>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</si>
  <si>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</si>
  <si>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</si>
  <si>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</si>
  <si>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</si>
  <si>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</si>
  <si>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</si>
  <si>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</si>
  <si>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</si>
  <si>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</si>
  <si>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</si>
  <si>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</si>
  <si>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</si>
  <si>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</si>
  <si>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</si>
  <si>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</si>
  <si>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</si>
  <si>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</si>
  <si>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</si>
  <si>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On Site, we meet Mr. Pritam (9987992639)</t>
  </si>
  <si>
    <t>Name of the builder</t>
  </si>
  <si>
    <t>Mr.Walmik Raghunath Khairnar</t>
  </si>
  <si>
    <t>Om Sai Associates</t>
  </si>
  <si>
    <t>9152143757 / 9702096721</t>
  </si>
  <si>
    <t>Wing A &amp; B</t>
  </si>
  <si>
    <t>P52000035096</t>
  </si>
  <si>
    <t>Survey No</t>
  </si>
  <si>
    <t>2/2, 2/3</t>
  </si>
  <si>
    <t>Ghot</t>
  </si>
  <si>
    <t>Ghot Road</t>
  </si>
  <si>
    <t>Ghotkamp Koyana Vele</t>
  </si>
  <si>
    <t>Raigad</t>
  </si>
  <si>
    <t>Panvel</t>
  </si>
  <si>
    <t>Mahaavir Majesty</t>
  </si>
  <si>
    <t>Taloja East</t>
  </si>
  <si>
    <t>Arihant Amber</t>
  </si>
  <si>
    <t>Open Plot</t>
  </si>
  <si>
    <t>Taloje River</t>
  </si>
  <si>
    <t>Sai Amber Residency</t>
  </si>
  <si>
    <t>https://goo.gl/maps/nKEZACsBJ8cD5mvj8</t>
  </si>
  <si>
    <t>2 Wings</t>
  </si>
  <si>
    <t>Panvel Municipal Corporation</t>
  </si>
  <si>
    <t>As per RERA - 31/12/2026</t>
  </si>
  <si>
    <t>A Wing = G + 1st to 10th Floor</t>
  </si>
  <si>
    <t>B Wing = G + 1st to 10th Floor</t>
  </si>
  <si>
    <t>Wing A &amp; B = G + 1st to 10th Floor</t>
  </si>
  <si>
    <t>Wing A</t>
  </si>
  <si>
    <t>Ground Floor For Commercial &amp; Parking</t>
  </si>
  <si>
    <t>Shop</t>
  </si>
  <si>
    <t>1st Floor For Residential</t>
  </si>
  <si>
    <t>2nd to 7th, 9th &amp; 10th Floor</t>
  </si>
  <si>
    <t>8th Floor (Part Refuge Area)</t>
  </si>
  <si>
    <t>Wing B</t>
  </si>
  <si>
    <t>Ground Floor For Parking only</t>
  </si>
  <si>
    <t>Wing A (Shops)</t>
  </si>
  <si>
    <t>REMARK</t>
  </si>
  <si>
    <t>Builder Saleable area :</t>
  </si>
  <si>
    <t>We considered Gross carpet area = Net carpet + Enclose balcony + Balcony</t>
  </si>
  <si>
    <t>Layout Plan :</t>
  </si>
  <si>
    <t>Site Location is adjoining to the Taloje River at 15m as per approved plan.</t>
  </si>
  <si>
    <t>PMP/NRV/16335/J.K.946-1/2022</t>
  </si>
  <si>
    <t>PMC/TP/Ghot/2/2, 2/3/21-22/16335/946/1/2022</t>
  </si>
  <si>
    <t>Flats - 178, Shops - 6</t>
  </si>
  <si>
    <t>Residential Area Details : Flats</t>
  </si>
  <si>
    <t>Site Person - Contact Details ( Name &amp; Contact No.)</t>
  </si>
  <si>
    <t>As per Layout</t>
  </si>
  <si>
    <t>Building</t>
  </si>
  <si>
    <t>River</t>
  </si>
  <si>
    <t>Office No. 1031, Wing J, Akshar Business Park, Plot No. 03 Sector 25, Near APMC Market, Vashi, Navi Mumbai, Maharashtra 400703 TEL: 022-46090378/79/80
Email : vsjcapf@gmail.com. Web site : www.vsjadon.com</t>
  </si>
  <si>
    <t>2.2 KM from Nitlas Phata Bus Stop</t>
  </si>
  <si>
    <t xml:space="preserve">                                                                                                                                                                                      </t>
  </si>
  <si>
    <t>Miss. Shweta : 8655417670</t>
  </si>
  <si>
    <t>Vitrified tiles flooring, Kitchen Platform, Decorative Entrance</t>
  </si>
  <si>
    <t>Construction work is in process at the time of Visit (labour found).</t>
  </si>
  <si>
    <t>Sunil Peravi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</si>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</sst>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9" xfId="0" applyFont="1" applyBorder="1"/>
    <xf numFmtId="0" fontId="10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left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10" fillId="0" borderId="32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10" fillId="0" borderId="19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3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627901</xdr:colOff>
      <xdr:row>250</xdr:row>
      <xdr:rowOff>78441</xdr:rowOff>
    </xdr:from>
    <xdr:to>
      <xdr:col>9</xdr:col>
      <xdr:colOff>293218</xdr:colOff>
      <xdr:row>251</xdr:row>
      <xdr:rowOff>186204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473201" y="45347591"/>
          <a:ext cx="884517" cy="304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</a:rPr>
            <a:t>wing</a:t>
          </a:r>
          <a:r>
            <a:rPr lang="en-IN" sz="1800" b="1" baseline="0">
              <a:solidFill>
                <a:srgbClr val="FF0000"/>
              </a:solidFill>
            </a:rPr>
            <a:t> B</a:t>
          </a:r>
          <a:endParaRPr lang="en-IN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389589</xdr:colOff>
      <xdr:row>239</xdr:row>
      <xdr:rowOff>0</xdr:rowOff>
    </xdr:from>
    <xdr:to>
      <xdr:col>11</xdr:col>
      <xdr:colOff>546098</xdr:colOff>
      <xdr:row>240</xdr:row>
      <xdr:rowOff>112619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254189" y="43110150"/>
          <a:ext cx="893109" cy="309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</a:rPr>
            <a:t>wing</a:t>
          </a:r>
          <a:r>
            <a:rPr lang="en-IN" sz="1800" b="1" baseline="0">
              <a:solidFill>
                <a:srgbClr val="FF0000"/>
              </a:solidFill>
            </a:rPr>
            <a:t> B</a:t>
          </a:r>
          <a:endParaRPr lang="en-IN" sz="18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536864</xdr:colOff>
      <xdr:row>322</xdr:row>
      <xdr:rowOff>25977</xdr:rowOff>
    </xdr:from>
    <xdr:to>
      <xdr:col>7</xdr:col>
      <xdr:colOff>222986</xdr:colOff>
      <xdr:row>336</xdr:row>
      <xdr:rowOff>117750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64" y="61349659"/>
          <a:ext cx="5375145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22514</xdr:colOff>
      <xdr:row>337</xdr:row>
      <xdr:rowOff>134215</xdr:rowOff>
    </xdr:from>
    <xdr:to>
      <xdr:col>6</xdr:col>
      <xdr:colOff>610266</xdr:colOff>
      <xdr:row>357</xdr:row>
      <xdr:rowOff>111034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514" y="64445283"/>
          <a:ext cx="473545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479373</xdr:colOff>
      <xdr:row>344</xdr:row>
      <xdr:rowOff>187388</xdr:rowOff>
    </xdr:from>
    <xdr:to>
      <xdr:col>4</xdr:col>
      <xdr:colOff>370513</xdr:colOff>
      <xdr:row>350</xdr:row>
      <xdr:rowOff>63934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21051651">
          <a:off x="2886600" y="65892570"/>
          <a:ext cx="834981" cy="10715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365913</xdr:colOff>
      <xdr:row>280</xdr:row>
      <xdr:rowOff>190500</xdr:rowOff>
    </xdr:from>
    <xdr:to>
      <xdr:col>6</xdr:col>
      <xdr:colOff>358573</xdr:colOff>
      <xdr:row>299</xdr:row>
      <xdr:rowOff>6477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913" y="52751182"/>
          <a:ext cx="414036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294409</xdr:colOff>
      <xdr:row>299</xdr:row>
      <xdr:rowOff>173549</xdr:rowOff>
    </xdr:from>
    <xdr:to>
      <xdr:col>6</xdr:col>
      <xdr:colOff>466704</xdr:colOff>
      <xdr:row>319</xdr:row>
      <xdr:rowOff>33423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810" b="5712"/>
        <a:stretch/>
      </xdr:blipFill>
      <xdr:spPr>
        <a:xfrm rot="16200000">
          <a:off x="1294881" y="56279782"/>
          <a:ext cx="3843056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567670</xdr:colOff>
      <xdr:row>316</xdr:row>
      <xdr:rowOff>12123</xdr:rowOff>
    </xdr:from>
    <xdr:to>
      <xdr:col>6</xdr:col>
      <xdr:colOff>85358</xdr:colOff>
      <xdr:row>317</xdr:row>
      <xdr:rowOff>146339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4011910" y="58587063"/>
          <a:ext cx="1117888" cy="332336"/>
          <a:chOff x="3914775" y="63465075"/>
          <a:chExt cx="1076325" cy="333375"/>
        </a:xfrm>
      </xdr:grpSpPr>
      <xdr:cxnSp macro="">
        <xdr:nvCxnSpPr>
          <xdr:cNvPr id="42" name="Straight Arrow Connector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CxnSpPr/>
        </xdr:nvCxnSpPr>
        <xdr:spPr>
          <a:xfrm>
            <a:off x="3914775" y="63684150"/>
            <a:ext cx="752475" cy="952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4657725" y="63465075"/>
            <a:ext cx="33337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N</a:t>
            </a:r>
          </a:p>
        </xdr:txBody>
      </xdr:sp>
    </xdr:grpSp>
    <xdr:clientData/>
  </xdr:twoCellAnchor>
  <xdr:twoCellAnchor>
    <xdr:from>
      <xdr:col>8</xdr:col>
      <xdr:colOff>248740</xdr:colOff>
      <xdr:row>235</xdr:row>
      <xdr:rowOff>23948</xdr:rowOff>
    </xdr:from>
    <xdr:to>
      <xdr:col>15</xdr:col>
      <xdr:colOff>609057</xdr:colOff>
      <xdr:row>275</xdr:row>
      <xdr:rowOff>37555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946720" y="42558788"/>
          <a:ext cx="6143897" cy="7930787"/>
          <a:chOff x="340180" y="43783703"/>
          <a:chExt cx="5995307" cy="8005082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/>
        </xdr:nvGrpSpPr>
        <xdr:grpSpPr>
          <a:xfrm>
            <a:off x="340180" y="43783703"/>
            <a:ext cx="5995307" cy="8005082"/>
            <a:chOff x="308381" y="329431"/>
            <a:chExt cx="6321425" cy="8542868"/>
          </a:xfrm>
        </xdr:grpSpPr>
        <xdr:pic>
          <xdr:nvPicPr>
            <xdr:cNvPr id="33" name="Picture 32" descr="https://vsjcllp.vsjadon.com/upload/insp-236819-1525.jpg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54426" y="6712299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36819-843.jpg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13906" y="329431"/>
              <a:ext cx="2927717" cy="390769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56" descr="https://vsjcllp.vsjadon.com/upload/insp-236819-844.jpg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8381" y="4394711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36819-847.jpg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9447" y="4394711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36819-874.jpg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11493" y="4394711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36819-931.jpg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92594" y="6694714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1" name="Picture 60" descr="https://vsjcllp.vsjadon.com/upload/insp-236819-851.jpg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0999" y="43786425"/>
            <a:ext cx="2775600" cy="3704658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312420</xdr:colOff>
      <xdr:row>240</xdr:row>
      <xdr:rowOff>22860</xdr:rowOff>
    </xdr:from>
    <xdr:to>
      <xdr:col>7</xdr:col>
      <xdr:colOff>506331</xdr:colOff>
      <xdr:row>276</xdr:row>
      <xdr:rowOff>44021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8866D94-25A4-85F0-9378-DD7E2A78C080}"/>
            </a:ext>
          </a:extLst>
        </xdr:cNvPr>
        <xdr:cNvGrpSpPr/>
      </xdr:nvGrpSpPr>
      <xdr:grpSpPr>
        <a:xfrm>
          <a:off x="312420" y="43548300"/>
          <a:ext cx="6038451" cy="7145861"/>
          <a:chOff x="150703" y="201918"/>
          <a:chExt cx="6038451" cy="7145861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888005F1-F22A-8E1E-E315-E8B1F72F413E}"/>
              </a:ext>
            </a:extLst>
          </xdr:cNvPr>
          <xdr:cNvGrpSpPr/>
        </xdr:nvGrpSpPr>
        <xdr:grpSpPr>
          <a:xfrm>
            <a:off x="1727745" y="5547779"/>
            <a:ext cx="2884367" cy="1800000"/>
            <a:chOff x="690140" y="5547779"/>
            <a:chExt cx="2884367" cy="180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1D3D990-23F9-AC9B-6742-815EB18522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90140" y="554777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5A323F7-A06D-AF4D-651D-3E43C348BE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913" y="554777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20B0FF7E-1D29-8911-9F8F-CCD28085E98D}"/>
              </a:ext>
            </a:extLst>
          </xdr:cNvPr>
          <xdr:cNvGrpSpPr/>
        </xdr:nvGrpSpPr>
        <xdr:grpSpPr>
          <a:xfrm>
            <a:off x="150703" y="201918"/>
            <a:ext cx="6038451" cy="2521641"/>
            <a:chOff x="150703" y="201918"/>
            <a:chExt cx="6038451" cy="2521641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60B3F842-603C-01A1-6A39-3446F966C8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913" y="20191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49ECFBA-0E71-4509-B344-BE4548B8C4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0703" y="20355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1D068699-DE6C-3431-BC67-6AF08506AF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1123" y="20191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D8A5A16-6200-B438-66B2-387C13969C96}"/>
              </a:ext>
            </a:extLst>
          </xdr:cNvPr>
          <xdr:cNvGrpSpPr/>
        </xdr:nvGrpSpPr>
        <xdr:grpSpPr>
          <a:xfrm>
            <a:off x="453879" y="2875669"/>
            <a:ext cx="5432099" cy="2520000"/>
            <a:chOff x="150703" y="2875669"/>
            <a:chExt cx="5432099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6372F5FC-4FE0-16FD-D0ED-C9D25C0662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913" y="2875669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87954E53-72FE-3230-48DB-3981141F62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0703" y="28756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KEZACsBJ8cD5mvj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1"/>
  <sheetViews>
    <sheetView tabSelected="1" view="pageBreakPreview" topLeftCell="A62" zoomScaleNormal="100" zoomScaleSheetLayoutView="100" zoomScalePageLayoutView="85" workbookViewId="0">
      <selection activeCell="P75" sqref="P75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12.4414062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57" t="s">
        <v>224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">
      <c r="A2" s="81" t="s">
        <v>0</v>
      </c>
      <c r="B2" s="81"/>
      <c r="C2" s="81"/>
      <c r="D2" s="81"/>
      <c r="E2" s="81"/>
      <c r="F2" s="81"/>
      <c r="G2" s="81"/>
      <c r="H2" s="81"/>
    </row>
    <row r="3" spans="1:8" x14ac:dyDescent="0.3">
      <c r="A3" s="140" t="s">
        <v>1</v>
      </c>
      <c r="B3" s="140"/>
      <c r="C3" s="140"/>
      <c r="D3" s="140"/>
      <c r="E3" s="140" t="str">
        <f ca="1">TEXT(TODAY(),"DD/MM/YYYY")</f>
        <v>15/09/2025</v>
      </c>
      <c r="F3" s="140"/>
      <c r="G3" s="140"/>
      <c r="H3" s="140"/>
    </row>
    <row r="4" spans="1:8" ht="15" customHeight="1" x14ac:dyDescent="0.3">
      <c r="A4" s="140" t="s">
        <v>2</v>
      </c>
      <c r="B4" s="140"/>
      <c r="C4" s="140"/>
      <c r="D4" s="140"/>
      <c r="E4" s="140" t="s">
        <v>174</v>
      </c>
      <c r="F4" s="140"/>
      <c r="G4" s="140"/>
      <c r="H4" s="140"/>
    </row>
    <row r="5" spans="1:8" x14ac:dyDescent="0.3">
      <c r="A5" s="140" t="s">
        <v>3</v>
      </c>
      <c r="B5" s="140"/>
      <c r="C5" s="140"/>
      <c r="D5" s="140"/>
      <c r="E5" s="156">
        <v>45908</v>
      </c>
      <c r="F5" s="140"/>
      <c r="G5" s="140"/>
      <c r="H5" s="140"/>
    </row>
    <row r="6" spans="1:8" ht="16.5" customHeight="1" x14ac:dyDescent="0.3">
      <c r="A6" s="140" t="s">
        <v>176</v>
      </c>
      <c r="B6" s="140"/>
      <c r="C6" s="140"/>
      <c r="D6" s="140"/>
      <c r="E6" s="140" t="s">
        <v>177</v>
      </c>
      <c r="F6" s="140"/>
      <c r="G6" s="140"/>
      <c r="H6" s="140"/>
    </row>
    <row r="7" spans="1:8" ht="15" customHeight="1" x14ac:dyDescent="0.3">
      <c r="A7" s="140" t="s">
        <v>4</v>
      </c>
      <c r="B7" s="140"/>
      <c r="C7" s="140"/>
      <c r="D7" s="140"/>
      <c r="E7" s="123" t="s">
        <v>178</v>
      </c>
      <c r="F7" s="123"/>
      <c r="G7" s="123"/>
      <c r="H7" s="123"/>
    </row>
    <row r="8" spans="1:8" x14ac:dyDescent="0.3">
      <c r="A8" s="140" t="s">
        <v>5</v>
      </c>
      <c r="B8" s="140"/>
      <c r="C8" s="140"/>
      <c r="D8" s="140"/>
      <c r="E8" s="158" t="s">
        <v>194</v>
      </c>
      <c r="F8" s="159"/>
      <c r="G8" s="159"/>
      <c r="H8" s="159"/>
    </row>
    <row r="9" spans="1:8" x14ac:dyDescent="0.3">
      <c r="A9" s="140" t="s">
        <v>125</v>
      </c>
      <c r="B9" s="140"/>
      <c r="C9" s="140"/>
      <c r="D9" s="140"/>
      <c r="E9" s="140" t="s">
        <v>179</v>
      </c>
      <c r="F9" s="140"/>
      <c r="G9" s="140"/>
      <c r="H9" s="140"/>
    </row>
    <row r="10" spans="1:8" x14ac:dyDescent="0.3">
      <c r="A10" s="140" t="s">
        <v>220</v>
      </c>
      <c r="B10" s="140"/>
      <c r="C10" s="140"/>
      <c r="D10" s="140"/>
      <c r="E10" s="140" t="s">
        <v>227</v>
      </c>
      <c r="F10" s="140"/>
      <c r="G10" s="140"/>
      <c r="H10" s="140"/>
    </row>
    <row r="11" spans="1:8" x14ac:dyDescent="0.3">
      <c r="A11" s="140" t="s">
        <v>6</v>
      </c>
      <c r="B11" s="140"/>
      <c r="C11" s="140"/>
      <c r="D11" s="140"/>
      <c r="E11" s="140" t="s">
        <v>180</v>
      </c>
      <c r="F11" s="140"/>
      <c r="G11" s="140"/>
      <c r="H11" s="140"/>
    </row>
    <row r="12" spans="1:8" ht="32.25" customHeight="1" x14ac:dyDescent="0.3">
      <c r="A12" s="76" t="s">
        <v>7</v>
      </c>
      <c r="B12" s="76"/>
      <c r="C12" s="76"/>
      <c r="D12" s="76"/>
      <c r="E12" s="154" t="s">
        <v>106</v>
      </c>
      <c r="F12" s="154"/>
      <c r="G12" s="154"/>
      <c r="H12" s="154"/>
    </row>
    <row r="13" spans="1:8" x14ac:dyDescent="0.3">
      <c r="A13" s="76" t="s">
        <v>8</v>
      </c>
      <c r="B13" s="76"/>
      <c r="C13" s="76"/>
      <c r="D13" s="76"/>
      <c r="E13" s="154" t="s">
        <v>181</v>
      </c>
      <c r="F13" s="123"/>
      <c r="G13" s="123"/>
      <c r="H13" s="123"/>
    </row>
    <row r="14" spans="1:8" ht="33.75" customHeight="1" x14ac:dyDescent="0.3">
      <c r="A14" s="129" t="s">
        <v>9</v>
      </c>
      <c r="B14" s="129"/>
      <c r="C14" s="12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 Amber Residency, Survey No.2/2, 2/3, near Mahaavir Majesty, Ghot Road, Ghotkamp Koyana Vele, Ghot, Taloja East, Panvel, Raigad - 410206.</v>
      </c>
      <c r="D14" s="129"/>
      <c r="E14" s="129"/>
      <c r="F14" s="129"/>
      <c r="G14" s="129"/>
      <c r="H14" s="129"/>
    </row>
    <row r="15" spans="1:8" x14ac:dyDescent="0.3">
      <c r="A15" s="154" t="s">
        <v>182</v>
      </c>
      <c r="B15" s="154"/>
      <c r="C15" s="154" t="s">
        <v>183</v>
      </c>
      <c r="D15" s="154"/>
      <c r="E15" s="154"/>
      <c r="F15" s="154"/>
      <c r="G15" s="154"/>
      <c r="H15" s="154"/>
    </row>
    <row r="16" spans="1:8" ht="15.75" customHeight="1" x14ac:dyDescent="0.3">
      <c r="A16" s="78" t="s">
        <v>171</v>
      </c>
      <c r="B16" s="79"/>
      <c r="C16" s="78" t="s">
        <v>186</v>
      </c>
      <c r="D16" s="80"/>
      <c r="E16" s="80"/>
      <c r="F16" s="80"/>
      <c r="G16" s="80"/>
      <c r="H16" s="79"/>
    </row>
    <row r="17" spans="1:8" ht="15.75" customHeight="1" x14ac:dyDescent="0.3">
      <c r="A17" s="129" t="s">
        <v>10</v>
      </c>
      <c r="B17" s="129"/>
      <c r="C17" s="83" t="s">
        <v>185</v>
      </c>
      <c r="D17" s="83"/>
      <c r="E17" s="129" t="s">
        <v>172</v>
      </c>
      <c r="F17" s="129"/>
      <c r="G17" s="83" t="s">
        <v>184</v>
      </c>
      <c r="H17" s="83"/>
    </row>
    <row r="18" spans="1:8" x14ac:dyDescent="0.3">
      <c r="A18" s="76" t="s">
        <v>12</v>
      </c>
      <c r="B18" s="76"/>
      <c r="C18" s="83" t="s">
        <v>190</v>
      </c>
      <c r="D18" s="83"/>
      <c r="E18" s="129" t="s">
        <v>11</v>
      </c>
      <c r="F18" s="129"/>
      <c r="G18" s="155" t="s">
        <v>187</v>
      </c>
      <c r="H18" s="155"/>
    </row>
    <row r="19" spans="1:8" x14ac:dyDescent="0.3">
      <c r="A19" s="76" t="s">
        <v>73</v>
      </c>
      <c r="B19" s="76"/>
      <c r="C19" s="83" t="s">
        <v>188</v>
      </c>
      <c r="D19" s="83"/>
      <c r="E19" s="129" t="s">
        <v>13</v>
      </c>
      <c r="F19" s="129"/>
      <c r="G19" s="83">
        <v>410206</v>
      </c>
      <c r="H19" s="83"/>
    </row>
    <row r="20" spans="1:8" ht="32.25" customHeight="1" x14ac:dyDescent="0.3">
      <c r="A20" s="76" t="s">
        <v>126</v>
      </c>
      <c r="B20" s="76"/>
      <c r="C20" s="83" t="s">
        <v>189</v>
      </c>
      <c r="D20" s="83"/>
      <c r="E20" s="129" t="s">
        <v>14</v>
      </c>
      <c r="F20" s="129"/>
      <c r="G20" s="154" t="s">
        <v>225</v>
      </c>
      <c r="H20" s="154"/>
    </row>
    <row r="21" spans="1:8" ht="15" customHeight="1" x14ac:dyDescent="0.3">
      <c r="A21" s="129" t="s">
        <v>76</v>
      </c>
      <c r="B21" s="129"/>
      <c r="C21" s="129"/>
      <c r="D21" s="129"/>
      <c r="E21" s="140" t="s">
        <v>15</v>
      </c>
      <c r="F21" s="140"/>
      <c r="G21" s="140"/>
      <c r="H21" s="140"/>
    </row>
    <row r="22" spans="1:8" ht="18.75" customHeight="1" x14ac:dyDescent="0.3">
      <c r="A22" s="129"/>
      <c r="B22" s="129"/>
      <c r="C22" s="129"/>
      <c r="D22" s="129"/>
      <c r="E22" s="140"/>
      <c r="F22" s="140"/>
      <c r="G22" s="140"/>
      <c r="H22" s="140"/>
    </row>
    <row r="23" spans="1:8" ht="15" customHeight="1" x14ac:dyDescent="0.3">
      <c r="A23" s="129" t="s">
        <v>16</v>
      </c>
      <c r="B23" s="129"/>
      <c r="C23" s="129"/>
      <c r="D23" s="129"/>
      <c r="E23" s="83" t="s">
        <v>17</v>
      </c>
      <c r="F23" s="83"/>
      <c r="G23" s="83"/>
      <c r="H23" s="83"/>
    </row>
    <row r="24" spans="1:8" ht="15" customHeight="1" x14ac:dyDescent="0.3">
      <c r="A24" s="76" t="s">
        <v>18</v>
      </c>
      <c r="B24" s="76"/>
      <c r="C24" s="76"/>
      <c r="D24" s="76"/>
      <c r="E24" s="83" t="str">
        <f>IF(AND(G18="Mumbai"),"Upper Class","Middle Class")</f>
        <v>Middle Class</v>
      </c>
      <c r="F24" s="83"/>
      <c r="G24" s="83"/>
      <c r="H24" s="83"/>
    </row>
    <row r="25" spans="1:8" x14ac:dyDescent="0.3">
      <c r="A25" s="76" t="s">
        <v>19</v>
      </c>
      <c r="B25" s="76"/>
      <c r="C25" s="76"/>
      <c r="D25" s="76"/>
      <c r="E25" s="83" t="s">
        <v>20</v>
      </c>
      <c r="F25" s="83"/>
      <c r="G25" s="83"/>
      <c r="H25" s="83"/>
    </row>
    <row r="26" spans="1:8" ht="15.75" customHeight="1" x14ac:dyDescent="0.3">
      <c r="A26" s="76" t="s">
        <v>21</v>
      </c>
      <c r="B26" s="76"/>
      <c r="C26" s="76"/>
      <c r="D26" s="76"/>
      <c r="E26" s="83" t="str">
        <f>IF(AND(G18="Mumbai"),"Developed","Developing")</f>
        <v>Developing</v>
      </c>
      <c r="F26" s="83"/>
      <c r="G26" s="83"/>
      <c r="H26" s="83"/>
    </row>
    <row r="27" spans="1:8" x14ac:dyDescent="0.3">
      <c r="A27" s="76" t="s">
        <v>22</v>
      </c>
      <c r="B27" s="76"/>
      <c r="C27" s="76"/>
      <c r="D27" s="76"/>
      <c r="E27" s="83" t="s">
        <v>23</v>
      </c>
      <c r="F27" s="83"/>
      <c r="G27" s="83"/>
      <c r="H27" s="83"/>
    </row>
    <row r="28" spans="1:8" ht="15.75" customHeight="1" x14ac:dyDescent="0.3">
      <c r="A28" s="76" t="s">
        <v>81</v>
      </c>
      <c r="B28" s="76"/>
      <c r="C28" s="76"/>
      <c r="D28" s="76"/>
      <c r="E28" s="83" t="s">
        <v>82</v>
      </c>
      <c r="F28" s="83"/>
      <c r="G28" s="83"/>
      <c r="H28" s="83"/>
    </row>
    <row r="29" spans="1:8" ht="15" customHeight="1" x14ac:dyDescent="0.3">
      <c r="A29" s="76" t="s">
        <v>33</v>
      </c>
      <c r="B29" s="76"/>
      <c r="C29" s="76"/>
      <c r="D29" s="76"/>
      <c r="E29" s="8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83"/>
      <c r="G29" s="83"/>
      <c r="H29" s="83"/>
    </row>
    <row r="30" spans="1:8" ht="15.75" customHeight="1" x14ac:dyDescent="0.3">
      <c r="A30" s="76" t="s">
        <v>93</v>
      </c>
      <c r="B30" s="76"/>
      <c r="C30" s="76"/>
      <c r="D30" s="76"/>
      <c r="E30" s="83" t="s">
        <v>34</v>
      </c>
      <c r="F30" s="83"/>
      <c r="G30" s="83"/>
      <c r="H30" s="83"/>
    </row>
    <row r="31" spans="1:8" s="19" customFormat="1" x14ac:dyDescent="0.3">
      <c r="A31" s="153" t="s">
        <v>94</v>
      </c>
      <c r="B31" s="153"/>
      <c r="C31" s="152" t="s">
        <v>221</v>
      </c>
      <c r="D31" s="152"/>
      <c r="E31" s="152"/>
      <c r="F31" s="152" t="s">
        <v>29</v>
      </c>
      <c r="G31" s="152"/>
      <c r="H31" s="152"/>
    </row>
    <row r="32" spans="1:8" s="19" customFormat="1" x14ac:dyDescent="0.3">
      <c r="A32" s="131" t="s">
        <v>24</v>
      </c>
      <c r="B32" s="131" t="s">
        <v>28</v>
      </c>
      <c r="C32" s="132" t="s">
        <v>222</v>
      </c>
      <c r="D32" s="133"/>
      <c r="E32" s="134"/>
      <c r="F32" s="136" t="s">
        <v>191</v>
      </c>
      <c r="G32" s="136"/>
      <c r="H32" s="136"/>
    </row>
    <row r="33" spans="1:8" x14ac:dyDescent="0.3">
      <c r="A33" s="131" t="s">
        <v>25</v>
      </c>
      <c r="B33" s="131" t="s">
        <v>28</v>
      </c>
      <c r="C33" s="132" t="s">
        <v>192</v>
      </c>
      <c r="D33" s="133"/>
      <c r="E33" s="134"/>
      <c r="F33" s="136" t="s">
        <v>192</v>
      </c>
      <c r="G33" s="136"/>
      <c r="H33" s="136"/>
    </row>
    <row r="34" spans="1:8" s="19" customFormat="1" x14ac:dyDescent="0.3">
      <c r="A34" s="131" t="s">
        <v>27</v>
      </c>
      <c r="B34" s="131" t="s">
        <v>28</v>
      </c>
      <c r="C34" s="132" t="s">
        <v>10</v>
      </c>
      <c r="D34" s="133"/>
      <c r="E34" s="134"/>
      <c r="F34" s="136" t="s">
        <v>185</v>
      </c>
      <c r="G34" s="136"/>
      <c r="H34" s="136"/>
    </row>
    <row r="35" spans="1:8" x14ac:dyDescent="0.3">
      <c r="A35" s="131" t="s">
        <v>26</v>
      </c>
      <c r="B35" s="131" t="s">
        <v>28</v>
      </c>
      <c r="C35" s="132" t="s">
        <v>223</v>
      </c>
      <c r="D35" s="133"/>
      <c r="E35" s="134"/>
      <c r="F35" s="136" t="s">
        <v>193</v>
      </c>
      <c r="G35" s="136"/>
      <c r="H35" s="136"/>
    </row>
    <row r="36" spans="1:8" x14ac:dyDescent="0.3">
      <c r="A36" s="76" t="s">
        <v>30</v>
      </c>
      <c r="B36" s="76"/>
      <c r="C36" s="76"/>
      <c r="D36" s="76"/>
      <c r="E36" s="76"/>
      <c r="F36" s="76"/>
      <c r="G36" s="76"/>
      <c r="H36" s="76"/>
    </row>
    <row r="37" spans="1:8" ht="15.75" customHeight="1" x14ac:dyDescent="0.3">
      <c r="A37" s="81" t="s">
        <v>31</v>
      </c>
      <c r="B37" s="81"/>
      <c r="C37" s="138">
        <v>19.083082000000001</v>
      </c>
      <c r="D37" s="138"/>
      <c r="E37" s="81" t="s">
        <v>32</v>
      </c>
      <c r="F37" s="81"/>
      <c r="G37" s="139">
        <v>73.111654000000001</v>
      </c>
      <c r="H37" s="139"/>
    </row>
    <row r="38" spans="1:8" x14ac:dyDescent="0.3">
      <c r="A38" s="81" t="s">
        <v>170</v>
      </c>
      <c r="B38" s="81"/>
      <c r="C38" s="82" t="s">
        <v>195</v>
      </c>
      <c r="D38" s="83"/>
      <c r="E38" s="83"/>
      <c r="F38" s="83"/>
      <c r="G38" s="83"/>
      <c r="H38" s="83"/>
    </row>
    <row r="39" spans="1:8" x14ac:dyDescent="0.3">
      <c r="A39" s="137" t="s">
        <v>35</v>
      </c>
      <c r="B39" s="137"/>
      <c r="C39" s="137"/>
      <c r="D39" s="137"/>
      <c r="E39" s="137"/>
      <c r="F39" s="137"/>
      <c r="G39" s="137"/>
      <c r="H39" s="137"/>
    </row>
    <row r="40" spans="1:8" x14ac:dyDescent="0.3">
      <c r="A40" s="76" t="s">
        <v>36</v>
      </c>
      <c r="B40" s="76"/>
      <c r="C40" s="76"/>
      <c r="D40" s="76"/>
      <c r="E40" s="135">
        <v>3472.0360000000001</v>
      </c>
      <c r="F40" s="135"/>
      <c r="G40" s="135"/>
      <c r="H40" s="135"/>
    </row>
    <row r="41" spans="1:8" x14ac:dyDescent="0.3">
      <c r="A41" s="76" t="s">
        <v>37</v>
      </c>
      <c r="B41" s="76"/>
      <c r="C41" s="76"/>
      <c r="D41" s="76"/>
      <c r="E41" s="121">
        <v>1.1000000000000001</v>
      </c>
      <c r="F41" s="121"/>
      <c r="G41" s="121"/>
      <c r="H41" s="121"/>
    </row>
    <row r="42" spans="1:8" x14ac:dyDescent="0.3">
      <c r="A42" s="76" t="s">
        <v>38</v>
      </c>
      <c r="B42" s="76"/>
      <c r="C42" s="76"/>
      <c r="D42" s="76"/>
      <c r="E42" s="121">
        <f>E44/E40-E41</f>
        <v>1.4845374299114407</v>
      </c>
      <c r="F42" s="121"/>
      <c r="G42" s="121"/>
      <c r="H42" s="121"/>
    </row>
    <row r="43" spans="1:8" x14ac:dyDescent="0.3">
      <c r="A43" s="76" t="s">
        <v>39</v>
      </c>
      <c r="B43" s="76"/>
      <c r="C43" s="76"/>
      <c r="D43" s="76"/>
      <c r="E43" s="121">
        <f>E41+E42</f>
        <v>2.5845374299114408</v>
      </c>
      <c r="F43" s="121"/>
      <c r="G43" s="121"/>
      <c r="H43" s="121"/>
    </row>
    <row r="44" spans="1:8" x14ac:dyDescent="0.3">
      <c r="A44" s="76" t="s">
        <v>92</v>
      </c>
      <c r="B44" s="76"/>
      <c r="C44" s="76"/>
      <c r="D44" s="76"/>
      <c r="E44" s="122">
        <v>8973.607</v>
      </c>
      <c r="F44" s="122"/>
      <c r="G44" s="122"/>
      <c r="H44" s="122"/>
    </row>
    <row r="45" spans="1:8" x14ac:dyDescent="0.3">
      <c r="A45" s="140" t="s">
        <v>40</v>
      </c>
      <c r="B45" s="140"/>
      <c r="C45" s="140"/>
      <c r="D45" s="140"/>
      <c r="E45" s="123" t="s">
        <v>196</v>
      </c>
      <c r="F45" s="123"/>
      <c r="G45" s="123"/>
      <c r="H45" s="123"/>
    </row>
    <row r="46" spans="1:8" x14ac:dyDescent="0.3">
      <c r="A46" s="137" t="s">
        <v>41</v>
      </c>
      <c r="B46" s="137"/>
      <c r="C46" s="137"/>
      <c r="D46" s="137"/>
      <c r="E46" s="137"/>
      <c r="F46" s="137"/>
      <c r="G46" s="137"/>
      <c r="H46" s="137"/>
    </row>
    <row r="47" spans="1:8" ht="33.75" customHeight="1" x14ac:dyDescent="0.3">
      <c r="A47" s="72" t="s">
        <v>157</v>
      </c>
      <c r="B47" s="74"/>
      <c r="C47" s="84" t="s">
        <v>197</v>
      </c>
      <c r="D47" s="85"/>
      <c r="E47" s="85"/>
      <c r="F47" s="85"/>
      <c r="G47" s="85"/>
      <c r="H47" s="86"/>
    </row>
    <row r="48" spans="1:8" ht="15.75" customHeight="1" x14ac:dyDescent="0.3">
      <c r="A48" s="72" t="s">
        <v>42</v>
      </c>
      <c r="B48" s="74"/>
      <c r="C48" s="72" t="s">
        <v>216</v>
      </c>
      <c r="D48" s="73"/>
      <c r="E48" s="74"/>
      <c r="F48" s="15" t="s">
        <v>43</v>
      </c>
      <c r="G48" s="146">
        <v>44651</v>
      </c>
      <c r="H48" s="74"/>
    </row>
    <row r="49" spans="1:14" x14ac:dyDescent="0.3">
      <c r="A49" s="72" t="s">
        <v>44</v>
      </c>
      <c r="B49" s="74"/>
      <c r="C49" s="72" t="str">
        <f>C48</f>
        <v>PMP/NRV/16335/J.K.946-1/2022</v>
      </c>
      <c r="D49" s="73"/>
      <c r="E49" s="74"/>
      <c r="F49" s="15" t="s">
        <v>43</v>
      </c>
      <c r="G49" s="146">
        <f>G48</f>
        <v>44651</v>
      </c>
      <c r="H49" s="147"/>
    </row>
    <row r="50" spans="1:14" s="20" customFormat="1" ht="33.75" customHeight="1" x14ac:dyDescent="0.3">
      <c r="A50" s="148" t="s">
        <v>161</v>
      </c>
      <c r="B50" s="149"/>
      <c r="C50" s="72" t="s">
        <v>217</v>
      </c>
      <c r="D50" s="73"/>
      <c r="E50" s="74"/>
      <c r="F50" s="15" t="s">
        <v>43</v>
      </c>
      <c r="G50" s="146">
        <f>G49</f>
        <v>44651</v>
      </c>
      <c r="H50" s="147"/>
    </row>
    <row r="51" spans="1:14" s="20" customFormat="1" x14ac:dyDescent="0.3">
      <c r="A51" s="150"/>
      <c r="B51" s="151"/>
      <c r="C51" s="72" t="s">
        <v>201</v>
      </c>
      <c r="D51" s="73"/>
      <c r="E51" s="73"/>
      <c r="F51" s="73"/>
      <c r="G51" s="73"/>
      <c r="H51" s="74"/>
    </row>
    <row r="52" spans="1:14" x14ac:dyDescent="0.3">
      <c r="A52" s="185" t="s">
        <v>173</v>
      </c>
      <c r="B52" s="186"/>
      <c r="C52" s="180" t="s">
        <v>28</v>
      </c>
      <c r="D52" s="181"/>
      <c r="E52" s="182"/>
      <c r="F52" s="48" t="s">
        <v>43</v>
      </c>
      <c r="G52" s="183" t="s">
        <v>28</v>
      </c>
      <c r="H52" s="184"/>
    </row>
    <row r="53" spans="1:14" x14ac:dyDescent="0.3">
      <c r="A53" s="187"/>
      <c r="B53" s="188"/>
      <c r="C53" s="180" t="s">
        <v>28</v>
      </c>
      <c r="D53" s="181"/>
      <c r="E53" s="181"/>
      <c r="F53" s="181"/>
      <c r="G53" s="181"/>
      <c r="H53" s="182"/>
    </row>
    <row r="54" spans="1:14" x14ac:dyDescent="0.3">
      <c r="A54" s="166" t="s">
        <v>46</v>
      </c>
      <c r="B54" s="166"/>
      <c r="C54" s="166"/>
      <c r="D54" s="166"/>
      <c r="E54" s="166"/>
      <c r="F54" s="166"/>
      <c r="G54" s="166"/>
      <c r="H54" s="166"/>
    </row>
    <row r="55" spans="1:14" x14ac:dyDescent="0.3">
      <c r="A55" s="129" t="s">
        <v>91</v>
      </c>
      <c r="B55" s="129"/>
      <c r="C55" s="129"/>
      <c r="D55" s="76">
        <f>E44</f>
        <v>8973.607</v>
      </c>
      <c r="E55" s="76"/>
      <c r="F55" s="76"/>
      <c r="G55" s="76"/>
      <c r="H55" s="76"/>
    </row>
    <row r="56" spans="1:14" x14ac:dyDescent="0.3">
      <c r="A56" s="83" t="s">
        <v>47</v>
      </c>
      <c r="B56" s="140"/>
      <c r="C56" s="140"/>
      <c r="D56" s="140" t="s">
        <v>218</v>
      </c>
      <c r="E56" s="140"/>
      <c r="F56" s="140"/>
      <c r="G56" s="140"/>
      <c r="H56" s="140"/>
      <c r="I56" s="21"/>
    </row>
    <row r="57" spans="1:14" x14ac:dyDescent="0.3">
      <c r="A57" s="143" t="s">
        <v>48</v>
      </c>
      <c r="B57" s="144"/>
      <c r="C57" s="145"/>
      <c r="D57" s="141" t="s">
        <v>201</v>
      </c>
      <c r="E57" s="142"/>
      <c r="F57" s="142"/>
      <c r="G57" s="142"/>
      <c r="H57" s="142"/>
    </row>
    <row r="58" spans="1:14" ht="15.75" customHeight="1" x14ac:dyDescent="0.3">
      <c r="A58" s="143" t="s">
        <v>89</v>
      </c>
      <c r="B58" s="144"/>
      <c r="C58" s="144"/>
      <c r="D58" s="191" t="s">
        <v>199</v>
      </c>
      <c r="E58" s="192"/>
      <c r="F58" s="192"/>
      <c r="G58" s="192"/>
      <c r="H58" s="193"/>
    </row>
    <row r="59" spans="1:14" ht="15.75" customHeight="1" x14ac:dyDescent="0.3">
      <c r="A59" s="189"/>
      <c r="B59" s="190"/>
      <c r="C59" s="190"/>
      <c r="D59" s="195" t="s">
        <v>200</v>
      </c>
      <c r="E59" s="196"/>
      <c r="F59" s="196"/>
      <c r="G59" s="196"/>
      <c r="H59" s="197"/>
    </row>
    <row r="60" spans="1:14" ht="15.75" customHeight="1" x14ac:dyDescent="0.3">
      <c r="A60" s="76" t="s">
        <v>45</v>
      </c>
      <c r="B60" s="76"/>
      <c r="C60" s="76"/>
      <c r="D60" s="118" t="s">
        <v>198</v>
      </c>
      <c r="E60" s="118"/>
      <c r="F60" s="118"/>
      <c r="G60" s="118"/>
      <c r="H60" s="118"/>
      <c r="J60" s="22"/>
      <c r="K60" s="21"/>
      <c r="N60" s="21"/>
    </row>
    <row r="61" spans="1:14" ht="15.75" customHeight="1" x14ac:dyDescent="0.3">
      <c r="A61" s="76" t="s">
        <v>87</v>
      </c>
      <c r="B61" s="76"/>
      <c r="C61" s="76"/>
      <c r="D61" s="120" t="str">
        <f>(IF(G52="NA","60 Years After Completion",IF(G52&lt;&gt;"NA",""&amp;60-ROUNDDOWN((E3-G52)/360,0)&amp;" Years"," ")))</f>
        <v>60 Years After Completion</v>
      </c>
      <c r="E61" s="120"/>
      <c r="F61" s="120"/>
      <c r="G61" s="120"/>
      <c r="H61" s="120"/>
      <c r="N61" s="21"/>
    </row>
    <row r="62" spans="1:14" ht="15.75" customHeight="1" x14ac:dyDescent="0.3">
      <c r="A62" s="76" t="s">
        <v>88</v>
      </c>
      <c r="B62" s="76"/>
      <c r="C62" s="76"/>
      <c r="D62" s="129" t="s">
        <v>23</v>
      </c>
      <c r="E62" s="129"/>
      <c r="F62" s="129"/>
      <c r="G62" s="129"/>
      <c r="H62" s="129"/>
      <c r="J62" s="23"/>
      <c r="K62" s="23"/>
    </row>
    <row r="63" spans="1:14" x14ac:dyDescent="0.3">
      <c r="A63" s="76" t="s">
        <v>74</v>
      </c>
      <c r="B63" s="76"/>
      <c r="C63" s="76"/>
      <c r="D63" s="83" t="s">
        <v>228</v>
      </c>
      <c r="E63" s="129"/>
      <c r="F63" s="129"/>
      <c r="G63" s="129"/>
      <c r="H63" s="129"/>
    </row>
    <row r="64" spans="1:14" x14ac:dyDescent="0.3">
      <c r="A64" s="129" t="s">
        <v>154</v>
      </c>
      <c r="B64" s="129"/>
      <c r="C64" s="129"/>
      <c r="D64" s="129" t="s">
        <v>28</v>
      </c>
      <c r="E64" s="129"/>
      <c r="F64" s="129"/>
      <c r="G64" s="129"/>
      <c r="H64" s="129"/>
      <c r="I64" s="24"/>
      <c r="J64" s="24"/>
      <c r="K64" s="24"/>
      <c r="L64" s="24"/>
      <c r="M64" s="24"/>
      <c r="N64" s="24"/>
    </row>
    <row r="65" spans="1:10" ht="15.75" customHeight="1" x14ac:dyDescent="0.3">
      <c r="A65" s="162" t="s">
        <v>86</v>
      </c>
      <c r="B65" s="162"/>
      <c r="C65" s="162"/>
      <c r="D65" s="161" t="str">
        <f ca="1">(IF(G71&gt;95%,"Nothing",IF(G71&gt;0%,"Cement, Aggregate, Steel, etc",IF(G71=0%,"Work not yet Started"))))</f>
        <v>Cement, Aggregate, Steel, etc</v>
      </c>
      <c r="E65" s="161"/>
      <c r="F65" s="161"/>
      <c r="G65" s="161"/>
      <c r="H65" s="161"/>
      <c r="J65" s="23"/>
    </row>
    <row r="66" spans="1:10" ht="33.75" customHeight="1" thickBot="1" x14ac:dyDescent="0.35">
      <c r="A66" s="160" t="s">
        <v>119</v>
      </c>
      <c r="B66" s="160"/>
      <c r="C66" s="160"/>
      <c r="D66" s="161" t="str">
        <f ca="1">(IF(D65="Nothing","Yes",IF(D65="Cement, Aggregate, Steel, etc","Under Construction",IF(D65="Work not yet Started","Work not yet Started"))))</f>
        <v>Under Construction</v>
      </c>
      <c r="E66" s="161"/>
      <c r="F66" s="161" t="str">
        <f ca="1">(IF(D65="Nothing","Yes",IF(D65="Cement, Aggregate, Steel, etc","Under Construction",IF(D65="Work not yet Started","Work not yet Started"))))</f>
        <v>Under Construction</v>
      </c>
      <c r="G66" s="161"/>
      <c r="H66" s="161"/>
    </row>
    <row r="67" spans="1:10" ht="15.75" customHeight="1" x14ac:dyDescent="0.3">
      <c r="A67" s="124" t="s">
        <v>144</v>
      </c>
      <c r="B67" s="125"/>
      <c r="C67" s="126" t="str">
        <f>D58</f>
        <v>A Wing = G + 1st to 10th Floor</v>
      </c>
      <c r="D67" s="127"/>
      <c r="E67" s="127"/>
      <c r="F67" s="127"/>
      <c r="G67" s="127"/>
      <c r="H67" s="128"/>
      <c r="I67" s="44" t="str">
        <f ca="1">IF(D80=100%,"All work Completed. Possession granted to the Building.",IF(D79=100%,"All work Completed, Waiting for OC",I68&amp;""&amp;I69&amp;""&amp;J68&amp;""&amp;J67&amp;" "&amp;J69))</f>
        <v>Excavation, Plinth Completed, RCC upto 9 Slab, Brickwork upto 7 Floor, Internal Plaster upto 4 Floor, External Plaster upto 2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9 Slab, Brickwork upto 7 Floor, Internal Plaster upto 4 Floor, External Plaster upto 2 Floor</v>
      </c>
    </row>
    <row r="68" spans="1:10" x14ac:dyDescent="0.3">
      <c r="A68" s="53" t="s">
        <v>146</v>
      </c>
      <c r="B68" s="54">
        <v>0</v>
      </c>
      <c r="C68" s="54" t="s">
        <v>72</v>
      </c>
      <c r="D68" s="54">
        <v>1</v>
      </c>
      <c r="E68" s="54" t="s">
        <v>71</v>
      </c>
      <c r="F68" s="54">
        <v>0</v>
      </c>
      <c r="G68" s="54" t="s">
        <v>80</v>
      </c>
      <c r="H68" s="55">
        <f ca="1">--TRIM(RIGHT(SUBSTITUTE(LEFT(C67,_xlfn.AGGREGATE(16,6,FIND({0,1,2,3,4,5,6,7,8,9},C67,ROW(INDIRECT("1:"&amp;LEN(C67)))),1))," ",REPT(" ",LEN(C67))),LEN(C67)))</f>
        <v>10</v>
      </c>
      <c r="I68" s="4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3">
      <c r="A69" s="117" t="s">
        <v>90</v>
      </c>
      <c r="B69" s="117"/>
      <c r="C69" s="130" t="str">
        <f ca="1">(IF($C$53=C67,"All work Completed. OC Received.",I67))</f>
        <v>Excavation, Plinth Completed, RCC upto 9 Slab, Brickwork upto 7 Floor, Internal Plaster upto 4 Floor, External Plaster upto 2 Floor Completed</v>
      </c>
      <c r="D69" s="130"/>
      <c r="E69" s="130"/>
      <c r="F69" s="130"/>
      <c r="G69" s="130"/>
      <c r="H69" s="130"/>
      <c r="I69" s="59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">
      <c r="A70" s="94" t="s">
        <v>49</v>
      </c>
      <c r="B70" s="94"/>
      <c r="C70" s="41" t="s">
        <v>143</v>
      </c>
      <c r="D70" s="41" t="s">
        <v>83</v>
      </c>
      <c r="E70" s="94" t="s">
        <v>85</v>
      </c>
      <c r="F70" s="94"/>
      <c r="G70" s="94" t="s">
        <v>84</v>
      </c>
      <c r="H70" s="94"/>
      <c r="I70" s="13" t="s">
        <v>145</v>
      </c>
      <c r="J70" s="25">
        <f ca="1">H68*25%</f>
        <v>2.5</v>
      </c>
    </row>
    <row r="71" spans="1:10" x14ac:dyDescent="0.3">
      <c r="A71" s="94" t="s">
        <v>132</v>
      </c>
      <c r="B71" s="94"/>
      <c r="C71" s="41">
        <f ca="1">J72</f>
        <v>10</v>
      </c>
      <c r="D71" s="16">
        <f ca="1">((100/H68)*C71)/100</f>
        <v>1</v>
      </c>
      <c r="E71" s="119">
        <f ca="1">(((C72/H68*10)+(40/(D68+F68+H68)*C73)+(7.5/(H68)*C74)+(7.5/(H68)*C75)+(10/H68*C76)+(10/H68*C77)+(5/H68*C78)+(5/H68*C79)+(5/H68*C80))/100)</f>
        <v>0.52977272727272728</v>
      </c>
      <c r="F71" s="119"/>
      <c r="G71" s="119">
        <f ca="1">((((C71/H68)*20)+((C72/H68)*25)+(30/(H68+F68+D68)*C73)+(5/H68*C74)+(5/H68*C75)+(5/H68*C76)+(5/H68*C77)+(0/H68*C78)+(0/H68*C79)+(5/H68*C80))/100)</f>
        <v>0.76045454545454549</v>
      </c>
      <c r="H71" s="119"/>
      <c r="I71" s="13" t="s">
        <v>101</v>
      </c>
      <c r="J71" s="26">
        <f ca="1">H68*50%</f>
        <v>5</v>
      </c>
    </row>
    <row r="72" spans="1:10" x14ac:dyDescent="0.3">
      <c r="A72" s="94" t="s">
        <v>50</v>
      </c>
      <c r="B72" s="94"/>
      <c r="C72" s="57">
        <f ca="1">J72</f>
        <v>10</v>
      </c>
      <c r="D72" s="16">
        <f ca="1">((100/H68)*C72)/100</f>
        <v>1</v>
      </c>
      <c r="E72" s="119"/>
      <c r="F72" s="119"/>
      <c r="G72" s="119"/>
      <c r="H72" s="119"/>
      <c r="I72" s="13" t="s">
        <v>102</v>
      </c>
      <c r="J72" s="26">
        <f ca="1">H68</f>
        <v>10</v>
      </c>
    </row>
    <row r="73" spans="1:10" ht="15.75" customHeight="1" x14ac:dyDescent="0.3">
      <c r="A73" s="94" t="s">
        <v>133</v>
      </c>
      <c r="B73" s="94"/>
      <c r="C73" s="41">
        <v>9</v>
      </c>
      <c r="D73" s="16">
        <f ca="1">((100/(D68+F68+H68))*C73)/100</f>
        <v>0.81818181818181823</v>
      </c>
      <c r="E73" s="119"/>
      <c r="F73" s="119"/>
      <c r="G73" s="119"/>
      <c r="H73" s="119"/>
      <c r="I73" s="13" t="s">
        <v>103</v>
      </c>
      <c r="J73" s="27">
        <f ca="1">(IF(B68&gt;1,(H68/(B68+2)),H68/4))</f>
        <v>2.5</v>
      </c>
    </row>
    <row r="74" spans="1:10" ht="15.75" customHeight="1" x14ac:dyDescent="0.3">
      <c r="A74" s="94" t="s">
        <v>140</v>
      </c>
      <c r="B74" s="94" t="s">
        <v>134</v>
      </c>
      <c r="C74" s="41">
        <v>7</v>
      </c>
      <c r="D74" s="16">
        <f ca="1">((100/H68)*C74)/100</f>
        <v>0.7</v>
      </c>
      <c r="E74" s="119"/>
      <c r="F74" s="119"/>
      <c r="G74" s="119"/>
      <c r="H74" s="119"/>
      <c r="I74" s="13" t="s">
        <v>104</v>
      </c>
      <c r="J74" s="27">
        <f ca="1">(IF(B68&gt;1,(H68/(B68+2)+J73),H68/4+J73))</f>
        <v>5</v>
      </c>
    </row>
    <row r="75" spans="1:10" ht="15.75" customHeight="1" x14ac:dyDescent="0.3">
      <c r="A75" s="94" t="s">
        <v>141</v>
      </c>
      <c r="B75" s="94" t="s">
        <v>134</v>
      </c>
      <c r="C75" s="41">
        <v>4</v>
      </c>
      <c r="D75" s="16">
        <f ca="1">((100/H68)*C75)/100</f>
        <v>0.4</v>
      </c>
      <c r="E75" s="119"/>
      <c r="F75" s="119"/>
      <c r="G75" s="119"/>
      <c r="H75" s="119"/>
      <c r="I75" s="13" t="s">
        <v>152</v>
      </c>
      <c r="J75" s="27">
        <f>(IF(B68&gt;1,(H68/(B68+2)+J74),0))</f>
        <v>0</v>
      </c>
    </row>
    <row r="76" spans="1:10" ht="15" customHeight="1" x14ac:dyDescent="0.3">
      <c r="A76" s="94" t="s">
        <v>139</v>
      </c>
      <c r="B76" s="94" t="s">
        <v>136</v>
      </c>
      <c r="C76" s="41">
        <v>2</v>
      </c>
      <c r="D76" s="16">
        <f ca="1">((100/(H68))*C76)/100</f>
        <v>0.2</v>
      </c>
      <c r="E76" s="119"/>
      <c r="F76" s="119"/>
      <c r="G76" s="119"/>
      <c r="H76" s="119"/>
      <c r="I76" s="13" t="s">
        <v>147</v>
      </c>
      <c r="J76" s="27">
        <f>(IF(B68&gt;2,(H68/(B68+2)+J75),0))</f>
        <v>0</v>
      </c>
    </row>
    <row r="77" spans="1:10" ht="15.75" customHeight="1" x14ac:dyDescent="0.3">
      <c r="A77" s="94" t="s">
        <v>135</v>
      </c>
      <c r="B77" s="94" t="s">
        <v>135</v>
      </c>
      <c r="C77" s="41">
        <v>0</v>
      </c>
      <c r="D77" s="16">
        <f ca="1">((100/H68)*C77)/100</f>
        <v>0</v>
      </c>
      <c r="E77" s="119"/>
      <c r="F77" s="119"/>
      <c r="G77" s="119"/>
      <c r="H77" s="119"/>
      <c r="I77" s="13" t="s">
        <v>148</v>
      </c>
      <c r="J77" s="28">
        <f>(IF(B68&gt;3,(H68/(B68+2)+J76),0))</f>
        <v>0</v>
      </c>
    </row>
    <row r="78" spans="1:10" ht="15.75" customHeight="1" x14ac:dyDescent="0.3">
      <c r="A78" s="94" t="s">
        <v>142</v>
      </c>
      <c r="B78" s="94"/>
      <c r="C78" s="41">
        <v>0</v>
      </c>
      <c r="D78" s="16">
        <f ca="1">((100/H68)*C78)/100</f>
        <v>0</v>
      </c>
      <c r="E78" s="119"/>
      <c r="F78" s="119"/>
      <c r="G78" s="119"/>
      <c r="H78" s="119"/>
      <c r="I78" s="13" t="s">
        <v>149</v>
      </c>
      <c r="J78" s="27">
        <f>(IF(B68&gt;4,(H68/(B68+2)+J77),0))</f>
        <v>0</v>
      </c>
    </row>
    <row r="79" spans="1:10" ht="15.75" customHeight="1" x14ac:dyDescent="0.3">
      <c r="A79" s="94" t="s">
        <v>137</v>
      </c>
      <c r="B79" s="94" t="s">
        <v>137</v>
      </c>
      <c r="C79" s="41">
        <v>0</v>
      </c>
      <c r="D79" s="16">
        <f ca="1">((100/(H68))*C79)/100</f>
        <v>0</v>
      </c>
      <c r="E79" s="119"/>
      <c r="F79" s="119"/>
      <c r="G79" s="119"/>
      <c r="H79" s="119"/>
      <c r="I79" s="13" t="s">
        <v>153</v>
      </c>
      <c r="J79" s="27">
        <f ca="1">(IF(B68=1,(H68/(B68+3)+J74),IF(B68=0,(H68/4+J74),IF(B68&gt;1,0))))</f>
        <v>7.5</v>
      </c>
    </row>
    <row r="80" spans="1:10" ht="16.2" thickBot="1" x14ac:dyDescent="0.35">
      <c r="A80" s="94" t="s">
        <v>138</v>
      </c>
      <c r="B80" s="94"/>
      <c r="C80" s="41">
        <v>0</v>
      </c>
      <c r="D80" s="16">
        <f ca="1">((100/(H68))*C80)/100</f>
        <v>0</v>
      </c>
      <c r="E80" s="119"/>
      <c r="F80" s="119"/>
      <c r="G80" s="119"/>
      <c r="H80" s="119"/>
      <c r="I80" s="14" t="s">
        <v>105</v>
      </c>
      <c r="J80" s="29">
        <f ca="1">(IF(B68&gt;1.5,(H68/(B68+2)+J74+MAX(0,J75-J74)+MAX(0,J76-J75)+MAX(0,J77-J76)+MAX(0,J78-J77)+MAX(0,J79-J78)),IF(B68=1,(H68/(B68+3)+J79),IF(B68=0,H68/4+J79))))</f>
        <v>10</v>
      </c>
    </row>
    <row r="81" spans="1:10" ht="15.75" customHeight="1" x14ac:dyDescent="0.3">
      <c r="A81" s="170" t="s">
        <v>144</v>
      </c>
      <c r="B81" s="171"/>
      <c r="C81" s="172" t="str">
        <f>D59</f>
        <v>B Wing = G + 1st to 10th Floor</v>
      </c>
      <c r="D81" s="173"/>
      <c r="E81" s="173"/>
      <c r="F81" s="173"/>
      <c r="G81" s="173"/>
      <c r="H81" s="174"/>
      <c r="I81" s="44" t="str">
        <f ca="1">IF(D94=100%,"All work Completed. Possession granted to the Building.",IF(D93=100%,"All work Completed, Waiting for OC",I82&amp;""&amp;I83&amp;""&amp;J82&amp;""&amp;J81&amp;" "&amp;J83))</f>
        <v>Excavation, Plinth Completed, RCC upto 6 Slab, Brickwork upto 4 Floor Completed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6 Slab, Brickwork upto 4 Floor</v>
      </c>
    </row>
    <row r="82" spans="1:10" x14ac:dyDescent="0.3">
      <c r="A82" s="53" t="s">
        <v>146</v>
      </c>
      <c r="B82" s="54">
        <v>0</v>
      </c>
      <c r="C82" s="54" t="s">
        <v>72</v>
      </c>
      <c r="D82" s="54">
        <v>1</v>
      </c>
      <c r="E82" s="54" t="s">
        <v>71</v>
      </c>
      <c r="F82" s="54">
        <v>0</v>
      </c>
      <c r="G82" s="54" t="s">
        <v>80</v>
      </c>
      <c r="H82" s="55">
        <f ca="1">--TRIM(RIGHT(SUBSTITUTE(LEFT(C81,_xlfn.AGGREGATE(16,6,FIND({0,1,2,3,4,5,6,7,8,9},C81,ROW(INDIRECT("1:"&amp;LEN(C81)))),1))," ",REPT(" ",LEN(C81))),LEN(C81)))</f>
        <v>10</v>
      </c>
      <c r="I82" s="4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3">
      <c r="A83" s="116" t="s">
        <v>90</v>
      </c>
      <c r="B83" s="117"/>
      <c r="C83" s="130" t="str">
        <f ca="1">(IF($C$53=C81,"All work Completed. OC Received.",I81))</f>
        <v>Excavation, Plinth Completed, RCC upto 6 Slab, Brickwork upto 4 Floor Completed</v>
      </c>
      <c r="D83" s="130"/>
      <c r="E83" s="130"/>
      <c r="F83" s="130"/>
      <c r="G83" s="130"/>
      <c r="H83" s="179"/>
      <c r="I83" s="46" t="str">
        <f ca="1">IF(I82&lt;&gt;""," Completed","")</f>
        <v xml:space="preserve"> Completed</v>
      </c>
      <c r="J83" s="47" t="str">
        <f ca="1">IF(J81&lt;&gt;"","Completed","")</f>
        <v>Completed</v>
      </c>
    </row>
    <row r="84" spans="1:10" ht="15.75" customHeight="1" x14ac:dyDescent="0.3">
      <c r="A84" s="93" t="s">
        <v>49</v>
      </c>
      <c r="B84" s="94"/>
      <c r="C84" s="41" t="s">
        <v>143</v>
      </c>
      <c r="D84" s="41" t="s">
        <v>83</v>
      </c>
      <c r="E84" s="94" t="s">
        <v>85</v>
      </c>
      <c r="F84" s="94"/>
      <c r="G84" s="94" t="s">
        <v>84</v>
      </c>
      <c r="H84" s="105"/>
      <c r="I84" s="13" t="s">
        <v>145</v>
      </c>
      <c r="J84" s="25">
        <f ca="1">H82*25%</f>
        <v>2.5</v>
      </c>
    </row>
    <row r="85" spans="1:10" x14ac:dyDescent="0.3">
      <c r="A85" s="93" t="s">
        <v>132</v>
      </c>
      <c r="B85" s="94"/>
      <c r="C85" s="41">
        <f ca="1">J86</f>
        <v>10</v>
      </c>
      <c r="D85" s="16">
        <f ca="1">((100/H82)*C85)/100</f>
        <v>1</v>
      </c>
      <c r="E85" s="87">
        <f ca="1">(((C86/H82*10)+(40/(D82+F82+H82)*C87)+(7.5/(H82)*C88)+(7.5/(H82)*C89)+(10/H82*C90)+(10/H82*C91)+(5/H82*C92)+(5/H82*C93)+(5/H82*C94))/100)</f>
        <v>0.34818181818181815</v>
      </c>
      <c r="F85" s="110"/>
      <c r="G85" s="87">
        <f ca="1">((((C85/H82)*20)+((C86/H82)*25)+(30/(H82+F82+D82)*C87)+(5/H82*C88)+(5/H82*C89)+(5/H82*C90)+(5/H82*C91)+(0/H82*C92)+(0/H82*C93)+(5/H82*C94))/100)</f>
        <v>0.63363636363636355</v>
      </c>
      <c r="H85" s="88"/>
      <c r="I85" s="13" t="s">
        <v>101</v>
      </c>
      <c r="J85" s="26">
        <f ca="1">H82*50%</f>
        <v>5</v>
      </c>
    </row>
    <row r="86" spans="1:10" x14ac:dyDescent="0.3">
      <c r="A86" s="93" t="s">
        <v>50</v>
      </c>
      <c r="B86" s="94"/>
      <c r="C86" s="57">
        <f ca="1">J94</f>
        <v>10</v>
      </c>
      <c r="D86" s="16">
        <f ca="1">((100/H82)*C86)/100</f>
        <v>1</v>
      </c>
      <c r="E86" s="89"/>
      <c r="F86" s="111"/>
      <c r="G86" s="89"/>
      <c r="H86" s="90"/>
      <c r="I86" s="13" t="s">
        <v>102</v>
      </c>
      <c r="J86" s="26">
        <f ca="1">H82</f>
        <v>10</v>
      </c>
    </row>
    <row r="87" spans="1:10" ht="15.75" customHeight="1" x14ac:dyDescent="0.3">
      <c r="A87" s="93" t="s">
        <v>133</v>
      </c>
      <c r="B87" s="94"/>
      <c r="C87" s="41">
        <v>6</v>
      </c>
      <c r="D87" s="16">
        <f ca="1">((100/(D82+F82+H82))*C87)/100</f>
        <v>0.54545454545454541</v>
      </c>
      <c r="E87" s="89"/>
      <c r="F87" s="111"/>
      <c r="G87" s="89"/>
      <c r="H87" s="90"/>
      <c r="I87" s="13" t="s">
        <v>103</v>
      </c>
      <c r="J87" s="27">
        <f ca="1">(IF(B82&gt;1,(H82/(B82+2)),H82/4))</f>
        <v>2.5</v>
      </c>
    </row>
    <row r="88" spans="1:10" ht="15.75" customHeight="1" x14ac:dyDescent="0.3">
      <c r="A88" s="93" t="s">
        <v>140</v>
      </c>
      <c r="B88" s="94" t="s">
        <v>134</v>
      </c>
      <c r="C88" s="41">
        <v>4</v>
      </c>
      <c r="D88" s="16">
        <f ca="1">((100/H82)*C88)/100</f>
        <v>0.4</v>
      </c>
      <c r="E88" s="89"/>
      <c r="F88" s="111"/>
      <c r="G88" s="89"/>
      <c r="H88" s="90"/>
      <c r="I88" s="13" t="s">
        <v>104</v>
      </c>
      <c r="J88" s="27">
        <f ca="1">(IF(B82&gt;1,(H82/(B82+2)+J87),H82/4+J87))</f>
        <v>5</v>
      </c>
    </row>
    <row r="89" spans="1:10" ht="15.75" customHeight="1" x14ac:dyDescent="0.3">
      <c r="A89" s="93" t="s">
        <v>141</v>
      </c>
      <c r="B89" s="94" t="s">
        <v>134</v>
      </c>
      <c r="C89" s="41">
        <v>0</v>
      </c>
      <c r="D89" s="16">
        <f ca="1">((100/H82)*C89)/100</f>
        <v>0</v>
      </c>
      <c r="E89" s="89"/>
      <c r="F89" s="111"/>
      <c r="G89" s="89"/>
      <c r="H89" s="90"/>
      <c r="I89" s="13" t="s">
        <v>152</v>
      </c>
      <c r="J89" s="27">
        <f>(IF(B82&gt;1,(H82/(B82+2)+J88),0))</f>
        <v>0</v>
      </c>
    </row>
    <row r="90" spans="1:10" ht="15" customHeight="1" x14ac:dyDescent="0.3">
      <c r="A90" s="93" t="s">
        <v>139</v>
      </c>
      <c r="B90" s="94" t="s">
        <v>136</v>
      </c>
      <c r="C90" s="41">
        <v>0</v>
      </c>
      <c r="D90" s="16">
        <f ca="1">((100/(H82))*C90)/100</f>
        <v>0</v>
      </c>
      <c r="E90" s="89"/>
      <c r="F90" s="111"/>
      <c r="G90" s="89"/>
      <c r="H90" s="90"/>
      <c r="I90" s="13" t="s">
        <v>147</v>
      </c>
      <c r="J90" s="27">
        <f>(IF(B82&gt;2,(H82/(B82+2)+J89),0))</f>
        <v>0</v>
      </c>
    </row>
    <row r="91" spans="1:10" ht="15.75" customHeight="1" x14ac:dyDescent="0.3">
      <c r="A91" s="93" t="s">
        <v>135</v>
      </c>
      <c r="B91" s="94" t="s">
        <v>135</v>
      </c>
      <c r="C91" s="41">
        <v>0</v>
      </c>
      <c r="D91" s="16">
        <f ca="1">((100/H82)*C91)/100</f>
        <v>0</v>
      </c>
      <c r="E91" s="89"/>
      <c r="F91" s="111"/>
      <c r="G91" s="89"/>
      <c r="H91" s="90"/>
      <c r="I91" s="13" t="s">
        <v>148</v>
      </c>
      <c r="J91" s="28">
        <f>(IF(B82&gt;3,(H82/(B82+2)+J90),0))</f>
        <v>0</v>
      </c>
    </row>
    <row r="92" spans="1:10" ht="15.75" customHeight="1" x14ac:dyDescent="0.3">
      <c r="A92" s="93" t="s">
        <v>142</v>
      </c>
      <c r="B92" s="94"/>
      <c r="C92" s="41">
        <v>0</v>
      </c>
      <c r="D92" s="16">
        <f ca="1">((100/H82)*C92)/100</f>
        <v>0</v>
      </c>
      <c r="E92" s="89"/>
      <c r="F92" s="111"/>
      <c r="G92" s="89"/>
      <c r="H92" s="90"/>
      <c r="I92" s="13" t="s">
        <v>149</v>
      </c>
      <c r="J92" s="27">
        <f>(IF(B82&gt;4,(H82/(B82+2)+J91),0))</f>
        <v>0</v>
      </c>
    </row>
    <row r="93" spans="1:10" ht="15.75" customHeight="1" x14ac:dyDescent="0.3">
      <c r="A93" s="93" t="s">
        <v>137</v>
      </c>
      <c r="B93" s="94" t="s">
        <v>137</v>
      </c>
      <c r="C93" s="41">
        <v>0</v>
      </c>
      <c r="D93" s="16">
        <f ca="1">((100/(H82))*C93)/100</f>
        <v>0</v>
      </c>
      <c r="E93" s="89"/>
      <c r="F93" s="111"/>
      <c r="G93" s="89"/>
      <c r="H93" s="90"/>
      <c r="I93" s="13" t="s">
        <v>153</v>
      </c>
      <c r="J93" s="27">
        <f ca="1">(IF(B82=1,(H82/(B82+3)+J88),IF(B82=0,(H82/4+J88),IF(B82&gt;1,0))))</f>
        <v>7.5</v>
      </c>
    </row>
    <row r="94" spans="1:10" ht="16.2" thickBot="1" x14ac:dyDescent="0.35">
      <c r="A94" s="113" t="s">
        <v>138</v>
      </c>
      <c r="B94" s="114"/>
      <c r="C94" s="42">
        <v>0</v>
      </c>
      <c r="D94" s="17">
        <f ca="1">((100/(H82))*C94)/100</f>
        <v>0</v>
      </c>
      <c r="E94" s="91"/>
      <c r="F94" s="112"/>
      <c r="G94" s="91"/>
      <c r="H94" s="92"/>
      <c r="I94" s="14" t="s">
        <v>105</v>
      </c>
      <c r="J94" s="29">
        <f ca="1">(IF(B82&gt;1.5,(H82/(B82+2)+J88+MAX(0,J89-J88)+MAX(0,J90-J89)+MAX(0,J91-J90)+MAX(0,J92-J91)+MAX(0,J93-J92)),IF(B82=1,(H82/(B82+3)+J93),IF(B82=0,H82/4+J93))))</f>
        <v>10</v>
      </c>
    </row>
    <row r="95" spans="1:10" x14ac:dyDescent="0.3">
      <c r="A95" s="106" t="s">
        <v>163</v>
      </c>
      <c r="B95" s="106"/>
      <c r="C95" s="106"/>
      <c r="D95" s="106"/>
      <c r="E95" s="106"/>
      <c r="F95" s="115" t="s">
        <v>168</v>
      </c>
      <c r="G95" s="115"/>
      <c r="H95" s="115"/>
    </row>
    <row r="96" spans="1:10" x14ac:dyDescent="0.3">
      <c r="A96" s="76" t="s">
        <v>166</v>
      </c>
      <c r="B96" s="76"/>
      <c r="C96" s="76"/>
      <c r="D96" s="76"/>
      <c r="E96" s="76"/>
      <c r="F96" s="95">
        <v>5000</v>
      </c>
      <c r="G96" s="95"/>
      <c r="H96" s="95"/>
    </row>
    <row r="97" spans="1:11" x14ac:dyDescent="0.3">
      <c r="A97" s="76" t="s">
        <v>165</v>
      </c>
      <c r="B97" s="76"/>
      <c r="C97" s="76"/>
      <c r="D97" s="76"/>
      <c r="E97" s="76"/>
      <c r="F97" s="95">
        <v>10000</v>
      </c>
      <c r="G97" s="95"/>
      <c r="H97" s="95"/>
    </row>
    <row r="98" spans="1:11" hidden="1" x14ac:dyDescent="0.3">
      <c r="A98" s="76" t="s">
        <v>167</v>
      </c>
      <c r="B98" s="76"/>
      <c r="C98" s="76"/>
      <c r="D98" s="76"/>
      <c r="E98" s="76"/>
      <c r="F98" s="96"/>
      <c r="G98" s="96"/>
      <c r="H98" s="96"/>
    </row>
    <row r="99" spans="1:11" s="30" customFormat="1" hidden="1" x14ac:dyDescent="0.25">
      <c r="A99" s="76" t="s">
        <v>164</v>
      </c>
      <c r="B99" s="76"/>
      <c r="C99" s="76"/>
      <c r="D99" s="76"/>
      <c r="E99" s="76"/>
      <c r="F99" s="96"/>
      <c r="G99" s="96"/>
      <c r="H99" s="96"/>
      <c r="J99" s="30">
        <f>690*50</f>
        <v>34500</v>
      </c>
      <c r="K99" s="30">
        <f>501*50</f>
        <v>25050</v>
      </c>
    </row>
    <row r="100" spans="1:11" s="30" customFormat="1" x14ac:dyDescent="0.25">
      <c r="A100" s="76" t="s">
        <v>95</v>
      </c>
      <c r="B100" s="76"/>
      <c r="C100" s="76"/>
      <c r="D100" s="76"/>
      <c r="E100" s="76"/>
      <c r="F100" s="95">
        <v>200000</v>
      </c>
      <c r="G100" s="95"/>
      <c r="H100" s="95"/>
      <c r="J100" s="30">
        <f>300*691</f>
        <v>207300</v>
      </c>
      <c r="K100" s="30">
        <f>501*300</f>
        <v>150300</v>
      </c>
    </row>
    <row r="101" spans="1:11" s="30" customFormat="1" hidden="1" x14ac:dyDescent="0.25">
      <c r="A101" s="76" t="s">
        <v>96</v>
      </c>
      <c r="B101" s="76"/>
      <c r="C101" s="76"/>
      <c r="D101" s="76"/>
      <c r="E101" s="76"/>
      <c r="F101" s="96"/>
      <c r="G101" s="96"/>
      <c r="H101" s="96"/>
    </row>
    <row r="102" spans="1:11" s="30" customFormat="1" hidden="1" x14ac:dyDescent="0.25">
      <c r="A102" s="76" t="s">
        <v>169</v>
      </c>
      <c r="B102" s="76"/>
      <c r="C102" s="76"/>
      <c r="D102" s="76"/>
      <c r="E102" s="76"/>
      <c r="F102" s="96"/>
      <c r="G102" s="96"/>
      <c r="H102" s="96"/>
    </row>
    <row r="103" spans="1:11" s="30" customFormat="1" hidden="1" x14ac:dyDescent="0.25">
      <c r="A103" s="76" t="s">
        <v>97</v>
      </c>
      <c r="B103" s="76"/>
      <c r="C103" s="76"/>
      <c r="D103" s="76"/>
      <c r="E103" s="76"/>
      <c r="F103" s="96"/>
      <c r="G103" s="96"/>
      <c r="H103" s="96"/>
    </row>
    <row r="104" spans="1:11" s="30" customFormat="1" hidden="1" x14ac:dyDescent="0.25">
      <c r="A104" s="76" t="s">
        <v>98</v>
      </c>
      <c r="B104" s="76"/>
      <c r="C104" s="76"/>
      <c r="D104" s="76"/>
      <c r="E104" s="76"/>
      <c r="F104" s="96"/>
      <c r="G104" s="96"/>
      <c r="H104" s="96"/>
    </row>
    <row r="105" spans="1:11" s="30" customFormat="1" x14ac:dyDescent="0.25">
      <c r="A105" s="76" t="s">
        <v>99</v>
      </c>
      <c r="B105" s="76"/>
      <c r="C105" s="76"/>
      <c r="D105" s="76"/>
      <c r="E105" s="76"/>
      <c r="F105" s="95">
        <v>6000</v>
      </c>
      <c r="G105" s="95"/>
      <c r="H105" s="95"/>
    </row>
    <row r="106" spans="1:11" s="30" customFormat="1" hidden="1" x14ac:dyDescent="0.25">
      <c r="A106" s="76" t="s">
        <v>100</v>
      </c>
      <c r="B106" s="76"/>
      <c r="C106" s="76"/>
      <c r="D106" s="76"/>
      <c r="E106" s="76"/>
      <c r="F106" s="96"/>
      <c r="G106" s="96"/>
      <c r="H106" s="96"/>
    </row>
    <row r="107" spans="1:11" x14ac:dyDescent="0.3">
      <c r="A107" s="76" t="s">
        <v>51</v>
      </c>
      <c r="B107" s="76"/>
      <c r="C107" s="76"/>
      <c r="D107" s="76"/>
      <c r="E107" s="76"/>
      <c r="F107" s="95">
        <v>200000</v>
      </c>
      <c r="G107" s="95"/>
      <c r="H107" s="95"/>
      <c r="J107" s="18">
        <f>5000*691+200000+200000+6000</f>
        <v>3861000</v>
      </c>
      <c r="K107" s="18">
        <f>50*6</f>
        <v>300</v>
      </c>
    </row>
    <row r="108" spans="1:11" s="31" customFormat="1" x14ac:dyDescent="0.3">
      <c r="A108" s="137" t="s">
        <v>52</v>
      </c>
      <c r="B108" s="137"/>
      <c r="C108" s="137"/>
      <c r="D108" s="137"/>
      <c r="E108" s="137"/>
      <c r="F108" s="95">
        <f>F96*0.8</f>
        <v>4000</v>
      </c>
      <c r="G108" s="95"/>
      <c r="H108" s="95"/>
    </row>
    <row r="109" spans="1:11" s="32" customFormat="1" ht="15.75" customHeight="1" x14ac:dyDescent="0.3">
      <c r="A109" s="165" t="s">
        <v>75</v>
      </c>
      <c r="B109" s="165"/>
      <c r="C109" s="165"/>
      <c r="D109" s="165"/>
      <c r="E109" s="165"/>
      <c r="F109" s="165"/>
      <c r="G109" s="165"/>
      <c r="H109" s="165"/>
    </row>
    <row r="110" spans="1:11" s="32" customFormat="1" ht="15.75" customHeight="1" x14ac:dyDescent="0.3">
      <c r="A110" s="98" t="s">
        <v>53</v>
      </c>
      <c r="B110" s="98"/>
      <c r="C110" s="97" t="s">
        <v>78</v>
      </c>
      <c r="D110" s="97"/>
      <c r="E110" s="103" t="s">
        <v>54</v>
      </c>
      <c r="F110" s="103"/>
      <c r="G110" s="98" t="s">
        <v>55</v>
      </c>
      <c r="H110" s="98"/>
    </row>
    <row r="111" spans="1:11" s="32" customFormat="1" x14ac:dyDescent="0.3">
      <c r="A111" s="104" t="s">
        <v>210</v>
      </c>
      <c r="B111" s="104"/>
      <c r="C111" s="99">
        <f>COUNT(D122:D127)</f>
        <v>6</v>
      </c>
      <c r="D111" s="100"/>
      <c r="E111" s="101">
        <f>SUM(D122:D127)</f>
        <v>1220.1661368</v>
      </c>
      <c r="F111" s="102"/>
      <c r="G111" s="101">
        <f>SUM(F122:F127)</f>
        <v>2424</v>
      </c>
      <c r="H111" s="102"/>
    </row>
    <row r="112" spans="1:11" s="32" customFormat="1" x14ac:dyDescent="0.3">
      <c r="A112" s="165" t="s">
        <v>219</v>
      </c>
      <c r="B112" s="165"/>
      <c r="C112" s="165"/>
      <c r="D112" s="165"/>
      <c r="E112" s="165"/>
      <c r="F112" s="165"/>
      <c r="G112" s="165"/>
      <c r="H112" s="165"/>
    </row>
    <row r="113" spans="1:14" s="32" customFormat="1" ht="15.75" customHeight="1" x14ac:dyDescent="0.3">
      <c r="A113" s="98" t="s">
        <v>53</v>
      </c>
      <c r="B113" s="98"/>
      <c r="C113" s="97" t="s">
        <v>78</v>
      </c>
      <c r="D113" s="97"/>
      <c r="E113" s="103" t="s">
        <v>54</v>
      </c>
      <c r="F113" s="103"/>
      <c r="G113" s="98" t="s">
        <v>55</v>
      </c>
      <c r="H113" s="98"/>
    </row>
    <row r="114" spans="1:14" s="32" customFormat="1" x14ac:dyDescent="0.3">
      <c r="A114" s="104" t="s">
        <v>202</v>
      </c>
      <c r="B114" s="104"/>
      <c r="C114" s="99">
        <f>COUNT(D132:D141)+COUNT(D143:D152)*8+COUNT(D154:D162)</f>
        <v>99</v>
      </c>
      <c r="D114" s="99"/>
      <c r="E114" s="101">
        <f>SUM(D132:D141)+SUM(D143:D152)*8+SUM(D154:D162)</f>
        <v>41384.899763999994</v>
      </c>
      <c r="F114" s="101"/>
      <c r="G114" s="101">
        <f>SUM(F132:F141)+SUM(F143:F152)*8+SUM(F154:F162)</f>
        <v>69035.5</v>
      </c>
      <c r="H114" s="101"/>
    </row>
    <row r="115" spans="1:14" s="32" customFormat="1" x14ac:dyDescent="0.3">
      <c r="A115" s="104" t="s">
        <v>208</v>
      </c>
      <c r="B115" s="104"/>
      <c r="C115" s="99">
        <f>COUNT(D166:D173)+COUNT(D175:D182)*8+COUNT(D184:D190)</f>
        <v>79</v>
      </c>
      <c r="D115" s="99"/>
      <c r="E115" s="101">
        <f>SUM(D166:D173)+SUM(D175:D182)*8+SUM(D184:D190)</f>
        <v>24122.473830000003</v>
      </c>
      <c r="F115" s="101"/>
      <c r="G115" s="101">
        <f>SUM(F166:F173)+SUM(F175:F182)*8+SUM(F184:F190)</f>
        <v>39579</v>
      </c>
      <c r="H115" s="101"/>
    </row>
    <row r="116" spans="1:14" s="32" customFormat="1" x14ac:dyDescent="0.3">
      <c r="A116" s="165" t="s">
        <v>156</v>
      </c>
      <c r="B116" s="165"/>
      <c r="C116" s="77">
        <f>SUM(C114:D115)</f>
        <v>178</v>
      </c>
      <c r="D116" s="77"/>
      <c r="E116" s="77">
        <f>SUM(E114:F115)</f>
        <v>65507.373593999997</v>
      </c>
      <c r="F116" s="77"/>
      <c r="G116" s="77">
        <f>SUM(G114:H115)</f>
        <v>108614.5</v>
      </c>
      <c r="H116" s="77"/>
    </row>
    <row r="117" spans="1:14" s="31" customFormat="1" x14ac:dyDescent="0.3">
      <c r="A117" s="81" t="s">
        <v>56</v>
      </c>
      <c r="B117" s="81"/>
      <c r="C117" s="81"/>
      <c r="D117" s="81"/>
      <c r="E117" s="81"/>
      <c r="F117" s="81"/>
      <c r="G117" s="81"/>
      <c r="H117" s="81"/>
    </row>
    <row r="118" spans="1:14" x14ac:dyDescent="0.3">
      <c r="A118" s="81" t="s">
        <v>57</v>
      </c>
      <c r="B118" s="81"/>
      <c r="C118" s="81"/>
      <c r="D118" s="81"/>
      <c r="E118" s="81"/>
      <c r="F118" s="81"/>
      <c r="G118" s="81"/>
      <c r="H118" s="81"/>
    </row>
    <row r="119" spans="1:14" ht="47.25" customHeight="1" x14ac:dyDescent="0.3">
      <c r="A119" s="40" t="s">
        <v>122</v>
      </c>
      <c r="B119" s="40" t="s">
        <v>121</v>
      </c>
      <c r="C119" s="40" t="s">
        <v>58</v>
      </c>
      <c r="D119" s="40" t="s">
        <v>59</v>
      </c>
      <c r="E119" s="51" t="s">
        <v>162</v>
      </c>
      <c r="F119" s="40" t="s">
        <v>212</v>
      </c>
      <c r="G119" s="108" t="s">
        <v>61</v>
      </c>
      <c r="H119" s="109"/>
    </row>
    <row r="120" spans="1:14" s="34" customFormat="1" x14ac:dyDescent="0.3">
      <c r="A120" s="68" t="s">
        <v>202</v>
      </c>
      <c r="B120" s="68"/>
      <c r="C120" s="68"/>
      <c r="D120" s="68"/>
      <c r="E120" s="68"/>
      <c r="F120" s="68"/>
      <c r="G120" s="68"/>
      <c r="H120" s="68"/>
      <c r="J120" s="33"/>
    </row>
    <row r="121" spans="1:14" s="34" customFormat="1" x14ac:dyDescent="0.3">
      <c r="A121" s="68" t="s">
        <v>203</v>
      </c>
      <c r="B121" s="68"/>
      <c r="C121" s="68"/>
      <c r="D121" s="68"/>
      <c r="E121" s="68"/>
      <c r="F121" s="68"/>
      <c r="G121" s="68"/>
      <c r="H121" s="68"/>
      <c r="J121" s="56">
        <f>10.764</f>
        <v>10.763999999999999</v>
      </c>
    </row>
    <row r="122" spans="1:14" s="34" customFormat="1" x14ac:dyDescent="0.3">
      <c r="A122" s="75">
        <v>1</v>
      </c>
      <c r="B122" s="75"/>
      <c r="C122" s="39" t="s">
        <v>204</v>
      </c>
      <c r="D122" s="56">
        <f>(2.65*8.76)*(10.764)</f>
        <v>249.87549599999997</v>
      </c>
      <c r="E122" s="39">
        <v>0</v>
      </c>
      <c r="F122" s="39">
        <v>496</v>
      </c>
      <c r="G122" s="75" t="str">
        <f>A121</f>
        <v>Ground Floor For Commercial &amp; Parking</v>
      </c>
      <c r="H122" s="75"/>
      <c r="I122" s="33"/>
      <c r="K122" s="34" t="s">
        <v>226</v>
      </c>
      <c r="L122" s="64"/>
      <c r="M122" s="64"/>
      <c r="N122" s="33"/>
    </row>
    <row r="123" spans="1:14" s="34" customFormat="1" x14ac:dyDescent="0.3">
      <c r="A123" s="75">
        <f t="shared" ref="A123:A127" si="0">A122+1</f>
        <v>2</v>
      </c>
      <c r="B123" s="75"/>
      <c r="C123" s="39" t="s">
        <v>204</v>
      </c>
      <c r="D123" s="56">
        <f>(2.4*8.31+1.95*3.15)*(10.764)</f>
        <v>280.79508599999997</v>
      </c>
      <c r="E123" s="39">
        <v>0</v>
      </c>
      <c r="F123" s="39">
        <v>562</v>
      </c>
      <c r="G123" s="75" t="str">
        <f t="shared" ref="G123:G127" si="1">G122</f>
        <v>Ground Floor For Commercial &amp; Parking</v>
      </c>
      <c r="H123" s="75"/>
      <c r="I123" s="33"/>
      <c r="L123" s="64"/>
      <c r="M123" s="64"/>
      <c r="N123" s="33"/>
    </row>
    <row r="124" spans="1:14" s="34" customFormat="1" x14ac:dyDescent="0.3">
      <c r="A124" s="75">
        <f t="shared" si="0"/>
        <v>3</v>
      </c>
      <c r="B124" s="75"/>
      <c r="C124" s="39" t="s">
        <v>204</v>
      </c>
      <c r="D124" s="56">
        <f>(2.96*4.51)*(10.764)</f>
        <v>143.69509439999999</v>
      </c>
      <c r="E124" s="39">
        <v>0</v>
      </c>
      <c r="F124" s="39">
        <v>286</v>
      </c>
      <c r="G124" s="75" t="str">
        <f t="shared" si="1"/>
        <v>Ground Floor For Commercial &amp; Parking</v>
      </c>
      <c r="H124" s="75"/>
      <c r="I124" s="33"/>
      <c r="L124" s="64"/>
      <c r="M124" s="64"/>
      <c r="N124" s="33"/>
    </row>
    <row r="125" spans="1:14" s="34" customFormat="1" x14ac:dyDescent="0.3">
      <c r="A125" s="75">
        <f t="shared" si="0"/>
        <v>4</v>
      </c>
      <c r="B125" s="75"/>
      <c r="C125" s="39" t="s">
        <v>204</v>
      </c>
      <c r="D125" s="56">
        <f>(2.96*3.96)*(10.764)</f>
        <v>126.1713024</v>
      </c>
      <c r="E125" s="39">
        <v>0</v>
      </c>
      <c r="F125" s="39">
        <v>252</v>
      </c>
      <c r="G125" s="75" t="str">
        <f t="shared" si="1"/>
        <v>Ground Floor For Commercial &amp; Parking</v>
      </c>
      <c r="H125" s="75"/>
      <c r="I125" s="33"/>
      <c r="L125" s="64"/>
      <c r="M125" s="64"/>
      <c r="N125" s="33"/>
    </row>
    <row r="126" spans="1:14" s="34" customFormat="1" x14ac:dyDescent="0.3">
      <c r="A126" s="75">
        <f t="shared" si="0"/>
        <v>5</v>
      </c>
      <c r="B126" s="75"/>
      <c r="C126" s="39" t="s">
        <v>204</v>
      </c>
      <c r="D126" s="56">
        <f>(2.4*6.75+1.95*3.15)*(10.764)</f>
        <v>240.49466999999999</v>
      </c>
      <c r="E126" s="39">
        <v>0</v>
      </c>
      <c r="F126" s="39">
        <v>476</v>
      </c>
      <c r="G126" s="75" t="str">
        <f t="shared" si="1"/>
        <v>Ground Floor For Commercial &amp; Parking</v>
      </c>
      <c r="H126" s="75"/>
      <c r="I126" s="33"/>
      <c r="L126" s="64"/>
      <c r="M126" s="64"/>
      <c r="N126" s="33"/>
    </row>
    <row r="127" spans="1:14" s="34" customFormat="1" x14ac:dyDescent="0.3">
      <c r="A127" s="75">
        <f t="shared" si="0"/>
        <v>6</v>
      </c>
      <c r="B127" s="75"/>
      <c r="C127" s="39" t="s">
        <v>204</v>
      </c>
      <c r="D127" s="56">
        <f>(2.65*6.28)*(10.764)</f>
        <v>179.13448799999998</v>
      </c>
      <c r="E127" s="39">
        <v>0</v>
      </c>
      <c r="F127" s="39">
        <v>352</v>
      </c>
      <c r="G127" s="75" t="str">
        <f t="shared" si="1"/>
        <v>Ground Floor For Commercial &amp; Parking</v>
      </c>
      <c r="H127" s="75"/>
      <c r="I127" s="33"/>
      <c r="L127" s="64"/>
      <c r="M127" s="64"/>
      <c r="N127" s="33"/>
    </row>
    <row r="128" spans="1:14" s="34" customFormat="1" x14ac:dyDescent="0.3">
      <c r="A128" s="62"/>
      <c r="B128" s="107"/>
      <c r="C128" s="107"/>
      <c r="D128" s="107"/>
      <c r="E128" s="107"/>
      <c r="F128" s="107"/>
      <c r="G128" s="107"/>
      <c r="H128" s="63"/>
      <c r="I128" s="33"/>
      <c r="N128" s="33"/>
    </row>
    <row r="129" spans="1:14" ht="47.25" customHeight="1" x14ac:dyDescent="0.3">
      <c r="A129" s="50" t="s">
        <v>123</v>
      </c>
      <c r="B129" s="50" t="s">
        <v>124</v>
      </c>
      <c r="C129" s="40" t="s">
        <v>58</v>
      </c>
      <c r="D129" s="40" t="s">
        <v>59</v>
      </c>
      <c r="E129" s="51" t="s">
        <v>60</v>
      </c>
      <c r="F129" s="40" t="s">
        <v>212</v>
      </c>
      <c r="G129" s="108" t="s">
        <v>61</v>
      </c>
      <c r="H129" s="109"/>
      <c r="I129" s="33"/>
    </row>
    <row r="130" spans="1:14" s="34" customFormat="1" x14ac:dyDescent="0.3">
      <c r="A130" s="65" t="s">
        <v>202</v>
      </c>
      <c r="B130" s="66"/>
      <c r="C130" s="66"/>
      <c r="D130" s="66"/>
      <c r="E130" s="66"/>
      <c r="F130" s="66"/>
      <c r="G130" s="66"/>
      <c r="H130" s="67"/>
      <c r="J130" s="33"/>
    </row>
    <row r="131" spans="1:14" s="34" customFormat="1" x14ac:dyDescent="0.3">
      <c r="A131" s="65" t="s">
        <v>205</v>
      </c>
      <c r="B131" s="66"/>
      <c r="C131" s="66"/>
      <c r="D131" s="66"/>
      <c r="E131" s="66"/>
      <c r="F131" s="66"/>
      <c r="G131" s="66"/>
      <c r="H131" s="67"/>
      <c r="I131" s="34">
        <f>690.56/D132</f>
        <v>1.6540656260501387</v>
      </c>
      <c r="J131" s="33"/>
    </row>
    <row r="132" spans="1:14" s="34" customFormat="1" x14ac:dyDescent="0.3">
      <c r="A132" s="62">
        <v>1</v>
      </c>
      <c r="B132" s="63"/>
      <c r="C132" s="49">
        <v>1</v>
      </c>
      <c r="D132" s="56">
        <f>(2.9*4.25+2.1*2.65+2.78*3.65+1.2*1.86+1.2*1.86+1.4*0.9+2.1*1+1.95*1.5)*(10.764)</f>
        <v>417.49250399999994</v>
      </c>
      <c r="E132" s="39">
        <v>0</v>
      </c>
      <c r="F132" s="39">
        <v>690.56</v>
      </c>
      <c r="G132" s="62" t="str">
        <f>A131</f>
        <v>1st Floor For Residential</v>
      </c>
      <c r="H132" s="63"/>
      <c r="I132" s="33"/>
      <c r="L132" s="64"/>
      <c r="M132" s="64"/>
      <c r="N132" s="33"/>
    </row>
    <row r="133" spans="1:14" s="34" customFormat="1" x14ac:dyDescent="0.3">
      <c r="A133" s="62">
        <f t="shared" ref="A133:A141" si="2">A132+1</f>
        <v>2</v>
      </c>
      <c r="B133" s="63"/>
      <c r="C133" s="49">
        <v>1</v>
      </c>
      <c r="D133" s="56">
        <f>(4.25*2.9+2.65*2.1+3.65*2.78+2*(1.86*1.2)+1.4*0.9+1.95*1.5+2.1*1)*(10.764)</f>
        <v>417.49250399999994</v>
      </c>
      <c r="E133" s="39">
        <v>0</v>
      </c>
      <c r="F133" s="39">
        <v>690.56</v>
      </c>
      <c r="G133" s="62" t="str">
        <f t="shared" ref="G133:G141" si="3">G132</f>
        <v>1st Floor For Residential</v>
      </c>
      <c r="H133" s="63"/>
      <c r="I133" s="33"/>
      <c r="J133" s="34">
        <f>4400*F133</f>
        <v>3038463.9999999995</v>
      </c>
      <c r="L133" s="64"/>
      <c r="M133" s="64"/>
      <c r="N133" s="33"/>
    </row>
    <row r="134" spans="1:14" s="34" customFormat="1" x14ac:dyDescent="0.3">
      <c r="A134" s="62">
        <f t="shared" si="2"/>
        <v>3</v>
      </c>
      <c r="B134" s="63"/>
      <c r="C134" s="49">
        <v>1</v>
      </c>
      <c r="D134" s="56">
        <f>(4.25*2.9+2.65*2.1+3.65*2.78+2*(1.86*1.2)+1.4*0.9+1.95*1.5+2.1*1)*(10.764)</f>
        <v>417.49250399999994</v>
      </c>
      <c r="E134" s="39">
        <v>0</v>
      </c>
      <c r="F134" s="39">
        <v>690.56</v>
      </c>
      <c r="G134" s="62" t="str">
        <f t="shared" si="3"/>
        <v>1st Floor For Residential</v>
      </c>
      <c r="H134" s="63"/>
      <c r="I134" s="33"/>
      <c r="J134" s="34">
        <f>3000000/F134</f>
        <v>4344.3002780352181</v>
      </c>
      <c r="L134" s="64"/>
      <c r="M134" s="64"/>
      <c r="N134" s="33"/>
    </row>
    <row r="135" spans="1:14" s="34" customFormat="1" x14ac:dyDescent="0.3">
      <c r="A135" s="62">
        <f t="shared" si="2"/>
        <v>4</v>
      </c>
      <c r="B135" s="63"/>
      <c r="C135" s="49">
        <v>1</v>
      </c>
      <c r="D135" s="56">
        <f>(4.25*2.9+2.65*2.1+3.65*2.78+2*(1.86*1.2)+1.4*0.9+1.95*1.5+2.1*1)*(10.764)</f>
        <v>417.49250399999994</v>
      </c>
      <c r="E135" s="39">
        <v>0</v>
      </c>
      <c r="F135" s="39">
        <v>690.56</v>
      </c>
      <c r="G135" s="62" t="str">
        <f t="shared" si="3"/>
        <v>1st Floor For Residential</v>
      </c>
      <c r="H135" s="63"/>
      <c r="I135" s="33"/>
      <c r="L135" s="64"/>
      <c r="M135" s="64"/>
      <c r="N135" s="33"/>
    </row>
    <row r="136" spans="1:14" s="34" customFormat="1" x14ac:dyDescent="0.3">
      <c r="A136" s="62">
        <f t="shared" si="2"/>
        <v>5</v>
      </c>
      <c r="B136" s="63"/>
      <c r="C136" s="49">
        <v>1</v>
      </c>
      <c r="D136" s="56">
        <f>(4.25*2.9+2.65*2.1+3.65*2.78+2*(1.86*1.2)+1.4*0.9+1.95*1.5+2.1*1)*(10.764)</f>
        <v>417.49250399999994</v>
      </c>
      <c r="E136" s="39">
        <v>0</v>
      </c>
      <c r="F136" s="39">
        <v>690.56</v>
      </c>
      <c r="G136" s="62" t="str">
        <f t="shared" si="3"/>
        <v>1st Floor For Residential</v>
      </c>
      <c r="H136" s="63"/>
      <c r="I136" s="33"/>
      <c r="L136" s="64"/>
      <c r="M136" s="64"/>
      <c r="N136" s="33"/>
    </row>
    <row r="137" spans="1:14" s="34" customFormat="1" x14ac:dyDescent="0.3">
      <c r="A137" s="62">
        <f t="shared" si="2"/>
        <v>6</v>
      </c>
      <c r="B137" s="63"/>
      <c r="C137" s="49">
        <v>1</v>
      </c>
      <c r="D137" s="56">
        <f>(2.9*4.25+2.1*2.8+2.85*2.8+1.4*0.9+2*(1.86*1.2)+2.85*1+2.1*1+1.95*1.5)*(10.764)</f>
        <v>428.23497599999996</v>
      </c>
      <c r="E137" s="56">
        <f>(1.5*1.96+1.5*1.24+1.01*2.6+3.11*1.29+1.4*0.75)*(10.764)</f>
        <v>134.4197556</v>
      </c>
      <c r="F137" s="39">
        <v>931.26</v>
      </c>
      <c r="G137" s="62" t="str">
        <f t="shared" si="3"/>
        <v>1st Floor For Residential</v>
      </c>
      <c r="H137" s="63"/>
      <c r="I137" s="33"/>
      <c r="L137" s="64"/>
      <c r="M137" s="64"/>
      <c r="N137" s="33"/>
    </row>
    <row r="138" spans="1:14" s="34" customFormat="1" x14ac:dyDescent="0.3">
      <c r="A138" s="62">
        <f t="shared" si="2"/>
        <v>7</v>
      </c>
      <c r="B138" s="63"/>
      <c r="C138" s="49">
        <v>1</v>
      </c>
      <c r="D138" s="56">
        <f>(2.9*4.25+2.1*2.65+2.85*3.65+2*(1.2*1.86)+1.4*0.9+1.95*1.5+2.1*1)*(10.764)</f>
        <v>420.24270599999994</v>
      </c>
      <c r="E138" s="56">
        <f>(1*2.6+3.11*1.67+2.8*1.46+3.15*1.5+2.6*0.75)*(10.764)</f>
        <v>199.74431879999995</v>
      </c>
      <c r="F138" s="39">
        <v>1035.26</v>
      </c>
      <c r="G138" s="62" t="str">
        <f t="shared" si="3"/>
        <v>1st Floor For Residential</v>
      </c>
      <c r="H138" s="63"/>
      <c r="I138" s="33"/>
      <c r="L138" s="64"/>
      <c r="M138" s="64"/>
      <c r="N138" s="33"/>
    </row>
    <row r="139" spans="1:14" s="34" customFormat="1" x14ac:dyDescent="0.3">
      <c r="A139" s="62">
        <f t="shared" si="2"/>
        <v>8</v>
      </c>
      <c r="B139" s="63"/>
      <c r="C139" s="49">
        <v>1</v>
      </c>
      <c r="D139" s="56">
        <f>(4.25*2.9+2.65*2.1+3.65*2.78+2*(1.86*1.2)+1.4*0.9+1.95*1.5+2.1*1)*(10.764)</f>
        <v>417.49250399999994</v>
      </c>
      <c r="E139" s="39">
        <v>0</v>
      </c>
      <c r="F139" s="39">
        <v>690.56</v>
      </c>
      <c r="G139" s="62" t="str">
        <f t="shared" si="3"/>
        <v>1st Floor For Residential</v>
      </c>
      <c r="H139" s="63"/>
      <c r="I139" s="33"/>
      <c r="L139" s="64"/>
      <c r="M139" s="64"/>
      <c r="N139" s="33"/>
    </row>
    <row r="140" spans="1:14" s="34" customFormat="1" x14ac:dyDescent="0.3">
      <c r="A140" s="62">
        <f t="shared" si="2"/>
        <v>9</v>
      </c>
      <c r="B140" s="63"/>
      <c r="C140" s="49">
        <v>1</v>
      </c>
      <c r="D140" s="56">
        <f>(4.25*2.9+2.65*2.1+3.65*2.78+2*(1.86*1.2)+1.4*0.9+1.95*1.5+2.1*1)*(10.764)</f>
        <v>417.49250399999994</v>
      </c>
      <c r="E140" s="39">
        <v>0</v>
      </c>
      <c r="F140" s="39">
        <v>690.56</v>
      </c>
      <c r="G140" s="62" t="str">
        <f t="shared" si="3"/>
        <v>1st Floor For Residential</v>
      </c>
      <c r="H140" s="63"/>
      <c r="I140" s="33"/>
      <c r="L140" s="64"/>
      <c r="M140" s="64"/>
      <c r="N140" s="33"/>
    </row>
    <row r="141" spans="1:14" s="34" customFormat="1" x14ac:dyDescent="0.3">
      <c r="A141" s="62">
        <f t="shared" si="2"/>
        <v>10</v>
      </c>
      <c r="B141" s="63"/>
      <c r="C141" s="49">
        <v>1</v>
      </c>
      <c r="D141" s="56">
        <f>(4.25*2.9+2.65*2.1+3.65*2.78+2*(1.86*1.2)+1.4*0.9+1.95*1.5+2.1*1)*(10.764)</f>
        <v>417.49250399999994</v>
      </c>
      <c r="E141" s="39">
        <v>0</v>
      </c>
      <c r="F141" s="39">
        <v>690.56</v>
      </c>
      <c r="G141" s="62" t="str">
        <f t="shared" si="3"/>
        <v>1st Floor For Residential</v>
      </c>
      <c r="H141" s="63"/>
      <c r="I141" s="33"/>
      <c r="L141" s="64"/>
      <c r="M141" s="64"/>
      <c r="N141" s="33"/>
    </row>
    <row r="142" spans="1:14" s="34" customFormat="1" x14ac:dyDescent="0.3">
      <c r="A142" s="65" t="s">
        <v>206</v>
      </c>
      <c r="B142" s="66"/>
      <c r="C142" s="66"/>
      <c r="D142" s="66"/>
      <c r="E142" s="66"/>
      <c r="F142" s="66"/>
      <c r="G142" s="66"/>
      <c r="H142" s="67"/>
    </row>
    <row r="143" spans="1:14" s="34" customFormat="1" x14ac:dyDescent="0.3">
      <c r="A143" s="62">
        <v>1</v>
      </c>
      <c r="B143" s="63"/>
      <c r="C143" s="49">
        <v>1</v>
      </c>
      <c r="D143" s="56">
        <f>(2.9*4.25+2.1*2.65+2.78*3.65+1.2*1.86+1.2*1.86+1.4*0.9+2.1*1+1.95*1.5)*(10.764)</f>
        <v>417.49250399999994</v>
      </c>
      <c r="E143" s="39">
        <v>0</v>
      </c>
      <c r="F143" s="39">
        <v>690.56</v>
      </c>
      <c r="G143" s="62" t="str">
        <f>A142</f>
        <v>2nd to 7th, 9th &amp; 10th Floor</v>
      </c>
      <c r="H143" s="63"/>
      <c r="I143" s="33"/>
      <c r="L143" s="64"/>
      <c r="M143" s="64"/>
      <c r="N143" s="33"/>
    </row>
    <row r="144" spans="1:14" s="34" customFormat="1" x14ac:dyDescent="0.3">
      <c r="A144" s="62">
        <f t="shared" ref="A144:A152" si="4">A143+1</f>
        <v>2</v>
      </c>
      <c r="B144" s="63"/>
      <c r="C144" s="49">
        <v>1</v>
      </c>
      <c r="D144" s="56">
        <f>(4.25*2.9+2.65*2.1+3.65*2.78+2*(1.86*1.2)+1.4*0.9+1.95*1.5+2.1*1)*(10.764)</f>
        <v>417.49250399999994</v>
      </c>
      <c r="E144" s="39">
        <v>0</v>
      </c>
      <c r="F144" s="39">
        <v>690.56</v>
      </c>
      <c r="G144" s="62" t="str">
        <f t="shared" ref="G144:G152" si="5">G143</f>
        <v>2nd to 7th, 9th &amp; 10th Floor</v>
      </c>
      <c r="H144" s="63"/>
      <c r="I144" s="33"/>
      <c r="L144" s="64"/>
      <c r="M144" s="64"/>
      <c r="N144" s="33"/>
    </row>
    <row r="145" spans="1:14" s="34" customFormat="1" x14ac:dyDescent="0.3">
      <c r="A145" s="62">
        <f t="shared" si="4"/>
        <v>3</v>
      </c>
      <c r="B145" s="63"/>
      <c r="C145" s="49">
        <v>1</v>
      </c>
      <c r="D145" s="56">
        <f>(4.25*2.9+2.65*2.1+3.65*2.78+2*(1.86*1.2)+1.4*0.9+1.95*1.5+2.1*1)*(10.764)</f>
        <v>417.49250399999994</v>
      </c>
      <c r="E145" s="39">
        <v>0</v>
      </c>
      <c r="F145" s="39">
        <v>690.56</v>
      </c>
      <c r="G145" s="62" t="str">
        <f t="shared" si="5"/>
        <v>2nd to 7th, 9th &amp; 10th Floor</v>
      </c>
      <c r="H145" s="63"/>
      <c r="I145" s="33"/>
      <c r="L145" s="64"/>
      <c r="M145" s="64"/>
      <c r="N145" s="33"/>
    </row>
    <row r="146" spans="1:14" s="34" customFormat="1" x14ac:dyDescent="0.3">
      <c r="A146" s="62">
        <f t="shared" si="4"/>
        <v>4</v>
      </c>
      <c r="B146" s="63"/>
      <c r="C146" s="49">
        <v>1</v>
      </c>
      <c r="D146" s="56">
        <f>(4.25*2.9+2.65*2.1+3.65*2.78+2*(1.86*1.2)+1.4*0.9+1.95*1.5+2.1*1)*(10.764)</f>
        <v>417.49250399999994</v>
      </c>
      <c r="E146" s="39">
        <v>0</v>
      </c>
      <c r="F146" s="39">
        <v>690.56</v>
      </c>
      <c r="G146" s="62" t="str">
        <f t="shared" si="5"/>
        <v>2nd to 7th, 9th &amp; 10th Floor</v>
      </c>
      <c r="H146" s="63"/>
      <c r="I146" s="33"/>
      <c r="L146" s="64"/>
      <c r="M146" s="64"/>
      <c r="N146" s="33"/>
    </row>
    <row r="147" spans="1:14" s="34" customFormat="1" x14ac:dyDescent="0.3">
      <c r="A147" s="62">
        <f t="shared" si="4"/>
        <v>5</v>
      </c>
      <c r="B147" s="63"/>
      <c r="C147" s="49">
        <v>1</v>
      </c>
      <c r="D147" s="56">
        <f>(4.25*2.9+2.65*2.1+3.65*2.78+2*(1.86*1.2)+1.4*0.9+1.95*1.5+2.1*1)*(10.764)</f>
        <v>417.49250399999994</v>
      </c>
      <c r="E147" s="39">
        <v>0</v>
      </c>
      <c r="F147" s="39">
        <v>690.56</v>
      </c>
      <c r="G147" s="62" t="str">
        <f t="shared" si="5"/>
        <v>2nd to 7th, 9th &amp; 10th Floor</v>
      </c>
      <c r="H147" s="63"/>
      <c r="I147" s="33"/>
      <c r="L147" s="64"/>
      <c r="M147" s="64"/>
      <c r="N147" s="33"/>
    </row>
    <row r="148" spans="1:14" s="34" customFormat="1" x14ac:dyDescent="0.3">
      <c r="A148" s="62">
        <f t="shared" si="4"/>
        <v>6</v>
      </c>
      <c r="B148" s="63"/>
      <c r="C148" s="49">
        <v>1</v>
      </c>
      <c r="D148" s="56">
        <f>(2.9*4.25+2.1*2.7+2.85*2.7+4.2*0.9+2*(1.86*1.2)+2.1+1.95*1.5)*(10.764)</f>
        <v>419.35467599999998</v>
      </c>
      <c r="E148" s="39">
        <v>0</v>
      </c>
      <c r="F148" s="39">
        <v>695.54</v>
      </c>
      <c r="G148" s="62" t="str">
        <f t="shared" si="5"/>
        <v>2nd to 7th, 9th &amp; 10th Floor</v>
      </c>
      <c r="H148" s="63"/>
      <c r="I148" s="33"/>
      <c r="L148" s="64"/>
      <c r="M148" s="64"/>
      <c r="N148" s="33"/>
    </row>
    <row r="149" spans="1:14" s="34" customFormat="1" x14ac:dyDescent="0.3">
      <c r="A149" s="62">
        <f t="shared" si="4"/>
        <v>7</v>
      </c>
      <c r="B149" s="63"/>
      <c r="C149" s="49">
        <v>1</v>
      </c>
      <c r="D149" s="56">
        <f>(2.9*4.25+2.1*2.65+2.85*3.65+2*(1.2*1.86)+1.4*0.9+1.95*1.5+2.1)*(10.764)</f>
        <v>420.24270599999994</v>
      </c>
      <c r="E149" s="39">
        <v>0</v>
      </c>
      <c r="F149" s="39">
        <v>695.54</v>
      </c>
      <c r="G149" s="62" t="str">
        <f t="shared" si="5"/>
        <v>2nd to 7th, 9th &amp; 10th Floor</v>
      </c>
      <c r="H149" s="63"/>
      <c r="I149" s="33"/>
      <c r="J149" s="34">
        <f>3600000/F149</f>
        <v>5175.8346033297876</v>
      </c>
      <c r="L149" s="64"/>
      <c r="M149" s="64"/>
      <c r="N149" s="33"/>
    </row>
    <row r="150" spans="1:14" s="34" customFormat="1" x14ac:dyDescent="0.3">
      <c r="A150" s="62">
        <f t="shared" si="4"/>
        <v>8</v>
      </c>
      <c r="B150" s="63"/>
      <c r="C150" s="49">
        <v>1</v>
      </c>
      <c r="D150" s="56">
        <f>(4.25*2.9+2.65*2.1+3.65*2.78+2*(1.86*1.2)+1.4*0.9+1.95*1.5+2.1*1)*(10.764)</f>
        <v>417.49250399999994</v>
      </c>
      <c r="E150" s="39">
        <v>0</v>
      </c>
      <c r="F150" s="39">
        <v>690.56</v>
      </c>
      <c r="G150" s="62" t="str">
        <f t="shared" si="5"/>
        <v>2nd to 7th, 9th &amp; 10th Floor</v>
      </c>
      <c r="H150" s="63"/>
      <c r="I150" s="33"/>
      <c r="L150" s="64"/>
      <c r="M150" s="64"/>
      <c r="N150" s="33"/>
    </row>
    <row r="151" spans="1:14" s="34" customFormat="1" x14ac:dyDescent="0.3">
      <c r="A151" s="62">
        <f t="shared" si="4"/>
        <v>9</v>
      </c>
      <c r="B151" s="63"/>
      <c r="C151" s="49">
        <v>1</v>
      </c>
      <c r="D151" s="56">
        <f>(4.25*2.9+2.65*2.1+3.65*2.78+2*(1.86*1.2)+1.4*0.9+1.95*1.5+2.1*1)*(10.764)</f>
        <v>417.49250399999994</v>
      </c>
      <c r="E151" s="39">
        <v>0</v>
      </c>
      <c r="F151" s="39">
        <v>690.56</v>
      </c>
      <c r="G151" s="62" t="str">
        <f t="shared" si="5"/>
        <v>2nd to 7th, 9th &amp; 10th Floor</v>
      </c>
      <c r="H151" s="63"/>
      <c r="I151" s="33"/>
      <c r="L151" s="64"/>
      <c r="M151" s="64"/>
      <c r="N151" s="33"/>
    </row>
    <row r="152" spans="1:14" s="34" customFormat="1" x14ac:dyDescent="0.3">
      <c r="A152" s="62">
        <f t="shared" si="4"/>
        <v>10</v>
      </c>
      <c r="B152" s="63"/>
      <c r="C152" s="49">
        <v>1</v>
      </c>
      <c r="D152" s="56">
        <f>(4.25*2.9+2.65*2.1+3.65*2.78+2*(1.86*1.2)+1.4*0.9+1.95*1.5+2.1*1)*(10.764)</f>
        <v>417.49250399999994</v>
      </c>
      <c r="E152" s="39">
        <v>0</v>
      </c>
      <c r="F152" s="39">
        <v>690.56</v>
      </c>
      <c r="G152" s="62" t="str">
        <f t="shared" si="5"/>
        <v>2nd to 7th, 9th &amp; 10th Floor</v>
      </c>
      <c r="H152" s="63"/>
      <c r="I152" s="33"/>
      <c r="L152" s="64"/>
      <c r="M152" s="64"/>
      <c r="N152" s="33"/>
    </row>
    <row r="153" spans="1:14" s="34" customFormat="1" x14ac:dyDescent="0.3">
      <c r="A153" s="65" t="s">
        <v>207</v>
      </c>
      <c r="B153" s="66"/>
      <c r="C153" s="66"/>
      <c r="D153" s="66"/>
      <c r="E153" s="66"/>
      <c r="F153" s="66"/>
      <c r="G153" s="66"/>
      <c r="H153" s="67"/>
    </row>
    <row r="154" spans="1:14" s="34" customFormat="1" x14ac:dyDescent="0.3">
      <c r="A154" s="62">
        <v>1</v>
      </c>
      <c r="B154" s="63"/>
      <c r="C154" s="49">
        <v>1</v>
      </c>
      <c r="D154" s="56">
        <f>(2.9*4.25+2.1*2.65+2.78*3.65+1.2*1.86+1.2*1.86+1.4*0.9+2.1*1+1.95*1.5)*(10.764)</f>
        <v>417.49250399999994</v>
      </c>
      <c r="E154" s="39">
        <v>0</v>
      </c>
      <c r="F154" s="39">
        <v>690.56</v>
      </c>
      <c r="G154" s="62" t="str">
        <f>A153</f>
        <v>8th Floor (Part Refuge Area)</v>
      </c>
      <c r="H154" s="63"/>
      <c r="I154" s="33"/>
      <c r="L154" s="64"/>
      <c r="M154" s="64"/>
      <c r="N154" s="33"/>
    </row>
    <row r="155" spans="1:14" s="34" customFormat="1" x14ac:dyDescent="0.3">
      <c r="A155" s="62">
        <f t="shared" ref="A155:A162" si="6">A154+1</f>
        <v>2</v>
      </c>
      <c r="B155" s="63"/>
      <c r="C155" s="49">
        <v>1</v>
      </c>
      <c r="D155" s="56">
        <f>(4.25*2.9+2.65*2.1+3.65*2.78+2*(1.86*1.2)+1.4*0.9+1.95*1.5+2.1*1)*(10.764)</f>
        <v>417.49250399999994</v>
      </c>
      <c r="E155" s="39">
        <v>0</v>
      </c>
      <c r="F155" s="39">
        <v>690.56</v>
      </c>
      <c r="G155" s="62" t="str">
        <f t="shared" ref="G155:G162" si="7">G154</f>
        <v>8th Floor (Part Refuge Area)</v>
      </c>
      <c r="H155" s="63"/>
      <c r="I155" s="33"/>
      <c r="L155" s="64"/>
      <c r="M155" s="64"/>
      <c r="N155" s="33"/>
    </row>
    <row r="156" spans="1:14" s="34" customFormat="1" x14ac:dyDescent="0.3">
      <c r="A156" s="62">
        <f t="shared" si="6"/>
        <v>3</v>
      </c>
      <c r="B156" s="63"/>
      <c r="C156" s="49">
        <v>1</v>
      </c>
      <c r="D156" s="56">
        <f>(4.25*2.9+2.65*2.1+3.65*2.78+2*(1.86*1.2)+1.4*0.9+1.95*1.5+2.1*1)*(10.764)</f>
        <v>417.49250399999994</v>
      </c>
      <c r="E156" s="39">
        <v>0</v>
      </c>
      <c r="F156" s="39">
        <v>690.56</v>
      </c>
      <c r="G156" s="62" t="str">
        <f t="shared" si="7"/>
        <v>8th Floor (Part Refuge Area)</v>
      </c>
      <c r="H156" s="63"/>
      <c r="I156" s="33"/>
      <c r="L156" s="64"/>
      <c r="M156" s="64"/>
      <c r="N156" s="33"/>
    </row>
    <row r="157" spans="1:14" s="34" customFormat="1" x14ac:dyDescent="0.3">
      <c r="A157" s="62">
        <f t="shared" si="6"/>
        <v>4</v>
      </c>
      <c r="B157" s="63"/>
      <c r="C157" s="49">
        <v>1</v>
      </c>
      <c r="D157" s="56">
        <f>(4.25*2.9+2.65*2.1+3.65*2.78+2*(1.86*1.2)+1.4*0.9+1.95*1.5+2.1*1)*(10.764)</f>
        <v>417.49250399999994</v>
      </c>
      <c r="E157" s="39">
        <v>0</v>
      </c>
      <c r="F157" s="39">
        <v>690.56</v>
      </c>
      <c r="G157" s="62" t="str">
        <f t="shared" si="7"/>
        <v>8th Floor (Part Refuge Area)</v>
      </c>
      <c r="H157" s="63"/>
      <c r="I157" s="33"/>
      <c r="L157" s="64"/>
      <c r="M157" s="64"/>
      <c r="N157" s="33"/>
    </row>
    <row r="158" spans="1:14" s="34" customFormat="1" x14ac:dyDescent="0.3">
      <c r="A158" s="62">
        <f t="shared" si="6"/>
        <v>5</v>
      </c>
      <c r="B158" s="63"/>
      <c r="C158" s="49">
        <v>1</v>
      </c>
      <c r="D158" s="56">
        <f>(4.25*2.9+2.65*2.1+3.65*2.78+2*(1.86*1.2)+1.4*0.9+1.95*1.5+2.1*1)*(10.764)</f>
        <v>417.49250399999994</v>
      </c>
      <c r="E158" s="39">
        <v>0</v>
      </c>
      <c r="F158" s="39">
        <v>690.56</v>
      </c>
      <c r="G158" s="62" t="str">
        <f t="shared" si="7"/>
        <v>8th Floor (Part Refuge Area)</v>
      </c>
      <c r="H158" s="63"/>
      <c r="I158" s="33"/>
      <c r="L158" s="64"/>
      <c r="M158" s="64"/>
      <c r="N158" s="33"/>
    </row>
    <row r="159" spans="1:14" s="34" customFormat="1" x14ac:dyDescent="0.3">
      <c r="A159" s="62">
        <f t="shared" si="6"/>
        <v>6</v>
      </c>
      <c r="B159" s="63"/>
      <c r="C159" s="49">
        <v>1</v>
      </c>
      <c r="D159" s="56">
        <f>(2.9*4.25+2.1*2.65+2.85*3.65+2*(1.2*1.86)+1.4*0.9+1.95*1.5+2.1)*(10.764)</f>
        <v>420.24270599999994</v>
      </c>
      <c r="E159" s="39">
        <v>0</v>
      </c>
      <c r="F159" s="39">
        <v>695.54</v>
      </c>
      <c r="G159" s="62" t="str">
        <f t="shared" si="7"/>
        <v>8th Floor (Part Refuge Area)</v>
      </c>
      <c r="H159" s="63"/>
      <c r="I159" s="33"/>
      <c r="L159" s="64"/>
      <c r="M159" s="64"/>
      <c r="N159" s="33"/>
    </row>
    <row r="160" spans="1:14" s="34" customFormat="1" x14ac:dyDescent="0.3">
      <c r="A160" s="62">
        <f t="shared" si="6"/>
        <v>7</v>
      </c>
      <c r="B160" s="63"/>
      <c r="C160" s="49">
        <v>1</v>
      </c>
      <c r="D160" s="56">
        <f>(4.25*2.9+2.65*2.1+3.65*2.78+2*(1.86*1.2)+1.4*0.9+1.95*1.5+2.1*1)*(10.764)</f>
        <v>417.49250399999994</v>
      </c>
      <c r="E160" s="39">
        <v>0</v>
      </c>
      <c r="F160" s="39">
        <v>690.56</v>
      </c>
      <c r="G160" s="62" t="str">
        <f t="shared" si="7"/>
        <v>8th Floor (Part Refuge Area)</v>
      </c>
      <c r="H160" s="63"/>
      <c r="I160" s="33"/>
      <c r="L160" s="64"/>
      <c r="M160" s="64"/>
      <c r="N160" s="33"/>
    </row>
    <row r="161" spans="1:14" s="34" customFormat="1" x14ac:dyDescent="0.3">
      <c r="A161" s="62">
        <f t="shared" si="6"/>
        <v>8</v>
      </c>
      <c r="B161" s="63"/>
      <c r="C161" s="49">
        <v>1</v>
      </c>
      <c r="D161" s="56">
        <f>(4.25*2.9+2.65*2.1+3.65*2.78+2*(1.86*1.2)+1.4*0.9+1.95*1.5+2.1*1)*(10.764)</f>
        <v>417.49250399999994</v>
      </c>
      <c r="E161" s="39">
        <v>0</v>
      </c>
      <c r="F161" s="39">
        <v>690.56</v>
      </c>
      <c r="G161" s="62" t="str">
        <f t="shared" si="7"/>
        <v>8th Floor (Part Refuge Area)</v>
      </c>
      <c r="H161" s="63"/>
      <c r="I161" s="33"/>
      <c r="L161" s="64"/>
      <c r="M161" s="64"/>
      <c r="N161" s="33"/>
    </row>
    <row r="162" spans="1:14" s="34" customFormat="1" x14ac:dyDescent="0.3">
      <c r="A162" s="62">
        <f t="shared" si="6"/>
        <v>9</v>
      </c>
      <c r="B162" s="63"/>
      <c r="C162" s="49">
        <v>1</v>
      </c>
      <c r="D162" s="56">
        <f>(4.25*2.9+2.65*2.1+3.65*2.78+2*(1.86*1.2)+1.4*0.9+1.95*1.5+2.1*1)*(10.764)</f>
        <v>417.49250399999994</v>
      </c>
      <c r="E162" s="39">
        <v>0</v>
      </c>
      <c r="F162" s="39">
        <v>690.56</v>
      </c>
      <c r="G162" s="62" t="str">
        <f t="shared" si="7"/>
        <v>8th Floor (Part Refuge Area)</v>
      </c>
      <c r="H162" s="63"/>
      <c r="I162" s="33"/>
      <c r="L162" s="64"/>
      <c r="M162" s="64"/>
      <c r="N162" s="33"/>
    </row>
    <row r="163" spans="1:14" s="34" customFormat="1" x14ac:dyDescent="0.3">
      <c r="A163" s="68" t="s">
        <v>208</v>
      </c>
      <c r="B163" s="68"/>
      <c r="C163" s="68"/>
      <c r="D163" s="68"/>
      <c r="E163" s="68"/>
      <c r="F163" s="68"/>
      <c r="G163" s="68"/>
      <c r="H163" s="68"/>
      <c r="J163" s="33"/>
    </row>
    <row r="164" spans="1:14" s="34" customFormat="1" x14ac:dyDescent="0.3">
      <c r="A164" s="68" t="s">
        <v>209</v>
      </c>
      <c r="B164" s="68"/>
      <c r="C164" s="68"/>
      <c r="D164" s="68"/>
      <c r="E164" s="68"/>
      <c r="F164" s="68"/>
      <c r="G164" s="68"/>
      <c r="H164" s="68"/>
      <c r="J164" s="33"/>
    </row>
    <row r="165" spans="1:14" s="34" customFormat="1" x14ac:dyDescent="0.3">
      <c r="A165" s="68" t="s">
        <v>205</v>
      </c>
      <c r="B165" s="68"/>
      <c r="C165" s="68"/>
      <c r="D165" s="68"/>
      <c r="E165" s="68"/>
      <c r="F165" s="68"/>
      <c r="G165" s="68"/>
      <c r="H165" s="68"/>
      <c r="J165" s="56"/>
    </row>
    <row r="166" spans="1:14" s="34" customFormat="1" x14ac:dyDescent="0.3">
      <c r="A166" s="75">
        <v>1</v>
      </c>
      <c r="B166" s="75"/>
      <c r="C166" s="49">
        <v>0</v>
      </c>
      <c r="D166" s="56">
        <f>(2.9*4.25+1.2*1.35+1.45*1.15+2.75*2.1+1.2*1.15+2.75+2.85)*(10.764)</f>
        <v>305.34777000000003</v>
      </c>
      <c r="E166" s="39">
        <v>0</v>
      </c>
      <c r="F166" s="39">
        <v>501</v>
      </c>
      <c r="G166" s="75" t="str">
        <f>A165</f>
        <v>1st Floor For Residential</v>
      </c>
      <c r="H166" s="75"/>
      <c r="I166" s="33"/>
      <c r="L166" s="64"/>
      <c r="M166" s="64"/>
      <c r="N166" s="33"/>
    </row>
    <row r="167" spans="1:14" s="34" customFormat="1" x14ac:dyDescent="0.3">
      <c r="A167" s="75">
        <f t="shared" ref="A167:A173" si="8">A166+1</f>
        <v>2</v>
      </c>
      <c r="B167" s="75"/>
      <c r="C167" s="49">
        <v>0</v>
      </c>
      <c r="D167" s="56">
        <f t="shared" ref="D167:D173" si="9">(2.9*4.25+1.2*1.35+1.45*1.15+2.75*2.1+1.2*1.15+2.75+2.85)*(10.764)</f>
        <v>305.34777000000003</v>
      </c>
      <c r="E167" s="39">
        <v>0</v>
      </c>
      <c r="F167" s="39">
        <v>501</v>
      </c>
      <c r="G167" s="75" t="str">
        <f t="shared" ref="G167:G173" si="10">G166</f>
        <v>1st Floor For Residential</v>
      </c>
      <c r="H167" s="75"/>
      <c r="I167" s="33"/>
      <c r="L167" s="64"/>
      <c r="M167" s="64"/>
      <c r="N167" s="33"/>
    </row>
    <row r="168" spans="1:14" s="34" customFormat="1" x14ac:dyDescent="0.3">
      <c r="A168" s="75">
        <f t="shared" si="8"/>
        <v>3</v>
      </c>
      <c r="B168" s="75"/>
      <c r="C168" s="49">
        <v>0</v>
      </c>
      <c r="D168" s="56">
        <f t="shared" si="9"/>
        <v>305.34777000000003</v>
      </c>
      <c r="E168" s="39">
        <v>0</v>
      </c>
      <c r="F168" s="39">
        <v>501</v>
      </c>
      <c r="G168" s="75" t="str">
        <f t="shared" si="10"/>
        <v>1st Floor For Residential</v>
      </c>
      <c r="H168" s="75"/>
      <c r="I168" s="33"/>
      <c r="L168" s="64"/>
      <c r="M168" s="64"/>
      <c r="N168" s="33"/>
    </row>
    <row r="169" spans="1:14" s="34" customFormat="1" x14ac:dyDescent="0.3">
      <c r="A169" s="62">
        <f t="shared" si="8"/>
        <v>4</v>
      </c>
      <c r="B169" s="63"/>
      <c r="C169" s="49">
        <v>0</v>
      </c>
      <c r="D169" s="56">
        <f t="shared" si="9"/>
        <v>305.34777000000003</v>
      </c>
      <c r="E169" s="39">
        <v>0</v>
      </c>
      <c r="F169" s="39">
        <v>501</v>
      </c>
      <c r="G169" s="62" t="str">
        <f t="shared" si="10"/>
        <v>1st Floor For Residential</v>
      </c>
      <c r="H169" s="63"/>
      <c r="I169" s="33"/>
      <c r="L169" s="64"/>
      <c r="M169" s="64"/>
      <c r="N169" s="33"/>
    </row>
    <row r="170" spans="1:14" s="34" customFormat="1" x14ac:dyDescent="0.3">
      <c r="A170" s="62">
        <f t="shared" si="8"/>
        <v>5</v>
      </c>
      <c r="B170" s="63"/>
      <c r="C170" s="49">
        <v>0</v>
      </c>
      <c r="D170" s="56">
        <f t="shared" si="9"/>
        <v>305.34777000000003</v>
      </c>
      <c r="E170" s="39">
        <v>0</v>
      </c>
      <c r="F170" s="39">
        <v>501</v>
      </c>
      <c r="G170" s="62" t="str">
        <f t="shared" si="10"/>
        <v>1st Floor For Residential</v>
      </c>
      <c r="H170" s="63"/>
      <c r="I170" s="33"/>
      <c r="L170" s="64"/>
      <c r="M170" s="64"/>
      <c r="N170" s="33"/>
    </row>
    <row r="171" spans="1:14" s="34" customFormat="1" x14ac:dyDescent="0.3">
      <c r="A171" s="62">
        <f t="shared" si="8"/>
        <v>6</v>
      </c>
      <c r="B171" s="63"/>
      <c r="C171" s="49">
        <v>0</v>
      </c>
      <c r="D171" s="56">
        <f t="shared" si="9"/>
        <v>305.34777000000003</v>
      </c>
      <c r="E171" s="39">
        <v>0</v>
      </c>
      <c r="F171" s="39">
        <v>501</v>
      </c>
      <c r="G171" s="62" t="str">
        <f t="shared" si="10"/>
        <v>1st Floor For Residential</v>
      </c>
      <c r="H171" s="63"/>
      <c r="I171" s="33"/>
      <c r="L171" s="64"/>
      <c r="M171" s="64"/>
      <c r="N171" s="33"/>
    </row>
    <row r="172" spans="1:14" s="34" customFormat="1" x14ac:dyDescent="0.3">
      <c r="A172" s="62">
        <f t="shared" si="8"/>
        <v>7</v>
      </c>
      <c r="B172" s="63"/>
      <c r="C172" s="49">
        <v>0</v>
      </c>
      <c r="D172" s="56">
        <f t="shared" si="9"/>
        <v>305.34777000000003</v>
      </c>
      <c r="E172" s="39">
        <v>0</v>
      </c>
      <c r="F172" s="39">
        <v>501</v>
      </c>
      <c r="G172" s="62" t="str">
        <f t="shared" si="10"/>
        <v>1st Floor For Residential</v>
      </c>
      <c r="H172" s="63"/>
      <c r="I172" s="33"/>
      <c r="J172" s="34">
        <f>4400*F172</f>
        <v>2204400</v>
      </c>
      <c r="L172" s="64"/>
      <c r="M172" s="64"/>
      <c r="N172" s="33"/>
    </row>
    <row r="173" spans="1:14" s="34" customFormat="1" x14ac:dyDescent="0.3">
      <c r="A173" s="62">
        <f t="shared" si="8"/>
        <v>8</v>
      </c>
      <c r="B173" s="63"/>
      <c r="C173" s="49">
        <v>0</v>
      </c>
      <c r="D173" s="56">
        <f t="shared" si="9"/>
        <v>305.34777000000003</v>
      </c>
      <c r="E173" s="39">
        <v>0</v>
      </c>
      <c r="F173" s="39">
        <v>501</v>
      </c>
      <c r="G173" s="62" t="str">
        <f t="shared" si="10"/>
        <v>1st Floor For Residential</v>
      </c>
      <c r="H173" s="63"/>
      <c r="I173" s="33"/>
      <c r="L173" s="64"/>
      <c r="M173" s="64"/>
      <c r="N173" s="33"/>
    </row>
    <row r="174" spans="1:14" s="34" customFormat="1" ht="15.75" customHeight="1" x14ac:dyDescent="0.3">
      <c r="A174" s="65" t="s">
        <v>206</v>
      </c>
      <c r="B174" s="66"/>
      <c r="C174" s="66"/>
      <c r="D174" s="66"/>
      <c r="E174" s="66"/>
      <c r="F174" s="66"/>
      <c r="G174" s="66"/>
      <c r="H174" s="67"/>
    </row>
    <row r="175" spans="1:14" s="34" customFormat="1" x14ac:dyDescent="0.3">
      <c r="A175" s="62">
        <v>1</v>
      </c>
      <c r="B175" s="63"/>
      <c r="C175" s="49">
        <v>0</v>
      </c>
      <c r="D175" s="56">
        <f t="shared" ref="D175:D182" si="11">(2.9*4.25+1.2*1.35+1.45*1.15+2.75*2.1+1.2*1.15+2.75+2.85)*(10.764)</f>
        <v>305.34777000000003</v>
      </c>
      <c r="E175" s="39">
        <v>0</v>
      </c>
      <c r="F175" s="39">
        <v>501</v>
      </c>
      <c r="G175" s="62" t="str">
        <f>A174</f>
        <v>2nd to 7th, 9th &amp; 10th Floor</v>
      </c>
      <c r="H175" s="63"/>
      <c r="I175" s="33"/>
      <c r="L175" s="64"/>
      <c r="M175" s="64"/>
      <c r="N175" s="33"/>
    </row>
    <row r="176" spans="1:14" s="34" customFormat="1" x14ac:dyDescent="0.3">
      <c r="A176" s="62">
        <f t="shared" ref="A176:A182" si="12">A175+1</f>
        <v>2</v>
      </c>
      <c r="B176" s="63"/>
      <c r="C176" s="49">
        <v>0</v>
      </c>
      <c r="D176" s="56">
        <f t="shared" si="11"/>
        <v>305.34777000000003</v>
      </c>
      <c r="E176" s="39">
        <v>0</v>
      </c>
      <c r="F176" s="39">
        <v>501</v>
      </c>
      <c r="G176" s="62" t="str">
        <f t="shared" ref="G176:G182" si="13">G175</f>
        <v>2nd to 7th, 9th &amp; 10th Floor</v>
      </c>
      <c r="H176" s="63"/>
      <c r="I176" s="33"/>
      <c r="L176" s="64"/>
      <c r="M176" s="64"/>
      <c r="N176" s="33"/>
    </row>
    <row r="177" spans="1:14" s="34" customFormat="1" x14ac:dyDescent="0.3">
      <c r="A177" s="62">
        <f t="shared" si="12"/>
        <v>3</v>
      </c>
      <c r="B177" s="63"/>
      <c r="C177" s="49">
        <v>0</v>
      </c>
      <c r="D177" s="56">
        <f t="shared" si="11"/>
        <v>305.34777000000003</v>
      </c>
      <c r="E177" s="39">
        <v>0</v>
      </c>
      <c r="F177" s="39">
        <v>501</v>
      </c>
      <c r="G177" s="62" t="str">
        <f t="shared" si="13"/>
        <v>2nd to 7th, 9th &amp; 10th Floor</v>
      </c>
      <c r="H177" s="63"/>
      <c r="I177" s="33"/>
      <c r="L177" s="64"/>
      <c r="M177" s="64"/>
      <c r="N177" s="33"/>
    </row>
    <row r="178" spans="1:14" s="34" customFormat="1" x14ac:dyDescent="0.3">
      <c r="A178" s="62">
        <f t="shared" si="12"/>
        <v>4</v>
      </c>
      <c r="B178" s="63"/>
      <c r="C178" s="49">
        <v>0</v>
      </c>
      <c r="D178" s="56">
        <f t="shared" si="11"/>
        <v>305.34777000000003</v>
      </c>
      <c r="E178" s="39">
        <v>0</v>
      </c>
      <c r="F178" s="39">
        <v>501</v>
      </c>
      <c r="G178" s="62" t="str">
        <f t="shared" si="13"/>
        <v>2nd to 7th, 9th &amp; 10th Floor</v>
      </c>
      <c r="H178" s="63"/>
      <c r="I178" s="33"/>
      <c r="L178" s="64"/>
      <c r="M178" s="64"/>
      <c r="N178" s="33"/>
    </row>
    <row r="179" spans="1:14" s="34" customFormat="1" x14ac:dyDescent="0.3">
      <c r="A179" s="62">
        <f t="shared" si="12"/>
        <v>5</v>
      </c>
      <c r="B179" s="63"/>
      <c r="C179" s="49">
        <v>0</v>
      </c>
      <c r="D179" s="56">
        <f t="shared" si="11"/>
        <v>305.34777000000003</v>
      </c>
      <c r="E179" s="39">
        <v>0</v>
      </c>
      <c r="F179" s="39">
        <v>501</v>
      </c>
      <c r="G179" s="62" t="str">
        <f t="shared" si="13"/>
        <v>2nd to 7th, 9th &amp; 10th Floor</v>
      </c>
      <c r="H179" s="63"/>
      <c r="I179" s="33"/>
      <c r="L179" s="64"/>
      <c r="M179" s="64"/>
      <c r="N179" s="33"/>
    </row>
    <row r="180" spans="1:14" s="34" customFormat="1" x14ac:dyDescent="0.3">
      <c r="A180" s="62">
        <f t="shared" si="12"/>
        <v>6</v>
      </c>
      <c r="B180" s="63"/>
      <c r="C180" s="49">
        <v>0</v>
      </c>
      <c r="D180" s="56">
        <f t="shared" si="11"/>
        <v>305.34777000000003</v>
      </c>
      <c r="E180" s="39">
        <v>0</v>
      </c>
      <c r="F180" s="39">
        <v>501</v>
      </c>
      <c r="G180" s="62" t="str">
        <f t="shared" si="13"/>
        <v>2nd to 7th, 9th &amp; 10th Floor</v>
      </c>
      <c r="H180" s="63"/>
      <c r="I180" s="33"/>
      <c r="L180" s="64"/>
      <c r="M180" s="64"/>
      <c r="N180" s="33"/>
    </row>
    <row r="181" spans="1:14" s="34" customFormat="1" x14ac:dyDescent="0.3">
      <c r="A181" s="62">
        <f t="shared" si="12"/>
        <v>7</v>
      </c>
      <c r="B181" s="63"/>
      <c r="C181" s="49">
        <v>0</v>
      </c>
      <c r="D181" s="56">
        <f t="shared" si="11"/>
        <v>305.34777000000003</v>
      </c>
      <c r="E181" s="39">
        <v>0</v>
      </c>
      <c r="F181" s="39">
        <v>501</v>
      </c>
      <c r="G181" s="62" t="str">
        <f t="shared" si="13"/>
        <v>2nd to 7th, 9th &amp; 10th Floor</v>
      </c>
      <c r="H181" s="63"/>
      <c r="I181" s="33"/>
      <c r="L181" s="64"/>
      <c r="M181" s="64"/>
      <c r="N181" s="33"/>
    </row>
    <row r="182" spans="1:14" s="34" customFormat="1" x14ac:dyDescent="0.3">
      <c r="A182" s="62">
        <f t="shared" si="12"/>
        <v>8</v>
      </c>
      <c r="B182" s="63"/>
      <c r="C182" s="49">
        <v>0</v>
      </c>
      <c r="D182" s="56">
        <f t="shared" si="11"/>
        <v>305.34777000000003</v>
      </c>
      <c r="E182" s="39">
        <v>0</v>
      </c>
      <c r="F182" s="39">
        <v>501</v>
      </c>
      <c r="G182" s="62" t="str">
        <f t="shared" si="13"/>
        <v>2nd to 7th, 9th &amp; 10th Floor</v>
      </c>
      <c r="H182" s="63"/>
      <c r="I182" s="33"/>
      <c r="L182" s="64"/>
      <c r="M182" s="64"/>
      <c r="N182" s="33"/>
    </row>
    <row r="183" spans="1:14" s="34" customFormat="1" ht="15.75" customHeight="1" x14ac:dyDescent="0.3">
      <c r="A183" s="65" t="s">
        <v>207</v>
      </c>
      <c r="B183" s="66"/>
      <c r="C183" s="66"/>
      <c r="D183" s="66"/>
      <c r="E183" s="66"/>
      <c r="F183" s="66"/>
      <c r="G183" s="66"/>
      <c r="H183" s="67"/>
    </row>
    <row r="184" spans="1:14" s="34" customFormat="1" x14ac:dyDescent="0.3">
      <c r="A184" s="62">
        <v>1</v>
      </c>
      <c r="B184" s="63"/>
      <c r="C184" s="49">
        <v>0</v>
      </c>
      <c r="D184" s="56">
        <f>(2.9*4.25+1.2*1.35+1.45*1.15+2.75*2.1+1.2*1.15+2.75+2.85)*(10.764)</f>
        <v>305.34777000000003</v>
      </c>
      <c r="E184" s="39">
        <v>0</v>
      </c>
      <c r="F184" s="39">
        <v>501</v>
      </c>
      <c r="G184" s="62" t="str">
        <f>A183</f>
        <v>8th Floor (Part Refuge Area)</v>
      </c>
      <c r="H184" s="63"/>
      <c r="I184" s="33"/>
      <c r="L184" s="64"/>
      <c r="M184" s="64"/>
      <c r="N184" s="33"/>
    </row>
    <row r="185" spans="1:14" s="34" customFormat="1" x14ac:dyDescent="0.3">
      <c r="A185" s="62">
        <f t="shared" ref="A185:A190" si="14">A184+1</f>
        <v>2</v>
      </c>
      <c r="B185" s="63"/>
      <c r="C185" s="49">
        <v>0</v>
      </c>
      <c r="D185" s="56">
        <f t="shared" ref="D185:D190" si="15">(2.9*4.25+1.2*1.35+1.45*1.15+2.75*2.1+1.2*1.15+2.75+2.85)*(10.764)</f>
        <v>305.34777000000003</v>
      </c>
      <c r="E185" s="39">
        <v>0</v>
      </c>
      <c r="F185" s="39">
        <v>501</v>
      </c>
      <c r="G185" s="62" t="str">
        <f t="shared" ref="G185:G190" si="16">G184</f>
        <v>8th Floor (Part Refuge Area)</v>
      </c>
      <c r="H185" s="63"/>
      <c r="I185" s="33"/>
      <c r="L185" s="64"/>
      <c r="M185" s="64"/>
      <c r="N185" s="33"/>
    </row>
    <row r="186" spans="1:14" s="34" customFormat="1" x14ac:dyDescent="0.3">
      <c r="A186" s="62">
        <f t="shared" si="14"/>
        <v>3</v>
      </c>
      <c r="B186" s="63"/>
      <c r="C186" s="49">
        <v>0</v>
      </c>
      <c r="D186" s="56">
        <f t="shared" si="15"/>
        <v>305.34777000000003</v>
      </c>
      <c r="E186" s="39">
        <v>0</v>
      </c>
      <c r="F186" s="39">
        <v>501</v>
      </c>
      <c r="G186" s="62" t="str">
        <f t="shared" si="16"/>
        <v>8th Floor (Part Refuge Area)</v>
      </c>
      <c r="H186" s="63"/>
      <c r="I186" s="33"/>
      <c r="L186" s="64"/>
      <c r="M186" s="64"/>
      <c r="N186" s="33"/>
    </row>
    <row r="187" spans="1:14" s="34" customFormat="1" x14ac:dyDescent="0.3">
      <c r="A187" s="62">
        <f t="shared" si="14"/>
        <v>4</v>
      </c>
      <c r="B187" s="63"/>
      <c r="C187" s="49">
        <v>0</v>
      </c>
      <c r="D187" s="56">
        <f t="shared" si="15"/>
        <v>305.34777000000003</v>
      </c>
      <c r="E187" s="39">
        <v>0</v>
      </c>
      <c r="F187" s="39">
        <v>501</v>
      </c>
      <c r="G187" s="62" t="str">
        <f t="shared" si="16"/>
        <v>8th Floor (Part Refuge Area)</v>
      </c>
      <c r="H187" s="63"/>
      <c r="I187" s="33"/>
      <c r="L187" s="64"/>
      <c r="M187" s="64"/>
      <c r="N187" s="33"/>
    </row>
    <row r="188" spans="1:14" s="34" customFormat="1" x14ac:dyDescent="0.3">
      <c r="A188" s="62">
        <f t="shared" si="14"/>
        <v>5</v>
      </c>
      <c r="B188" s="63"/>
      <c r="C188" s="49">
        <v>0</v>
      </c>
      <c r="D188" s="56">
        <f t="shared" si="15"/>
        <v>305.34777000000003</v>
      </c>
      <c r="E188" s="39">
        <v>0</v>
      </c>
      <c r="F188" s="39">
        <v>501</v>
      </c>
      <c r="G188" s="62" t="str">
        <f t="shared" si="16"/>
        <v>8th Floor (Part Refuge Area)</v>
      </c>
      <c r="H188" s="63"/>
      <c r="I188" s="33"/>
      <c r="L188" s="64"/>
      <c r="M188" s="64"/>
      <c r="N188" s="33"/>
    </row>
    <row r="189" spans="1:14" s="34" customFormat="1" x14ac:dyDescent="0.3">
      <c r="A189" s="62">
        <f t="shared" si="14"/>
        <v>6</v>
      </c>
      <c r="B189" s="63"/>
      <c r="C189" s="49">
        <v>0</v>
      </c>
      <c r="D189" s="56">
        <f t="shared" si="15"/>
        <v>305.34777000000003</v>
      </c>
      <c r="E189" s="39">
        <v>0</v>
      </c>
      <c r="F189" s="39">
        <v>501</v>
      </c>
      <c r="G189" s="62" t="str">
        <f t="shared" si="16"/>
        <v>8th Floor (Part Refuge Area)</v>
      </c>
      <c r="H189" s="63"/>
      <c r="I189" s="33"/>
      <c r="L189" s="64"/>
      <c r="M189" s="64"/>
      <c r="N189" s="33"/>
    </row>
    <row r="190" spans="1:14" s="34" customFormat="1" x14ac:dyDescent="0.3">
      <c r="A190" s="62">
        <f t="shared" si="14"/>
        <v>7</v>
      </c>
      <c r="B190" s="63"/>
      <c r="C190" s="49">
        <v>0</v>
      </c>
      <c r="D190" s="56">
        <f t="shared" si="15"/>
        <v>305.34777000000003</v>
      </c>
      <c r="E190" s="39">
        <v>0</v>
      </c>
      <c r="F190" s="39">
        <v>501</v>
      </c>
      <c r="G190" s="62" t="str">
        <f t="shared" si="16"/>
        <v>8th Floor (Part Refuge Area)</v>
      </c>
      <c r="H190" s="63"/>
      <c r="I190" s="33"/>
      <c r="L190" s="64"/>
      <c r="M190" s="64"/>
      <c r="N190" s="33"/>
    </row>
    <row r="191" spans="1:14" s="34" customFormat="1" hidden="1" x14ac:dyDescent="0.3">
      <c r="A191" s="68" t="s">
        <v>120</v>
      </c>
      <c r="B191" s="68"/>
      <c r="C191" s="68"/>
      <c r="D191" s="68"/>
      <c r="E191" s="68"/>
      <c r="F191" s="68"/>
      <c r="G191" s="68"/>
      <c r="H191" s="68"/>
      <c r="I191" s="33"/>
      <c r="L191" s="64"/>
      <c r="M191" s="64"/>
    </row>
    <row r="192" spans="1:14" s="34" customFormat="1" hidden="1" x14ac:dyDescent="0.3">
      <c r="A192" s="75">
        <f>LEFT(A191,SUM(LEN(A191)-LEN(SUBSTITUTE(A191,{"0","1","2","3","4","5","6","7","8","9"},""))))*100+1</f>
        <v>201</v>
      </c>
      <c r="B192" s="75"/>
      <c r="C192" s="49"/>
      <c r="D192" s="39"/>
      <c r="E192" s="39">
        <v>0</v>
      </c>
      <c r="F192" s="39" t="e">
        <f>D192*((#REF!)+1)+(IF(E192&lt;101,E192,IF(E192&lt;201,E192/2,IF(E192&lt;=301,E192/3,E192/4))))</f>
        <v>#REF!</v>
      </c>
      <c r="G192" s="75" t="str">
        <f>A191</f>
        <v>2nd Floor</v>
      </c>
      <c r="H192" s="75"/>
      <c r="I192" s="33"/>
      <c r="N192" s="33"/>
    </row>
    <row r="193" spans="1:14" s="34" customFormat="1" hidden="1" x14ac:dyDescent="0.3">
      <c r="A193" s="75">
        <f>A192+1</f>
        <v>202</v>
      </c>
      <c r="B193" s="75"/>
      <c r="C193" s="49"/>
      <c r="D193" s="39"/>
      <c r="E193" s="39">
        <v>0</v>
      </c>
      <c r="F193" s="39" t="e">
        <f>D193*((#REF!)+1)+(IF(E193&lt;101,E193,IF(E193&lt;201,E193/2,IF(E193&lt;=301,E193/3,E193/4))))</f>
        <v>#REF!</v>
      </c>
      <c r="G193" s="75" t="str">
        <f>G192</f>
        <v>2nd Floor</v>
      </c>
      <c r="H193" s="75"/>
      <c r="I193" s="33"/>
      <c r="N193" s="33"/>
    </row>
    <row r="194" spans="1:14" s="34" customFormat="1" hidden="1" x14ac:dyDescent="0.3">
      <c r="A194" s="75">
        <f>A193+1</f>
        <v>203</v>
      </c>
      <c r="B194" s="75"/>
      <c r="C194" s="49"/>
      <c r="D194" s="39"/>
      <c r="E194" s="39">
        <v>0</v>
      </c>
      <c r="F194" s="39" t="e">
        <f>D194*((#REF!)+1)+(IF(E194&lt;101,E194,IF(E194&lt;201,E194/2,IF(E194&lt;=301,E194/3,E194/4))))</f>
        <v>#REF!</v>
      </c>
      <c r="G194" s="75" t="str">
        <f>G193</f>
        <v>2nd Floor</v>
      </c>
      <c r="H194" s="75"/>
      <c r="I194" s="33"/>
      <c r="N194" s="33"/>
    </row>
    <row r="195" spans="1:14" s="34" customFormat="1" hidden="1" x14ac:dyDescent="0.3">
      <c r="A195" s="75">
        <f>A194+1</f>
        <v>204</v>
      </c>
      <c r="B195" s="75"/>
      <c r="C195" s="49"/>
      <c r="D195" s="39"/>
      <c r="E195" s="39">
        <v>0</v>
      </c>
      <c r="F195" s="39" t="e">
        <f>D195*((#REF!)+1)+(IF(E195&lt;101,E195,IF(E195&lt;201,E195/2,IF(E195&lt;=301,E195/3,E195/4))))</f>
        <v>#REF!</v>
      </c>
      <c r="G195" s="75" t="str">
        <f>G194</f>
        <v>2nd Floor</v>
      </c>
      <c r="H195" s="75"/>
      <c r="I195" s="33"/>
      <c r="N195" s="33"/>
    </row>
    <row r="196" spans="1:14" s="34" customFormat="1" hidden="1" x14ac:dyDescent="0.3">
      <c r="A196" s="75">
        <f>A195+1</f>
        <v>205</v>
      </c>
      <c r="B196" s="75"/>
      <c r="C196" s="49"/>
      <c r="D196" s="39"/>
      <c r="E196" s="39">
        <v>0</v>
      </c>
      <c r="F196" s="39" t="e">
        <f>D196*((#REF!)+1)+(IF(E196&lt;101,E196,IF(E196&lt;201,E196/2,IF(E196&lt;=301,E196/3,E196/4))))</f>
        <v>#REF!</v>
      </c>
      <c r="G196" s="75" t="str">
        <f>G195</f>
        <v>2nd Floor</v>
      </c>
      <c r="H196" s="75"/>
      <c r="I196" s="33"/>
      <c r="N196" s="33"/>
    </row>
    <row r="197" spans="1:14" s="34" customFormat="1" ht="15.75" hidden="1" customHeight="1" x14ac:dyDescent="0.3">
      <c r="A197" s="65" t="s">
        <v>155</v>
      </c>
      <c r="B197" s="66"/>
      <c r="C197" s="66"/>
      <c r="D197" s="66"/>
      <c r="E197" s="66"/>
      <c r="F197" s="66"/>
      <c r="G197" s="66"/>
      <c r="H197" s="67"/>
      <c r="I197" s="33"/>
    </row>
    <row r="198" spans="1:14" s="34" customFormat="1" hidden="1" x14ac:dyDescent="0.3">
      <c r="A198" s="62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10^ROW(INDIRECT("1:"&amp;LEN((LEFT(A197,SUM(LEN(A197)-LEN(SUBSTITUTE(A197,{"0","1","2"},""))))))))/10))*100+1&amp;""&amp;" ,..,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301 ,.., 1501</v>
      </c>
      <c r="B198" s="63"/>
      <c r="C198" s="49"/>
      <c r="D198" s="39"/>
      <c r="E198" s="39">
        <v>0</v>
      </c>
      <c r="F198" s="39" t="e">
        <f>D198*((#REF!)+1)+(IF(E198&lt;101,E198,IF(E198&lt;201,E198/2,IF(E198&lt;=301,E198/3,E198/4))))</f>
        <v>#REF!</v>
      </c>
      <c r="G198" s="62" t="str">
        <f>A197</f>
        <v>3rd, 5th, 7th, 9th, 11th, 13th, 15th Floor</v>
      </c>
      <c r="H198" s="63"/>
      <c r="I198" s="33"/>
    </row>
    <row r="199" spans="1:14" s="34" customFormat="1" hidden="1" x14ac:dyDescent="0.3">
      <c r="A199" s="62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,..,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302 ,.., 1502</v>
      </c>
      <c r="B199" s="63"/>
      <c r="C199" s="49"/>
      <c r="D199" s="39"/>
      <c r="E199" s="39">
        <v>0</v>
      </c>
      <c r="F199" s="39" t="e">
        <f>D199*((#REF!)+1)+(IF(E199&lt;101,E199,IF(E199&lt;201,E199/2,IF(E199&lt;=301,E199/3,E199/4))))</f>
        <v>#REF!</v>
      </c>
      <c r="G199" s="62" t="str">
        <f>G198</f>
        <v>3rd, 5th, 7th, 9th, 11th, 13th, 15th Floor</v>
      </c>
      <c r="H199" s="63"/>
      <c r="I199" s="33"/>
    </row>
    <row r="200" spans="1:14" s="34" customFormat="1" ht="15.75" hidden="1" customHeight="1" x14ac:dyDescent="0.3">
      <c r="A200" s="62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,..,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303 ,.., 1503</v>
      </c>
      <c r="B200" s="63"/>
      <c r="C200" s="49"/>
      <c r="D200" s="39"/>
      <c r="E200" s="39">
        <v>0</v>
      </c>
      <c r="F200" s="39" t="e">
        <f>D200*((#REF!)+1)+(IF(E200&lt;101,E200,IF(E200&lt;201,E200/2,IF(E200&lt;=301,E200/3,E200/4))))</f>
        <v>#REF!</v>
      </c>
      <c r="G200" s="62" t="str">
        <f>G199</f>
        <v>3rd, 5th, 7th, 9th, 11th, 13th, 15th Floor</v>
      </c>
      <c r="H200" s="63"/>
      <c r="I200" s="33"/>
    </row>
    <row r="201" spans="1:14" s="34" customFormat="1" ht="15.75" hidden="1" customHeight="1" x14ac:dyDescent="0.3">
      <c r="A201" s="62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,..,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304 ,.., 1504</v>
      </c>
      <c r="B201" s="63"/>
      <c r="C201" s="49"/>
      <c r="D201" s="39"/>
      <c r="E201" s="39">
        <v>0</v>
      </c>
      <c r="F201" s="39" t="e">
        <f>D201*((#REF!)+1)+(IF(E201&lt;101,E201,IF(E201&lt;201,E201/2,IF(E201&lt;=301,E201/3,E201/4))))</f>
        <v>#REF!</v>
      </c>
      <c r="G201" s="62" t="str">
        <f>G200</f>
        <v>3rd, 5th, 7th, 9th, 11th, 13th, 15th Floor</v>
      </c>
      <c r="H201" s="63"/>
      <c r="I201" s="33"/>
    </row>
    <row r="202" spans="1:14" s="34" customFormat="1" ht="15.75" hidden="1" customHeight="1" x14ac:dyDescent="0.3">
      <c r="A202" s="62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,..,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305 ,.., 1505</v>
      </c>
      <c r="B202" s="63"/>
      <c r="C202" s="49"/>
      <c r="D202" s="39"/>
      <c r="E202" s="39">
        <v>0</v>
      </c>
      <c r="F202" s="39" t="e">
        <f>D202*((#REF!)+1)+(IF(E202&lt;101,E202,IF(E202&lt;201,E202/2,IF(E202&lt;=301,E202/3,E202/4))))</f>
        <v>#REF!</v>
      </c>
      <c r="G202" s="62" t="str">
        <f>G201</f>
        <v>3rd, 5th, 7th, 9th, 11th, 13th, 15th Floor</v>
      </c>
      <c r="H202" s="63"/>
      <c r="I202" s="33"/>
    </row>
    <row r="203" spans="1:14" s="34" customFormat="1" hidden="1" x14ac:dyDescent="0.3">
      <c r="A203" s="65" t="s">
        <v>150</v>
      </c>
      <c r="B203" s="66"/>
      <c r="C203" s="66"/>
      <c r="D203" s="66"/>
      <c r="E203" s="66"/>
      <c r="F203" s="66"/>
      <c r="G203" s="66"/>
      <c r="H203" s="67"/>
      <c r="I203" s="33"/>
    </row>
    <row r="204" spans="1:14" s="34" customFormat="1" hidden="1" x14ac:dyDescent="0.3">
      <c r="A204" s="62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to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201 to 501</v>
      </c>
      <c r="B204" s="63"/>
      <c r="C204" s="49"/>
      <c r="D204" s="39"/>
      <c r="E204" s="39">
        <v>0</v>
      </c>
      <c r="F204" s="39" t="e">
        <f>D204*((#REF!)+1)+(IF(E204&lt;101,E204,IF(E204&lt;201,E204/2,IF(E204&lt;=301,E204/3,E204/4))))</f>
        <v>#REF!</v>
      </c>
      <c r="G204" s="62" t="str">
        <f>A203</f>
        <v>2nd to 5th Floor</v>
      </c>
      <c r="H204" s="63"/>
      <c r="I204" s="33"/>
    </row>
    <row r="205" spans="1:14" s="34" customFormat="1" hidden="1" x14ac:dyDescent="0.3">
      <c r="A205" s="62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to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202 to 502</v>
      </c>
      <c r="B205" s="63"/>
      <c r="C205" s="49"/>
      <c r="D205" s="39"/>
      <c r="E205" s="39">
        <v>0</v>
      </c>
      <c r="F205" s="39" t="e">
        <f>D205*((#REF!)+1)+(IF(E205&lt;101,E205,IF(E205&lt;201,E205/2,IF(E205&lt;=301,E205/3,E205/4))))</f>
        <v>#REF!</v>
      </c>
      <c r="G205" s="62" t="str">
        <f>G204</f>
        <v>2nd to 5th Floor</v>
      </c>
      <c r="H205" s="63"/>
      <c r="I205" s="33"/>
    </row>
    <row r="206" spans="1:14" s="34" customFormat="1" hidden="1" x14ac:dyDescent="0.3">
      <c r="A206" s="62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to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203 to 503</v>
      </c>
      <c r="B206" s="63"/>
      <c r="C206" s="49"/>
      <c r="D206" s="39"/>
      <c r="E206" s="39">
        <v>0</v>
      </c>
      <c r="F206" s="39" t="e">
        <f>D206*((#REF!)+1)+(IF(E206&lt;101,E206,IF(E206&lt;201,E206/2,IF(E206&lt;=301,E206/3,E206/4))))</f>
        <v>#REF!</v>
      </c>
      <c r="G206" s="62" t="str">
        <f>G205</f>
        <v>2nd to 5th Floor</v>
      </c>
      <c r="H206" s="63"/>
      <c r="I206" s="33"/>
    </row>
    <row r="207" spans="1:14" s="34" customFormat="1" hidden="1" x14ac:dyDescent="0.3">
      <c r="A207" s="62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to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204 to 504</v>
      </c>
      <c r="B207" s="63"/>
      <c r="C207" s="49"/>
      <c r="D207" s="39"/>
      <c r="E207" s="39">
        <v>0</v>
      </c>
      <c r="F207" s="39" t="e">
        <f>D207*((#REF!)+1)+(IF(E207&lt;101,E207,IF(E207&lt;201,E207/2,IF(E207&lt;=301,E207/3,E207/4))))</f>
        <v>#REF!</v>
      </c>
      <c r="G207" s="62" t="str">
        <f>G206</f>
        <v>2nd to 5th Floor</v>
      </c>
      <c r="H207" s="63"/>
      <c r="I207" s="33"/>
    </row>
    <row r="208" spans="1:14" s="34" customFormat="1" hidden="1" x14ac:dyDescent="0.3">
      <c r="A208" s="62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to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205 to 505</v>
      </c>
      <c r="B208" s="63"/>
      <c r="C208" s="49"/>
      <c r="D208" s="39"/>
      <c r="E208" s="39">
        <v>0</v>
      </c>
      <c r="F208" s="39" t="e">
        <f>D208*((#REF!)+1)+(IF(E208&lt;101,E208,IF(E208&lt;201,E208/2,IF(E208&lt;=301,E208/3,E208/4))))</f>
        <v>#REF!</v>
      </c>
      <c r="G208" s="62" t="str">
        <f>G207</f>
        <v>2nd to 5th Floor</v>
      </c>
      <c r="H208" s="63"/>
      <c r="I208" s="33"/>
    </row>
    <row r="209" spans="1:9" s="34" customFormat="1" hidden="1" x14ac:dyDescent="0.3">
      <c r="A209" s="65" t="s">
        <v>151</v>
      </c>
      <c r="B209" s="66"/>
      <c r="C209" s="66"/>
      <c r="D209" s="66"/>
      <c r="E209" s="66"/>
      <c r="F209" s="66"/>
      <c r="G209" s="66"/>
      <c r="H209" s="67"/>
      <c r="I209" s="33"/>
    </row>
    <row r="210" spans="1:9" s="34" customFormat="1" hidden="1" x14ac:dyDescent="0.3">
      <c r="A210" s="62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201 &amp; 501</v>
      </c>
      <c r="B210" s="63"/>
      <c r="C210" s="49"/>
      <c r="D210" s="39"/>
      <c r="E210" s="39">
        <v>0</v>
      </c>
      <c r="F210" s="39" t="e">
        <f>D210*((#REF!)+1)+(IF(E210&lt;101,E210,IF(E210&lt;201,E210/2,IF(E210&lt;=301,E210/3,E210/4))))</f>
        <v>#REF!</v>
      </c>
      <c r="G210" s="62" t="str">
        <f>A209</f>
        <v>2nd &amp; 5th Floor</v>
      </c>
      <c r="H210" s="63"/>
      <c r="I210" s="33"/>
    </row>
    <row r="211" spans="1:9" s="34" customFormat="1" hidden="1" x14ac:dyDescent="0.3">
      <c r="A211" s="62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202 &amp; 502</v>
      </c>
      <c r="B211" s="63"/>
      <c r="C211" s="49"/>
      <c r="D211" s="39"/>
      <c r="E211" s="39">
        <v>0</v>
      </c>
      <c r="F211" s="39" t="e">
        <f>D211*((#REF!)+1)+(IF(E211&lt;101,E211,IF(E211&lt;201,E211/2,IF(E211&lt;=301,E211/3,E211/4))))</f>
        <v>#REF!</v>
      </c>
      <c r="G211" s="62" t="str">
        <f t="shared" ref="G211:G214" si="17">G210</f>
        <v>2nd &amp; 5th Floor</v>
      </c>
      <c r="H211" s="63"/>
      <c r="I211" s="33"/>
    </row>
    <row r="212" spans="1:9" s="34" customFormat="1" hidden="1" x14ac:dyDescent="0.3">
      <c r="A212" s="62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203 &amp; 503</v>
      </c>
      <c r="B212" s="63"/>
      <c r="C212" s="49"/>
      <c r="D212" s="39"/>
      <c r="E212" s="39">
        <v>0</v>
      </c>
      <c r="F212" s="39" t="e">
        <f>D212*((#REF!)+1)+(IF(E212&lt;101,E212,IF(E212&lt;201,E212/2,IF(E212&lt;=301,E212/3,E212/4))))</f>
        <v>#REF!</v>
      </c>
      <c r="G212" s="62" t="str">
        <f t="shared" si="17"/>
        <v>2nd &amp; 5th Floor</v>
      </c>
      <c r="H212" s="63"/>
      <c r="I212" s="33"/>
    </row>
    <row r="213" spans="1:9" s="34" customFormat="1" hidden="1" x14ac:dyDescent="0.3">
      <c r="A213" s="62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&amp;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204 &amp; 504</v>
      </c>
      <c r="B213" s="63"/>
      <c r="C213" s="49"/>
      <c r="D213" s="39"/>
      <c r="E213" s="39">
        <v>0</v>
      </c>
      <c r="F213" s="39" t="e">
        <f>D213*((#REF!)+1)+(IF(E213&lt;101,E213,IF(E213&lt;201,E213/2,IF(E213&lt;=301,E213/3,E213/4))))</f>
        <v>#REF!</v>
      </c>
      <c r="G213" s="62" t="str">
        <f t="shared" si="17"/>
        <v>2nd &amp; 5th Floor</v>
      </c>
      <c r="H213" s="63"/>
      <c r="I213" s="33"/>
    </row>
    <row r="214" spans="1:9" s="34" customFormat="1" hidden="1" x14ac:dyDescent="0.3">
      <c r="A214" s="62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&amp;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205 &amp; 505</v>
      </c>
      <c r="B214" s="63"/>
      <c r="C214" s="49"/>
      <c r="D214" s="39"/>
      <c r="E214" s="39">
        <v>0</v>
      </c>
      <c r="F214" s="39" t="e">
        <f>D214*((#REF!)+1)+(IF(E214&lt;101,E214,IF(E214&lt;201,E214/2,IF(E214&lt;=301,E214/3,E214/4))))</f>
        <v>#REF!</v>
      </c>
      <c r="G214" s="62" t="str">
        <f t="shared" si="17"/>
        <v>2nd &amp; 5th Floor</v>
      </c>
      <c r="H214" s="63"/>
      <c r="I214" s="33"/>
    </row>
    <row r="215" spans="1:9" s="32" customFormat="1" x14ac:dyDescent="0.3">
      <c r="A215" s="178" t="s">
        <v>69</v>
      </c>
      <c r="B215" s="178"/>
      <c r="C215" s="178"/>
      <c r="D215" s="178"/>
      <c r="E215" s="178"/>
      <c r="F215" s="178"/>
      <c r="G215" s="178"/>
      <c r="H215" s="178"/>
    </row>
    <row r="216" spans="1:9" s="32" customFormat="1" x14ac:dyDescent="0.3">
      <c r="A216" s="43" t="s">
        <v>159</v>
      </c>
      <c r="B216" s="167" t="s">
        <v>229</v>
      </c>
      <c r="C216" s="168"/>
      <c r="D216" s="168"/>
      <c r="E216" s="168"/>
      <c r="F216" s="168"/>
      <c r="G216" s="168"/>
      <c r="H216" s="169"/>
    </row>
    <row r="217" spans="1:9" s="32" customFormat="1" x14ac:dyDescent="0.3">
      <c r="A217" s="43" t="s">
        <v>159</v>
      </c>
      <c r="B217" s="175" t="str">
        <f>(IF(F129="Saleable area Loading :","We have considered Saleable area of Flats as per our Calculation.","We considered Saleable area of Flat as per Builder area Sheet."))</f>
        <v>We considered Saleable area of Flat as per Builder area Sheet.</v>
      </c>
      <c r="C217" s="176"/>
      <c r="D217" s="176"/>
      <c r="E217" s="176"/>
      <c r="F217" s="176"/>
      <c r="G217" s="176"/>
      <c r="H217" s="177"/>
    </row>
    <row r="218" spans="1:9" s="32" customFormat="1" x14ac:dyDescent="0.3">
      <c r="A218" s="43" t="s">
        <v>159</v>
      </c>
      <c r="B218" s="175" t="str">
        <f>(IF(F119="Saleable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18" s="176"/>
      <c r="D218" s="176"/>
      <c r="E218" s="176"/>
      <c r="F218" s="176"/>
      <c r="G218" s="176"/>
      <c r="H218" s="177"/>
    </row>
    <row r="219" spans="1:9" s="32" customFormat="1" x14ac:dyDescent="0.3">
      <c r="A219" s="43" t="s">
        <v>159</v>
      </c>
      <c r="B219" s="69" t="s">
        <v>127</v>
      </c>
      <c r="C219" s="70"/>
      <c r="D219" s="70"/>
      <c r="E219" s="70"/>
      <c r="F219" s="70"/>
      <c r="G219" s="70"/>
      <c r="H219" s="71"/>
    </row>
    <row r="220" spans="1:9" s="32" customFormat="1" x14ac:dyDescent="0.3">
      <c r="A220" s="43" t="s">
        <v>159</v>
      </c>
      <c r="B220" s="69" t="s">
        <v>213</v>
      </c>
      <c r="C220" s="70"/>
      <c r="D220" s="70"/>
      <c r="E220" s="70"/>
      <c r="F220" s="70"/>
      <c r="G220" s="70"/>
      <c r="H220" s="71"/>
    </row>
    <row r="221" spans="1:9" s="32" customFormat="1" x14ac:dyDescent="0.3">
      <c r="A221" s="43" t="s">
        <v>159</v>
      </c>
      <c r="B221" s="69" t="s">
        <v>158</v>
      </c>
      <c r="C221" s="70"/>
      <c r="D221" s="70"/>
      <c r="E221" s="70"/>
      <c r="F221" s="70"/>
      <c r="G221" s="70"/>
      <c r="H221" s="71"/>
    </row>
    <row r="222" spans="1:9" s="32" customFormat="1" x14ac:dyDescent="0.3">
      <c r="A222" s="43" t="s">
        <v>159</v>
      </c>
      <c r="B222" s="69" t="s">
        <v>128</v>
      </c>
      <c r="C222" s="70"/>
      <c r="D222" s="70"/>
      <c r="E222" s="70"/>
      <c r="F222" s="70"/>
      <c r="G222" s="70"/>
      <c r="H222" s="71"/>
    </row>
    <row r="223" spans="1:9" s="32" customFormat="1" ht="34.5" hidden="1" customHeight="1" x14ac:dyDescent="0.3">
      <c r="A223" s="43" t="s">
        <v>159</v>
      </c>
      <c r="B223" s="69" t="s">
        <v>160</v>
      </c>
      <c r="C223" s="70"/>
      <c r="D223" s="70"/>
      <c r="E223" s="70"/>
      <c r="F223" s="70"/>
      <c r="G223" s="70"/>
      <c r="H223" s="71"/>
    </row>
    <row r="224" spans="1:9" s="32" customFormat="1" x14ac:dyDescent="0.3">
      <c r="A224" s="43" t="s">
        <v>159</v>
      </c>
      <c r="B224" s="69" t="s">
        <v>129</v>
      </c>
      <c r="C224" s="70"/>
      <c r="D224" s="70"/>
      <c r="E224" s="70"/>
      <c r="F224" s="70"/>
      <c r="G224" s="70"/>
      <c r="H224" s="71"/>
    </row>
    <row r="225" spans="1:9" s="52" customFormat="1" x14ac:dyDescent="0.3">
      <c r="A225" s="58" t="s">
        <v>159</v>
      </c>
      <c r="B225" s="167" t="s">
        <v>215</v>
      </c>
      <c r="C225" s="168"/>
      <c r="D225" s="168"/>
      <c r="E225" s="168"/>
      <c r="F225" s="168"/>
      <c r="G225" s="168"/>
      <c r="H225" s="169"/>
      <c r="I225" s="52" t="s">
        <v>211</v>
      </c>
    </row>
    <row r="226" spans="1:9" s="32" customFormat="1" hidden="1" x14ac:dyDescent="0.3">
      <c r="A226" s="43" t="s">
        <v>159</v>
      </c>
      <c r="B226" s="167" t="s">
        <v>175</v>
      </c>
      <c r="C226" s="168"/>
      <c r="D226" s="168"/>
      <c r="E226" s="168"/>
      <c r="F226" s="168"/>
      <c r="G226" s="168"/>
      <c r="H226" s="169"/>
    </row>
    <row r="227" spans="1:9" x14ac:dyDescent="0.3">
      <c r="A227" s="166" t="s">
        <v>62</v>
      </c>
      <c r="B227" s="166"/>
      <c r="C227" s="166"/>
      <c r="D227" s="166"/>
      <c r="E227" s="166"/>
      <c r="F227" s="166"/>
      <c r="G227" s="166"/>
      <c r="H227" s="166"/>
    </row>
    <row r="228" spans="1:9" x14ac:dyDescent="0.3">
      <c r="A228" s="76" t="s">
        <v>63</v>
      </c>
      <c r="B228" s="76"/>
      <c r="C228" s="76"/>
      <c r="D228" s="76"/>
      <c r="E228" s="76"/>
      <c r="F228" s="76"/>
      <c r="G228" s="76"/>
      <c r="H228" s="76"/>
    </row>
    <row r="229" spans="1:9" ht="15.75" customHeight="1" x14ac:dyDescent="0.3">
      <c r="A229" s="194" t="s">
        <v>64</v>
      </c>
      <c r="B229" s="194"/>
      <c r="C229" s="194"/>
      <c r="D229" s="194"/>
      <c r="E229" s="194"/>
      <c r="F229" s="194"/>
      <c r="G229" s="194"/>
      <c r="H229" s="194"/>
    </row>
    <row r="230" spans="1:9" x14ac:dyDescent="0.3">
      <c r="A230" s="76" t="s">
        <v>65</v>
      </c>
      <c r="B230" s="76"/>
      <c r="C230" s="76"/>
      <c r="D230" s="76"/>
      <c r="E230" s="76"/>
      <c r="F230" s="76"/>
      <c r="G230" s="76"/>
      <c r="H230" s="76"/>
    </row>
    <row r="231" spans="1:9" x14ac:dyDescent="0.3">
      <c r="A231" s="76" t="s">
        <v>66</v>
      </c>
      <c r="B231" s="76"/>
      <c r="C231" s="76"/>
      <c r="D231" s="76"/>
      <c r="E231" s="76"/>
      <c r="F231" s="76"/>
      <c r="G231" s="76"/>
      <c r="H231" s="76"/>
    </row>
    <row r="232" spans="1:9" x14ac:dyDescent="0.3">
      <c r="A232" s="76" t="s">
        <v>130</v>
      </c>
      <c r="B232" s="76"/>
      <c r="C232" s="76"/>
      <c r="D232" s="76"/>
      <c r="E232" s="76"/>
      <c r="F232" s="76"/>
      <c r="G232" s="76"/>
      <c r="H232" s="76"/>
    </row>
    <row r="233" spans="1:9" ht="35.25" hidden="1" customHeight="1" x14ac:dyDescent="0.3">
      <c r="A233" s="129" t="s">
        <v>131</v>
      </c>
      <c r="B233" s="129"/>
      <c r="C233" s="129"/>
      <c r="D233" s="129"/>
      <c r="E233" s="129"/>
      <c r="F233" s="129"/>
      <c r="G233" s="129"/>
      <c r="H233" s="129"/>
    </row>
    <row r="234" spans="1:9" x14ac:dyDescent="0.3">
      <c r="A234" s="164" t="s">
        <v>77</v>
      </c>
      <c r="B234" s="164"/>
      <c r="C234" s="164" t="s">
        <v>230</v>
      </c>
      <c r="D234" s="164"/>
      <c r="E234" s="164" t="s">
        <v>107</v>
      </c>
      <c r="F234" s="164"/>
      <c r="G234" s="164" t="s">
        <v>231</v>
      </c>
      <c r="H234" s="164"/>
    </row>
    <row r="235" spans="1:9" x14ac:dyDescent="0.3">
      <c r="A235" s="163" t="s">
        <v>79</v>
      </c>
      <c r="B235" s="163"/>
      <c r="C235" s="163"/>
      <c r="D235" s="163"/>
      <c r="E235" s="163"/>
      <c r="F235" s="163"/>
      <c r="G235" s="163"/>
      <c r="H235" s="163"/>
    </row>
    <row r="236" spans="1:9" x14ac:dyDescent="0.3">
      <c r="A236" s="163"/>
      <c r="B236" s="163"/>
      <c r="C236" s="163"/>
      <c r="D236" s="163"/>
      <c r="E236" s="163"/>
      <c r="F236" s="163"/>
      <c r="G236" s="163"/>
      <c r="H236" s="163"/>
    </row>
    <row r="237" spans="1:9" x14ac:dyDescent="0.3">
      <c r="A237" s="163"/>
      <c r="B237" s="163"/>
      <c r="C237" s="163"/>
      <c r="D237" s="163"/>
      <c r="E237" s="163"/>
      <c r="F237" s="163"/>
      <c r="G237" s="163"/>
      <c r="H237" s="163"/>
    </row>
    <row r="238" spans="1:9" x14ac:dyDescent="0.3">
      <c r="A238" s="163"/>
      <c r="B238" s="163"/>
      <c r="C238" s="163"/>
      <c r="D238" s="163"/>
      <c r="E238" s="163"/>
      <c r="F238" s="163"/>
      <c r="G238" s="163"/>
      <c r="H238" s="163"/>
    </row>
    <row r="239" spans="1:9" x14ac:dyDescent="0.3">
      <c r="A239" s="35" t="s">
        <v>67</v>
      </c>
      <c r="B239" s="36"/>
      <c r="C239" s="36"/>
      <c r="D239" s="35" t="str">
        <f>E8</f>
        <v>Sai Amber Residency</v>
      </c>
      <c r="F239" s="36"/>
      <c r="G239" s="36"/>
      <c r="H239" s="36"/>
    </row>
    <row r="240" spans="1:9" x14ac:dyDescent="0.3">
      <c r="A240" s="36"/>
      <c r="B240" s="36"/>
      <c r="C240" s="36"/>
      <c r="D240" s="36"/>
      <c r="E240" s="36"/>
      <c r="F240" s="36"/>
      <c r="G240" s="36"/>
      <c r="H240" s="36"/>
    </row>
    <row r="241" spans="1:8" x14ac:dyDescent="0.3">
      <c r="A241" s="36"/>
      <c r="B241" s="36"/>
      <c r="C241" s="36"/>
      <c r="D241" s="36"/>
      <c r="E241" s="36"/>
      <c r="F241" s="36"/>
      <c r="G241" s="36"/>
      <c r="H241" s="36"/>
    </row>
    <row r="242" spans="1:8" ht="15" customHeight="1" x14ac:dyDescent="0.3"/>
    <row r="248" spans="1:8" x14ac:dyDescent="0.3">
      <c r="C248"/>
    </row>
    <row r="280" spans="1:2" x14ac:dyDescent="0.3">
      <c r="A280" s="60" t="s">
        <v>214</v>
      </c>
      <c r="B280" s="61"/>
    </row>
    <row r="321" spans="1:1" x14ac:dyDescent="0.3">
      <c r="A321" s="38" t="s">
        <v>68</v>
      </c>
    </row>
  </sheetData>
  <mergeCells count="492">
    <mergeCell ref="C48:E48"/>
    <mergeCell ref="G48:H48"/>
    <mergeCell ref="G50:H50"/>
    <mergeCell ref="D55:H55"/>
    <mergeCell ref="C50:E50"/>
    <mergeCell ref="A58:C59"/>
    <mergeCell ref="D58:H58"/>
    <mergeCell ref="A232:H232"/>
    <mergeCell ref="A229:H229"/>
    <mergeCell ref="G207:H207"/>
    <mergeCell ref="A192:B192"/>
    <mergeCell ref="A113:B113"/>
    <mergeCell ref="G129:H129"/>
    <mergeCell ref="A89:B89"/>
    <mergeCell ref="A90:B90"/>
    <mergeCell ref="A91:B91"/>
    <mergeCell ref="F96:H96"/>
    <mergeCell ref="G111:H111"/>
    <mergeCell ref="G205:H205"/>
    <mergeCell ref="A199:B199"/>
    <mergeCell ref="A118:H118"/>
    <mergeCell ref="A116:B116"/>
    <mergeCell ref="D59:H59"/>
    <mergeCell ref="C49:E49"/>
    <mergeCell ref="C52:E52"/>
    <mergeCell ref="A49:B49"/>
    <mergeCell ref="A54:H54"/>
    <mergeCell ref="A55:C55"/>
    <mergeCell ref="A56:C56"/>
    <mergeCell ref="D56:H56"/>
    <mergeCell ref="G52:H52"/>
    <mergeCell ref="A52:B53"/>
    <mergeCell ref="C53:H53"/>
    <mergeCell ref="A81:B81"/>
    <mergeCell ref="C81:H81"/>
    <mergeCell ref="A76:B76"/>
    <mergeCell ref="B222:H222"/>
    <mergeCell ref="B218:H218"/>
    <mergeCell ref="A212:B212"/>
    <mergeCell ref="G212:H212"/>
    <mergeCell ref="G211:H211"/>
    <mergeCell ref="A209:H209"/>
    <mergeCell ref="A210:B210"/>
    <mergeCell ref="A211:B211"/>
    <mergeCell ref="A214:B214"/>
    <mergeCell ref="G214:H214"/>
    <mergeCell ref="A213:B213"/>
    <mergeCell ref="G213:H213"/>
    <mergeCell ref="B216:H216"/>
    <mergeCell ref="B217:H217"/>
    <mergeCell ref="B219:H219"/>
    <mergeCell ref="B220:H220"/>
    <mergeCell ref="G210:H210"/>
    <mergeCell ref="G208:H208"/>
    <mergeCell ref="A215:H215"/>
    <mergeCell ref="A208:B208"/>
    <mergeCell ref="C83:H83"/>
    <mergeCell ref="A235:H238"/>
    <mergeCell ref="A234:B234"/>
    <mergeCell ref="E234:F234"/>
    <mergeCell ref="C234:D234"/>
    <mergeCell ref="G234:H234"/>
    <mergeCell ref="A109:H109"/>
    <mergeCell ref="A107:E107"/>
    <mergeCell ref="F107:H107"/>
    <mergeCell ref="A108:E108"/>
    <mergeCell ref="F108:H108"/>
    <mergeCell ref="A191:H191"/>
    <mergeCell ref="A114:B114"/>
    <mergeCell ref="A200:B200"/>
    <mergeCell ref="A111:B111"/>
    <mergeCell ref="A230:H230"/>
    <mergeCell ref="A112:H112"/>
    <mergeCell ref="A233:H233"/>
    <mergeCell ref="A231:H231"/>
    <mergeCell ref="A227:H227"/>
    <mergeCell ref="A228:H228"/>
    <mergeCell ref="E113:F113"/>
    <mergeCell ref="B225:H225"/>
    <mergeCell ref="B226:H226"/>
    <mergeCell ref="G124:H124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1:D11"/>
    <mergeCell ref="E11:H11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A48:B48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L125:M125"/>
    <mergeCell ref="L124:M124"/>
    <mergeCell ref="L123:M123"/>
    <mergeCell ref="L122:M122"/>
    <mergeCell ref="A78:B78"/>
    <mergeCell ref="C114:D114"/>
    <mergeCell ref="E114:F114"/>
    <mergeCell ref="G114:H114"/>
    <mergeCell ref="F102:H102"/>
    <mergeCell ref="A96:E96"/>
    <mergeCell ref="A121:H121"/>
    <mergeCell ref="G119:H119"/>
    <mergeCell ref="A85:B85"/>
    <mergeCell ref="E85:F94"/>
    <mergeCell ref="A92:B92"/>
    <mergeCell ref="A93:B93"/>
    <mergeCell ref="A94:B94"/>
    <mergeCell ref="F95:H95"/>
    <mergeCell ref="F100:H100"/>
    <mergeCell ref="G122:H122"/>
    <mergeCell ref="G123:H123"/>
    <mergeCell ref="G125:H125"/>
    <mergeCell ref="A117:H117"/>
    <mergeCell ref="A83:B83"/>
    <mergeCell ref="L191:M191"/>
    <mergeCell ref="A128:H128"/>
    <mergeCell ref="A196:B196"/>
    <mergeCell ref="A193:B193"/>
    <mergeCell ref="A194:B194"/>
    <mergeCell ref="A204:B204"/>
    <mergeCell ref="A205:B205"/>
    <mergeCell ref="A206:B206"/>
    <mergeCell ref="A195:B195"/>
    <mergeCell ref="G196:H196"/>
    <mergeCell ref="G202:H202"/>
    <mergeCell ref="G201:H201"/>
    <mergeCell ref="L169:M169"/>
    <mergeCell ref="G166:H166"/>
    <mergeCell ref="L166:M166"/>
    <mergeCell ref="A167:B167"/>
    <mergeCell ref="G167:H167"/>
    <mergeCell ref="L167:M167"/>
    <mergeCell ref="A168:B168"/>
    <mergeCell ref="G168:H168"/>
    <mergeCell ref="L168:M168"/>
    <mergeCell ref="G204:H204"/>
    <mergeCell ref="A202:B202"/>
    <mergeCell ref="A201:B201"/>
    <mergeCell ref="A84:B84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A100:E100"/>
    <mergeCell ref="A98:E98"/>
    <mergeCell ref="A95:E95"/>
    <mergeCell ref="G206:H206"/>
    <mergeCell ref="A203:H203"/>
    <mergeCell ref="A197:H197"/>
    <mergeCell ref="E110:F110"/>
    <mergeCell ref="A110:B110"/>
    <mergeCell ref="F103:H103"/>
    <mergeCell ref="A115:B115"/>
    <mergeCell ref="C115:D115"/>
    <mergeCell ref="E115:F115"/>
    <mergeCell ref="G115:H115"/>
    <mergeCell ref="C113:D113"/>
    <mergeCell ref="G113:H113"/>
    <mergeCell ref="G157:H157"/>
    <mergeCell ref="A161:B161"/>
    <mergeCell ref="G161:H161"/>
    <mergeCell ref="A176:B176"/>
    <mergeCell ref="G176:H176"/>
    <mergeCell ref="A186:B186"/>
    <mergeCell ref="G186:H186"/>
    <mergeCell ref="A198:B198"/>
    <mergeCell ref="G169:H169"/>
    <mergeCell ref="A166:B166"/>
    <mergeCell ref="A125:B125"/>
    <mergeCell ref="G194:H194"/>
    <mergeCell ref="A207:B207"/>
    <mergeCell ref="C110:D110"/>
    <mergeCell ref="F106:H106"/>
    <mergeCell ref="F104:H104"/>
    <mergeCell ref="G110:H110"/>
    <mergeCell ref="A105:E105"/>
    <mergeCell ref="C111:D111"/>
    <mergeCell ref="E111:F111"/>
    <mergeCell ref="G193:H193"/>
    <mergeCell ref="C116:D116"/>
    <mergeCell ref="A165:H165"/>
    <mergeCell ref="E116:F116"/>
    <mergeCell ref="G132:H132"/>
    <mergeCell ref="A136:B136"/>
    <mergeCell ref="G136:H136"/>
    <mergeCell ref="A139:B139"/>
    <mergeCell ref="G139:H139"/>
    <mergeCell ref="A144:B144"/>
    <mergeCell ref="G144:H144"/>
    <mergeCell ref="A148:B148"/>
    <mergeCell ref="G148:H148"/>
    <mergeCell ref="A152:B152"/>
    <mergeCell ref="G152:H152"/>
    <mergeCell ref="A157:B157"/>
    <mergeCell ref="A16:B16"/>
    <mergeCell ref="C16:H16"/>
    <mergeCell ref="A38:B38"/>
    <mergeCell ref="C38:H38"/>
    <mergeCell ref="B223:H223"/>
    <mergeCell ref="A47:B47"/>
    <mergeCell ref="C47:H47"/>
    <mergeCell ref="B221:H221"/>
    <mergeCell ref="G85:H94"/>
    <mergeCell ref="A86:B86"/>
    <mergeCell ref="A87:B87"/>
    <mergeCell ref="A88:B88"/>
    <mergeCell ref="F97:H97"/>
    <mergeCell ref="A97:E97"/>
    <mergeCell ref="G199:H199"/>
    <mergeCell ref="G195:H195"/>
    <mergeCell ref="G192:H192"/>
    <mergeCell ref="A99:E99"/>
    <mergeCell ref="A122:B122"/>
    <mergeCell ref="A123:B123"/>
    <mergeCell ref="A124:B124"/>
    <mergeCell ref="F99:H99"/>
    <mergeCell ref="F105:H105"/>
    <mergeCell ref="A169:B169"/>
    <mergeCell ref="B224:H224"/>
    <mergeCell ref="C51:H51"/>
    <mergeCell ref="A120:H120"/>
    <mergeCell ref="A126:B126"/>
    <mergeCell ref="G126:H126"/>
    <mergeCell ref="L126:M126"/>
    <mergeCell ref="A127:B127"/>
    <mergeCell ref="G127:H127"/>
    <mergeCell ref="L127:M127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31:H131"/>
    <mergeCell ref="A132:B132"/>
    <mergeCell ref="G200:H200"/>
    <mergeCell ref="G198:H198"/>
    <mergeCell ref="A106:E106"/>
    <mergeCell ref="G116:H116"/>
    <mergeCell ref="L136:M136"/>
    <mergeCell ref="A137:B137"/>
    <mergeCell ref="G137:H137"/>
    <mergeCell ref="L137:M137"/>
    <mergeCell ref="A138:B138"/>
    <mergeCell ref="G138:H138"/>
    <mergeCell ref="L138:M138"/>
    <mergeCell ref="A130:H130"/>
    <mergeCell ref="L132:M132"/>
    <mergeCell ref="A133:B133"/>
    <mergeCell ref="G133:H133"/>
    <mergeCell ref="L133:M133"/>
    <mergeCell ref="A134:B134"/>
    <mergeCell ref="G134:H134"/>
    <mergeCell ref="L134:M134"/>
    <mergeCell ref="A135:B135"/>
    <mergeCell ref="G135:H135"/>
    <mergeCell ref="L135:M135"/>
    <mergeCell ref="L139:M139"/>
    <mergeCell ref="A140:B140"/>
    <mergeCell ref="G140:H140"/>
    <mergeCell ref="L140:M140"/>
    <mergeCell ref="A141:B141"/>
    <mergeCell ref="G141:H141"/>
    <mergeCell ref="L141:M141"/>
    <mergeCell ref="A142:H142"/>
    <mergeCell ref="A143:B143"/>
    <mergeCell ref="G143:H143"/>
    <mergeCell ref="L143:M143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L148:M148"/>
    <mergeCell ref="A149:B149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L152:M152"/>
    <mergeCell ref="A153:H153"/>
    <mergeCell ref="A154:B154"/>
    <mergeCell ref="G154:H154"/>
    <mergeCell ref="L154:M154"/>
    <mergeCell ref="A155:B155"/>
    <mergeCell ref="G155:H155"/>
    <mergeCell ref="L155:M155"/>
    <mergeCell ref="A156:B156"/>
    <mergeCell ref="G156:H156"/>
    <mergeCell ref="L156:M156"/>
    <mergeCell ref="L157:M157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L161:M161"/>
    <mergeCell ref="A162:B162"/>
    <mergeCell ref="G162:H162"/>
    <mergeCell ref="L162:M162"/>
    <mergeCell ref="A163:H163"/>
    <mergeCell ref="A174:H174"/>
    <mergeCell ref="A175:B175"/>
    <mergeCell ref="G175:H175"/>
    <mergeCell ref="L175:M175"/>
    <mergeCell ref="A164:H164"/>
    <mergeCell ref="L176:M176"/>
    <mergeCell ref="A177:B177"/>
    <mergeCell ref="G177:H177"/>
    <mergeCell ref="L177:M177"/>
    <mergeCell ref="A178:B178"/>
    <mergeCell ref="G178:H178"/>
    <mergeCell ref="L178:M178"/>
    <mergeCell ref="G185:H185"/>
    <mergeCell ref="L185:M185"/>
    <mergeCell ref="L186:M186"/>
    <mergeCell ref="A179:B179"/>
    <mergeCell ref="G179:H179"/>
    <mergeCell ref="L179:M179"/>
    <mergeCell ref="A180:B180"/>
    <mergeCell ref="G180:H180"/>
    <mergeCell ref="L180:M180"/>
    <mergeCell ref="A181:B181"/>
    <mergeCell ref="G181:H181"/>
    <mergeCell ref="L181:M181"/>
    <mergeCell ref="A280:B280"/>
    <mergeCell ref="A190:B190"/>
    <mergeCell ref="G190:H190"/>
    <mergeCell ref="L190:M190"/>
    <mergeCell ref="A173:B173"/>
    <mergeCell ref="G173:H173"/>
    <mergeCell ref="L173:M173"/>
    <mergeCell ref="A182:B182"/>
    <mergeCell ref="G182:H182"/>
    <mergeCell ref="L182:M182"/>
    <mergeCell ref="A187:B187"/>
    <mergeCell ref="G187:H187"/>
    <mergeCell ref="L187:M187"/>
    <mergeCell ref="A188:B188"/>
    <mergeCell ref="G188:H188"/>
    <mergeCell ref="L188:M188"/>
    <mergeCell ref="A189:B189"/>
    <mergeCell ref="G189:H189"/>
    <mergeCell ref="L189:M189"/>
    <mergeCell ref="A183:H183"/>
    <mergeCell ref="A184:B184"/>
    <mergeCell ref="G184:H184"/>
    <mergeCell ref="L184:M184"/>
    <mergeCell ref="A185:B185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38" max="16383" man="1"/>
    <brk id="279" max="7" man="1"/>
    <brk id="32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108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2025-09-15T06:59:26Z</cp:lastPrinted>
  <dcterms:created xsi:type="dcterms:W3CDTF">2019-07-16T09:29:46Z</dcterms:created>
  <dcterms:modified xsi:type="dcterms:W3CDTF">2025-09-15T06:59:28Z</dcterms:modified>
</cp:coreProperties>
</file>