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79D8BC89-3EF4-43DB-AA38-68256C831940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G115" i="1"/>
  <c r="J95" i="1"/>
  <c r="J94" i="1"/>
  <c r="J93" i="1"/>
  <c r="J92" i="1"/>
  <c r="D231" i="1"/>
  <c r="E231" i="1"/>
  <c r="E230" i="1"/>
  <c r="D230" i="1"/>
  <c r="E229" i="1"/>
  <c r="D229" i="1"/>
  <c r="E228" i="1"/>
  <c r="D228" i="1"/>
  <c r="E226" i="1"/>
  <c r="D226" i="1"/>
  <c r="E225" i="1"/>
  <c r="D225" i="1"/>
  <c r="E224" i="1"/>
  <c r="D224" i="1"/>
  <c r="E223" i="1"/>
  <c r="D223" i="1"/>
  <c r="D221" i="1"/>
  <c r="E221" i="1"/>
  <c r="E220" i="1"/>
  <c r="D220" i="1"/>
  <c r="E219" i="1"/>
  <c r="D219" i="1"/>
  <c r="E218" i="1"/>
  <c r="D218" i="1"/>
  <c r="E216" i="1"/>
  <c r="D216" i="1"/>
  <c r="E215" i="1"/>
  <c r="D215" i="1"/>
  <c r="E214" i="1"/>
  <c r="D214" i="1"/>
  <c r="E213" i="1"/>
  <c r="D213" i="1"/>
  <c r="E211" i="1"/>
  <c r="D211" i="1"/>
  <c r="D209" i="1"/>
  <c r="E210" i="1"/>
  <c r="D210" i="1"/>
  <c r="E209" i="1"/>
  <c r="E208" i="1"/>
  <c r="D208" i="1"/>
  <c r="E205" i="1"/>
  <c r="E204" i="1"/>
  <c r="E203" i="1"/>
  <c r="D205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1" i="1"/>
  <c r="E178" i="1"/>
  <c r="E186" i="1"/>
  <c r="D191" i="1"/>
  <c r="E190" i="1"/>
  <c r="D190" i="1"/>
  <c r="E189" i="1"/>
  <c r="D189" i="1"/>
  <c r="E188" i="1"/>
  <c r="D188" i="1"/>
  <c r="E187" i="1"/>
  <c r="D187" i="1"/>
  <c r="D186" i="1"/>
  <c r="E183" i="1"/>
  <c r="D183" i="1"/>
  <c r="E182" i="1"/>
  <c r="D182" i="1"/>
  <c r="E181" i="1"/>
  <c r="D181" i="1"/>
  <c r="E180" i="1"/>
  <c r="D180" i="1"/>
  <c r="E179" i="1"/>
  <c r="D179" i="1"/>
  <c r="D178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69" i="1"/>
  <c r="E168" i="1"/>
  <c r="E167" i="1"/>
  <c r="E166" i="1"/>
  <c r="E165" i="1"/>
  <c r="E164" i="1"/>
  <c r="A158" i="1"/>
  <c r="A159" i="1" s="1"/>
  <c r="A160" i="1" s="1"/>
  <c r="A161" i="1" s="1"/>
  <c r="A162" i="1" s="1"/>
  <c r="E161" i="1"/>
  <c r="E160" i="1"/>
  <c r="E159" i="1"/>
  <c r="E158" i="1"/>
  <c r="E157" i="1"/>
  <c r="J137" i="1"/>
  <c r="I53" i="1"/>
  <c r="C14" i="1"/>
  <c r="E7" i="1" l="1"/>
  <c r="G169" i="1" l="1"/>
  <c r="J169" i="1"/>
  <c r="F220" i="1"/>
  <c r="H220" i="1" s="1"/>
  <c r="F215" i="1"/>
  <c r="H215" i="1" s="1"/>
  <c r="D204" i="1"/>
  <c r="F204" i="1" s="1"/>
  <c r="H204" i="1" s="1"/>
  <c r="D203" i="1"/>
  <c r="D169" i="1"/>
  <c r="D168" i="1"/>
  <c r="D167" i="1"/>
  <c r="D166" i="1"/>
  <c r="D165" i="1"/>
  <c r="D164" i="1"/>
  <c r="D161" i="1"/>
  <c r="D160" i="1"/>
  <c r="D159" i="1"/>
  <c r="D158" i="1"/>
  <c r="D157" i="1"/>
  <c r="D150" i="1"/>
  <c r="D149" i="1"/>
  <c r="F149" i="1" s="1"/>
  <c r="K149" i="1" s="1"/>
  <c r="D148" i="1"/>
  <c r="F148" i="1" s="1"/>
  <c r="K148" i="1" s="1"/>
  <c r="D147" i="1"/>
  <c r="F147" i="1" s="1"/>
  <c r="K147" i="1" s="1"/>
  <c r="D146" i="1"/>
  <c r="F146" i="1" s="1"/>
  <c r="K146" i="1" s="1"/>
  <c r="D145" i="1"/>
  <c r="F145" i="1" s="1"/>
  <c r="K145" i="1" s="1"/>
  <c r="D144" i="1"/>
  <c r="F144" i="1" s="1"/>
  <c r="K144" i="1" s="1"/>
  <c r="D143" i="1"/>
  <c r="F143" i="1" s="1"/>
  <c r="K143" i="1" s="1"/>
  <c r="D142" i="1"/>
  <c r="D141" i="1"/>
  <c r="F141" i="1" s="1"/>
  <c r="K141" i="1" s="1"/>
  <c r="D140" i="1"/>
  <c r="F140" i="1" s="1"/>
  <c r="K140" i="1" s="1"/>
  <c r="D139" i="1"/>
  <c r="D138" i="1"/>
  <c r="F138" i="1" s="1"/>
  <c r="K138" i="1" s="1"/>
  <c r="D137" i="1"/>
  <c r="F137" i="1" s="1"/>
  <c r="K137" i="1" s="1"/>
  <c r="D136" i="1"/>
  <c r="F136" i="1" s="1"/>
  <c r="K136" i="1" s="1"/>
  <c r="D135" i="1"/>
  <c r="F135" i="1" s="1"/>
  <c r="K135" i="1" s="1"/>
  <c r="D134" i="1"/>
  <c r="F134" i="1" s="1"/>
  <c r="K134" i="1" s="1"/>
  <c r="D133" i="1"/>
  <c r="F133" i="1" s="1"/>
  <c r="D132" i="1"/>
  <c r="F132" i="1" s="1"/>
  <c r="D131" i="1"/>
  <c r="F131" i="1" s="1"/>
  <c r="D130" i="1"/>
  <c r="F130" i="1" s="1"/>
  <c r="D129" i="1"/>
  <c r="K124" i="1"/>
  <c r="I230" i="1"/>
  <c r="A229" i="1"/>
  <c r="A230" i="1" s="1"/>
  <c r="A231" i="1" s="1"/>
  <c r="I228" i="1"/>
  <c r="F228" i="1"/>
  <c r="H228" i="1" s="1"/>
  <c r="I225" i="1"/>
  <c r="F225" i="1"/>
  <c r="H225" i="1" s="1"/>
  <c r="A224" i="1"/>
  <c r="A225" i="1" s="1"/>
  <c r="A226" i="1" s="1"/>
  <c r="I223" i="1"/>
  <c r="F223" i="1"/>
  <c r="H223" i="1" s="1"/>
  <c r="I220" i="1"/>
  <c r="A219" i="1"/>
  <c r="A220" i="1" s="1"/>
  <c r="A221" i="1" s="1"/>
  <c r="I218" i="1"/>
  <c r="F218" i="1"/>
  <c r="H218" i="1" s="1"/>
  <c r="I215" i="1"/>
  <c r="A214" i="1"/>
  <c r="A215" i="1" s="1"/>
  <c r="A216" i="1" s="1"/>
  <c r="I213" i="1"/>
  <c r="F213" i="1"/>
  <c r="H213" i="1" s="1"/>
  <c r="I210" i="1"/>
  <c r="A209" i="1"/>
  <c r="A210" i="1" s="1"/>
  <c r="A211" i="1" s="1"/>
  <c r="I208" i="1"/>
  <c r="F208" i="1"/>
  <c r="H208" i="1" s="1"/>
  <c r="I205" i="1"/>
  <c r="I203" i="1"/>
  <c r="I189" i="1"/>
  <c r="I186" i="1"/>
  <c r="I197" i="1"/>
  <c r="I194" i="1"/>
  <c r="I181" i="1"/>
  <c r="I178" i="1"/>
  <c r="I174" i="1"/>
  <c r="I171" i="1"/>
  <c r="I167" i="1"/>
  <c r="I164" i="1"/>
  <c r="I160" i="1"/>
  <c r="I157" i="1"/>
  <c r="D240" i="1"/>
  <c r="F142" i="1"/>
  <c r="K142" i="1" s="1"/>
  <c r="F129" i="1"/>
  <c r="J131" i="1"/>
  <c r="F150" i="1"/>
  <c r="K150" i="1" s="1"/>
  <c r="A204" i="1"/>
  <c r="A205" i="1" s="1"/>
  <c r="A206" i="1" s="1"/>
  <c r="F139" i="1" l="1"/>
  <c r="K139" i="1" s="1"/>
  <c r="N129" i="1"/>
  <c r="K129" i="1"/>
  <c r="K130" i="1"/>
  <c r="N130" i="1"/>
  <c r="N131" i="1"/>
  <c r="K131" i="1"/>
  <c r="N132" i="1"/>
  <c r="K132" i="1"/>
  <c r="N133" i="1"/>
  <c r="K133" i="1"/>
  <c r="F157" i="1"/>
  <c r="C119" i="1"/>
  <c r="F230" i="1"/>
  <c r="H230" i="1" s="1"/>
  <c r="C120" i="1"/>
  <c r="F159" i="1"/>
  <c r="H159" i="1" s="1"/>
  <c r="F161" i="1"/>
  <c r="H161" i="1" s="1"/>
  <c r="F199" i="1"/>
  <c r="H199" i="1" s="1"/>
  <c r="F210" i="1"/>
  <c r="H210" i="1" s="1"/>
  <c r="C115" i="1"/>
  <c r="C116" i="1" s="1"/>
  <c r="G116" i="1"/>
  <c r="F158" i="1"/>
  <c r="H158" i="1" s="1"/>
  <c r="F160" i="1"/>
  <c r="H160" i="1" s="1"/>
  <c r="F186" i="1"/>
  <c r="H186" i="1" s="1"/>
  <c r="F190" i="1"/>
  <c r="H190" i="1" s="1"/>
  <c r="F198" i="1"/>
  <c r="H198" i="1" s="1"/>
  <c r="F203" i="1"/>
  <c r="H203" i="1" s="1"/>
  <c r="F205" i="1"/>
  <c r="H205" i="1" s="1"/>
  <c r="F209" i="1"/>
  <c r="H209" i="1" s="1"/>
  <c r="F214" i="1"/>
  <c r="H214" i="1" s="1"/>
  <c r="F216" i="1"/>
  <c r="H216" i="1" s="1"/>
  <c r="F219" i="1"/>
  <c r="H219" i="1" s="1"/>
  <c r="F221" i="1"/>
  <c r="H221" i="1" s="1"/>
  <c r="F224" i="1"/>
  <c r="H224" i="1" s="1"/>
  <c r="F226" i="1"/>
  <c r="H226" i="1" s="1"/>
  <c r="F229" i="1"/>
  <c r="H229" i="1" s="1"/>
  <c r="F231" i="1"/>
  <c r="H231" i="1" s="1"/>
  <c r="F211" i="1"/>
  <c r="H211" i="1" s="1"/>
  <c r="F173" i="1"/>
  <c r="F183" i="1"/>
  <c r="H183" i="1" s="1"/>
  <c r="F188" i="1"/>
  <c r="H188" i="1" s="1"/>
  <c r="F191" i="1"/>
  <c r="H191" i="1" s="1"/>
  <c r="F181" i="1"/>
  <c r="H181" i="1" s="1"/>
  <c r="F169" i="1"/>
  <c r="H169" i="1" s="1"/>
  <c r="F178" i="1"/>
  <c r="H178" i="1" s="1"/>
  <c r="F194" i="1"/>
  <c r="H194" i="1" s="1"/>
  <c r="F182" i="1"/>
  <c r="H182" i="1" s="1"/>
  <c r="F187" i="1"/>
  <c r="H187" i="1" s="1"/>
  <c r="F189" i="1"/>
  <c r="H189" i="1" s="1"/>
  <c r="F168" i="1"/>
  <c r="H168" i="1" s="1"/>
  <c r="F175" i="1"/>
  <c r="F179" i="1"/>
  <c r="H179" i="1" s="1"/>
  <c r="F196" i="1"/>
  <c r="H196" i="1" s="1"/>
  <c r="F180" i="1"/>
  <c r="H180" i="1" s="1"/>
  <c r="F195" i="1"/>
  <c r="H195" i="1" s="1"/>
  <c r="F197" i="1"/>
  <c r="H197" i="1" s="1"/>
  <c r="F176" i="1"/>
  <c r="H176" i="1" s="1"/>
  <c r="F164" i="1"/>
  <c r="H164" i="1" s="1"/>
  <c r="F166" i="1"/>
  <c r="H166" i="1" s="1"/>
  <c r="F171" i="1"/>
  <c r="F165" i="1"/>
  <c r="H165" i="1" s="1"/>
  <c r="F167" i="1"/>
  <c r="F172" i="1"/>
  <c r="F174" i="1"/>
  <c r="D237" i="1"/>
  <c r="D238" i="1"/>
  <c r="E41" i="1"/>
  <c r="C121" i="1" l="1"/>
  <c r="E115" i="1"/>
  <c r="E116" i="1" s="1"/>
  <c r="L174" i="1"/>
  <c r="H174" i="1"/>
  <c r="H172" i="1"/>
  <c r="L172" i="1"/>
  <c r="H173" i="1"/>
  <c r="L173" i="1"/>
  <c r="H167" i="1"/>
  <c r="L167" i="1"/>
  <c r="C122" i="1"/>
  <c r="H175" i="1"/>
  <c r="L175" i="1"/>
  <c r="G120" i="1"/>
  <c r="L171" i="1"/>
  <c r="H171" i="1"/>
  <c r="E119" i="1"/>
  <c r="H157" i="1"/>
  <c r="E120" i="1"/>
  <c r="K237" i="1"/>
  <c r="K310" i="1"/>
  <c r="E121" i="1" l="1"/>
  <c r="G119" i="1"/>
  <c r="K266" i="1"/>
  <c r="K267" i="1"/>
  <c r="K268" i="1"/>
  <c r="K269" i="1"/>
  <c r="K265" i="1"/>
  <c r="I242" i="1"/>
  <c r="J282" i="1" l="1"/>
  <c r="J270" i="1"/>
  <c r="D304" i="1"/>
  <c r="D301" i="1"/>
  <c r="D299" i="1"/>
  <c r="D298" i="1"/>
  <c r="D297" i="1"/>
  <c r="D296" i="1"/>
  <c r="D295" i="1"/>
  <c r="D293" i="1"/>
  <c r="D292" i="1"/>
  <c r="D291" i="1"/>
  <c r="D290" i="1"/>
  <c r="D289" i="1"/>
  <c r="D287" i="1"/>
  <c r="D286" i="1"/>
  <c r="D285" i="1"/>
  <c r="D284" i="1"/>
  <c r="D283" i="1"/>
  <c r="D281" i="1"/>
  <c r="J281" i="1" s="1"/>
  <c r="D280" i="1"/>
  <c r="J280" i="1" s="1"/>
  <c r="D279" i="1"/>
  <c r="J279" i="1" s="1"/>
  <c r="D278" i="1"/>
  <c r="J278" i="1" s="1"/>
  <c r="D277" i="1"/>
  <c r="I277" i="1" s="1"/>
  <c r="I278" i="1" s="1"/>
  <c r="I279" i="1" s="1"/>
  <c r="D275" i="1"/>
  <c r="D274" i="1"/>
  <c r="J274" i="1" s="1"/>
  <c r="D273" i="1"/>
  <c r="D272" i="1"/>
  <c r="D271" i="1"/>
  <c r="K271" i="1" s="1"/>
  <c r="D269" i="1"/>
  <c r="D268" i="1"/>
  <c r="D267" i="1"/>
  <c r="D266" i="1"/>
  <c r="D265" i="1"/>
  <c r="J277" i="1"/>
  <c r="D336" i="1"/>
  <c r="D334" i="1"/>
  <c r="D332" i="1"/>
  <c r="D331" i="1"/>
  <c r="D330" i="1"/>
  <c r="D328" i="1"/>
  <c r="D327" i="1"/>
  <c r="D326" i="1"/>
  <c r="D324" i="1"/>
  <c r="D323" i="1"/>
  <c r="D322" i="1"/>
  <c r="D320" i="1"/>
  <c r="D319" i="1"/>
  <c r="D318" i="1"/>
  <c r="D316" i="1"/>
  <c r="D315" i="1"/>
  <c r="D314" i="1"/>
  <c r="D312" i="1"/>
  <c r="D311" i="1"/>
  <c r="D310" i="1"/>
  <c r="D250" i="1"/>
  <c r="G301" i="1"/>
  <c r="G334" i="1"/>
  <c r="E334" i="1"/>
  <c r="G295" i="1"/>
  <c r="G330" i="1"/>
  <c r="E330" i="1"/>
  <c r="G326" i="1"/>
  <c r="E326" i="1"/>
  <c r="G289" i="1"/>
  <c r="G322" i="1"/>
  <c r="E322" i="1"/>
  <c r="G283" i="1"/>
  <c r="G318" i="1"/>
  <c r="E318" i="1"/>
  <c r="G277" i="1"/>
  <c r="A315" i="1"/>
  <c r="A316" i="1" s="1"/>
  <c r="G314" i="1"/>
  <c r="E314" i="1"/>
  <c r="A272" i="1"/>
  <c r="A273" i="1" s="1"/>
  <c r="A274" i="1" s="1"/>
  <c r="A275" i="1" s="1"/>
  <c r="G271" i="1"/>
  <c r="E310" i="1"/>
  <c r="E269" i="1"/>
  <c r="A266" i="1"/>
  <c r="A267" i="1" s="1"/>
  <c r="A268" i="1" s="1"/>
  <c r="A269" i="1" s="1"/>
  <c r="G265" i="1"/>
  <c r="D258" i="1"/>
  <c r="D257" i="1"/>
  <c r="D256" i="1"/>
  <c r="D255" i="1"/>
  <c r="D254" i="1"/>
  <c r="D253" i="1"/>
  <c r="D252" i="1"/>
  <c r="D251" i="1"/>
  <c r="D249" i="1"/>
  <c r="D248" i="1"/>
  <c r="D247" i="1"/>
  <c r="D246" i="1"/>
  <c r="D245" i="1"/>
  <c r="D244" i="1"/>
  <c r="D243" i="1"/>
  <c r="D242" i="1"/>
  <c r="D241" i="1"/>
  <c r="D239" i="1"/>
  <c r="J237" i="1"/>
  <c r="G49" i="1"/>
  <c r="G50" i="1" s="1"/>
  <c r="J266" i="1" l="1"/>
  <c r="J267" i="1"/>
  <c r="J268" i="1"/>
  <c r="J272" i="1"/>
  <c r="K272" i="1"/>
  <c r="J273" i="1"/>
  <c r="K273" i="1"/>
  <c r="J271" i="1"/>
  <c r="J265" i="1"/>
  <c r="E29" i="1" l="1"/>
  <c r="J117" i="1" l="1"/>
  <c r="E122" i="1"/>
  <c r="A311" i="1"/>
  <c r="A312" i="1" s="1"/>
  <c r="G310" i="1"/>
  <c r="G121" i="1" l="1"/>
  <c r="G122" i="1" s="1"/>
  <c r="J116" i="1" s="1"/>
  <c r="F112" i="1"/>
  <c r="I238" i="1" l="1"/>
  <c r="J11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64" i="1"/>
  <c r="A238" i="1"/>
  <c r="A239" i="1" s="1"/>
  <c r="A240" i="1" s="1"/>
  <c r="G237" i="1"/>
  <c r="J81" i="1"/>
  <c r="J80" i="1"/>
  <c r="J79" i="1"/>
  <c r="J78" i="1"/>
  <c r="D59" i="1"/>
  <c r="C49" i="1"/>
  <c r="C50" i="1" s="1"/>
  <c r="E42" i="1"/>
  <c r="E43" i="1" s="1"/>
  <c r="E26" i="1"/>
  <c r="E24" i="1"/>
  <c r="E3" i="1"/>
  <c r="H71" i="1"/>
  <c r="A241" i="1" l="1"/>
  <c r="A242" i="1" s="1"/>
  <c r="A243" i="1" s="1"/>
  <c r="A244" i="1" s="1"/>
  <c r="D64" i="1"/>
  <c r="D83" i="1"/>
  <c r="D81" i="1"/>
  <c r="D80" i="1"/>
  <c r="D79" i="1"/>
  <c r="D77" i="1"/>
  <c r="J70" i="1"/>
  <c r="D82" i="1"/>
  <c r="D78" i="1"/>
  <c r="J74" i="1"/>
  <c r="J75" i="1"/>
  <c r="C74" i="1" s="1"/>
  <c r="J73" i="1"/>
  <c r="J76" i="1"/>
  <c r="J77" i="1" s="1"/>
  <c r="J82" i="1" s="1"/>
  <c r="J83" i="1" s="1"/>
  <c r="C75" i="1" s="1"/>
  <c r="A245" i="1" l="1"/>
  <c r="A246" i="1" s="1"/>
  <c r="A247" i="1" s="1"/>
  <c r="D76" i="1"/>
  <c r="J72" i="1"/>
  <c r="E74" i="1"/>
  <c r="D75" i="1"/>
  <c r="G74" i="1"/>
  <c r="D74" i="1"/>
  <c r="J71" i="1" s="1"/>
  <c r="D68" i="1" l="1"/>
  <c r="F69" i="1" s="1"/>
  <c r="A248" i="1"/>
  <c r="A249" i="1" s="1"/>
  <c r="A250" i="1" s="1"/>
  <c r="A251" i="1" s="1"/>
  <c r="A252" i="1" s="1"/>
  <c r="I71" i="1"/>
  <c r="H85" i="1"/>
  <c r="D69" i="1" l="1"/>
  <c r="J89" i="1"/>
  <c r="C88" i="1" s="1"/>
  <c r="D88" i="1" s="1"/>
  <c r="J87" i="1"/>
  <c r="J90" i="1"/>
  <c r="J91" i="1" s="1"/>
  <c r="J96" i="1" s="1"/>
  <c r="J97" i="1" s="1"/>
  <c r="C89" i="1" s="1"/>
  <c r="D90" i="1"/>
  <c r="D97" i="1"/>
  <c r="D93" i="1"/>
  <c r="D94" i="1"/>
  <c r="D96" i="1"/>
  <c r="D92" i="1"/>
  <c r="J88" i="1"/>
  <c r="D95" i="1"/>
  <c r="D91" i="1"/>
  <c r="J84" i="1"/>
  <c r="J86" i="1" s="1"/>
  <c r="A253" i="1"/>
  <c r="A254" i="1" s="1"/>
  <c r="A255" i="1" s="1"/>
  <c r="I72" i="1"/>
  <c r="I70" i="1" s="1"/>
  <c r="C72" i="1" s="1"/>
  <c r="E88" i="1" l="1"/>
  <c r="C98" i="1" s="1"/>
  <c r="D89" i="1"/>
  <c r="I85" i="1" s="1"/>
  <c r="I86" i="1" s="1"/>
  <c r="G88" i="1"/>
  <c r="G98" i="1" s="1"/>
  <c r="J85" i="1"/>
  <c r="A256" i="1"/>
  <c r="A257" i="1" s="1"/>
  <c r="A258" i="1" s="1"/>
  <c r="I84" i="1" l="1"/>
  <c r="C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15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<sst xmlns="http://schemas.openxmlformats.org/spreadsheetml/2006/main" count="564" uniqueCount="294">
  <si>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</si>
  <si>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</si>
  <si>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</si>
  <si>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</si>
  <si>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</si>
  <si>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</si>
  <si>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</si>
  <si>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</si>
  <si>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</si>
  <si>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</si>
  <si>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</si>
  <si>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</si>
  <si>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</si>
  <si>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</si>
  <si>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</si>
  <si>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</si>
  <si>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</si>
  <si>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</si>
  <si>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</si>
  <si>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</si>
  <si>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</si>
  <si>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</si>
  <si>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</si>
  <si>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</si>
  <si>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</si>
  <si>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</si>
  <si>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</si>
  <si>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</si>
  <si>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</si>
  <si>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</si>
  <si>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</si>
  <si>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</si>
  <si>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</si>
  <si>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</si>
  <si>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</si>
  <si>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</si>
  <si>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</si>
  <si>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</si>
  <si>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</si>
  <si>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</si>
  <si>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</si>
  <si>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</si>
  <si>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</si>
  <si>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</si>
  <si>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</si>
  <si>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</si>
  <si>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</si>
  <si>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</si>
  <si>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</si>
  <si>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</si>
  <si>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</si>
  <si>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</si>
  <si>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</si>
  <si>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</si>
  <si>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</si>
  <si>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</si>
  <si>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</si>
  <si>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</si>
  <si>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</si>
  <si>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</si>
  <si>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</si>
  <si>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</si>
  <si>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</si>
  <si>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</si>
  <si>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</si>
  <si>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</si>
  <si>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</si>
  <si>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</si>
  <si>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</si>
  <si>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</si>
  <si>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</si>
  <si>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</si>
  <si>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</si>
  <si>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</si>
  <si>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</si>
  <si>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</si>
  <si>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</si>
  <si>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</si>
  <si>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</si>
  <si>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</si>
  <si>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</si>
  <si>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</si>
  <si>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</si>
  <si>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</si>
  <si>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</si>
  <si>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</si>
  <si>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</si>
  <si>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</si>
  <si>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</si>
  <si>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</si>
  <si>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</si>
  <si>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</si>
  <si>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</si>
  <si>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</si>
  <si>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</si>
  <si>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</si>
  <si>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</si>
  <si>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</si>
  <si>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</si>
  <si>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</si>
  <si>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</si>
  <si>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</si>
  <si>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</si>
  <si>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</si>
  <si>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</si>
  <si>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</si>
  <si>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</si>
  <si>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</si>
  <si>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</si>
  <si>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</si>
  <si>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</si>
  <si>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</si>
  <si>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</si>
  <si>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</si>
  <si>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</si>
  <si>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</si>
  <si>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</si>
  <si>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</si>
  <si>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</si>
  <si>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</si>
  <si>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</si>
  <si>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</si>
  <si>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</si>
  <si>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</si>
  <si>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</si>
  <si>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</si>
  <si>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</si>
  <si>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</si>
  <si>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</si>
  <si>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</si>
  <si>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</si>
  <si>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</si>
  <si>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</si>
  <si>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</si>
  <si>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</si>
  <si>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</si>
  <si>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</si>
  <si>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</si>
  <si>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</si>
  <si>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</si>
  <si>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</si>
  <si>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</si>
  <si>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</si>
  <si>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</si>
  <si>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</si>
  <si>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</si>
  <si>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</si>
  <si>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</si>
  <si>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</si>
  <si>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</si>
  <si>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</si>
  <si>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</si>
  <si>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</si>
  <si>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</si>
  <si>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</si>
  <si>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</si>
  <si>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</si>
  <si>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</si>
  <si>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</si>
  <si>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</si>
  <si>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</si>
  <si>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</si>
  <si>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Village</t>
  </si>
  <si>
    <t xml:space="preserve">O. Certificate No.: 
Approved upto : </t>
  </si>
  <si>
    <t>Ground + 1st Floor</t>
  </si>
  <si>
    <t>Axis Sanpada</t>
  </si>
  <si>
    <t>M/s.Marquis Builders</t>
  </si>
  <si>
    <t>Royal Palm</t>
  </si>
  <si>
    <t>P52000033516</t>
  </si>
  <si>
    <t>Plot No</t>
  </si>
  <si>
    <t>Building</t>
  </si>
  <si>
    <t>Akshar Grey Stone</t>
  </si>
  <si>
    <t>Ulwe</t>
  </si>
  <si>
    <t>Raigad</t>
  </si>
  <si>
    <t>Panvel</t>
  </si>
  <si>
    <t>Sector 18</t>
  </si>
  <si>
    <t>Internal Road</t>
  </si>
  <si>
    <t>Navi Mumbai</t>
  </si>
  <si>
    <t>1.5KM from Bamandongri Railway Station</t>
  </si>
  <si>
    <t>City and Industrial Development Corporation (CIDCO)</t>
  </si>
  <si>
    <t>CIDCO/BP-15377/TPO(NM &amp; K)/2016/7418</t>
  </si>
  <si>
    <t>Ground Floor For Commercial &amp; Parking</t>
  </si>
  <si>
    <t>Shop</t>
  </si>
  <si>
    <t>A Wing</t>
  </si>
  <si>
    <t>1st Floor For Parking</t>
  </si>
  <si>
    <t>2nd Floor For Fitness Centre &amp; Parking</t>
  </si>
  <si>
    <t>B Wing</t>
  </si>
  <si>
    <t>2BHK</t>
  </si>
  <si>
    <t>3BHK</t>
  </si>
  <si>
    <t>4th Floor</t>
  </si>
  <si>
    <t>3rd Floor For Residential</t>
  </si>
  <si>
    <t>5th, 7th , 9th, 11th Floor</t>
  </si>
  <si>
    <t>501,…,1101</t>
  </si>
  <si>
    <t>502,…,1102</t>
  </si>
  <si>
    <t>503,…,1103</t>
  </si>
  <si>
    <t>504,…,1104</t>
  </si>
  <si>
    <t>505,…,1105</t>
  </si>
  <si>
    <t>6th &amp; 8th Floor (Part Refuge Area)</t>
  </si>
  <si>
    <t>10th Floor (Part Refuge Area)</t>
  </si>
  <si>
    <t>601 &amp; 801</t>
  </si>
  <si>
    <t>602 &amp; 802</t>
  </si>
  <si>
    <t>603 &amp; 803</t>
  </si>
  <si>
    <t>604 &amp; 804</t>
  </si>
  <si>
    <t>605 &amp; 805</t>
  </si>
  <si>
    <t>12th Floor (Part Refuge Area)</t>
  </si>
  <si>
    <t>13th Floor (Part Terrace Area)</t>
  </si>
  <si>
    <t>Terrace Area</t>
  </si>
  <si>
    <t>A &amp; B Wing</t>
  </si>
  <si>
    <t>As per RERA - 31/12/2026</t>
  </si>
  <si>
    <t>Construction work is in process at the time of Visit.</t>
  </si>
  <si>
    <t>We considered Gross carpet area = Net carpet + Enclose balcony + Cornice.</t>
  </si>
  <si>
    <t>Wing A &amp; B</t>
  </si>
  <si>
    <t>Water, MSEB, Development Charges</t>
  </si>
  <si>
    <t>Other Charges</t>
  </si>
  <si>
    <t>Society Formation Charges + Infrastructure + Maintainence</t>
  </si>
  <si>
    <t>Latitude &amp; Longitude</t>
  </si>
  <si>
    <t>We considered Saleable area of Commercial as per Builder area Sheet.</t>
  </si>
  <si>
    <t>Builder Saleable
Area</t>
  </si>
  <si>
    <t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</t>
  </si>
  <si>
    <t>Building Details Floor Wise</t>
  </si>
  <si>
    <t xml:space="preserve">Details of Residential &amp; Commercials in Building   </t>
  </si>
  <si>
    <t>Shop No. (Sale Plan)</t>
  </si>
  <si>
    <t>Saleable area Loading :</t>
  </si>
  <si>
    <t>Flat No. (Sale Plan)</t>
  </si>
  <si>
    <t>RERA Carpet area</t>
  </si>
  <si>
    <t>Wing A +B</t>
  </si>
  <si>
    <t xml:space="preserve">Wing A </t>
  </si>
  <si>
    <t>1st &amp; 2nd Floor For Podium Parking</t>
  </si>
  <si>
    <t>Balcony + Chajja Area</t>
  </si>
  <si>
    <t>5th to 7th, 9th, 10th, 11th &amp; 12th Floor</t>
  </si>
  <si>
    <t>-</t>
  </si>
  <si>
    <t>14th Floor</t>
  </si>
  <si>
    <t>Wing B</t>
  </si>
  <si>
    <t>Grand Total</t>
  </si>
  <si>
    <t>Flats -118, Shops -22</t>
  </si>
  <si>
    <t>Inspection Sheet</t>
  </si>
  <si>
    <t>Wing A &amp; B = G + 1st to 14th Floor
B Wing = G + 1st to 13th Floor</t>
  </si>
  <si>
    <t>Wing A &amp; B = G + 1st to 14th Floor</t>
  </si>
  <si>
    <t>02 Wings</t>
  </si>
  <si>
    <t>Site Person - Contact Details (Name &amp; Contact No.)</t>
  </si>
  <si>
    <t>Mr. Bhupendra 9321412155</t>
  </si>
  <si>
    <t>Layout</t>
  </si>
  <si>
    <t>We considered Gross carpet area = Net carpet + Balcony + Chajja Area.</t>
  </si>
  <si>
    <t>As per Layout</t>
  </si>
  <si>
    <t>30MW Road</t>
  </si>
  <si>
    <t>Plot No.97</t>
  </si>
  <si>
    <t>Plot No.99</t>
  </si>
  <si>
    <t>15MW Road</t>
  </si>
  <si>
    <t xml:space="preserve">Airport Noc No
Valid Up for: 
</t>
  </si>
  <si>
    <t>Nagar Rachana Ani Mulya Nirdharan Vibhag Thane</t>
  </si>
  <si>
    <t>Collector Of Raigad</t>
  </si>
  <si>
    <t xml:space="preserve">Valid upto Dated </t>
  </si>
  <si>
    <t>NAVI/WEST/B/091621/575409</t>
  </si>
  <si>
    <t>18.966186,73.022385</t>
  </si>
  <si>
    <t>https://maps.app.goo.gl/RNs5De49jLtVHwLh7</t>
  </si>
  <si>
    <t>CIDCO/BP-15377/TPO(NM &amp; K)/
2016/13330</t>
  </si>
  <si>
    <t>1Ground Floor + 2Parking + 12 Floor (Total Builtup Area = 12379.40 Sqm)
Residential Units = 118 Nos, Commercial Units = 22 Nos</t>
  </si>
  <si>
    <r>
      <t xml:space="preserve">Shop No.
</t>
    </r>
    <r>
      <rPr>
        <b/>
        <sz val="11"/>
        <rFont val="Times New Roman"/>
        <family val="1"/>
      </rPr>
      <t>(Approved Plan)</t>
    </r>
  </si>
  <si>
    <t>Ground Floor For Commercial, Entrance Lobby, Pump Room &amp; Parking</t>
  </si>
  <si>
    <t>3rd Floor For Residentia, Fitness Center, Lawn Area &amp; Jogging Track</t>
  </si>
  <si>
    <r>
      <t xml:space="preserve">Flat No.
</t>
    </r>
    <r>
      <rPr>
        <b/>
        <sz val="11"/>
        <rFont val="Times New Roman"/>
        <family val="1"/>
      </rPr>
      <t>(Approved Plan)</t>
    </r>
  </si>
  <si>
    <t>Fitness Center</t>
  </si>
  <si>
    <t>Refuge Balcony</t>
  </si>
  <si>
    <t>8th Floor (Refuge Balcony)</t>
  </si>
  <si>
    <t>13th Floor (Refuge Balcony)</t>
  </si>
  <si>
    <t>Society Office &amp; Driver's Room</t>
  </si>
  <si>
    <t>3rd Floor For Residential, Society Office, Driver's Room, Lawn Area &amp; Jogging Track</t>
  </si>
  <si>
    <t>8th Floor (Refuge Balcony at the Staircase)</t>
  </si>
  <si>
    <t>13th Floor (Refuge Balcony at the Staircase)</t>
  </si>
  <si>
    <t xml:space="preserve">Construction details :                                                                          </t>
  </si>
  <si>
    <t>Builder Saleable Area</t>
  </si>
  <si>
    <t xml:space="preserve">Commencement-CC No
Valid Up to: </t>
  </si>
  <si>
    <t>Site Elevation (AMSL)= 6.66 M
Permissible Top Elevation (AMSL)= 55.1 M</t>
  </si>
  <si>
    <t>We have updated revised approved plans &amp; CC (on 27/03/2025).</t>
  </si>
  <si>
    <t>We have referred Airport NOC from official AAI website on 27/03/2025.</t>
  </si>
  <si>
    <t>Average 
Disbursment %</t>
  </si>
  <si>
    <t>Average 
Progress %</t>
  </si>
  <si>
    <t>We considered Saleable area of Flat as per our Calculation.</t>
  </si>
  <si>
    <t>7300 TO 8000</t>
  </si>
  <si>
    <t>AKASH</t>
  </si>
  <si>
    <t>VERBAL</t>
  </si>
  <si>
    <t>A1305</t>
  </si>
  <si>
    <t>Part 1 consist A wing (Flat No. 1 to 5 on each Floor) and B wing (Flat No. 1 to 3 on each Floor)</t>
  </si>
  <si>
    <t>Part 2 consist A wing (Flat No. 6 on each Floor) and B wing (Flat No. 4 on each Floor)</t>
  </si>
  <si>
    <t xml:space="preserve">Construction details :  
                                                                       </t>
  </si>
  <si>
    <t>Wing A &amp; B Part I (Total 8 Flats on each Floor) = G + 1st to 14th Floor</t>
  </si>
  <si>
    <t>Wing A &amp; B Part 2 (Total 2 Flats on each Floor)  = G + 1st to 14th Floor</t>
  </si>
  <si>
    <t>Recommended Rates / Other charges of the Property have been revised on 14/05/2025.</t>
  </si>
  <si>
    <t xml:space="preserve">Fire Noc No
Valid Up for: 
</t>
  </si>
  <si>
    <t>CIDCO/FIRE/HQ/2024/E-314605</t>
  </si>
  <si>
    <t>(G + 1st to 14th Floor) (2 Wing) = 42.85m</t>
  </si>
  <si>
    <t>Approved Plans, CC, Cost Sheet, Fire Noc</t>
  </si>
  <si>
    <t>Kunal Kadam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</si>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</sst>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72727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1" applyNumberFormat="1" applyFont="1" applyAlignment="1">
      <alignment horizontal="left" vertical="center"/>
    </xf>
    <xf numFmtId="2" fontId="7" fillId="0" borderId="0" xfId="1" applyNumberFormat="1" applyFont="1" applyAlignment="1">
      <alignment horizontal="left" vertical="center"/>
    </xf>
    <xf numFmtId="0" fontId="29" fillId="0" borderId="0" xfId="0" applyFont="1"/>
    <xf numFmtId="0" fontId="7" fillId="0" borderId="0" xfId="1" applyFont="1" applyAlignment="1">
      <alignment horizontal="left" vertical="center"/>
    </xf>
    <xf numFmtId="1" fontId="7" fillId="0" borderId="1" xfId="1" applyNumberFormat="1" applyFont="1" applyBorder="1" applyAlignment="1">
      <alignment horizontal="center"/>
    </xf>
    <xf numFmtId="0" fontId="7" fillId="0" borderId="1" xfId="1" applyFont="1" applyBorder="1"/>
    <xf numFmtId="0" fontId="0" fillId="0" borderId="1" xfId="0" applyBorder="1"/>
    <xf numFmtId="0" fontId="15" fillId="0" borderId="0" xfId="0" applyFont="1" applyAlignment="1">
      <alignment horizontal="center" vertical="center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69" fontId="7" fillId="0" borderId="0" xfId="1" applyNumberFormat="1" applyFont="1" applyAlignment="1">
      <alignment horizontal="center" vertical="center"/>
    </xf>
    <xf numFmtId="0" fontId="15" fillId="2" borderId="0" xfId="1" applyFont="1" applyFill="1"/>
    <xf numFmtId="14" fontId="15" fillId="2" borderId="0" xfId="1" applyNumberFormat="1" applyFont="1" applyFill="1"/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3" fillId="0" borderId="16" xfId="1" applyNumberFormat="1" applyFont="1" applyBorder="1" applyAlignment="1" applyProtection="1">
      <alignment horizontal="center" vertical="top" wrapText="1"/>
      <protection locked="0"/>
    </xf>
    <xf numFmtId="1" fontId="30" fillId="0" borderId="3" xfId="1" applyNumberFormat="1" applyFont="1" applyBorder="1" applyAlignment="1" applyProtection="1">
      <alignment horizontal="center" vertical="top" wrapText="1"/>
      <protection locked="0"/>
    </xf>
    <xf numFmtId="1" fontId="30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13" fillId="0" borderId="17" xfId="1" applyNumberFormat="1" applyFont="1" applyBorder="1" applyAlignment="1" applyProtection="1">
      <alignment horizontal="center" vertical="top" wrapText="1"/>
      <protection locked="0"/>
    </xf>
    <xf numFmtId="1" fontId="13" fillId="0" borderId="19" xfId="1" applyNumberFormat="1" applyFont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8" fillId="4" borderId="32" xfId="1" applyFont="1" applyFill="1" applyBorder="1" applyAlignment="1" applyProtection="1">
      <alignment horizontal="center" vertical="center" wrapText="1"/>
      <protection locked="0"/>
    </xf>
    <xf numFmtId="0" fontId="8" fillId="4" borderId="33" xfId="1" applyFont="1" applyFill="1" applyBorder="1" applyAlignment="1" applyProtection="1">
      <alignment horizontal="center" vertical="center" wrapText="1"/>
      <protection locked="0"/>
    </xf>
    <xf numFmtId="9" fontId="8" fillId="4" borderId="34" xfId="1" applyNumberFormat="1" applyFont="1" applyFill="1" applyBorder="1" applyAlignment="1" applyProtection="1">
      <alignment horizontal="center" vertical="center"/>
      <protection locked="0"/>
    </xf>
    <xf numFmtId="0" fontId="8" fillId="4" borderId="33" xfId="1" applyFont="1" applyFill="1" applyBorder="1" applyAlignment="1" applyProtection="1">
      <alignment horizontal="center" vertical="center"/>
      <protection locked="0"/>
    </xf>
    <xf numFmtId="1" fontId="13" fillId="4" borderId="8" xfId="0" applyNumberFormat="1" applyFont="1" applyFill="1" applyBorder="1" applyAlignment="1" applyProtection="1">
      <alignment vertical="top" wrapText="1"/>
      <protection locked="0"/>
    </xf>
    <xf numFmtId="1" fontId="13" fillId="4" borderId="21" xfId="0" applyNumberFormat="1" applyFont="1" applyFill="1" applyBorder="1" applyAlignment="1" applyProtection="1">
      <alignment vertical="top" wrapText="1"/>
      <protection locked="0"/>
    </xf>
    <xf numFmtId="1" fontId="13" fillId="4" borderId="9" xfId="0" applyNumberFormat="1" applyFont="1" applyFill="1" applyBorder="1" applyAlignment="1" applyProtection="1">
      <alignment vertical="top" wrapText="1"/>
      <protection locked="0"/>
    </xf>
    <xf numFmtId="0" fontId="8" fillId="4" borderId="34" xfId="1" applyFont="1" applyFill="1" applyBorder="1" applyAlignment="1" applyProtection="1">
      <alignment horizontal="center" vertical="center" wrapText="1"/>
      <protection locked="0"/>
    </xf>
    <xf numFmtId="9" fontId="8" fillId="4" borderId="35" xfId="1" applyNumberFormat="1" applyFont="1" applyFill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257734</xdr:colOff>
      <xdr:row>448</xdr:row>
      <xdr:rowOff>102429</xdr:rowOff>
    </xdr:from>
    <xdr:to>
      <xdr:col>7</xdr:col>
      <xdr:colOff>168795</xdr:colOff>
      <xdr:row>466</xdr:row>
      <xdr:rowOff>71724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734" y="69970209"/>
          <a:ext cx="5755601" cy="35354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590897</xdr:colOff>
      <xdr:row>40</xdr:row>
      <xdr:rowOff>6408</xdr:rowOff>
    </xdr:from>
    <xdr:to>
      <xdr:col>17</xdr:col>
      <xdr:colOff>223267</xdr:colOff>
      <xdr:row>45</xdr:row>
      <xdr:rowOff>48708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98377" y="9005628"/>
          <a:ext cx="6840890" cy="1032900"/>
        </a:xfrm>
        <a:prstGeom prst="rect">
          <a:avLst/>
        </a:prstGeom>
      </xdr:spPr>
    </xdr:pic>
    <xdr:clientData/>
  </xdr:twoCellAnchor>
  <xdr:twoCellAnchor editAs="oneCell">
    <xdr:from>
      <xdr:col>14</xdr:col>
      <xdr:colOff>522665</xdr:colOff>
      <xdr:row>129</xdr:row>
      <xdr:rowOff>140620</xdr:rowOff>
    </xdr:from>
    <xdr:to>
      <xdr:col>21</xdr:col>
      <xdr:colOff>438900</xdr:colOff>
      <xdr:row>146</xdr:row>
      <xdr:rowOff>157939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35545" y="27138280"/>
          <a:ext cx="4518715" cy="3385359"/>
        </a:xfrm>
        <a:prstGeom prst="rect">
          <a:avLst/>
        </a:prstGeom>
      </xdr:spPr>
    </xdr:pic>
    <xdr:clientData/>
  </xdr:twoCellAnchor>
  <xdr:twoCellAnchor editAs="oneCell">
    <xdr:from>
      <xdr:col>11</xdr:col>
      <xdr:colOff>579814</xdr:colOff>
      <xdr:row>155</xdr:row>
      <xdr:rowOff>17318</xdr:rowOff>
    </xdr:from>
    <xdr:to>
      <xdr:col>18</xdr:col>
      <xdr:colOff>193272</xdr:colOff>
      <xdr:row>158</xdr:row>
      <xdr:rowOff>155796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92394" y="29590538"/>
          <a:ext cx="4741718" cy="732838"/>
        </a:xfrm>
        <a:prstGeom prst="rect">
          <a:avLst/>
        </a:prstGeom>
      </xdr:spPr>
    </xdr:pic>
    <xdr:clientData/>
  </xdr:twoCellAnchor>
  <xdr:twoCellAnchor editAs="oneCell">
    <xdr:from>
      <xdr:col>13</xdr:col>
      <xdr:colOff>337268</xdr:colOff>
      <xdr:row>161</xdr:row>
      <xdr:rowOff>137492</xdr:rowOff>
    </xdr:from>
    <xdr:to>
      <xdr:col>19</xdr:col>
      <xdr:colOff>119270</xdr:colOff>
      <xdr:row>165</xdr:row>
      <xdr:rowOff>103359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89088" y="33871232"/>
          <a:ext cx="3995862" cy="758348"/>
        </a:xfrm>
        <a:prstGeom prst="rect">
          <a:avLst/>
        </a:prstGeom>
      </xdr:spPr>
    </xdr:pic>
    <xdr:clientData/>
  </xdr:twoCellAnchor>
  <xdr:twoCellAnchor editAs="oneCell">
    <xdr:from>
      <xdr:col>11</xdr:col>
      <xdr:colOff>263723</xdr:colOff>
      <xdr:row>196</xdr:row>
      <xdr:rowOff>37770</xdr:rowOff>
    </xdr:from>
    <xdr:to>
      <xdr:col>18</xdr:col>
      <xdr:colOff>194311</xdr:colOff>
      <xdr:row>199</xdr:row>
      <xdr:rowOff>12298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76303" y="37733910"/>
          <a:ext cx="5058848" cy="568889"/>
        </a:xfrm>
        <a:prstGeom prst="rect">
          <a:avLst/>
        </a:prstGeom>
      </xdr:spPr>
    </xdr:pic>
    <xdr:clientData/>
  </xdr:twoCellAnchor>
  <xdr:twoCellAnchor editAs="oneCell">
    <xdr:from>
      <xdr:col>9</xdr:col>
      <xdr:colOff>710565</xdr:colOff>
      <xdr:row>201</xdr:row>
      <xdr:rowOff>129540</xdr:rowOff>
    </xdr:from>
    <xdr:to>
      <xdr:col>17</xdr:col>
      <xdr:colOff>490786</xdr:colOff>
      <xdr:row>205</xdr:row>
      <xdr:rowOff>91345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14385" y="38816280"/>
          <a:ext cx="5792401" cy="75428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216</xdr:row>
      <xdr:rowOff>104775</xdr:rowOff>
    </xdr:from>
    <xdr:to>
      <xdr:col>15</xdr:col>
      <xdr:colOff>494595</xdr:colOff>
      <xdr:row>220</xdr:row>
      <xdr:rowOff>85628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19900" y="40243125"/>
          <a:ext cx="5638095" cy="780952"/>
        </a:xfrm>
        <a:prstGeom prst="rect">
          <a:avLst/>
        </a:prstGeom>
      </xdr:spPr>
    </xdr:pic>
    <xdr:clientData/>
  </xdr:twoCellAnchor>
  <xdr:oneCellAnchor>
    <xdr:from>
      <xdr:col>8</xdr:col>
      <xdr:colOff>476250</xdr:colOff>
      <xdr:row>221</xdr:row>
      <xdr:rowOff>104775</xdr:rowOff>
    </xdr:from>
    <xdr:ext cx="5638095" cy="780952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19900" y="40243125"/>
          <a:ext cx="5638095" cy="780952"/>
        </a:xfrm>
        <a:prstGeom prst="rect">
          <a:avLst/>
        </a:prstGeom>
      </xdr:spPr>
    </xdr:pic>
    <xdr:clientData/>
  </xdr:oneCellAnchor>
  <xdr:twoCellAnchor editAs="oneCell">
    <xdr:from>
      <xdr:col>8</xdr:col>
      <xdr:colOff>438150</xdr:colOff>
      <xdr:row>178</xdr:row>
      <xdr:rowOff>19050</xdr:rowOff>
    </xdr:from>
    <xdr:to>
      <xdr:col>15</xdr:col>
      <xdr:colOff>466019</xdr:colOff>
      <xdr:row>183</xdr:row>
      <xdr:rowOff>104639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81800" y="32756475"/>
          <a:ext cx="5647619" cy="1085714"/>
        </a:xfrm>
        <a:prstGeom prst="rect">
          <a:avLst/>
        </a:prstGeom>
      </xdr:spPr>
    </xdr:pic>
    <xdr:clientData/>
  </xdr:twoCellAnchor>
  <xdr:twoCellAnchor editAs="oneCell">
    <xdr:from>
      <xdr:col>8</xdr:col>
      <xdr:colOff>809625</xdr:colOff>
      <xdr:row>105</xdr:row>
      <xdr:rowOff>9526</xdr:rowOff>
    </xdr:from>
    <xdr:to>
      <xdr:col>12</xdr:col>
      <xdr:colOff>723900</xdr:colOff>
      <xdr:row>108</xdr:row>
      <xdr:rowOff>158995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53275" y="18145126"/>
          <a:ext cx="3248025" cy="749544"/>
        </a:xfrm>
        <a:prstGeom prst="rect">
          <a:avLst/>
        </a:prstGeom>
      </xdr:spPr>
    </xdr:pic>
    <xdr:clientData/>
  </xdr:twoCellAnchor>
  <xdr:twoCellAnchor editAs="oneCell">
    <xdr:from>
      <xdr:col>8</xdr:col>
      <xdr:colOff>495300</xdr:colOff>
      <xdr:row>113</xdr:row>
      <xdr:rowOff>28575</xdr:rowOff>
    </xdr:from>
    <xdr:to>
      <xdr:col>16</xdr:col>
      <xdr:colOff>275452</xdr:colOff>
      <xdr:row>117</xdr:row>
      <xdr:rowOff>152308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38950" y="19564350"/>
          <a:ext cx="6180952" cy="72381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405</xdr:row>
      <xdr:rowOff>161925</xdr:rowOff>
    </xdr:from>
    <xdr:to>
      <xdr:col>6</xdr:col>
      <xdr:colOff>209017</xdr:colOff>
      <xdr:row>444</xdr:row>
      <xdr:rowOff>18569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880110" y="63042165"/>
          <a:ext cx="4373347" cy="7583324"/>
          <a:chOff x="857250" y="57578625"/>
          <a:chExt cx="4266667" cy="7657619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1219200" y="57578625"/>
            <a:ext cx="3609524" cy="365714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GrpSpPr/>
        </xdr:nvGrpSpPr>
        <xdr:grpSpPr>
          <a:xfrm>
            <a:off x="857250" y="61388625"/>
            <a:ext cx="4266667" cy="3847619"/>
            <a:chOff x="857250" y="61388625"/>
            <a:chExt cx="4266667" cy="3847619"/>
          </a:xfrm>
        </xdr:grpSpPr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857250" y="61388625"/>
              <a:ext cx="4266667" cy="384761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1304925" y="63693675"/>
              <a:ext cx="2409825" cy="933450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33" name="Rectangl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 rot="16200000">
              <a:off x="2824164" y="62703075"/>
              <a:ext cx="2824163" cy="985835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 txBox="1"/>
          </xdr:nvSpPr>
          <xdr:spPr>
            <a:xfrm rot="5400000">
              <a:off x="4448175" y="62817375"/>
              <a:ext cx="876300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A</a:t>
              </a:r>
            </a:p>
          </xdr:txBody>
        </xdr:sp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1914525" y="64636650"/>
              <a:ext cx="876300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B</a:t>
              </a:r>
            </a:p>
          </xdr:txBody>
        </xdr:sp>
      </xdr:grpSp>
    </xdr:grpSp>
    <xdr:clientData/>
  </xdr:twoCellAnchor>
  <xdr:twoCellAnchor>
    <xdr:from>
      <xdr:col>0</xdr:col>
      <xdr:colOff>717176</xdr:colOff>
      <xdr:row>467</xdr:row>
      <xdr:rowOff>5827</xdr:rowOff>
    </xdr:from>
    <xdr:to>
      <xdr:col>6</xdr:col>
      <xdr:colOff>502556</xdr:colOff>
      <xdr:row>485</xdr:row>
      <xdr:rowOff>41788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/>
      </xdr:nvGrpSpPr>
      <xdr:grpSpPr>
        <a:xfrm>
          <a:off x="717176" y="75169507"/>
          <a:ext cx="4829820" cy="3602121"/>
          <a:chOff x="717176" y="70843588"/>
          <a:chExt cx="4704762" cy="3666667"/>
        </a:xfrm>
      </xdr:grpSpPr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717176" y="70843588"/>
            <a:ext cx="4704762" cy="366666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 rot="1924157">
            <a:off x="2296953" y="72303789"/>
            <a:ext cx="1042977" cy="857393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382794</xdr:colOff>
      <xdr:row>48</xdr:row>
      <xdr:rowOff>163157</xdr:rowOff>
    </xdr:from>
    <xdr:to>
      <xdr:col>13</xdr:col>
      <xdr:colOff>357918</xdr:colOff>
      <xdr:row>52</xdr:row>
      <xdr:rowOff>248770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90274" y="11204537"/>
          <a:ext cx="4219464" cy="1510553"/>
        </a:xfrm>
        <a:prstGeom prst="rect">
          <a:avLst/>
        </a:prstGeom>
      </xdr:spPr>
    </xdr:pic>
    <xdr:clientData/>
  </xdr:twoCellAnchor>
  <xdr:twoCellAnchor editAs="oneCell">
    <xdr:from>
      <xdr:col>10</xdr:col>
      <xdr:colOff>322729</xdr:colOff>
      <xdr:row>52</xdr:row>
      <xdr:rowOff>301662</xdr:rowOff>
    </xdr:from>
    <xdr:to>
      <xdr:col>17</xdr:col>
      <xdr:colOff>36266</xdr:colOff>
      <xdr:row>57</xdr:row>
      <xdr:rowOff>117642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811409" y="12767982"/>
          <a:ext cx="4940857" cy="1042800"/>
        </a:xfrm>
        <a:prstGeom prst="rect">
          <a:avLst/>
        </a:prstGeom>
      </xdr:spPr>
    </xdr:pic>
    <xdr:clientData/>
  </xdr:twoCellAnchor>
  <xdr:twoCellAnchor>
    <xdr:from>
      <xdr:col>8</xdr:col>
      <xdr:colOff>468652</xdr:colOff>
      <xdr:row>364</xdr:row>
      <xdr:rowOff>29955</xdr:rowOff>
    </xdr:from>
    <xdr:to>
      <xdr:col>15</xdr:col>
      <xdr:colOff>525946</xdr:colOff>
      <xdr:row>403</xdr:row>
      <xdr:rowOff>126980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6976132" y="54794895"/>
          <a:ext cx="5840874" cy="7816085"/>
          <a:chOff x="293392" y="56137104"/>
          <a:chExt cx="5670513" cy="8043596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338215" y="56186730"/>
            <a:ext cx="5625690" cy="7993970"/>
            <a:chOff x="390170" y="56998210"/>
            <a:chExt cx="5631907" cy="8134990"/>
          </a:xfrm>
        </xdr:grpSpPr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1244580" y="57018480"/>
              <a:ext cx="4777497" cy="8114720"/>
              <a:chOff x="968773" y="351137"/>
              <a:chExt cx="5118808" cy="8330555"/>
            </a:xfrm>
          </xdr:grpSpPr>
          <xdr:pic>
            <xdr:nvPicPr>
              <xdr:cNvPr id="45" name="Picture 44" descr="https://vsjcllp.vsjadon.com/upload/insp-236820-1525.jpg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602424" y="7291032"/>
                <a:ext cx="1041546" cy="139065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9" name="Picture 48" descr="https://vsjcllp.vsjadon.com/upload/insp-236820-845.jpg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114292" y="4445198"/>
                <a:ext cx="2017811" cy="269415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1" name="Picture 50" descr="https://vsjcllp.vsjadon.com/upload/insp-236820-849.jpg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303832" y="7291033"/>
                <a:ext cx="1041546" cy="139065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7" name="Picture 56" descr="https://vsjcllp.vsjadon.com/upload/insp-236820-851.jpg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453689" y="7291032"/>
                <a:ext cx="1041546" cy="139065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59" name="Picture 58" descr="https://vsjcllp.vsjadon.com/upload/insp-236820-862.jpg">
                <a:extLst>
                  <a:ext uri="{FF2B5EF4-FFF2-40B4-BE49-F238E27FC236}">
                    <a16:creationId xmlns:a16="http://schemas.microsoft.com/office/drawing/2014/main" id="{00000000-0008-0000-0000-00003B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968773" y="4474899"/>
                <a:ext cx="2016825" cy="269283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0" name="Picture 59" descr="https://vsjcllp.vsjadon.com/upload/insp-236820-874.jpg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144031" y="351137"/>
                <a:ext cx="2943550" cy="3930192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61" name="Picture 60" descr="https://vsjcllp.vsjadon.com/upload/insp-236820-847.jpg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0170" y="56998210"/>
              <a:ext cx="2752286" cy="3826800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2" name="TextBox 20">
            <a:extLst>
              <a:ext uri="{FF2B5EF4-FFF2-40B4-BE49-F238E27FC236}">
                <a16:creationId xmlns:a16="http://schemas.microsoft.com/office/drawing/2014/main" id="{C4F382CE-E264-1510-77F1-4F60FAB3FC98}"/>
              </a:ext>
            </a:extLst>
          </xdr:cNvPr>
          <xdr:cNvSpPr txBox="1"/>
        </xdr:nvSpPr>
        <xdr:spPr>
          <a:xfrm>
            <a:off x="293392" y="56435661"/>
            <a:ext cx="857426" cy="37847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cxnSp macro="">
        <xdr:nvCxnSpPr>
          <xdr:cNvPr id="63" name="Straight Arrow Connector 62">
            <a:extLst>
              <a:ext uri="{FF2B5EF4-FFF2-40B4-BE49-F238E27FC236}">
                <a16:creationId xmlns:a16="http://schemas.microsoft.com/office/drawing/2014/main" id="{0CB0D45A-6723-F769-3162-422C24F64120}"/>
              </a:ext>
            </a:extLst>
          </xdr:cNvPr>
          <xdr:cNvCxnSpPr>
            <a:cxnSpLocks/>
          </xdr:cNvCxnSpPr>
        </xdr:nvCxnSpPr>
        <xdr:spPr>
          <a:xfrm>
            <a:off x="871348" y="56741464"/>
            <a:ext cx="184553" cy="171081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4" name="TextBox 18">
            <a:extLst>
              <a:ext uri="{FF2B5EF4-FFF2-40B4-BE49-F238E27FC236}">
                <a16:creationId xmlns:a16="http://schemas.microsoft.com/office/drawing/2014/main" id="{3F3D8CEA-DD79-4A72-278D-500E8DFD7DF6}"/>
              </a:ext>
            </a:extLst>
          </xdr:cNvPr>
          <xdr:cNvSpPr txBox="1"/>
        </xdr:nvSpPr>
        <xdr:spPr>
          <a:xfrm>
            <a:off x="2138360" y="56242759"/>
            <a:ext cx="1090844" cy="38087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cxnSp macro="">
        <xdr:nvCxnSpPr>
          <xdr:cNvPr id="65" name="Straight Arrow Connector 64">
            <a:extLst>
              <a:ext uri="{FF2B5EF4-FFF2-40B4-BE49-F238E27FC236}">
                <a16:creationId xmlns:a16="http://schemas.microsoft.com/office/drawing/2014/main" id="{63961D9D-1A2A-568D-27B9-5CADFDB8DDE9}"/>
              </a:ext>
            </a:extLst>
          </xdr:cNvPr>
          <xdr:cNvCxnSpPr/>
        </xdr:nvCxnSpPr>
        <xdr:spPr>
          <a:xfrm flipH="1">
            <a:off x="2322754" y="56623630"/>
            <a:ext cx="141239" cy="249122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6" name="TextBox 21">
            <a:extLst>
              <a:ext uri="{FF2B5EF4-FFF2-40B4-BE49-F238E27FC236}">
                <a16:creationId xmlns:a16="http://schemas.microsoft.com/office/drawing/2014/main" id="{240BCCC7-BA62-2B40-B3FE-E4ABEFAA508E}"/>
              </a:ext>
            </a:extLst>
          </xdr:cNvPr>
          <xdr:cNvSpPr txBox="1"/>
        </xdr:nvSpPr>
        <xdr:spPr>
          <a:xfrm>
            <a:off x="412654" y="56137104"/>
            <a:ext cx="1164287" cy="38087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Part I</a:t>
            </a:r>
            <a:endParaRPr lang="en-IN" b="1"/>
          </a:p>
        </xdr:txBody>
      </xdr:sp>
      <xdr:sp macro="" textlink="">
        <xdr:nvSpPr>
          <xdr:cNvPr id="69" name="TextBox 22">
            <a:extLst>
              <a:ext uri="{FF2B5EF4-FFF2-40B4-BE49-F238E27FC236}">
                <a16:creationId xmlns:a16="http://schemas.microsoft.com/office/drawing/2014/main" id="{F1D2A851-C63A-80B0-AF73-3DB1F6B7DC26}"/>
              </a:ext>
            </a:extLst>
          </xdr:cNvPr>
          <xdr:cNvSpPr txBox="1"/>
        </xdr:nvSpPr>
        <xdr:spPr>
          <a:xfrm>
            <a:off x="4842179" y="56322801"/>
            <a:ext cx="995285" cy="38042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Part II</a:t>
            </a:r>
            <a:endParaRPr lang="en-IN" b="1"/>
          </a:p>
        </xdr:txBody>
      </xdr:sp>
      <xdr:cxnSp macro="">
        <xdr:nvCxnSpPr>
          <xdr:cNvPr id="70" name="Straight Arrow Connector 69">
            <a:extLst>
              <a:ext uri="{FF2B5EF4-FFF2-40B4-BE49-F238E27FC236}">
                <a16:creationId xmlns:a16="http://schemas.microsoft.com/office/drawing/2014/main" id="{CBD8CEA0-4756-7396-7E5D-61C4550E8BBF}"/>
              </a:ext>
            </a:extLst>
          </xdr:cNvPr>
          <xdr:cNvCxnSpPr>
            <a:stCxn id="69" idx="2"/>
          </xdr:cNvCxnSpPr>
        </xdr:nvCxnSpPr>
        <xdr:spPr>
          <a:xfrm flipH="1">
            <a:off x="5334000" y="56703229"/>
            <a:ext cx="5822" cy="419557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205740</xdr:colOff>
      <xdr:row>365</xdr:row>
      <xdr:rowOff>15240</xdr:rowOff>
    </xdr:from>
    <xdr:to>
      <xdr:col>7</xdr:col>
      <xdr:colOff>380522</xdr:colOff>
      <xdr:row>401</xdr:row>
      <xdr:rowOff>132720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3C97A73-90A8-CC85-4E20-58B76A435311}"/>
            </a:ext>
          </a:extLst>
        </xdr:cNvPr>
        <xdr:cNvGrpSpPr/>
      </xdr:nvGrpSpPr>
      <xdr:grpSpPr>
        <a:xfrm>
          <a:off x="205740" y="54978300"/>
          <a:ext cx="6019322" cy="7242180"/>
          <a:chOff x="243840" y="172277"/>
          <a:chExt cx="6019322" cy="7242180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7D35783F-4EFD-3E1D-273B-BC87D62482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92391" y="5614457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3E3FE3C7-3BE9-B140-05BC-CC7E901920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6562" y="172277"/>
            <a:ext cx="1895906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9A86EAE8-878B-1463-0D3F-A764A684EF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1909" y="172277"/>
            <a:ext cx="1895906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F361436C-2DEB-8444-0DD0-FAE34C1F10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3114" y="5614457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7EB27C7E-A76A-906F-18D0-7779D6C3F0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5565" y="561445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91CBD66D-A10F-2AD8-084C-6E4E5B163C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1909" y="2893367"/>
            <a:ext cx="1895906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DE60C688-B129-05A5-091B-C35BBC80AA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6562" y="2893367"/>
            <a:ext cx="1895906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>
            <a:extLst>
              <a:ext uri="{FF2B5EF4-FFF2-40B4-BE49-F238E27FC236}">
                <a16:creationId xmlns:a16="http://schemas.microsoft.com/office/drawing/2014/main" id="{47C4735D-BA7D-CA8E-B041-94F65C8E05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7256" y="172277"/>
            <a:ext cx="1895906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>
            <a:extLst>
              <a:ext uri="{FF2B5EF4-FFF2-40B4-BE49-F238E27FC236}">
                <a16:creationId xmlns:a16="http://schemas.microsoft.com/office/drawing/2014/main" id="{51576819-64F1-4311-3CD3-67BB698847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7256" y="2893367"/>
            <a:ext cx="1895906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1" name="TextBox 19">
            <a:extLst>
              <a:ext uri="{FF2B5EF4-FFF2-40B4-BE49-F238E27FC236}">
                <a16:creationId xmlns:a16="http://schemas.microsoft.com/office/drawing/2014/main" id="{F8456F7E-D8BB-F36F-FD6D-374252F77CAC}"/>
              </a:ext>
            </a:extLst>
          </xdr:cNvPr>
          <xdr:cNvSpPr txBox="1"/>
        </xdr:nvSpPr>
        <xdr:spPr>
          <a:xfrm>
            <a:off x="1452880" y="462280"/>
            <a:ext cx="569387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/>
              <a:t>Wing A</a:t>
            </a:r>
            <a:endParaRPr lang="en-IN" sz="1000" b="1"/>
          </a:p>
        </xdr:txBody>
      </xdr:sp>
      <xdr:sp macro="" textlink="">
        <xdr:nvSpPr>
          <xdr:cNvPr id="72" name="TextBox 20">
            <a:extLst>
              <a:ext uri="{FF2B5EF4-FFF2-40B4-BE49-F238E27FC236}">
                <a16:creationId xmlns:a16="http://schemas.microsoft.com/office/drawing/2014/main" id="{A989AE84-A81C-5809-1B87-4023B977EF5D}"/>
              </a:ext>
            </a:extLst>
          </xdr:cNvPr>
          <xdr:cNvSpPr txBox="1"/>
        </xdr:nvSpPr>
        <xdr:spPr>
          <a:xfrm>
            <a:off x="243840" y="513080"/>
            <a:ext cx="569387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/>
              <a:t>Wing B</a:t>
            </a:r>
            <a:endParaRPr lang="en-IN" sz="1000" b="1"/>
          </a:p>
        </xdr:txBody>
      </xdr:sp>
      <xdr:sp macro="" textlink="">
        <xdr:nvSpPr>
          <xdr:cNvPr id="73" name="TextBox 21">
            <a:extLst>
              <a:ext uri="{FF2B5EF4-FFF2-40B4-BE49-F238E27FC236}">
                <a16:creationId xmlns:a16="http://schemas.microsoft.com/office/drawing/2014/main" id="{F469D68B-A7E3-44E7-19E2-1CEAF9EC6C8B}"/>
              </a:ext>
            </a:extLst>
          </xdr:cNvPr>
          <xdr:cNvSpPr txBox="1"/>
        </xdr:nvSpPr>
        <xdr:spPr>
          <a:xfrm>
            <a:off x="243840" y="636190"/>
            <a:ext cx="468398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FF0000"/>
                </a:solidFill>
              </a:rPr>
              <a:t>Part I</a:t>
            </a:r>
            <a:endParaRPr lang="en-IN" sz="1000" b="1">
              <a:solidFill>
                <a:srgbClr val="FF0000"/>
              </a:solidFill>
            </a:endParaRPr>
          </a:p>
        </xdr:txBody>
      </xdr:sp>
      <xdr:cxnSp macro="">
        <xdr:nvCxnSpPr>
          <xdr:cNvPr id="74" name="Straight Arrow Connector 73">
            <a:extLst>
              <a:ext uri="{FF2B5EF4-FFF2-40B4-BE49-F238E27FC236}">
                <a16:creationId xmlns:a16="http://schemas.microsoft.com/office/drawing/2014/main" id="{6AA88C21-613F-5BD5-AFE1-E5091EA9AA32}"/>
              </a:ext>
            </a:extLst>
          </xdr:cNvPr>
          <xdr:cNvCxnSpPr>
            <a:cxnSpLocks/>
          </xdr:cNvCxnSpPr>
        </xdr:nvCxnSpPr>
        <xdr:spPr>
          <a:xfrm>
            <a:off x="594838" y="838200"/>
            <a:ext cx="218389" cy="261904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5" name="TextBox 25">
            <a:extLst>
              <a:ext uri="{FF2B5EF4-FFF2-40B4-BE49-F238E27FC236}">
                <a16:creationId xmlns:a16="http://schemas.microsoft.com/office/drawing/2014/main" id="{811DA98A-A4DE-FAE2-2C22-42FC14F0E6F2}"/>
              </a:ext>
            </a:extLst>
          </xdr:cNvPr>
          <xdr:cNvSpPr txBox="1"/>
        </xdr:nvSpPr>
        <xdr:spPr>
          <a:xfrm>
            <a:off x="5349240" y="585390"/>
            <a:ext cx="548640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FF0000"/>
                </a:solidFill>
              </a:rPr>
              <a:t>Part II</a:t>
            </a:r>
            <a:endParaRPr lang="en-IN" sz="1000" b="1">
              <a:solidFill>
                <a:srgbClr val="FF0000"/>
              </a:solidFill>
            </a:endParaRPr>
          </a:p>
        </xdr:txBody>
      </xdr:sp>
      <xdr:cxnSp macro="">
        <xdr:nvCxnSpPr>
          <xdr:cNvPr id="76" name="Straight Arrow Connector 75">
            <a:extLst>
              <a:ext uri="{FF2B5EF4-FFF2-40B4-BE49-F238E27FC236}">
                <a16:creationId xmlns:a16="http://schemas.microsoft.com/office/drawing/2014/main" id="{90FED460-698C-79A5-6E16-8F67192C2184}"/>
              </a:ext>
            </a:extLst>
          </xdr:cNvPr>
          <xdr:cNvCxnSpPr>
            <a:cxnSpLocks/>
          </xdr:cNvCxnSpPr>
        </xdr:nvCxnSpPr>
        <xdr:spPr>
          <a:xfrm flipH="1">
            <a:off x="5446610" y="787400"/>
            <a:ext cx="253628" cy="312704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7" name="TextBox 28">
            <a:extLst>
              <a:ext uri="{FF2B5EF4-FFF2-40B4-BE49-F238E27FC236}">
                <a16:creationId xmlns:a16="http://schemas.microsoft.com/office/drawing/2014/main" id="{DC964C2F-CAF1-3BC3-CE25-337C5E0FADFF}"/>
              </a:ext>
            </a:extLst>
          </xdr:cNvPr>
          <xdr:cNvSpPr txBox="1"/>
        </xdr:nvSpPr>
        <xdr:spPr>
          <a:xfrm>
            <a:off x="2770052" y="339169"/>
            <a:ext cx="569387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/>
              <a:t>Wing B</a:t>
            </a:r>
            <a:endParaRPr lang="en-IN" sz="1000" b="1"/>
          </a:p>
        </xdr:txBody>
      </xdr:sp>
      <xdr:sp macro="" textlink="">
        <xdr:nvSpPr>
          <xdr:cNvPr id="78" name="TextBox 29">
            <a:extLst>
              <a:ext uri="{FF2B5EF4-FFF2-40B4-BE49-F238E27FC236}">
                <a16:creationId xmlns:a16="http://schemas.microsoft.com/office/drawing/2014/main" id="{BFB14719-DCAD-AF0F-3F68-8497FDB950F4}"/>
              </a:ext>
            </a:extLst>
          </xdr:cNvPr>
          <xdr:cNvSpPr txBox="1"/>
        </xdr:nvSpPr>
        <xdr:spPr>
          <a:xfrm>
            <a:off x="2770052" y="462279"/>
            <a:ext cx="468398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FF0000"/>
                </a:solidFill>
              </a:rPr>
              <a:t>Part I</a:t>
            </a:r>
            <a:endParaRPr lang="en-IN" sz="1000" b="1">
              <a:solidFill>
                <a:srgbClr val="FF0000"/>
              </a:solidFill>
            </a:endParaRPr>
          </a:p>
        </xdr:txBody>
      </xdr:sp>
      <xdr:cxnSp macro="">
        <xdr:nvCxnSpPr>
          <xdr:cNvPr id="79" name="Straight Arrow Connector 78">
            <a:extLst>
              <a:ext uri="{FF2B5EF4-FFF2-40B4-BE49-F238E27FC236}">
                <a16:creationId xmlns:a16="http://schemas.microsoft.com/office/drawing/2014/main" id="{E6D48EB1-1F56-C0A6-8BFA-321E6598660A}"/>
              </a:ext>
            </a:extLst>
          </xdr:cNvPr>
          <xdr:cNvCxnSpPr>
            <a:cxnSpLocks/>
          </xdr:cNvCxnSpPr>
        </xdr:nvCxnSpPr>
        <xdr:spPr>
          <a:xfrm>
            <a:off x="3121050" y="664289"/>
            <a:ext cx="218389" cy="261904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0" name="TextBox 31">
            <a:extLst>
              <a:ext uri="{FF2B5EF4-FFF2-40B4-BE49-F238E27FC236}">
                <a16:creationId xmlns:a16="http://schemas.microsoft.com/office/drawing/2014/main" id="{AE9FF1C2-51EB-E9EC-0591-56B65C0A7D13}"/>
              </a:ext>
            </a:extLst>
          </xdr:cNvPr>
          <xdr:cNvSpPr txBox="1"/>
        </xdr:nvSpPr>
        <xdr:spPr>
          <a:xfrm>
            <a:off x="959821" y="3134360"/>
            <a:ext cx="569387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/>
              <a:t>Wing A</a:t>
            </a:r>
            <a:endParaRPr lang="en-IN" sz="1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RNs5De49jLtVHwLh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448"/>
  <sheetViews>
    <sheetView tabSelected="1" view="pageBreakPreview" topLeftCell="A350" zoomScaleNormal="100" zoomScaleSheetLayoutView="100" zoomScalePageLayoutView="85" workbookViewId="0">
      <selection activeCell="J358" sqref="J358"/>
    </sheetView>
  </sheetViews>
  <sheetFormatPr defaultColWidth="9.109375" defaultRowHeight="15.6" x14ac:dyDescent="0.3"/>
  <cols>
    <col min="1" max="1" width="11.44140625" style="36" customWidth="1"/>
    <col min="2" max="2" width="12" style="36" customWidth="1"/>
    <col min="3" max="3" width="12.6640625" style="36" customWidth="1"/>
    <col min="4" max="4" width="14.109375" style="36" customWidth="1"/>
    <col min="5" max="7" width="11.6640625" style="36" customWidth="1"/>
    <col min="8" max="8" width="9.6640625" style="36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6640625" style="18" customWidth="1"/>
    <col min="17" max="247" width="9.109375" style="18"/>
    <col min="248" max="248" width="8.6640625" style="18" customWidth="1"/>
    <col min="249" max="249" width="9.88671875" style="18" customWidth="1"/>
    <col min="250" max="250" width="14.44140625" style="18" customWidth="1"/>
    <col min="251" max="251" width="7.3320312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6640625" style="18" customWidth="1"/>
    <col min="505" max="505" width="9.88671875" style="18" customWidth="1"/>
    <col min="506" max="506" width="14.44140625" style="18" customWidth="1"/>
    <col min="507" max="507" width="7.3320312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6640625" style="18" customWidth="1"/>
    <col min="761" max="761" width="9.88671875" style="18" customWidth="1"/>
    <col min="762" max="762" width="14.44140625" style="18" customWidth="1"/>
    <col min="763" max="763" width="7.3320312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6640625" style="18" customWidth="1"/>
    <col min="1017" max="1017" width="9.88671875" style="18" customWidth="1"/>
    <col min="1018" max="1018" width="14.44140625" style="18" customWidth="1"/>
    <col min="1019" max="1019" width="7.3320312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6640625" style="18" customWidth="1"/>
    <col min="1273" max="1273" width="9.88671875" style="18" customWidth="1"/>
    <col min="1274" max="1274" width="14.44140625" style="18" customWidth="1"/>
    <col min="1275" max="1275" width="7.3320312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6640625" style="18" customWidth="1"/>
    <col min="1529" max="1529" width="9.88671875" style="18" customWidth="1"/>
    <col min="1530" max="1530" width="14.44140625" style="18" customWidth="1"/>
    <col min="1531" max="1531" width="7.3320312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6640625" style="18" customWidth="1"/>
    <col min="1785" max="1785" width="9.88671875" style="18" customWidth="1"/>
    <col min="1786" max="1786" width="14.44140625" style="18" customWidth="1"/>
    <col min="1787" max="1787" width="7.3320312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6640625" style="18" customWidth="1"/>
    <col min="2041" max="2041" width="9.88671875" style="18" customWidth="1"/>
    <col min="2042" max="2042" width="14.44140625" style="18" customWidth="1"/>
    <col min="2043" max="2043" width="7.3320312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6640625" style="18" customWidth="1"/>
    <col min="2297" max="2297" width="9.88671875" style="18" customWidth="1"/>
    <col min="2298" max="2298" width="14.44140625" style="18" customWidth="1"/>
    <col min="2299" max="2299" width="7.3320312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6640625" style="18" customWidth="1"/>
    <col min="2553" max="2553" width="9.88671875" style="18" customWidth="1"/>
    <col min="2554" max="2554" width="14.44140625" style="18" customWidth="1"/>
    <col min="2555" max="2555" width="7.3320312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6640625" style="18" customWidth="1"/>
    <col min="2809" max="2809" width="9.88671875" style="18" customWidth="1"/>
    <col min="2810" max="2810" width="14.44140625" style="18" customWidth="1"/>
    <col min="2811" max="2811" width="7.3320312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6640625" style="18" customWidth="1"/>
    <col min="3065" max="3065" width="9.88671875" style="18" customWidth="1"/>
    <col min="3066" max="3066" width="14.44140625" style="18" customWidth="1"/>
    <col min="3067" max="3067" width="7.3320312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6640625" style="18" customWidth="1"/>
    <col min="3321" max="3321" width="9.88671875" style="18" customWidth="1"/>
    <col min="3322" max="3322" width="14.44140625" style="18" customWidth="1"/>
    <col min="3323" max="3323" width="7.3320312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6640625" style="18" customWidth="1"/>
    <col min="3577" max="3577" width="9.88671875" style="18" customWidth="1"/>
    <col min="3578" max="3578" width="14.44140625" style="18" customWidth="1"/>
    <col min="3579" max="3579" width="7.3320312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6640625" style="18" customWidth="1"/>
    <col min="3833" max="3833" width="9.88671875" style="18" customWidth="1"/>
    <col min="3834" max="3834" width="14.44140625" style="18" customWidth="1"/>
    <col min="3835" max="3835" width="7.3320312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6640625" style="18" customWidth="1"/>
    <col min="4089" max="4089" width="9.88671875" style="18" customWidth="1"/>
    <col min="4090" max="4090" width="14.44140625" style="18" customWidth="1"/>
    <col min="4091" max="4091" width="7.3320312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6640625" style="18" customWidth="1"/>
    <col min="4345" max="4345" width="9.88671875" style="18" customWidth="1"/>
    <col min="4346" max="4346" width="14.44140625" style="18" customWidth="1"/>
    <col min="4347" max="4347" width="7.3320312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6640625" style="18" customWidth="1"/>
    <col min="4601" max="4601" width="9.88671875" style="18" customWidth="1"/>
    <col min="4602" max="4602" width="14.44140625" style="18" customWidth="1"/>
    <col min="4603" max="4603" width="7.3320312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6640625" style="18" customWidth="1"/>
    <col min="4857" max="4857" width="9.88671875" style="18" customWidth="1"/>
    <col min="4858" max="4858" width="14.44140625" style="18" customWidth="1"/>
    <col min="4859" max="4859" width="7.3320312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6640625" style="18" customWidth="1"/>
    <col min="5113" max="5113" width="9.88671875" style="18" customWidth="1"/>
    <col min="5114" max="5114" width="14.44140625" style="18" customWidth="1"/>
    <col min="5115" max="5115" width="7.3320312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6640625" style="18" customWidth="1"/>
    <col min="5369" max="5369" width="9.88671875" style="18" customWidth="1"/>
    <col min="5370" max="5370" width="14.44140625" style="18" customWidth="1"/>
    <col min="5371" max="5371" width="7.3320312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6640625" style="18" customWidth="1"/>
    <col min="5625" max="5625" width="9.88671875" style="18" customWidth="1"/>
    <col min="5626" max="5626" width="14.44140625" style="18" customWidth="1"/>
    <col min="5627" max="5627" width="7.3320312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6640625" style="18" customWidth="1"/>
    <col min="5881" max="5881" width="9.88671875" style="18" customWidth="1"/>
    <col min="5882" max="5882" width="14.44140625" style="18" customWidth="1"/>
    <col min="5883" max="5883" width="7.3320312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6640625" style="18" customWidth="1"/>
    <col min="6137" max="6137" width="9.88671875" style="18" customWidth="1"/>
    <col min="6138" max="6138" width="14.44140625" style="18" customWidth="1"/>
    <col min="6139" max="6139" width="7.3320312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6640625" style="18" customWidth="1"/>
    <col min="6393" max="6393" width="9.88671875" style="18" customWidth="1"/>
    <col min="6394" max="6394" width="14.44140625" style="18" customWidth="1"/>
    <col min="6395" max="6395" width="7.3320312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6640625" style="18" customWidth="1"/>
    <col min="6649" max="6649" width="9.88671875" style="18" customWidth="1"/>
    <col min="6650" max="6650" width="14.44140625" style="18" customWidth="1"/>
    <col min="6651" max="6651" width="7.3320312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6640625" style="18" customWidth="1"/>
    <col min="6905" max="6905" width="9.88671875" style="18" customWidth="1"/>
    <col min="6906" max="6906" width="14.44140625" style="18" customWidth="1"/>
    <col min="6907" max="6907" width="7.3320312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6640625" style="18" customWidth="1"/>
    <col min="7161" max="7161" width="9.88671875" style="18" customWidth="1"/>
    <col min="7162" max="7162" width="14.44140625" style="18" customWidth="1"/>
    <col min="7163" max="7163" width="7.3320312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6640625" style="18" customWidth="1"/>
    <col min="7417" max="7417" width="9.88671875" style="18" customWidth="1"/>
    <col min="7418" max="7418" width="14.44140625" style="18" customWidth="1"/>
    <col min="7419" max="7419" width="7.3320312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6640625" style="18" customWidth="1"/>
    <col min="7673" max="7673" width="9.88671875" style="18" customWidth="1"/>
    <col min="7674" max="7674" width="14.44140625" style="18" customWidth="1"/>
    <col min="7675" max="7675" width="7.3320312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6640625" style="18" customWidth="1"/>
    <col min="7929" max="7929" width="9.88671875" style="18" customWidth="1"/>
    <col min="7930" max="7930" width="14.44140625" style="18" customWidth="1"/>
    <col min="7931" max="7931" width="7.3320312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6640625" style="18" customWidth="1"/>
    <col min="8185" max="8185" width="9.88671875" style="18" customWidth="1"/>
    <col min="8186" max="8186" width="14.44140625" style="18" customWidth="1"/>
    <col min="8187" max="8187" width="7.3320312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6640625" style="18" customWidth="1"/>
    <col min="8441" max="8441" width="9.88671875" style="18" customWidth="1"/>
    <col min="8442" max="8442" width="14.44140625" style="18" customWidth="1"/>
    <col min="8443" max="8443" width="7.3320312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6640625" style="18" customWidth="1"/>
    <col min="8697" max="8697" width="9.88671875" style="18" customWidth="1"/>
    <col min="8698" max="8698" width="14.44140625" style="18" customWidth="1"/>
    <col min="8699" max="8699" width="7.3320312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6640625" style="18" customWidth="1"/>
    <col min="8953" max="8953" width="9.88671875" style="18" customWidth="1"/>
    <col min="8954" max="8954" width="14.44140625" style="18" customWidth="1"/>
    <col min="8955" max="8955" width="7.3320312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6640625" style="18" customWidth="1"/>
    <col min="9209" max="9209" width="9.88671875" style="18" customWidth="1"/>
    <col min="9210" max="9210" width="14.44140625" style="18" customWidth="1"/>
    <col min="9211" max="9211" width="7.3320312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6640625" style="18" customWidth="1"/>
    <col min="9465" max="9465" width="9.88671875" style="18" customWidth="1"/>
    <col min="9466" max="9466" width="14.44140625" style="18" customWidth="1"/>
    <col min="9467" max="9467" width="7.3320312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6640625" style="18" customWidth="1"/>
    <col min="9721" max="9721" width="9.88671875" style="18" customWidth="1"/>
    <col min="9722" max="9722" width="14.44140625" style="18" customWidth="1"/>
    <col min="9723" max="9723" width="7.3320312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6640625" style="18" customWidth="1"/>
    <col min="9977" max="9977" width="9.88671875" style="18" customWidth="1"/>
    <col min="9978" max="9978" width="14.44140625" style="18" customWidth="1"/>
    <col min="9979" max="9979" width="7.3320312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6640625" style="18" customWidth="1"/>
    <col min="10233" max="10233" width="9.88671875" style="18" customWidth="1"/>
    <col min="10234" max="10234" width="14.44140625" style="18" customWidth="1"/>
    <col min="10235" max="10235" width="7.3320312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6640625" style="18" customWidth="1"/>
    <col min="10489" max="10489" width="9.88671875" style="18" customWidth="1"/>
    <col min="10490" max="10490" width="14.44140625" style="18" customWidth="1"/>
    <col min="10491" max="10491" width="7.3320312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6640625" style="18" customWidth="1"/>
    <col min="10745" max="10745" width="9.88671875" style="18" customWidth="1"/>
    <col min="10746" max="10746" width="14.44140625" style="18" customWidth="1"/>
    <col min="10747" max="10747" width="7.3320312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6640625" style="18" customWidth="1"/>
    <col min="11001" max="11001" width="9.88671875" style="18" customWidth="1"/>
    <col min="11002" max="11002" width="14.44140625" style="18" customWidth="1"/>
    <col min="11003" max="11003" width="7.3320312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6640625" style="18" customWidth="1"/>
    <col min="11257" max="11257" width="9.88671875" style="18" customWidth="1"/>
    <col min="11258" max="11258" width="14.44140625" style="18" customWidth="1"/>
    <col min="11259" max="11259" width="7.3320312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6640625" style="18" customWidth="1"/>
    <col min="11513" max="11513" width="9.88671875" style="18" customWidth="1"/>
    <col min="11514" max="11514" width="14.44140625" style="18" customWidth="1"/>
    <col min="11515" max="11515" width="7.3320312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6640625" style="18" customWidth="1"/>
    <col min="11769" max="11769" width="9.88671875" style="18" customWidth="1"/>
    <col min="11770" max="11770" width="14.44140625" style="18" customWidth="1"/>
    <col min="11771" max="11771" width="7.3320312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6640625" style="18" customWidth="1"/>
    <col min="12025" max="12025" width="9.88671875" style="18" customWidth="1"/>
    <col min="12026" max="12026" width="14.44140625" style="18" customWidth="1"/>
    <col min="12027" max="12027" width="7.3320312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6640625" style="18" customWidth="1"/>
    <col min="12281" max="12281" width="9.88671875" style="18" customWidth="1"/>
    <col min="12282" max="12282" width="14.44140625" style="18" customWidth="1"/>
    <col min="12283" max="12283" width="7.3320312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6640625" style="18" customWidth="1"/>
    <col min="12537" max="12537" width="9.88671875" style="18" customWidth="1"/>
    <col min="12538" max="12538" width="14.44140625" style="18" customWidth="1"/>
    <col min="12539" max="12539" width="7.3320312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6640625" style="18" customWidth="1"/>
    <col min="12793" max="12793" width="9.88671875" style="18" customWidth="1"/>
    <col min="12794" max="12794" width="14.44140625" style="18" customWidth="1"/>
    <col min="12795" max="12795" width="7.3320312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6640625" style="18" customWidth="1"/>
    <col min="13049" max="13049" width="9.88671875" style="18" customWidth="1"/>
    <col min="13050" max="13050" width="14.44140625" style="18" customWidth="1"/>
    <col min="13051" max="13051" width="7.3320312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6640625" style="18" customWidth="1"/>
    <col min="13305" max="13305" width="9.88671875" style="18" customWidth="1"/>
    <col min="13306" max="13306" width="14.44140625" style="18" customWidth="1"/>
    <col min="13307" max="13307" width="7.3320312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6640625" style="18" customWidth="1"/>
    <col min="13561" max="13561" width="9.88671875" style="18" customWidth="1"/>
    <col min="13562" max="13562" width="14.44140625" style="18" customWidth="1"/>
    <col min="13563" max="13563" width="7.3320312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6640625" style="18" customWidth="1"/>
    <col min="13817" max="13817" width="9.88671875" style="18" customWidth="1"/>
    <col min="13818" max="13818" width="14.44140625" style="18" customWidth="1"/>
    <col min="13819" max="13819" width="7.3320312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6640625" style="18" customWidth="1"/>
    <col min="14073" max="14073" width="9.88671875" style="18" customWidth="1"/>
    <col min="14074" max="14074" width="14.44140625" style="18" customWidth="1"/>
    <col min="14075" max="14075" width="7.3320312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6640625" style="18" customWidth="1"/>
    <col min="14329" max="14329" width="9.88671875" style="18" customWidth="1"/>
    <col min="14330" max="14330" width="14.44140625" style="18" customWidth="1"/>
    <col min="14331" max="14331" width="7.3320312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6640625" style="18" customWidth="1"/>
    <col min="14585" max="14585" width="9.88671875" style="18" customWidth="1"/>
    <col min="14586" max="14586" width="14.44140625" style="18" customWidth="1"/>
    <col min="14587" max="14587" width="7.3320312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6640625" style="18" customWidth="1"/>
    <col min="14841" max="14841" width="9.88671875" style="18" customWidth="1"/>
    <col min="14842" max="14842" width="14.44140625" style="18" customWidth="1"/>
    <col min="14843" max="14843" width="7.3320312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6640625" style="18" customWidth="1"/>
    <col min="15097" max="15097" width="9.88671875" style="18" customWidth="1"/>
    <col min="15098" max="15098" width="14.44140625" style="18" customWidth="1"/>
    <col min="15099" max="15099" width="7.3320312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6640625" style="18" customWidth="1"/>
    <col min="15353" max="15353" width="9.88671875" style="18" customWidth="1"/>
    <col min="15354" max="15354" width="14.44140625" style="18" customWidth="1"/>
    <col min="15355" max="15355" width="7.3320312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6640625" style="18" customWidth="1"/>
    <col min="15609" max="15609" width="9.88671875" style="18" customWidth="1"/>
    <col min="15610" max="15610" width="14.44140625" style="18" customWidth="1"/>
    <col min="15611" max="15611" width="7.3320312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6640625" style="18" customWidth="1"/>
    <col min="15865" max="15865" width="9.88671875" style="18" customWidth="1"/>
    <col min="15866" max="15866" width="14.44140625" style="18" customWidth="1"/>
    <col min="15867" max="15867" width="7.3320312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6640625" style="18" customWidth="1"/>
    <col min="16121" max="16121" width="9.88671875" style="18" customWidth="1"/>
    <col min="16122" max="16122" width="14.44140625" style="18" customWidth="1"/>
    <col min="16123" max="16123" width="7.3320312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8" ht="46.5" customHeight="1" x14ac:dyDescent="0.3">
      <c r="A1" s="154" t="s">
        <v>218</v>
      </c>
      <c r="B1" s="154"/>
      <c r="C1" s="154"/>
      <c r="D1" s="154"/>
      <c r="E1" s="154"/>
      <c r="F1" s="154"/>
      <c r="G1" s="154"/>
      <c r="H1" s="154"/>
    </row>
    <row r="2" spans="1:8" ht="16.5" customHeight="1" x14ac:dyDescent="0.3">
      <c r="A2" s="141" t="s">
        <v>0</v>
      </c>
      <c r="B2" s="141"/>
      <c r="C2" s="141"/>
      <c r="D2" s="141"/>
      <c r="E2" s="141"/>
      <c r="F2" s="141"/>
      <c r="G2" s="141"/>
      <c r="H2" s="141"/>
    </row>
    <row r="3" spans="1:8" x14ac:dyDescent="0.3">
      <c r="A3" s="155" t="s">
        <v>1</v>
      </c>
      <c r="B3" s="155"/>
      <c r="C3" s="155"/>
      <c r="D3" s="155"/>
      <c r="E3" s="155" t="str">
        <f ca="1">TEXT(TODAY(),"DD/MM/YYYY")</f>
        <v>12/09/2025</v>
      </c>
      <c r="F3" s="155"/>
      <c r="G3" s="155"/>
      <c r="H3" s="155"/>
    </row>
    <row r="4" spans="1:8" ht="15" customHeight="1" x14ac:dyDescent="0.3">
      <c r="A4" s="155" t="s">
        <v>2</v>
      </c>
      <c r="B4" s="155"/>
      <c r="C4" s="155"/>
      <c r="D4" s="155"/>
      <c r="E4" s="155" t="s">
        <v>165</v>
      </c>
      <c r="F4" s="155"/>
      <c r="G4" s="155"/>
      <c r="H4" s="155"/>
    </row>
    <row r="5" spans="1:8" x14ac:dyDescent="0.3">
      <c r="A5" s="155" t="s">
        <v>3</v>
      </c>
      <c r="B5" s="155"/>
      <c r="C5" s="155"/>
      <c r="D5" s="155"/>
      <c r="E5" s="156">
        <v>45908</v>
      </c>
      <c r="F5" s="155"/>
      <c r="G5" s="155"/>
      <c r="H5" s="155"/>
    </row>
    <row r="6" spans="1:8" ht="16.5" customHeight="1" x14ac:dyDescent="0.3">
      <c r="A6" s="155" t="s">
        <v>4</v>
      </c>
      <c r="B6" s="155"/>
      <c r="C6" s="155"/>
      <c r="D6" s="155"/>
      <c r="E6" s="155" t="s">
        <v>166</v>
      </c>
      <c r="F6" s="155"/>
      <c r="G6" s="155"/>
      <c r="H6" s="155"/>
    </row>
    <row r="7" spans="1:8" ht="15" customHeight="1" x14ac:dyDescent="0.3">
      <c r="A7" s="155" t="s">
        <v>5</v>
      </c>
      <c r="B7" s="155"/>
      <c r="C7" s="155"/>
      <c r="D7" s="155"/>
      <c r="E7" s="155" t="str">
        <f>E6</f>
        <v>M/s.Marquis Builders</v>
      </c>
      <c r="F7" s="155"/>
      <c r="G7" s="155"/>
      <c r="H7" s="155"/>
    </row>
    <row r="8" spans="1:8" x14ac:dyDescent="0.3">
      <c r="A8" s="155" t="s">
        <v>6</v>
      </c>
      <c r="B8" s="155"/>
      <c r="C8" s="155"/>
      <c r="D8" s="155"/>
      <c r="E8" s="94" t="s">
        <v>167</v>
      </c>
      <c r="F8" s="155"/>
      <c r="G8" s="155"/>
      <c r="H8" s="155"/>
    </row>
    <row r="9" spans="1:8" x14ac:dyDescent="0.3">
      <c r="A9" s="155" t="s">
        <v>120</v>
      </c>
      <c r="B9" s="155"/>
      <c r="C9" s="155"/>
      <c r="D9" s="155"/>
      <c r="E9" s="155">
        <v>9819323756</v>
      </c>
      <c r="F9" s="155"/>
      <c r="G9" s="155"/>
      <c r="H9" s="155"/>
    </row>
    <row r="10" spans="1:8" x14ac:dyDescent="0.3">
      <c r="A10" s="155" t="s">
        <v>239</v>
      </c>
      <c r="B10" s="155"/>
      <c r="C10" s="155"/>
      <c r="D10" s="155"/>
      <c r="E10" s="155" t="s">
        <v>240</v>
      </c>
      <c r="F10" s="155"/>
      <c r="G10" s="155"/>
      <c r="H10" s="155"/>
    </row>
    <row r="11" spans="1:8" x14ac:dyDescent="0.3">
      <c r="A11" s="155" t="s">
        <v>7</v>
      </c>
      <c r="B11" s="155"/>
      <c r="C11" s="155"/>
      <c r="D11" s="155"/>
      <c r="E11" s="155" t="s">
        <v>211</v>
      </c>
      <c r="F11" s="155"/>
      <c r="G11" s="155"/>
      <c r="H11" s="155"/>
    </row>
    <row r="12" spans="1:8" x14ac:dyDescent="0.3">
      <c r="A12" s="125" t="s">
        <v>8</v>
      </c>
      <c r="B12" s="125"/>
      <c r="C12" s="125"/>
      <c r="D12" s="125"/>
      <c r="E12" s="157" t="s">
        <v>291</v>
      </c>
      <c r="F12" s="157"/>
      <c r="G12" s="157"/>
      <c r="H12" s="157"/>
    </row>
    <row r="13" spans="1:8" x14ac:dyDescent="0.3">
      <c r="A13" s="125" t="s">
        <v>9</v>
      </c>
      <c r="B13" s="125"/>
      <c r="C13" s="125"/>
      <c r="D13" s="125"/>
      <c r="E13" s="157" t="s">
        <v>168</v>
      </c>
      <c r="F13" s="155"/>
      <c r="G13" s="155"/>
      <c r="H13" s="155"/>
    </row>
    <row r="14" spans="1:8" ht="33.75" customHeight="1" x14ac:dyDescent="0.3">
      <c r="A14" s="152" t="s">
        <v>10</v>
      </c>
      <c r="B14" s="152"/>
      <c r="C14" s="15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Royal Palm, Plot No.98, near Akshar Grey Stone, Internal Road, Sector 18, Ulwe, Navi Mumbai, Panvel, Raigad - 410206.</v>
      </c>
      <c r="D14" s="152"/>
      <c r="E14" s="152"/>
      <c r="F14" s="152"/>
      <c r="G14" s="152"/>
      <c r="H14" s="152"/>
    </row>
    <row r="15" spans="1:8" x14ac:dyDescent="0.3">
      <c r="A15" s="157" t="s">
        <v>169</v>
      </c>
      <c r="B15" s="157"/>
      <c r="C15" s="157">
        <v>98</v>
      </c>
      <c r="D15" s="157"/>
      <c r="E15" s="157"/>
      <c r="F15" s="157"/>
      <c r="G15" s="157"/>
      <c r="H15" s="157"/>
    </row>
    <row r="16" spans="1:8" ht="15.75" customHeight="1" x14ac:dyDescent="0.3">
      <c r="A16" s="194" t="s">
        <v>161</v>
      </c>
      <c r="B16" s="195"/>
      <c r="C16" s="194" t="s">
        <v>175</v>
      </c>
      <c r="D16" s="196"/>
      <c r="E16" s="196"/>
      <c r="F16" s="196"/>
      <c r="G16" s="196"/>
      <c r="H16" s="195"/>
    </row>
    <row r="17" spans="1:8" ht="15.75" customHeight="1" x14ac:dyDescent="0.3">
      <c r="A17" s="152" t="s">
        <v>11</v>
      </c>
      <c r="B17" s="152"/>
      <c r="C17" s="155" t="s">
        <v>176</v>
      </c>
      <c r="D17" s="155"/>
      <c r="E17" s="152" t="s">
        <v>162</v>
      </c>
      <c r="F17" s="152"/>
      <c r="G17" s="157" t="s">
        <v>172</v>
      </c>
      <c r="H17" s="157"/>
    </row>
    <row r="18" spans="1:8" x14ac:dyDescent="0.3">
      <c r="A18" s="125" t="s">
        <v>13</v>
      </c>
      <c r="B18" s="125"/>
      <c r="C18" s="157" t="s">
        <v>177</v>
      </c>
      <c r="D18" s="157"/>
      <c r="E18" s="152" t="s">
        <v>12</v>
      </c>
      <c r="F18" s="152"/>
      <c r="G18" s="158" t="s">
        <v>173</v>
      </c>
      <c r="H18" s="158"/>
    </row>
    <row r="19" spans="1:8" x14ac:dyDescent="0.3">
      <c r="A19" s="125" t="s">
        <v>73</v>
      </c>
      <c r="B19" s="125"/>
      <c r="C19" s="157" t="s">
        <v>174</v>
      </c>
      <c r="D19" s="157"/>
      <c r="E19" s="152" t="s">
        <v>14</v>
      </c>
      <c r="F19" s="152"/>
      <c r="G19" s="157">
        <v>410206</v>
      </c>
      <c r="H19" s="157"/>
    </row>
    <row r="20" spans="1:8" ht="51" customHeight="1" x14ac:dyDescent="0.3">
      <c r="A20" s="125" t="s">
        <v>121</v>
      </c>
      <c r="B20" s="125"/>
      <c r="C20" s="157" t="s">
        <v>171</v>
      </c>
      <c r="D20" s="157"/>
      <c r="E20" s="152" t="s">
        <v>15</v>
      </c>
      <c r="F20" s="152"/>
      <c r="G20" s="157" t="s">
        <v>178</v>
      </c>
      <c r="H20" s="157"/>
    </row>
    <row r="21" spans="1:8" ht="15" customHeight="1" x14ac:dyDescent="0.3">
      <c r="A21" s="152" t="s">
        <v>76</v>
      </c>
      <c r="B21" s="152"/>
      <c r="C21" s="152"/>
      <c r="D21" s="152"/>
      <c r="E21" s="155" t="s">
        <v>16</v>
      </c>
      <c r="F21" s="155"/>
      <c r="G21" s="155"/>
      <c r="H21" s="155"/>
    </row>
    <row r="22" spans="1:8" ht="18.75" customHeight="1" x14ac:dyDescent="0.3">
      <c r="A22" s="152"/>
      <c r="B22" s="152"/>
      <c r="C22" s="152"/>
      <c r="D22" s="152"/>
      <c r="E22" s="155"/>
      <c r="F22" s="155"/>
      <c r="G22" s="155"/>
      <c r="H22" s="155"/>
    </row>
    <row r="23" spans="1:8" ht="15" customHeight="1" x14ac:dyDescent="0.3">
      <c r="A23" s="152" t="s">
        <v>17</v>
      </c>
      <c r="B23" s="152"/>
      <c r="C23" s="152"/>
      <c r="D23" s="152"/>
      <c r="E23" s="157" t="s">
        <v>18</v>
      </c>
      <c r="F23" s="157"/>
      <c r="G23" s="157"/>
      <c r="H23" s="157"/>
    </row>
    <row r="24" spans="1:8" ht="15" customHeight="1" x14ac:dyDescent="0.3">
      <c r="A24" s="125" t="s">
        <v>19</v>
      </c>
      <c r="B24" s="125"/>
      <c r="C24" s="125"/>
      <c r="D24" s="125"/>
      <c r="E24" s="157" t="str">
        <f>IF(AND(G18="Mumbai"),"Upper Class","Middle Class")</f>
        <v>Middle Class</v>
      </c>
      <c r="F24" s="157"/>
      <c r="G24" s="157"/>
      <c r="H24" s="157"/>
    </row>
    <row r="25" spans="1:8" x14ac:dyDescent="0.3">
      <c r="A25" s="125" t="s">
        <v>20</v>
      </c>
      <c r="B25" s="125"/>
      <c r="C25" s="125"/>
      <c r="D25" s="125"/>
      <c r="E25" s="157" t="s">
        <v>21</v>
      </c>
      <c r="F25" s="157"/>
      <c r="G25" s="157"/>
      <c r="H25" s="157"/>
    </row>
    <row r="26" spans="1:8" ht="15.75" customHeight="1" x14ac:dyDescent="0.3">
      <c r="A26" s="125" t="s">
        <v>22</v>
      </c>
      <c r="B26" s="125"/>
      <c r="C26" s="125"/>
      <c r="D26" s="125"/>
      <c r="E26" s="157" t="str">
        <f>IF(AND(G18="Mumbai"),"Developed","Developing")</f>
        <v>Developing</v>
      </c>
      <c r="F26" s="157"/>
      <c r="G26" s="157"/>
      <c r="H26" s="157"/>
    </row>
    <row r="27" spans="1:8" x14ac:dyDescent="0.3">
      <c r="A27" s="125" t="s">
        <v>23</v>
      </c>
      <c r="B27" s="125"/>
      <c r="C27" s="125"/>
      <c r="D27" s="125"/>
      <c r="E27" s="157" t="s">
        <v>24</v>
      </c>
      <c r="F27" s="157"/>
      <c r="G27" s="157"/>
      <c r="H27" s="157"/>
    </row>
    <row r="28" spans="1:8" ht="15.75" customHeight="1" x14ac:dyDescent="0.3">
      <c r="A28" s="125" t="s">
        <v>81</v>
      </c>
      <c r="B28" s="125"/>
      <c r="C28" s="125"/>
      <c r="D28" s="125"/>
      <c r="E28" s="157" t="s">
        <v>82</v>
      </c>
      <c r="F28" s="157"/>
      <c r="G28" s="157"/>
      <c r="H28" s="157"/>
    </row>
    <row r="29" spans="1:8" ht="15" customHeight="1" x14ac:dyDescent="0.3">
      <c r="A29" s="125" t="s">
        <v>32</v>
      </c>
      <c r="B29" s="125"/>
      <c r="C29" s="125"/>
      <c r="D29" s="125"/>
      <c r="E29" s="157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29" s="157"/>
      <c r="G29" s="157"/>
      <c r="H29" s="157"/>
    </row>
    <row r="30" spans="1:8" ht="15.75" customHeight="1" x14ac:dyDescent="0.3">
      <c r="A30" s="125" t="s">
        <v>93</v>
      </c>
      <c r="B30" s="125"/>
      <c r="C30" s="125"/>
      <c r="D30" s="125"/>
      <c r="E30" s="157" t="s">
        <v>33</v>
      </c>
      <c r="F30" s="157"/>
      <c r="G30" s="157"/>
      <c r="H30" s="157"/>
    </row>
    <row r="31" spans="1:8" s="19" customFormat="1" x14ac:dyDescent="0.3">
      <c r="A31" s="162" t="s">
        <v>94</v>
      </c>
      <c r="B31" s="162"/>
      <c r="C31" s="161" t="s">
        <v>243</v>
      </c>
      <c r="D31" s="161"/>
      <c r="E31" s="161"/>
      <c r="F31" s="161" t="s">
        <v>30</v>
      </c>
      <c r="G31" s="161"/>
      <c r="H31" s="161"/>
    </row>
    <row r="32" spans="1:8" s="19" customFormat="1" x14ac:dyDescent="0.3">
      <c r="A32" s="159" t="s">
        <v>25</v>
      </c>
      <c r="B32" s="159" t="s">
        <v>29</v>
      </c>
      <c r="C32" s="160" t="s">
        <v>247</v>
      </c>
      <c r="D32" s="160"/>
      <c r="E32" s="160"/>
      <c r="F32" s="160" t="s">
        <v>11</v>
      </c>
      <c r="G32" s="160"/>
      <c r="H32" s="160"/>
    </row>
    <row r="33" spans="1:13" x14ac:dyDescent="0.3">
      <c r="A33" s="159" t="s">
        <v>26</v>
      </c>
      <c r="B33" s="159" t="s">
        <v>29</v>
      </c>
      <c r="C33" s="160" t="s">
        <v>246</v>
      </c>
      <c r="D33" s="160"/>
      <c r="E33" s="160"/>
      <c r="F33" s="160" t="s">
        <v>171</v>
      </c>
      <c r="G33" s="160"/>
      <c r="H33" s="160"/>
    </row>
    <row r="34" spans="1:13" s="19" customFormat="1" x14ac:dyDescent="0.3">
      <c r="A34" s="159" t="s">
        <v>28</v>
      </c>
      <c r="B34" s="159" t="s">
        <v>29</v>
      </c>
      <c r="C34" s="160" t="s">
        <v>245</v>
      </c>
      <c r="D34" s="160"/>
      <c r="E34" s="160"/>
      <c r="F34" s="160" t="s">
        <v>170</v>
      </c>
      <c r="G34" s="160"/>
      <c r="H34" s="160"/>
    </row>
    <row r="35" spans="1:13" x14ac:dyDescent="0.3">
      <c r="A35" s="159" t="s">
        <v>27</v>
      </c>
      <c r="B35" s="159" t="s">
        <v>29</v>
      </c>
      <c r="C35" s="180" t="s">
        <v>244</v>
      </c>
      <c r="D35" s="181"/>
      <c r="E35" s="182"/>
      <c r="F35" s="160" t="s">
        <v>11</v>
      </c>
      <c r="G35" s="160"/>
      <c r="H35" s="160"/>
    </row>
    <row r="36" spans="1:13" x14ac:dyDescent="0.3">
      <c r="A36" s="125" t="s">
        <v>31</v>
      </c>
      <c r="B36" s="125"/>
      <c r="C36" s="125"/>
      <c r="D36" s="125"/>
      <c r="E36" s="125"/>
      <c r="F36" s="125"/>
      <c r="G36" s="125"/>
      <c r="H36" s="125"/>
    </row>
    <row r="37" spans="1:13" ht="15.75" customHeight="1" x14ac:dyDescent="0.3">
      <c r="A37" s="125" t="s">
        <v>215</v>
      </c>
      <c r="B37" s="125"/>
      <c r="C37" s="199" t="s">
        <v>253</v>
      </c>
      <c r="D37" s="200"/>
      <c r="E37" s="200"/>
      <c r="F37" s="200"/>
      <c r="G37" s="200"/>
      <c r="H37" s="201"/>
    </row>
    <row r="38" spans="1:13" x14ac:dyDescent="0.3">
      <c r="A38" s="125" t="s">
        <v>160</v>
      </c>
      <c r="B38" s="125"/>
      <c r="C38" s="197" t="s">
        <v>254</v>
      </c>
      <c r="D38" s="157"/>
      <c r="E38" s="157"/>
      <c r="F38" s="157"/>
      <c r="G38" s="157"/>
      <c r="H38" s="157"/>
    </row>
    <row r="39" spans="1:13" x14ac:dyDescent="0.3">
      <c r="A39" s="150" t="s">
        <v>34</v>
      </c>
      <c r="B39" s="150"/>
      <c r="C39" s="150"/>
      <c r="D39" s="150"/>
      <c r="E39" s="150"/>
      <c r="F39" s="150"/>
      <c r="G39" s="150"/>
      <c r="H39" s="150"/>
    </row>
    <row r="40" spans="1:13" x14ac:dyDescent="0.3">
      <c r="A40" s="125" t="s">
        <v>35</v>
      </c>
      <c r="B40" s="125"/>
      <c r="C40" s="125"/>
      <c r="D40" s="125"/>
      <c r="E40" s="183">
        <v>3649.95</v>
      </c>
      <c r="F40" s="183"/>
      <c r="G40" s="183"/>
      <c r="H40" s="183"/>
    </row>
    <row r="41" spans="1:13" x14ac:dyDescent="0.3">
      <c r="A41" s="125" t="s">
        <v>36</v>
      </c>
      <c r="B41" s="125"/>
      <c r="C41" s="125"/>
      <c r="D41" s="125"/>
      <c r="E41" s="171">
        <f>5474.925/E40</f>
        <v>1.5000000000000002</v>
      </c>
      <c r="F41" s="171"/>
      <c r="G41" s="171"/>
      <c r="H41" s="171"/>
    </row>
    <row r="42" spans="1:13" x14ac:dyDescent="0.3">
      <c r="A42" s="125" t="s">
        <v>37</v>
      </c>
      <c r="B42" s="125"/>
      <c r="C42" s="125"/>
      <c r="D42" s="125"/>
      <c r="E42" s="171">
        <f>E44/E40-E41</f>
        <v>1.8916601597282152</v>
      </c>
      <c r="F42" s="171"/>
      <c r="G42" s="171"/>
      <c r="H42" s="171"/>
    </row>
    <row r="43" spans="1:13" x14ac:dyDescent="0.3">
      <c r="A43" s="125" t="s">
        <v>38</v>
      </c>
      <c r="B43" s="125"/>
      <c r="C43" s="125"/>
      <c r="D43" s="125"/>
      <c r="E43" s="171">
        <f>E41+E42</f>
        <v>3.3916601597282154</v>
      </c>
      <c r="F43" s="171"/>
      <c r="G43" s="171"/>
      <c r="H43" s="171"/>
    </row>
    <row r="44" spans="1:13" x14ac:dyDescent="0.3">
      <c r="A44" s="125" t="s">
        <v>92</v>
      </c>
      <c r="B44" s="125"/>
      <c r="C44" s="125"/>
      <c r="D44" s="125"/>
      <c r="E44" s="190">
        <v>12379.39</v>
      </c>
      <c r="F44" s="190"/>
      <c r="G44" s="190"/>
      <c r="H44" s="190"/>
    </row>
    <row r="45" spans="1:13" x14ac:dyDescent="0.3">
      <c r="A45" s="155" t="s">
        <v>39</v>
      </c>
      <c r="B45" s="155"/>
      <c r="C45" s="155"/>
      <c r="D45" s="155"/>
      <c r="E45" s="155" t="s">
        <v>238</v>
      </c>
      <c r="F45" s="155"/>
      <c r="G45" s="155"/>
      <c r="H45" s="155"/>
    </row>
    <row r="46" spans="1:13" x14ac:dyDescent="0.3">
      <c r="A46" s="150" t="s">
        <v>40</v>
      </c>
      <c r="B46" s="150"/>
      <c r="C46" s="150"/>
      <c r="D46" s="150"/>
      <c r="E46" s="150"/>
      <c r="F46" s="150"/>
      <c r="G46" s="150"/>
      <c r="H46" s="150"/>
    </row>
    <row r="47" spans="1:13" ht="33.75" customHeight="1" x14ac:dyDescent="0.3">
      <c r="A47" s="172" t="s">
        <v>149</v>
      </c>
      <c r="B47" s="168"/>
      <c r="C47" s="202" t="s">
        <v>179</v>
      </c>
      <c r="D47" s="203"/>
      <c r="E47" s="203"/>
      <c r="F47" s="203"/>
      <c r="G47" s="203"/>
      <c r="H47" s="204"/>
    </row>
    <row r="48" spans="1:13" ht="33.75" customHeight="1" x14ac:dyDescent="0.3">
      <c r="A48" s="172" t="s">
        <v>41</v>
      </c>
      <c r="B48" s="168"/>
      <c r="C48" s="172" t="s">
        <v>255</v>
      </c>
      <c r="D48" s="173"/>
      <c r="E48" s="168"/>
      <c r="F48" s="17" t="s">
        <v>42</v>
      </c>
      <c r="G48" s="81">
        <v>45639</v>
      </c>
      <c r="H48" s="168"/>
      <c r="I48" s="172" t="s">
        <v>180</v>
      </c>
      <c r="J48" s="173"/>
      <c r="K48" s="168"/>
      <c r="L48" s="81">
        <v>44828</v>
      </c>
      <c r="M48" s="168"/>
    </row>
    <row r="49" spans="1:24" ht="30.75" customHeight="1" x14ac:dyDescent="0.3">
      <c r="A49" s="172" t="s">
        <v>43</v>
      </c>
      <c r="B49" s="168"/>
      <c r="C49" s="172" t="str">
        <f>C48</f>
        <v>CIDCO/BP-15377/TPO(NM &amp; K)/
2016/13330</v>
      </c>
      <c r="D49" s="173"/>
      <c r="E49" s="168"/>
      <c r="F49" s="17" t="s">
        <v>42</v>
      </c>
      <c r="G49" s="81">
        <f>G48</f>
        <v>45639</v>
      </c>
      <c r="H49" s="168"/>
    </row>
    <row r="50" spans="1:24" s="20" customFormat="1" ht="30.75" customHeight="1" x14ac:dyDescent="0.3">
      <c r="A50" s="78" t="s">
        <v>271</v>
      </c>
      <c r="B50" s="80"/>
      <c r="C50" s="172" t="str">
        <f>C49</f>
        <v>CIDCO/BP-15377/TPO(NM &amp; K)/
2016/13330</v>
      </c>
      <c r="D50" s="173"/>
      <c r="E50" s="168"/>
      <c r="F50" s="17" t="s">
        <v>42</v>
      </c>
      <c r="G50" s="81">
        <f>G49</f>
        <v>45639</v>
      </c>
      <c r="H50" s="173"/>
      <c r="I50" s="206"/>
      <c r="J50" s="206"/>
      <c r="K50" s="206"/>
    </row>
    <row r="51" spans="1:24" s="20" customFormat="1" ht="35.4" customHeight="1" x14ac:dyDescent="0.3">
      <c r="A51" s="169"/>
      <c r="B51" s="170"/>
      <c r="C51" s="172" t="s">
        <v>256</v>
      </c>
      <c r="D51" s="173"/>
      <c r="E51" s="173"/>
      <c r="F51" s="173"/>
      <c r="G51" s="173"/>
      <c r="H51" s="173"/>
      <c r="I51" s="206"/>
      <c r="J51" s="206"/>
      <c r="K51" s="206"/>
    </row>
    <row r="52" spans="1:24" s="20" customFormat="1" ht="15.75" customHeight="1" x14ac:dyDescent="0.3">
      <c r="A52" s="165" t="s">
        <v>248</v>
      </c>
      <c r="B52" s="167"/>
      <c r="C52" s="78" t="s">
        <v>252</v>
      </c>
      <c r="D52" s="79"/>
      <c r="E52" s="80"/>
      <c r="F52" s="17" t="s">
        <v>42</v>
      </c>
      <c r="G52" s="81">
        <v>44928</v>
      </c>
      <c r="H52" s="82"/>
      <c r="R52"/>
      <c r="S52" s="62"/>
      <c r="T52" s="63" t="s">
        <v>249</v>
      </c>
      <c r="U52" s="62" t="s">
        <v>250</v>
      </c>
      <c r="V52" s="62"/>
      <c r="W52" s="18"/>
      <c r="X52" s="18"/>
    </row>
    <row r="53" spans="1:24" s="20" customFormat="1" ht="49.95" customHeight="1" x14ac:dyDescent="0.3">
      <c r="A53" s="217"/>
      <c r="B53" s="218"/>
      <c r="C53" s="78" t="s">
        <v>272</v>
      </c>
      <c r="D53" s="79"/>
      <c r="E53" s="80"/>
      <c r="F53" s="17" t="s">
        <v>251</v>
      </c>
      <c r="G53" s="81">
        <v>47849</v>
      </c>
      <c r="H53" s="82"/>
      <c r="I53" s="20">
        <f>55.1-6.66</f>
        <v>48.44</v>
      </c>
      <c r="R53"/>
      <c r="S53" s="62"/>
      <c r="T53" s="63"/>
      <c r="U53" s="62"/>
      <c r="V53" s="62"/>
      <c r="W53" s="18"/>
      <c r="X53" s="18"/>
    </row>
    <row r="54" spans="1:24" s="20" customFormat="1" ht="15.75" customHeight="1" x14ac:dyDescent="0.3">
      <c r="A54" s="165" t="s">
        <v>288</v>
      </c>
      <c r="B54" s="167"/>
      <c r="C54" s="78" t="s">
        <v>289</v>
      </c>
      <c r="D54" s="79"/>
      <c r="E54" s="80"/>
      <c r="F54" s="17" t="s">
        <v>42</v>
      </c>
      <c r="G54" s="81">
        <v>45455</v>
      </c>
      <c r="H54" s="82"/>
      <c r="R54"/>
      <c r="S54" s="62"/>
      <c r="T54" s="63" t="s">
        <v>249</v>
      </c>
      <c r="U54" s="62" t="s">
        <v>250</v>
      </c>
      <c r="V54" s="62"/>
      <c r="W54" s="18"/>
      <c r="X54" s="18"/>
    </row>
    <row r="55" spans="1:24" s="20" customFormat="1" x14ac:dyDescent="0.3">
      <c r="A55" s="217"/>
      <c r="B55" s="218"/>
      <c r="C55" s="172" t="s">
        <v>290</v>
      </c>
      <c r="D55" s="173"/>
      <c r="E55" s="173"/>
      <c r="F55" s="173"/>
      <c r="G55" s="173"/>
      <c r="H55" s="168"/>
      <c r="I55" s="20">
        <f>55.1-6.66</f>
        <v>48.44</v>
      </c>
      <c r="R55"/>
      <c r="S55" s="62"/>
      <c r="T55" s="63"/>
      <c r="U55" s="62"/>
      <c r="V55" s="62"/>
      <c r="W55" s="18"/>
      <c r="X55" s="18"/>
    </row>
    <row r="56" spans="1:24" x14ac:dyDescent="0.3">
      <c r="A56" s="186" t="s">
        <v>163</v>
      </c>
      <c r="B56" s="187"/>
      <c r="C56" s="177" t="s">
        <v>29</v>
      </c>
      <c r="D56" s="178"/>
      <c r="E56" s="179"/>
      <c r="F56" s="46" t="s">
        <v>42</v>
      </c>
      <c r="G56" s="184" t="s">
        <v>29</v>
      </c>
      <c r="H56" s="185"/>
    </row>
    <row r="57" spans="1:24" hidden="1" x14ac:dyDescent="0.3">
      <c r="A57" s="188"/>
      <c r="B57" s="189"/>
      <c r="C57" s="177" t="s">
        <v>164</v>
      </c>
      <c r="D57" s="178"/>
      <c r="E57" s="178"/>
      <c r="F57" s="178"/>
      <c r="G57" s="178"/>
      <c r="H57" s="179"/>
    </row>
    <row r="58" spans="1:24" x14ac:dyDescent="0.3">
      <c r="A58" s="153" t="s">
        <v>45</v>
      </c>
      <c r="B58" s="153"/>
      <c r="C58" s="153"/>
      <c r="D58" s="153"/>
      <c r="E58" s="153"/>
      <c r="F58" s="153"/>
      <c r="G58" s="153"/>
      <c r="H58" s="153"/>
    </row>
    <row r="59" spans="1:24" x14ac:dyDescent="0.3">
      <c r="A59" s="152" t="s">
        <v>91</v>
      </c>
      <c r="B59" s="152"/>
      <c r="C59" s="152"/>
      <c r="D59" s="125">
        <f>E44</f>
        <v>12379.39</v>
      </c>
      <c r="E59" s="125"/>
      <c r="F59" s="125"/>
      <c r="G59" s="125"/>
      <c r="H59" s="125"/>
    </row>
    <row r="60" spans="1:24" x14ac:dyDescent="0.3">
      <c r="A60" s="157" t="s">
        <v>46</v>
      </c>
      <c r="B60" s="155"/>
      <c r="C60" s="155"/>
      <c r="D60" s="155" t="s">
        <v>234</v>
      </c>
      <c r="E60" s="155"/>
      <c r="F60" s="155"/>
      <c r="G60" s="155"/>
      <c r="H60" s="155"/>
      <c r="I60" s="21"/>
    </row>
    <row r="61" spans="1:24" x14ac:dyDescent="0.3">
      <c r="A61" s="165" t="s">
        <v>47</v>
      </c>
      <c r="B61" s="166"/>
      <c r="C61" s="167"/>
      <c r="D61" s="163" t="s">
        <v>236</v>
      </c>
      <c r="E61" s="164"/>
      <c r="F61" s="164"/>
      <c r="G61" s="164"/>
      <c r="H61" s="164"/>
    </row>
    <row r="62" spans="1:24" ht="15.75" customHeight="1" x14ac:dyDescent="0.3">
      <c r="A62" s="165" t="s">
        <v>89</v>
      </c>
      <c r="B62" s="166"/>
      <c r="C62" s="166"/>
      <c r="D62" s="155" t="s">
        <v>237</v>
      </c>
      <c r="E62" s="155"/>
      <c r="F62" s="155"/>
      <c r="G62" s="155"/>
      <c r="H62" s="155"/>
      <c r="I62" s="18" t="s">
        <v>235</v>
      </c>
    </row>
    <row r="63" spans="1:24" ht="15.75" customHeight="1" x14ac:dyDescent="0.3">
      <c r="A63" s="125" t="s">
        <v>44</v>
      </c>
      <c r="B63" s="125"/>
      <c r="C63" s="125"/>
      <c r="D63" s="152" t="s">
        <v>208</v>
      </c>
      <c r="E63" s="152"/>
      <c r="F63" s="152"/>
      <c r="G63" s="152"/>
      <c r="H63" s="152"/>
      <c r="J63" s="22"/>
      <c r="K63" s="21"/>
      <c r="N63" s="21"/>
    </row>
    <row r="64" spans="1:24" ht="15.75" customHeight="1" x14ac:dyDescent="0.3">
      <c r="A64" s="125" t="s">
        <v>87</v>
      </c>
      <c r="B64" s="125"/>
      <c r="C64" s="125"/>
      <c r="D64" s="211" t="str">
        <f>(IF(G56="NA","60 Years After Completion",IF(G56&lt;&gt;"NA",""&amp;60-ROUNDDOWN((E3-G56)/360,0)&amp;" Years"," ")))</f>
        <v>60 Years After Completion</v>
      </c>
      <c r="E64" s="211"/>
      <c r="F64" s="211"/>
      <c r="G64" s="211"/>
      <c r="H64" s="211"/>
      <c r="N64" s="21"/>
    </row>
    <row r="65" spans="1:14" ht="15.75" customHeight="1" x14ac:dyDescent="0.3">
      <c r="A65" s="125" t="s">
        <v>88</v>
      </c>
      <c r="B65" s="125"/>
      <c r="C65" s="125"/>
      <c r="D65" s="152" t="s">
        <v>24</v>
      </c>
      <c r="E65" s="152"/>
      <c r="F65" s="152"/>
      <c r="G65" s="152"/>
      <c r="H65" s="152"/>
      <c r="J65" s="23"/>
      <c r="K65" s="23"/>
    </row>
    <row r="66" spans="1:14" ht="15" hidden="1" customHeight="1" x14ac:dyDescent="0.3">
      <c r="A66" s="125" t="s">
        <v>74</v>
      </c>
      <c r="B66" s="125"/>
      <c r="C66" s="125"/>
      <c r="D66" s="157" t="s">
        <v>146</v>
      </c>
      <c r="E66" s="152"/>
      <c r="F66" s="152"/>
      <c r="G66" s="152"/>
      <c r="H66" s="152"/>
    </row>
    <row r="67" spans="1:14" x14ac:dyDescent="0.3">
      <c r="A67" s="152" t="s">
        <v>147</v>
      </c>
      <c r="B67" s="152"/>
      <c r="C67" s="152"/>
      <c r="D67" s="152" t="s">
        <v>29</v>
      </c>
      <c r="E67" s="152"/>
      <c r="F67" s="152"/>
      <c r="G67" s="152"/>
      <c r="H67" s="152"/>
      <c r="I67" s="24"/>
      <c r="J67" s="24"/>
      <c r="K67" s="24"/>
      <c r="L67" s="24"/>
      <c r="M67" s="24"/>
      <c r="N67" s="24"/>
    </row>
    <row r="68" spans="1:14" ht="15.75" customHeight="1" x14ac:dyDescent="0.3">
      <c r="A68" s="192" t="s">
        <v>86</v>
      </c>
      <c r="B68" s="192"/>
      <c r="C68" s="192"/>
      <c r="D68" s="163" t="str">
        <f ca="1">(IF(G74&gt;95%,"Nothing",IF(G74&gt;0%,"Cement, Aggregate, Steel, etc",IF(G74=0%,"Work not yet Started"))))</f>
        <v>Cement, Aggregate, Steel, etc</v>
      </c>
      <c r="E68" s="163"/>
      <c r="F68" s="163"/>
      <c r="G68" s="163"/>
      <c r="H68" s="163"/>
      <c r="J68" s="23"/>
    </row>
    <row r="69" spans="1:14" ht="33.75" customHeight="1" thickBot="1" x14ac:dyDescent="0.35">
      <c r="A69" s="191" t="s">
        <v>115</v>
      </c>
      <c r="B69" s="191"/>
      <c r="C69" s="191"/>
      <c r="D69" s="163" t="str">
        <f ca="1">(IF(D68="Nothing","Yes",IF(D68="Cement, Aggregate, Steel, etc","Under Construction",IF(D68="Work not yet Started","Work not yet Started"))))</f>
        <v>Under Construction</v>
      </c>
      <c r="E69" s="163"/>
      <c r="F69" s="163" t="str">
        <f ca="1">(IF(D68="Nothing","Yes",IF(D68="Cement, Aggregate, Steel, etc","Under Construction",IF(D68="Work not yet Started","Work not yet Started"))))</f>
        <v>Under Construction</v>
      </c>
      <c r="G69" s="163"/>
      <c r="H69" s="163"/>
    </row>
    <row r="70" spans="1:14" x14ac:dyDescent="0.3">
      <c r="A70" s="88" t="s">
        <v>284</v>
      </c>
      <c r="B70" s="89"/>
      <c r="C70" s="90" t="s">
        <v>285</v>
      </c>
      <c r="D70" s="91"/>
      <c r="E70" s="91"/>
      <c r="F70" s="91"/>
      <c r="G70" s="91"/>
      <c r="H70" s="92"/>
      <c r="I70" s="42" t="str">
        <f ca="1">IF(D83=100%,"All work Completed. Possession granted to the Building.",IF(D82=100%,"All work Completed, Waiting for OC",I71&amp;""&amp;I72&amp;""&amp;J71&amp;""&amp;J70&amp;" "&amp;J72))</f>
        <v>Excavation, Plinth, RCC Slab, Brickwork, Internal Plaster Completed, External Plaster upto 13 Floor, Flooring upto 12 Floor, Painting upto 12 Floor Completed</v>
      </c>
      <c r="J70" s="43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External Plaster upto 13 Floor, Flooring upto 12 Floor, Painting upto 12 Floor</v>
      </c>
    </row>
    <row r="71" spans="1:14" x14ac:dyDescent="0.3">
      <c r="A71" s="15" t="s">
        <v>140</v>
      </c>
      <c r="B71" s="48">
        <v>0</v>
      </c>
      <c r="C71" s="48" t="s">
        <v>72</v>
      </c>
      <c r="D71" s="48">
        <v>1</v>
      </c>
      <c r="E71" s="48" t="s">
        <v>71</v>
      </c>
      <c r="F71" s="48">
        <v>0</v>
      </c>
      <c r="G71" s="48" t="s">
        <v>80</v>
      </c>
      <c r="H71" s="16">
        <f ca="1">--TRIM(RIGHT(SUBSTITUTE(LEFT(C70,_xlfn.AGGREGATE(16,6,FIND({0,1,2,3,4,5,6,7,8,9},C70,ROW(INDIRECT("1:"&amp;LEN(C70)))),1))," ",REPT(" ",LEN(C70))),LEN(C70)))</f>
        <v>14</v>
      </c>
      <c r="I71" s="44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</v>
      </c>
      <c r="J71" s="45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ht="50.4" customHeight="1" x14ac:dyDescent="0.3">
      <c r="A72" s="93" t="s">
        <v>90</v>
      </c>
      <c r="B72" s="94"/>
      <c r="C72" s="95" t="str">
        <f ca="1">(IF($C$57=C70,"All work Completed. OC Received.",I70))</f>
        <v>Excavation, Plinth, RCC Slab, Brickwork, Internal Plaster Completed, External Plaster upto 13 Floor, Flooring upto 12 Floor, Painting upto 12 Floor Completed</v>
      </c>
      <c r="D72" s="95"/>
      <c r="E72" s="95"/>
      <c r="F72" s="95"/>
      <c r="G72" s="95"/>
      <c r="H72" s="96"/>
      <c r="I72" s="44" t="str">
        <f ca="1">IF(I71&lt;&gt;""," Completed","")</f>
        <v xml:space="preserve"> Completed</v>
      </c>
      <c r="J72" s="45" t="str">
        <f ca="1">IF(J70&lt;&gt;"","Completed","")</f>
        <v>Completed</v>
      </c>
    </row>
    <row r="73" spans="1:14" ht="15.75" customHeight="1" x14ac:dyDescent="0.3">
      <c r="A73" s="74" t="s">
        <v>48</v>
      </c>
      <c r="B73" s="75"/>
      <c r="C73" s="50" t="s">
        <v>138</v>
      </c>
      <c r="D73" s="50" t="s">
        <v>83</v>
      </c>
      <c r="E73" s="75" t="s">
        <v>85</v>
      </c>
      <c r="F73" s="75"/>
      <c r="G73" s="75" t="s">
        <v>84</v>
      </c>
      <c r="H73" s="97"/>
      <c r="I73" s="13" t="s">
        <v>139</v>
      </c>
      <c r="J73" s="25">
        <f ca="1">H71*25%</f>
        <v>3.5</v>
      </c>
    </row>
    <row r="74" spans="1:14" x14ac:dyDescent="0.3">
      <c r="A74" s="74" t="s">
        <v>127</v>
      </c>
      <c r="B74" s="75"/>
      <c r="C74" s="50">
        <f ca="1">J75</f>
        <v>14</v>
      </c>
      <c r="D74" s="51">
        <f ca="1">((100/H71)*C74)/100</f>
        <v>1</v>
      </c>
      <c r="E74" s="98">
        <f ca="1">(((C75/H71*10)+(40/(D71+F71+H71)*C76)+(7.5/(H71)*C77)+(7.5/(H71)*C78)+(10/H71*C79)+(10/H71*C80)+(5/H71*C81)+(5/H71*C82)+(5/H71*C83))/100)</f>
        <v>0.87142857142857155</v>
      </c>
      <c r="F74" s="99"/>
      <c r="G74" s="98">
        <f ca="1">((((C74/H71)*20)+((C75/H71)*25)+(30/(H71+F71+D71)*C76)+(5/H71*C77)+(5/H71*C78)+(5/H71*C79)+(5/H71*C80)+(0/H71*C81)+(0/H71*C82)+(5/H71*C83))/100)</f>
        <v>0.93928571428571428</v>
      </c>
      <c r="H74" s="104"/>
      <c r="I74" s="13" t="s">
        <v>98</v>
      </c>
      <c r="J74" s="26">
        <f ca="1">H71*50%</f>
        <v>7</v>
      </c>
    </row>
    <row r="75" spans="1:14" x14ac:dyDescent="0.3">
      <c r="A75" s="74" t="s">
        <v>49</v>
      </c>
      <c r="B75" s="75"/>
      <c r="C75" s="50">
        <f ca="1">J83</f>
        <v>14</v>
      </c>
      <c r="D75" s="51">
        <f ca="1">((100/H71)*C75)/100</f>
        <v>1</v>
      </c>
      <c r="E75" s="100"/>
      <c r="F75" s="101"/>
      <c r="G75" s="100"/>
      <c r="H75" s="105"/>
      <c r="I75" s="13" t="s">
        <v>99</v>
      </c>
      <c r="J75" s="26">
        <f ca="1">H71</f>
        <v>14</v>
      </c>
    </row>
    <row r="76" spans="1:14" ht="15.75" customHeight="1" x14ac:dyDescent="0.3">
      <c r="A76" s="74" t="s">
        <v>128</v>
      </c>
      <c r="B76" s="75"/>
      <c r="C76" s="50">
        <v>15</v>
      </c>
      <c r="D76" s="51">
        <f ca="1">((100/(D71+F71+H71))*C76)/100</f>
        <v>1</v>
      </c>
      <c r="E76" s="100"/>
      <c r="F76" s="101"/>
      <c r="G76" s="100"/>
      <c r="H76" s="105"/>
      <c r="I76" s="13" t="s">
        <v>100</v>
      </c>
      <c r="J76" s="27">
        <f ca="1">(IF(B71&gt;1,(H71/(B71+2)),H71/4))</f>
        <v>3.5</v>
      </c>
    </row>
    <row r="77" spans="1:14" ht="15.75" customHeight="1" x14ac:dyDescent="0.3">
      <c r="A77" s="74" t="s">
        <v>135</v>
      </c>
      <c r="B77" s="75" t="s">
        <v>129</v>
      </c>
      <c r="C77" s="50">
        <v>14</v>
      </c>
      <c r="D77" s="51">
        <f ca="1">((100/H71)*C77)/100</f>
        <v>1</v>
      </c>
      <c r="E77" s="100"/>
      <c r="F77" s="101"/>
      <c r="G77" s="100"/>
      <c r="H77" s="105"/>
      <c r="I77" s="13" t="s">
        <v>101</v>
      </c>
      <c r="J77" s="27">
        <f ca="1">(IF(B71&gt;1,(H71/(B71+2)+J76),H71/4+J76))</f>
        <v>7</v>
      </c>
    </row>
    <row r="78" spans="1:14" ht="15.75" customHeight="1" x14ac:dyDescent="0.3">
      <c r="A78" s="74" t="s">
        <v>136</v>
      </c>
      <c r="B78" s="75" t="s">
        <v>129</v>
      </c>
      <c r="C78" s="50">
        <v>14</v>
      </c>
      <c r="D78" s="51">
        <f ca="1">((100/H71)*C78)/100</f>
        <v>1</v>
      </c>
      <c r="E78" s="100"/>
      <c r="F78" s="101"/>
      <c r="G78" s="100"/>
      <c r="H78" s="105"/>
      <c r="I78" s="13" t="s">
        <v>144</v>
      </c>
      <c r="J78" s="27">
        <f>(IF(B71&gt;1,(H71/(B71+2)+J77),0))</f>
        <v>0</v>
      </c>
    </row>
    <row r="79" spans="1:14" ht="15" customHeight="1" x14ac:dyDescent="0.3">
      <c r="A79" s="74" t="s">
        <v>134</v>
      </c>
      <c r="B79" s="75" t="s">
        <v>131</v>
      </c>
      <c r="C79" s="50">
        <v>13</v>
      </c>
      <c r="D79" s="51">
        <f ca="1">((100/(H71))*C79)/100</f>
        <v>0.9285714285714286</v>
      </c>
      <c r="E79" s="100"/>
      <c r="F79" s="101"/>
      <c r="G79" s="100"/>
      <c r="H79" s="105"/>
      <c r="I79" s="13" t="s">
        <v>141</v>
      </c>
      <c r="J79" s="27">
        <f>(IF(B71&gt;2,(H71/(B71+2)+J78),0))</f>
        <v>0</v>
      </c>
    </row>
    <row r="80" spans="1:14" ht="15.75" customHeight="1" x14ac:dyDescent="0.3">
      <c r="A80" s="74" t="s">
        <v>130</v>
      </c>
      <c r="B80" s="75" t="s">
        <v>130</v>
      </c>
      <c r="C80" s="50">
        <v>12</v>
      </c>
      <c r="D80" s="51">
        <f ca="1">((100/H71)*C80)/100</f>
        <v>0.85714285714285721</v>
      </c>
      <c r="E80" s="100"/>
      <c r="F80" s="101"/>
      <c r="G80" s="100"/>
      <c r="H80" s="105"/>
      <c r="I80" s="13" t="s">
        <v>142</v>
      </c>
      <c r="J80" s="28">
        <f>(IF(B71&gt;3,(H71/(B71+2)+J79),0))</f>
        <v>0</v>
      </c>
    </row>
    <row r="81" spans="1:10" ht="15.75" customHeight="1" x14ac:dyDescent="0.3">
      <c r="A81" s="74" t="s">
        <v>137</v>
      </c>
      <c r="B81" s="75"/>
      <c r="C81" s="50">
        <v>12</v>
      </c>
      <c r="D81" s="51">
        <f ca="1">((100/H71)*C81)/100</f>
        <v>0.85714285714285721</v>
      </c>
      <c r="E81" s="100"/>
      <c r="F81" s="101"/>
      <c r="G81" s="100"/>
      <c r="H81" s="105"/>
      <c r="I81" s="13" t="s">
        <v>143</v>
      </c>
      <c r="J81" s="27">
        <f>(IF(B71&gt;4,(H71/(B71+2)+J80),0))</f>
        <v>0</v>
      </c>
    </row>
    <row r="82" spans="1:10" ht="15.75" customHeight="1" x14ac:dyDescent="0.3">
      <c r="A82" s="74" t="s">
        <v>132</v>
      </c>
      <c r="B82" s="75" t="s">
        <v>132</v>
      </c>
      <c r="C82" s="50">
        <v>0</v>
      </c>
      <c r="D82" s="51">
        <f ca="1">((100/(H71))*C82)/100</f>
        <v>0</v>
      </c>
      <c r="E82" s="100"/>
      <c r="F82" s="101"/>
      <c r="G82" s="100"/>
      <c r="H82" s="105"/>
      <c r="I82" s="13" t="s">
        <v>145</v>
      </c>
      <c r="J82" s="27">
        <f ca="1">(IF(B71=1,(H71/(B71+3)+J77),IF(B71=0,(H71/4+J77),IF(B71&gt;1,0))))</f>
        <v>10.5</v>
      </c>
    </row>
    <row r="83" spans="1:10" ht="16.2" thickBot="1" x14ac:dyDescent="0.35">
      <c r="A83" s="76" t="s">
        <v>133</v>
      </c>
      <c r="B83" s="77"/>
      <c r="C83" s="52">
        <v>0</v>
      </c>
      <c r="D83" s="53">
        <f ca="1">((100/(H71))*C83)/100</f>
        <v>0</v>
      </c>
      <c r="E83" s="102"/>
      <c r="F83" s="103"/>
      <c r="G83" s="102"/>
      <c r="H83" s="106"/>
      <c r="I83" s="14" t="s">
        <v>102</v>
      </c>
      <c r="J83" s="29">
        <f ca="1">(IF(B71&gt;1.5,(H71/(B71+2)+J77+MAX(0,J78-J77)+MAX(0,J79-J78)+MAX(0,J80-J79)+MAX(0,J81-J80)+MAX(0,J82-J81)),IF(B71=1,(H71/(B71+3)+J82),IF(B71=0,H71/4+J82))))</f>
        <v>14</v>
      </c>
    </row>
    <row r="84" spans="1:10" ht="15.75" customHeight="1" x14ac:dyDescent="0.3">
      <c r="A84" s="88" t="s">
        <v>269</v>
      </c>
      <c r="B84" s="89"/>
      <c r="C84" s="90" t="s">
        <v>286</v>
      </c>
      <c r="D84" s="91"/>
      <c r="E84" s="91"/>
      <c r="F84" s="91"/>
      <c r="G84" s="91"/>
      <c r="H84" s="92"/>
      <c r="I84" s="42" t="str">
        <f ca="1">IF(D97=100%,"All work Completed. Possession granted to the Building.",IF(D96=100%,"All work Completed, Waiting for OC",I85&amp;""&amp;I86&amp;""&amp;J85&amp;""&amp;J84&amp;" "&amp;J86))</f>
        <v>Excavation, Plinth, RCC Slab, Brickwork Completed, Internal Plaster upto 9 Floor, External Plaster upto 9 Floor Completed</v>
      </c>
      <c r="J84" s="43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Internal Plaster upto 9 Floor, External Plaster upto 9 Floor</v>
      </c>
    </row>
    <row r="85" spans="1:10" x14ac:dyDescent="0.3">
      <c r="A85" s="15" t="s">
        <v>140</v>
      </c>
      <c r="B85" s="48">
        <v>0</v>
      </c>
      <c r="C85" s="48" t="s">
        <v>72</v>
      </c>
      <c r="D85" s="48">
        <v>1</v>
      </c>
      <c r="E85" s="48" t="s">
        <v>71</v>
      </c>
      <c r="F85" s="48">
        <v>0</v>
      </c>
      <c r="G85" s="48" t="s">
        <v>80</v>
      </c>
      <c r="H85" s="16">
        <f ca="1">--TRIM(RIGHT(SUBSTITUTE(LEFT(C84,_xlfn.AGGREGATE(16,6,FIND({0,1,2,3,4,5,6,7,8,9},C84,ROW(INDIRECT("1:"&amp;LEN(C84)))),1))," ",REPT(" ",LEN(C84))),LEN(C84)))</f>
        <v>14</v>
      </c>
      <c r="I85" s="44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Plinth, RCC Slab, Brickwork</v>
      </c>
      <c r="J85" s="45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0" ht="31.5" customHeight="1" x14ac:dyDescent="0.3">
      <c r="A86" s="93" t="s">
        <v>90</v>
      </c>
      <c r="B86" s="94"/>
      <c r="C86" s="95" t="str">
        <f ca="1">(IF($C$57=C84,"All work Completed. OC Received.",I84))</f>
        <v>Excavation, Plinth, RCC Slab, Brickwork Completed, Internal Plaster upto 9 Floor, External Plaster upto 9 Floor Completed</v>
      </c>
      <c r="D86" s="95"/>
      <c r="E86" s="95"/>
      <c r="F86" s="95"/>
      <c r="G86" s="95"/>
      <c r="H86" s="96"/>
      <c r="I86" s="44" t="str">
        <f ca="1">IF(I85&lt;&gt;""," Completed","")</f>
        <v xml:space="preserve"> Completed</v>
      </c>
      <c r="J86" s="45" t="str">
        <f ca="1">IF(J84&lt;&gt;"","Completed","")</f>
        <v>Completed</v>
      </c>
    </row>
    <row r="87" spans="1:10" ht="15.75" customHeight="1" x14ac:dyDescent="0.3">
      <c r="A87" s="74" t="s">
        <v>48</v>
      </c>
      <c r="B87" s="75"/>
      <c r="C87" s="50" t="s">
        <v>138</v>
      </c>
      <c r="D87" s="50" t="s">
        <v>83</v>
      </c>
      <c r="E87" s="75" t="s">
        <v>85</v>
      </c>
      <c r="F87" s="75"/>
      <c r="G87" s="75" t="s">
        <v>84</v>
      </c>
      <c r="H87" s="97"/>
      <c r="I87" s="13" t="s">
        <v>139</v>
      </c>
      <c r="J87" s="25">
        <f ca="1">H85*25%</f>
        <v>3.5</v>
      </c>
    </row>
    <row r="88" spans="1:10" x14ac:dyDescent="0.3">
      <c r="A88" s="74" t="s">
        <v>127</v>
      </c>
      <c r="B88" s="75"/>
      <c r="C88" s="50">
        <f ca="1">J89</f>
        <v>14</v>
      </c>
      <c r="D88" s="51">
        <f ca="1">((100/H85)*C88)/100</f>
        <v>1</v>
      </c>
      <c r="E88" s="98">
        <f ca="1">(((C89/H85*10)+(40/(D85+F85+H85)*C90)+(7.5/(H85)*C91)+(7.5/(H85)*C92)+(10/H85*C93)+(10/H85*C94)+(5/H85*C95)+(5/H85*C96)+(5/H85*C97))/100)</f>
        <v>0.6875</v>
      </c>
      <c r="F88" s="99"/>
      <c r="G88" s="98">
        <f ca="1">((((C88/H85)*20)+((C89/H85)*25)+(30/(H85+F85+D85)*C90)+(5/H85*C91)+(5/H85*C92)+(5/H85*C93)+(5/H85*C94)+(0/H85*C95)+(0/H85*C96)+(5/H85*C97))/100)</f>
        <v>0.86428571428571421</v>
      </c>
      <c r="H88" s="104"/>
      <c r="I88" s="13" t="s">
        <v>98</v>
      </c>
      <c r="J88" s="26">
        <f ca="1">H85*50%</f>
        <v>7</v>
      </c>
    </row>
    <row r="89" spans="1:10" x14ac:dyDescent="0.3">
      <c r="A89" s="74" t="s">
        <v>49</v>
      </c>
      <c r="B89" s="75"/>
      <c r="C89" s="50">
        <f ca="1">J97</f>
        <v>14</v>
      </c>
      <c r="D89" s="51">
        <f ca="1">((100/H85)*C89)/100</f>
        <v>1</v>
      </c>
      <c r="E89" s="100"/>
      <c r="F89" s="101"/>
      <c r="G89" s="100"/>
      <c r="H89" s="105"/>
      <c r="I89" s="13" t="s">
        <v>99</v>
      </c>
      <c r="J89" s="26">
        <f ca="1">H85</f>
        <v>14</v>
      </c>
    </row>
    <row r="90" spans="1:10" ht="15.75" customHeight="1" x14ac:dyDescent="0.3">
      <c r="A90" s="74" t="s">
        <v>128</v>
      </c>
      <c r="B90" s="75"/>
      <c r="C90" s="50">
        <v>15</v>
      </c>
      <c r="D90" s="51">
        <f ca="1">((100/(D85+F85+H85))*C90)/100</f>
        <v>1</v>
      </c>
      <c r="E90" s="100"/>
      <c r="F90" s="101"/>
      <c r="G90" s="100"/>
      <c r="H90" s="105"/>
      <c r="I90" s="13" t="s">
        <v>100</v>
      </c>
      <c r="J90" s="27">
        <f ca="1">(IF(B85&gt;1,(H85/(B85+2)),H85/4))</f>
        <v>3.5</v>
      </c>
    </row>
    <row r="91" spans="1:10" ht="15.75" customHeight="1" x14ac:dyDescent="0.3">
      <c r="A91" s="74" t="s">
        <v>135</v>
      </c>
      <c r="B91" s="75" t="s">
        <v>129</v>
      </c>
      <c r="C91" s="50">
        <v>14</v>
      </c>
      <c r="D91" s="51">
        <f ca="1">((100/H85)*C91)/100</f>
        <v>1</v>
      </c>
      <c r="E91" s="100"/>
      <c r="F91" s="101"/>
      <c r="G91" s="100"/>
      <c r="H91" s="105"/>
      <c r="I91" s="13" t="s">
        <v>101</v>
      </c>
      <c r="J91" s="27">
        <f ca="1">(IF(B85&gt;1,(H85/(B85+2)+J90),H85/4+J90))</f>
        <v>7</v>
      </c>
    </row>
    <row r="92" spans="1:10" ht="15.75" customHeight="1" x14ac:dyDescent="0.3">
      <c r="A92" s="74" t="s">
        <v>136</v>
      </c>
      <c r="B92" s="75" t="s">
        <v>129</v>
      </c>
      <c r="C92" s="50">
        <v>9</v>
      </c>
      <c r="D92" s="51">
        <f ca="1">((100/H85)*C92)/100</f>
        <v>0.6428571428571429</v>
      </c>
      <c r="E92" s="100"/>
      <c r="F92" s="101"/>
      <c r="G92" s="100"/>
      <c r="H92" s="105"/>
      <c r="I92" s="13" t="s">
        <v>144</v>
      </c>
      <c r="J92" s="27">
        <f>(IF(B85&gt;1,(H85/(B85+2)+J91),0))</f>
        <v>0</v>
      </c>
    </row>
    <row r="93" spans="1:10" ht="15" customHeight="1" x14ac:dyDescent="0.3">
      <c r="A93" s="74" t="s">
        <v>134</v>
      </c>
      <c r="B93" s="75" t="s">
        <v>131</v>
      </c>
      <c r="C93" s="50">
        <v>9</v>
      </c>
      <c r="D93" s="51">
        <f ca="1">((100/(H85))*C93)/100</f>
        <v>0.6428571428571429</v>
      </c>
      <c r="E93" s="100"/>
      <c r="F93" s="101"/>
      <c r="G93" s="100"/>
      <c r="H93" s="105"/>
      <c r="I93" s="13" t="s">
        <v>141</v>
      </c>
      <c r="J93" s="27">
        <f>(IF(B85&gt;2,(H85/(B85+2)+J92),0))</f>
        <v>0</v>
      </c>
    </row>
    <row r="94" spans="1:10" ht="15.75" customHeight="1" x14ac:dyDescent="0.3">
      <c r="A94" s="74" t="s">
        <v>130</v>
      </c>
      <c r="B94" s="75" t="s">
        <v>130</v>
      </c>
      <c r="C94" s="50">
        <v>0</v>
      </c>
      <c r="D94" s="51">
        <f ca="1">((100/H85)*C94)/100</f>
        <v>0</v>
      </c>
      <c r="E94" s="100"/>
      <c r="F94" s="101"/>
      <c r="G94" s="100"/>
      <c r="H94" s="105"/>
      <c r="I94" s="13" t="s">
        <v>142</v>
      </c>
      <c r="J94" s="28">
        <f>(IF(B85&gt;3,(H85/(B85+2)+J93),0))</f>
        <v>0</v>
      </c>
    </row>
    <row r="95" spans="1:10" ht="15.75" customHeight="1" x14ac:dyDescent="0.3">
      <c r="A95" s="74" t="s">
        <v>137</v>
      </c>
      <c r="B95" s="75"/>
      <c r="C95" s="50">
        <v>0</v>
      </c>
      <c r="D95" s="51">
        <f ca="1">((100/H85)*C95)/100</f>
        <v>0</v>
      </c>
      <c r="E95" s="100"/>
      <c r="F95" s="101"/>
      <c r="G95" s="100"/>
      <c r="H95" s="105"/>
      <c r="I95" s="13" t="s">
        <v>143</v>
      </c>
      <c r="J95" s="27">
        <f>(IF(B85&gt;4,(H85/(B85+2)+J94),0))</f>
        <v>0</v>
      </c>
    </row>
    <row r="96" spans="1:10" ht="15.75" customHeight="1" x14ac:dyDescent="0.3">
      <c r="A96" s="74" t="s">
        <v>132</v>
      </c>
      <c r="B96" s="75" t="s">
        <v>132</v>
      </c>
      <c r="C96" s="50">
        <v>0</v>
      </c>
      <c r="D96" s="51">
        <f ca="1">((100/(H85))*C96)/100</f>
        <v>0</v>
      </c>
      <c r="E96" s="100"/>
      <c r="F96" s="101"/>
      <c r="G96" s="100"/>
      <c r="H96" s="105"/>
      <c r="I96" s="13" t="s">
        <v>145</v>
      </c>
      <c r="J96" s="27">
        <f ca="1">(IF(B85=1,(H85/(B85+3)+J91),IF(B85=0,(H85/4+J91),IF(B85&gt;1,0))))</f>
        <v>10.5</v>
      </c>
    </row>
    <row r="97" spans="1:13" ht="16.2" thickBot="1" x14ac:dyDescent="0.35">
      <c r="A97" s="76" t="s">
        <v>133</v>
      </c>
      <c r="B97" s="77"/>
      <c r="C97" s="52">
        <v>0</v>
      </c>
      <c r="D97" s="53">
        <f ca="1">((100/(H85))*C97)/100</f>
        <v>0</v>
      </c>
      <c r="E97" s="102"/>
      <c r="F97" s="103"/>
      <c r="G97" s="102"/>
      <c r="H97" s="106"/>
      <c r="I97" s="14" t="s">
        <v>102</v>
      </c>
      <c r="J97" s="29">
        <f ca="1">(IF(B85&gt;1.5,(H85/(B85+2)+J91+MAX(0,J92-J91)+MAX(0,J93-J92)+MAX(0,J94-J93)+MAX(0,J95-J94)+MAX(0,J96-J95)),IF(B85=1,(H85/(B85+3)+J96),IF(B85=0,H85/4+J96))))</f>
        <v>14</v>
      </c>
    </row>
    <row r="98" spans="1:13" ht="36" customHeight="1" thickBot="1" x14ac:dyDescent="0.35">
      <c r="A98" s="219" t="s">
        <v>276</v>
      </c>
      <c r="B98" s="220"/>
      <c r="C98" s="221">
        <f ca="1">AVERAGE(E74,E74,E74,E74,E88)</f>
        <v>0.83464285714285713</v>
      </c>
      <c r="D98" s="222"/>
      <c r="E98" s="226" t="s">
        <v>275</v>
      </c>
      <c r="F98" s="220"/>
      <c r="G98" s="221">
        <f ca="1">AVERAGE(G74,G74,G74,G74,G88)</f>
        <v>0.92428571428571416</v>
      </c>
      <c r="H98" s="227"/>
    </row>
    <row r="99" spans="1:13" x14ac:dyDescent="0.3">
      <c r="A99" s="198" t="s">
        <v>154</v>
      </c>
      <c r="B99" s="198"/>
      <c r="C99" s="198"/>
      <c r="D99" s="198"/>
      <c r="E99" s="198"/>
      <c r="F99" s="174" t="s">
        <v>159</v>
      </c>
      <c r="G99" s="174"/>
      <c r="H99" s="174"/>
    </row>
    <row r="100" spans="1:13" x14ac:dyDescent="0.3">
      <c r="A100" s="125" t="s">
        <v>157</v>
      </c>
      <c r="B100" s="125"/>
      <c r="C100" s="125"/>
      <c r="D100" s="125"/>
      <c r="E100" s="125"/>
      <c r="F100" s="130">
        <v>8000</v>
      </c>
      <c r="G100" s="130"/>
      <c r="H100" s="130"/>
      <c r="I100" s="71" t="s">
        <v>278</v>
      </c>
      <c r="J100" s="71" t="s">
        <v>279</v>
      </c>
      <c r="K100" s="71" t="s">
        <v>280</v>
      </c>
      <c r="L100" s="71" t="s">
        <v>281</v>
      </c>
      <c r="M100" s="72">
        <v>45791</v>
      </c>
    </row>
    <row r="101" spans="1:13" x14ac:dyDescent="0.3">
      <c r="A101" s="125" t="s">
        <v>156</v>
      </c>
      <c r="B101" s="125"/>
      <c r="C101" s="125"/>
      <c r="D101" s="125"/>
      <c r="E101" s="125"/>
      <c r="F101" s="130">
        <v>8000</v>
      </c>
      <c r="G101" s="130"/>
      <c r="H101" s="130"/>
    </row>
    <row r="102" spans="1:13" hidden="1" x14ac:dyDescent="0.3">
      <c r="A102" s="125" t="s">
        <v>158</v>
      </c>
      <c r="B102" s="125"/>
      <c r="C102" s="125"/>
      <c r="D102" s="125"/>
      <c r="E102" s="125"/>
      <c r="F102" s="130"/>
      <c r="G102" s="130"/>
      <c r="H102" s="130"/>
    </row>
    <row r="103" spans="1:13" s="30" customFormat="1" hidden="1" x14ac:dyDescent="0.25">
      <c r="A103" s="125" t="s">
        <v>155</v>
      </c>
      <c r="B103" s="125"/>
      <c r="C103" s="125"/>
      <c r="D103" s="125"/>
      <c r="E103" s="125"/>
      <c r="F103" s="130"/>
      <c r="G103" s="130"/>
      <c r="H103" s="130"/>
    </row>
    <row r="104" spans="1:13" s="30" customFormat="1" hidden="1" x14ac:dyDescent="0.25">
      <c r="A104" s="125" t="s">
        <v>95</v>
      </c>
      <c r="B104" s="125"/>
      <c r="C104" s="125"/>
      <c r="D104" s="125"/>
      <c r="E104" s="125"/>
      <c r="F104" s="130"/>
      <c r="G104" s="130"/>
      <c r="H104" s="130"/>
    </row>
    <row r="105" spans="1:13" s="30" customFormat="1" hidden="1" x14ac:dyDescent="0.25">
      <c r="A105" s="125" t="s">
        <v>96</v>
      </c>
      <c r="B105" s="125"/>
      <c r="C105" s="125"/>
      <c r="D105" s="125"/>
      <c r="E105" s="125"/>
      <c r="F105" s="130">
        <v>150000</v>
      </c>
      <c r="G105" s="130"/>
      <c r="H105" s="130"/>
    </row>
    <row r="106" spans="1:13" s="30" customFormat="1" x14ac:dyDescent="0.25">
      <c r="A106" s="125" t="s">
        <v>213</v>
      </c>
      <c r="B106" s="125"/>
      <c r="C106" s="125"/>
      <c r="D106" s="125"/>
      <c r="E106" s="125"/>
      <c r="F106" s="130">
        <v>500000</v>
      </c>
      <c r="G106" s="130"/>
      <c r="H106" s="130"/>
    </row>
    <row r="107" spans="1:13" s="30" customFormat="1" x14ac:dyDescent="0.25">
      <c r="A107" s="125" t="s">
        <v>96</v>
      </c>
      <c r="B107" s="125"/>
      <c r="C107" s="125"/>
      <c r="D107" s="125"/>
      <c r="E107" s="125"/>
      <c r="F107" s="130">
        <v>150000</v>
      </c>
      <c r="G107" s="130"/>
      <c r="H107" s="130"/>
    </row>
    <row r="108" spans="1:13" s="30" customFormat="1" x14ac:dyDescent="0.25">
      <c r="A108" s="125" t="s">
        <v>212</v>
      </c>
      <c r="B108" s="125"/>
      <c r="C108" s="125"/>
      <c r="D108" s="125"/>
      <c r="E108" s="125"/>
      <c r="F108" s="130">
        <v>400000</v>
      </c>
      <c r="G108" s="130"/>
      <c r="H108" s="130"/>
    </row>
    <row r="109" spans="1:13" s="30" customFormat="1" x14ac:dyDescent="0.25">
      <c r="A109" s="125" t="s">
        <v>214</v>
      </c>
      <c r="B109" s="125"/>
      <c r="C109" s="125"/>
      <c r="D109" s="125"/>
      <c r="E109" s="125"/>
      <c r="F109" s="130">
        <v>100000</v>
      </c>
      <c r="G109" s="130"/>
      <c r="H109" s="130"/>
    </row>
    <row r="110" spans="1:13" s="30" customFormat="1" hidden="1" x14ac:dyDescent="0.25">
      <c r="A110" s="125" t="s">
        <v>97</v>
      </c>
      <c r="B110" s="125"/>
      <c r="C110" s="125"/>
      <c r="D110" s="125"/>
      <c r="E110" s="125"/>
      <c r="F110" s="130"/>
      <c r="G110" s="130"/>
      <c r="H110" s="130"/>
    </row>
    <row r="111" spans="1:13" x14ac:dyDescent="0.3">
      <c r="A111" s="125" t="s">
        <v>50</v>
      </c>
      <c r="B111" s="125"/>
      <c r="C111" s="125"/>
      <c r="D111" s="125"/>
      <c r="E111" s="125"/>
      <c r="F111" s="130">
        <v>500000</v>
      </c>
      <c r="G111" s="130"/>
      <c r="H111" s="130"/>
    </row>
    <row r="112" spans="1:13" s="31" customFormat="1" x14ac:dyDescent="0.3">
      <c r="A112" s="150" t="s">
        <v>51</v>
      </c>
      <c r="B112" s="150"/>
      <c r="C112" s="150"/>
      <c r="D112" s="150"/>
      <c r="E112" s="150"/>
      <c r="F112" s="130">
        <f>F100*0.8</f>
        <v>6400</v>
      </c>
      <c r="G112" s="130"/>
      <c r="H112" s="130"/>
    </row>
    <row r="113" spans="1:20" s="32" customFormat="1" ht="15.75" customHeight="1" x14ac:dyDescent="0.3">
      <c r="A113" s="149" t="s">
        <v>75</v>
      </c>
      <c r="B113" s="149"/>
      <c r="C113" s="149"/>
      <c r="D113" s="149"/>
      <c r="E113" s="149"/>
      <c r="F113" s="149"/>
      <c r="G113" s="149"/>
      <c r="H113" s="149"/>
    </row>
    <row r="114" spans="1:20" s="32" customFormat="1" ht="15.75" customHeight="1" x14ac:dyDescent="0.3">
      <c r="A114" s="127" t="s">
        <v>52</v>
      </c>
      <c r="B114" s="127"/>
      <c r="C114" s="193" t="s">
        <v>78</v>
      </c>
      <c r="D114" s="193"/>
      <c r="E114" s="140" t="s">
        <v>53</v>
      </c>
      <c r="F114" s="140"/>
      <c r="G114" s="127" t="s">
        <v>54</v>
      </c>
      <c r="H114" s="127"/>
    </row>
    <row r="115" spans="1:20" s="32" customFormat="1" x14ac:dyDescent="0.3">
      <c r="A115" s="151" t="s">
        <v>207</v>
      </c>
      <c r="B115" s="151"/>
      <c r="C115" s="131">
        <f>COUNT(D129:D150)</f>
        <v>22</v>
      </c>
      <c r="D115" s="132"/>
      <c r="E115" s="131">
        <f>SUM(F129:F150)</f>
        <v>11161.783620000002</v>
      </c>
      <c r="F115" s="132"/>
      <c r="G115" s="131">
        <f>SUM(H129:H150)</f>
        <v>23663</v>
      </c>
      <c r="H115" s="132"/>
      <c r="J115" s="56">
        <f>G115+G121</f>
        <v>167880.77621029998</v>
      </c>
    </row>
    <row r="116" spans="1:20" s="32" customFormat="1" hidden="1" x14ac:dyDescent="0.3">
      <c r="A116" s="149" t="s">
        <v>148</v>
      </c>
      <c r="B116" s="149"/>
      <c r="C116" s="175">
        <f t="shared" ref="C116:G116" si="0">SUM(C115)</f>
        <v>22</v>
      </c>
      <c r="D116" s="193"/>
      <c r="E116" s="175">
        <f t="shared" si="0"/>
        <v>11161.783620000002</v>
      </c>
      <c r="F116" s="193"/>
      <c r="G116" s="175">
        <f t="shared" si="0"/>
        <v>23663</v>
      </c>
      <c r="H116" s="193"/>
      <c r="J116" s="56">
        <f>G116+G122</f>
        <v>191543.77621029998</v>
      </c>
    </row>
    <row r="117" spans="1:20" s="32" customFormat="1" x14ac:dyDescent="0.3">
      <c r="A117" s="149" t="s">
        <v>70</v>
      </c>
      <c r="B117" s="149"/>
      <c r="C117" s="149"/>
      <c r="D117" s="149"/>
      <c r="E117" s="149"/>
      <c r="F117" s="149"/>
      <c r="G117" s="149"/>
      <c r="H117" s="149"/>
      <c r="J117" s="56">
        <f>E115+E121</f>
        <v>104144.676246</v>
      </c>
    </row>
    <row r="118" spans="1:20" s="32" customFormat="1" ht="15.75" customHeight="1" x14ac:dyDescent="0.3">
      <c r="A118" s="127" t="s">
        <v>52</v>
      </c>
      <c r="B118" s="127"/>
      <c r="C118" s="193" t="s">
        <v>78</v>
      </c>
      <c r="D118" s="193"/>
      <c r="E118" s="140" t="s">
        <v>53</v>
      </c>
      <c r="F118" s="140"/>
      <c r="G118" s="127" t="s">
        <v>54</v>
      </c>
      <c r="H118" s="127"/>
    </row>
    <row r="119" spans="1:20" s="32" customFormat="1" x14ac:dyDescent="0.3">
      <c r="A119" s="151" t="s">
        <v>183</v>
      </c>
      <c r="B119" s="151"/>
      <c r="C119" s="131">
        <f>COUNT(D157:D161)+COUNT(D164:D169)+COUNT(D171:D176)*7+COUNT(D178:D183)+COUNT(D186:D191)+COUNT(D194:D199)</f>
        <v>71</v>
      </c>
      <c r="D119" s="131"/>
      <c r="E119" s="131">
        <f>SUM(F157:F161)+SUM(F164:F169)+SUM(F171:F176)*7+SUM(F178:F183)+SUM(F186:F191)+SUM(F194:F199)</f>
        <v>55342.605473999996</v>
      </c>
      <c r="F119" s="131"/>
      <c r="G119" s="131">
        <f>SUM(H157:H161)+SUM(H164:H169)+SUM(H171:H176)*7+SUM(H178:H183)+SUM(H186:H191)+SUM(H194:H199)</f>
        <v>85875.331124699995</v>
      </c>
      <c r="H119" s="131"/>
    </row>
    <row r="120" spans="1:20" s="32" customFormat="1" x14ac:dyDescent="0.3">
      <c r="A120" s="151" t="s">
        <v>186</v>
      </c>
      <c r="B120" s="151"/>
      <c r="C120" s="131">
        <f>COUNT(D203:D205)+COUNT(D208:D211)+COUNT(D213:D216)*7+COUNT(D218:D221)+COUNT(D223:D226)+COUNT(D228:D231)</f>
        <v>47</v>
      </c>
      <c r="D120" s="131"/>
      <c r="E120" s="131">
        <f>SUM(F203:F205)+SUM(F208:F211)+SUM(F213:F216)*7+SUM(F218:F221)+SUM(F223:F226)+SUM(F228:F231)</f>
        <v>37640.287152000004</v>
      </c>
      <c r="F120" s="131"/>
      <c r="G120" s="131">
        <f>SUM(H203:H205)+SUM(H208:H211)+SUM(H213:H216)*7+SUM(H218:H221)+SUM(H223:H226)+SUM(H228:H231)</f>
        <v>58342.445085599989</v>
      </c>
      <c r="H120" s="131"/>
    </row>
    <row r="121" spans="1:20" s="32" customFormat="1" x14ac:dyDescent="0.3">
      <c r="A121" s="149" t="s">
        <v>148</v>
      </c>
      <c r="B121" s="149"/>
      <c r="C121" s="175">
        <f>SUM(C119:D120)</f>
        <v>118</v>
      </c>
      <c r="D121" s="175"/>
      <c r="E121" s="176">
        <f>SUM(E119:F120)</f>
        <v>92982.892626000001</v>
      </c>
      <c r="F121" s="176"/>
      <c r="G121" s="127">
        <f>SUM(G119:H120)</f>
        <v>144217.77621029998</v>
      </c>
      <c r="H121" s="127"/>
    </row>
    <row r="122" spans="1:20" s="32" customFormat="1" x14ac:dyDescent="0.3">
      <c r="A122" s="149" t="s">
        <v>233</v>
      </c>
      <c r="B122" s="149"/>
      <c r="C122" s="175">
        <f>SUM(C116+C121)</f>
        <v>140</v>
      </c>
      <c r="D122" s="175"/>
      <c r="E122" s="176">
        <f>SUM(E116+E121)</f>
        <v>104144.676246</v>
      </c>
      <c r="F122" s="176"/>
      <c r="G122" s="127">
        <f>SUM(G116+G121)</f>
        <v>167880.77621029998</v>
      </c>
      <c r="H122" s="127"/>
    </row>
    <row r="123" spans="1:20" s="31" customFormat="1" x14ac:dyDescent="0.3">
      <c r="A123" s="174" t="s">
        <v>219</v>
      </c>
      <c r="B123" s="174"/>
      <c r="C123" s="174"/>
      <c r="D123" s="174"/>
      <c r="E123" s="174"/>
      <c r="F123" s="174"/>
      <c r="G123" s="174"/>
      <c r="H123" s="174"/>
      <c r="T123" s="32"/>
    </row>
    <row r="124" spans="1:20" x14ac:dyDescent="0.3">
      <c r="A124" s="161" t="s">
        <v>220</v>
      </c>
      <c r="B124" s="161"/>
      <c r="C124" s="161"/>
      <c r="D124" s="161"/>
      <c r="E124" s="161"/>
      <c r="F124" s="161"/>
      <c r="G124" s="161"/>
      <c r="H124" s="161"/>
      <c r="K124" s="61">
        <f>10.764</f>
        <v>10.763999999999999</v>
      </c>
      <c r="T124" s="32"/>
    </row>
    <row r="125" spans="1:20" ht="47.25" customHeight="1" x14ac:dyDescent="0.3">
      <c r="A125" s="207" t="s">
        <v>257</v>
      </c>
      <c r="B125" s="207" t="s">
        <v>221</v>
      </c>
      <c r="C125" s="207" t="s">
        <v>57</v>
      </c>
      <c r="D125" s="207" t="s">
        <v>224</v>
      </c>
      <c r="E125" s="209" t="s">
        <v>153</v>
      </c>
      <c r="F125" s="207" t="s">
        <v>58</v>
      </c>
      <c r="G125" s="209" t="s">
        <v>59</v>
      </c>
      <c r="H125" s="65" t="s">
        <v>270</v>
      </c>
      <c r="T125" s="32"/>
    </row>
    <row r="126" spans="1:20" s="41" customFormat="1" hidden="1" x14ac:dyDescent="0.3">
      <c r="A126" s="208"/>
      <c r="B126" s="208"/>
      <c r="C126" s="208"/>
      <c r="D126" s="208"/>
      <c r="E126" s="210"/>
      <c r="F126" s="208"/>
      <c r="G126" s="210"/>
      <c r="H126" s="66">
        <v>0.55000000000000004</v>
      </c>
      <c r="T126" s="32"/>
    </row>
    <row r="127" spans="1:20" s="41" customFormat="1" x14ac:dyDescent="0.3">
      <c r="A127" s="142" t="s">
        <v>225</v>
      </c>
      <c r="B127" s="143"/>
      <c r="C127" s="143"/>
      <c r="D127" s="143"/>
      <c r="E127" s="143"/>
      <c r="F127" s="143"/>
      <c r="G127" s="143"/>
      <c r="H127" s="144"/>
      <c r="J127" s="33"/>
      <c r="T127" s="32"/>
    </row>
    <row r="128" spans="1:20" s="41" customFormat="1" x14ac:dyDescent="0.3">
      <c r="A128" s="142" t="s">
        <v>258</v>
      </c>
      <c r="B128" s="143"/>
      <c r="C128" s="143"/>
      <c r="D128" s="143"/>
      <c r="E128" s="143"/>
      <c r="F128" s="143"/>
      <c r="G128" s="143"/>
      <c r="H128" s="144"/>
      <c r="J128" s="33"/>
      <c r="T128" s="32"/>
    </row>
    <row r="129" spans="1:20" s="41" customFormat="1" ht="15.75" customHeight="1" x14ac:dyDescent="0.3">
      <c r="A129" s="145">
        <v>1</v>
      </c>
      <c r="B129" s="146"/>
      <c r="C129" s="67" t="s">
        <v>182</v>
      </c>
      <c r="D129" s="68">
        <f>(61.18)*(10.764)</f>
        <v>658.54151999999999</v>
      </c>
      <c r="E129" s="67">
        <v>0</v>
      </c>
      <c r="F129" s="67">
        <f t="shared" ref="F129:F150" si="1">D129+(IF(E129&lt;201,E129,IF(E129&lt;301,E129/2,E129/3)))</f>
        <v>658.54151999999999</v>
      </c>
      <c r="G129" s="67">
        <v>0</v>
      </c>
      <c r="H129" s="67">
        <v>1338</v>
      </c>
      <c r="I129" s="57"/>
      <c r="K129" s="41">
        <f>H129/F129</f>
        <v>2.0317625531037131</v>
      </c>
      <c r="L129" s="85">
        <v>1338</v>
      </c>
      <c r="M129" s="85"/>
      <c r="N129" s="70">
        <f>L129/F129</f>
        <v>2.0317625531037131</v>
      </c>
      <c r="T129" s="32"/>
    </row>
    <row r="130" spans="1:20" s="41" customFormat="1" ht="15.75" customHeight="1" x14ac:dyDescent="0.3">
      <c r="A130" s="145">
        <v>2</v>
      </c>
      <c r="B130" s="146"/>
      <c r="C130" s="67" t="s">
        <v>182</v>
      </c>
      <c r="D130" s="68">
        <f>(42.7)*(10.764)</f>
        <v>459.62279999999998</v>
      </c>
      <c r="E130" s="67">
        <v>0</v>
      </c>
      <c r="F130" s="67">
        <f t="shared" si="1"/>
        <v>459.62279999999998</v>
      </c>
      <c r="G130" s="67">
        <v>0</v>
      </c>
      <c r="H130" s="67">
        <v>968</v>
      </c>
      <c r="I130" s="33"/>
      <c r="K130" s="41">
        <f t="shared" ref="K130:K150" si="2">H130/F130</f>
        <v>2.1060748074290485</v>
      </c>
      <c r="L130" s="85">
        <v>968</v>
      </c>
      <c r="M130" s="85"/>
      <c r="N130" s="70">
        <f t="shared" ref="N130:N133" si="3">L130/F130</f>
        <v>2.1060748074290485</v>
      </c>
      <c r="T130" s="31"/>
    </row>
    <row r="131" spans="1:20" s="41" customFormat="1" ht="15.75" customHeight="1" x14ac:dyDescent="0.3">
      <c r="A131" s="145">
        <v>3</v>
      </c>
      <c r="B131" s="146"/>
      <c r="C131" s="67" t="s">
        <v>182</v>
      </c>
      <c r="D131" s="68">
        <f>47.04*(10.764)</f>
        <v>506.33855999999997</v>
      </c>
      <c r="E131" s="67">
        <v>0</v>
      </c>
      <c r="F131" s="67">
        <f t="shared" si="1"/>
        <v>506.33855999999997</v>
      </c>
      <c r="G131" s="67">
        <v>0</v>
      </c>
      <c r="H131" s="67">
        <v>1067</v>
      </c>
      <c r="J131" s="58">
        <f>3.36*14</f>
        <v>47.04</v>
      </c>
      <c r="K131" s="41">
        <f t="shared" si="2"/>
        <v>2.107285686478233</v>
      </c>
      <c r="L131" s="85">
        <v>1067</v>
      </c>
      <c r="M131" s="85"/>
      <c r="N131" s="70">
        <f t="shared" si="3"/>
        <v>2.107285686478233</v>
      </c>
      <c r="T131" s="18"/>
    </row>
    <row r="132" spans="1:20" s="41" customFormat="1" ht="15.75" customHeight="1" x14ac:dyDescent="0.3">
      <c r="A132" s="145">
        <v>4</v>
      </c>
      <c r="B132" s="146"/>
      <c r="C132" s="67" t="s">
        <v>182</v>
      </c>
      <c r="D132" s="68">
        <f>(42.7)*(10.764)</f>
        <v>459.62279999999998</v>
      </c>
      <c r="E132" s="67">
        <v>0</v>
      </c>
      <c r="F132" s="67">
        <f t="shared" si="1"/>
        <v>459.62279999999998</v>
      </c>
      <c r="G132" s="67">
        <v>0</v>
      </c>
      <c r="H132" s="67">
        <v>968</v>
      </c>
      <c r="I132" s="33"/>
      <c r="K132" s="41">
        <f t="shared" si="2"/>
        <v>2.1060748074290485</v>
      </c>
      <c r="L132" s="85">
        <v>968</v>
      </c>
      <c r="M132" s="85"/>
      <c r="N132" s="70">
        <f t="shared" si="3"/>
        <v>2.1060748074290485</v>
      </c>
      <c r="T132" s="18"/>
    </row>
    <row r="133" spans="1:20" s="41" customFormat="1" ht="15.75" customHeight="1" x14ac:dyDescent="0.3">
      <c r="A133" s="145">
        <v>5</v>
      </c>
      <c r="B133" s="146"/>
      <c r="C133" s="67" t="s">
        <v>182</v>
      </c>
      <c r="D133" s="68">
        <f>(49.84)*(10.764)</f>
        <v>536.47775999999999</v>
      </c>
      <c r="E133" s="67">
        <v>0</v>
      </c>
      <c r="F133" s="67">
        <f t="shared" si="1"/>
        <v>536.47775999999999</v>
      </c>
      <c r="G133" s="67">
        <v>0</v>
      </c>
      <c r="H133" s="67">
        <v>1076</v>
      </c>
      <c r="I133" s="33"/>
      <c r="K133" s="41">
        <f t="shared" si="2"/>
        <v>2.00567494167885</v>
      </c>
      <c r="L133" s="85"/>
      <c r="M133" s="85"/>
      <c r="N133" s="33">
        <f t="shared" si="3"/>
        <v>0</v>
      </c>
      <c r="T133" s="32"/>
    </row>
    <row r="134" spans="1:20" s="41" customFormat="1" ht="15.75" customHeight="1" x14ac:dyDescent="0.3">
      <c r="A134" s="145">
        <v>6</v>
      </c>
      <c r="B134" s="146"/>
      <c r="C134" s="67" t="s">
        <v>182</v>
      </c>
      <c r="D134" s="68">
        <f>(49.84)*(10.764)</f>
        <v>536.47775999999999</v>
      </c>
      <c r="E134" s="67">
        <v>0</v>
      </c>
      <c r="F134" s="67">
        <f t="shared" si="1"/>
        <v>536.47775999999999</v>
      </c>
      <c r="G134" s="67">
        <v>0</v>
      </c>
      <c r="H134" s="67">
        <v>1130</v>
      </c>
      <c r="I134" s="33"/>
      <c r="K134" s="41">
        <f t="shared" si="2"/>
        <v>2.1063314907965616</v>
      </c>
      <c r="L134" s="85"/>
      <c r="M134" s="85"/>
      <c r="N134" s="33"/>
      <c r="T134" s="31"/>
    </row>
    <row r="135" spans="1:20" s="41" customFormat="1" ht="15.75" customHeight="1" x14ac:dyDescent="0.3">
      <c r="A135" s="145">
        <v>7</v>
      </c>
      <c r="B135" s="146"/>
      <c r="C135" s="67" t="s">
        <v>182</v>
      </c>
      <c r="D135" s="68">
        <f>(42.7)*(10.764)</f>
        <v>459.62279999999998</v>
      </c>
      <c r="E135" s="67">
        <v>0</v>
      </c>
      <c r="F135" s="67">
        <f t="shared" si="1"/>
        <v>459.62279999999998</v>
      </c>
      <c r="G135" s="67">
        <v>0</v>
      </c>
      <c r="H135" s="67">
        <v>1130</v>
      </c>
      <c r="I135" s="33"/>
      <c r="K135" s="41">
        <f t="shared" si="2"/>
        <v>2.4585377400772983</v>
      </c>
      <c r="L135" s="85"/>
      <c r="M135" s="85"/>
      <c r="N135" s="33"/>
      <c r="T135" s="18"/>
    </row>
    <row r="136" spans="1:20" s="41" customFormat="1" ht="15.75" customHeight="1" x14ac:dyDescent="0.3">
      <c r="A136" s="145">
        <v>8</v>
      </c>
      <c r="B136" s="146"/>
      <c r="C136" s="67" t="s">
        <v>182</v>
      </c>
      <c r="D136" s="68">
        <f>(61.46)*(10.764)</f>
        <v>661.55543999999998</v>
      </c>
      <c r="E136" s="67">
        <v>0</v>
      </c>
      <c r="F136" s="67">
        <f t="shared" si="1"/>
        <v>661.55543999999998</v>
      </c>
      <c r="G136" s="67">
        <v>0</v>
      </c>
      <c r="H136" s="67">
        <v>1394</v>
      </c>
      <c r="I136" s="33"/>
      <c r="K136" s="41">
        <f t="shared" si="2"/>
        <v>2.1071552219417922</v>
      </c>
      <c r="L136" s="85"/>
      <c r="M136" s="85"/>
      <c r="N136" s="33"/>
      <c r="T136" s="18"/>
    </row>
    <row r="137" spans="1:20" s="41" customFormat="1" ht="15.75" customHeight="1" x14ac:dyDescent="0.3">
      <c r="A137" s="145">
        <v>9</v>
      </c>
      <c r="B137" s="146"/>
      <c r="C137" s="67" t="s">
        <v>182</v>
      </c>
      <c r="D137" s="68">
        <f>(61.46)*(10.764)</f>
        <v>661.55543999999998</v>
      </c>
      <c r="E137" s="67">
        <v>0</v>
      </c>
      <c r="F137" s="67">
        <f t="shared" si="1"/>
        <v>661.55543999999998</v>
      </c>
      <c r="G137" s="67">
        <v>0</v>
      </c>
      <c r="H137" s="67">
        <v>1394</v>
      </c>
      <c r="I137" s="33"/>
      <c r="J137" s="41">
        <f>4.39*14</f>
        <v>61.459999999999994</v>
      </c>
      <c r="K137" s="41">
        <f t="shared" si="2"/>
        <v>2.1071552219417922</v>
      </c>
      <c r="L137" s="85"/>
      <c r="M137" s="85"/>
      <c r="N137" s="33"/>
      <c r="T137" s="32"/>
    </row>
    <row r="138" spans="1:20" s="41" customFormat="1" ht="15.75" customHeight="1" x14ac:dyDescent="0.3">
      <c r="A138" s="145">
        <v>10</v>
      </c>
      <c r="B138" s="146"/>
      <c r="C138" s="67" t="s">
        <v>182</v>
      </c>
      <c r="D138" s="68">
        <f>(42.7)*(10.764)</f>
        <v>459.62279999999998</v>
      </c>
      <c r="E138" s="67">
        <v>0</v>
      </c>
      <c r="F138" s="67">
        <f t="shared" si="1"/>
        <v>459.62279999999998</v>
      </c>
      <c r="G138" s="67">
        <v>0</v>
      </c>
      <c r="H138" s="67">
        <v>968</v>
      </c>
      <c r="I138" s="33"/>
      <c r="K138" s="41">
        <f t="shared" si="2"/>
        <v>2.1060748074290485</v>
      </c>
      <c r="L138" s="85"/>
      <c r="M138" s="85"/>
      <c r="N138" s="33"/>
      <c r="T138" s="31"/>
    </row>
    <row r="139" spans="1:20" s="41" customFormat="1" ht="15.75" customHeight="1" x14ac:dyDescent="0.3">
      <c r="A139" s="145">
        <v>11</v>
      </c>
      <c r="B139" s="146"/>
      <c r="C139" s="67" t="s">
        <v>182</v>
      </c>
      <c r="D139" s="68">
        <f>(47.001)*(10.764)</f>
        <v>505.91876399999995</v>
      </c>
      <c r="E139" s="67">
        <v>0</v>
      </c>
      <c r="F139" s="67">
        <f>D139+(IF(E139&lt;201,E139,IF(E139&lt;301,E139/2,E139/3)))</f>
        <v>505.91876399999995</v>
      </c>
      <c r="G139" s="67">
        <v>0</v>
      </c>
      <c r="H139" s="67">
        <v>1066</v>
      </c>
      <c r="I139" s="33"/>
      <c r="K139" s="41">
        <f t="shared" si="2"/>
        <v>2.1070576461164823</v>
      </c>
      <c r="L139" s="85"/>
      <c r="M139" s="85"/>
      <c r="N139" s="33"/>
      <c r="T139" s="18"/>
    </row>
    <row r="140" spans="1:20" s="41" customFormat="1" ht="15.75" customHeight="1" x14ac:dyDescent="0.3">
      <c r="A140" s="145">
        <v>12</v>
      </c>
      <c r="B140" s="146"/>
      <c r="C140" s="67" t="s">
        <v>182</v>
      </c>
      <c r="D140" s="68">
        <f>(97.056)*(10.764)</f>
        <v>1044.7107839999999</v>
      </c>
      <c r="E140" s="67">
        <v>0</v>
      </c>
      <c r="F140" s="67">
        <f t="shared" si="1"/>
        <v>1044.7107839999999</v>
      </c>
      <c r="G140" s="67">
        <v>0</v>
      </c>
      <c r="H140" s="67">
        <v>2220</v>
      </c>
      <c r="I140" s="33"/>
      <c r="K140" s="41">
        <f t="shared" si="2"/>
        <v>2.1249900297765092</v>
      </c>
      <c r="L140" s="85"/>
      <c r="M140" s="85"/>
      <c r="N140" s="33"/>
      <c r="T140" s="18"/>
    </row>
    <row r="141" spans="1:20" s="41" customFormat="1" ht="15.75" customHeight="1" x14ac:dyDescent="0.3">
      <c r="A141" s="145">
        <v>13</v>
      </c>
      <c r="B141" s="146"/>
      <c r="C141" s="67" t="s">
        <v>182</v>
      </c>
      <c r="D141" s="68">
        <f>(35.743)*(10.764)</f>
        <v>384.73765200000003</v>
      </c>
      <c r="E141" s="67">
        <v>0</v>
      </c>
      <c r="F141" s="67">
        <f t="shared" si="1"/>
        <v>384.73765200000003</v>
      </c>
      <c r="G141" s="67">
        <v>0</v>
      </c>
      <c r="H141" s="67">
        <v>819</v>
      </c>
      <c r="I141" s="33"/>
      <c r="K141" s="41">
        <f t="shared" si="2"/>
        <v>2.1287232890842716</v>
      </c>
      <c r="L141" s="85"/>
      <c r="M141" s="85"/>
      <c r="N141" s="33"/>
      <c r="T141" s="32"/>
    </row>
    <row r="142" spans="1:20" s="41" customFormat="1" ht="15.75" customHeight="1" x14ac:dyDescent="0.3">
      <c r="A142" s="145">
        <v>14</v>
      </c>
      <c r="B142" s="146"/>
      <c r="C142" s="67" t="s">
        <v>182</v>
      </c>
      <c r="D142" s="68">
        <f>(37.149)*(10.764)</f>
        <v>399.87183599999997</v>
      </c>
      <c r="E142" s="67">
        <v>0</v>
      </c>
      <c r="F142" s="67">
        <f t="shared" si="1"/>
        <v>399.87183599999997</v>
      </c>
      <c r="G142" s="67">
        <v>0</v>
      </c>
      <c r="H142" s="67">
        <v>849</v>
      </c>
      <c r="I142" s="33"/>
      <c r="K142" s="41">
        <f t="shared" si="2"/>
        <v>2.1231802881961412</v>
      </c>
      <c r="L142" s="85"/>
      <c r="M142" s="85"/>
      <c r="N142" s="33"/>
      <c r="T142" s="31"/>
    </row>
    <row r="143" spans="1:20" s="41" customFormat="1" ht="15.75" customHeight="1" x14ac:dyDescent="0.3">
      <c r="A143" s="83">
        <v>15</v>
      </c>
      <c r="B143" s="84"/>
      <c r="C143" s="38" t="s">
        <v>182</v>
      </c>
      <c r="D143" s="61">
        <f>(43.361)*(10.764)</f>
        <v>466.73780399999993</v>
      </c>
      <c r="E143" s="38">
        <v>0</v>
      </c>
      <c r="F143" s="38">
        <f t="shared" si="1"/>
        <v>466.73780399999993</v>
      </c>
      <c r="G143" s="38">
        <v>0</v>
      </c>
      <c r="H143" s="67">
        <v>991</v>
      </c>
      <c r="I143" s="33"/>
      <c r="K143" s="41">
        <f t="shared" si="2"/>
        <v>2.1232477667482881</v>
      </c>
      <c r="L143" s="85"/>
      <c r="M143" s="85"/>
      <c r="N143" s="33"/>
      <c r="T143" s="18"/>
    </row>
    <row r="144" spans="1:20" s="41" customFormat="1" ht="15.75" customHeight="1" x14ac:dyDescent="0.3">
      <c r="A144" s="83">
        <v>16</v>
      </c>
      <c r="B144" s="84"/>
      <c r="C144" s="38" t="s">
        <v>182</v>
      </c>
      <c r="D144" s="61">
        <f>(43.361)*(10.764)</f>
        <v>466.73780399999993</v>
      </c>
      <c r="E144" s="38">
        <v>0</v>
      </c>
      <c r="F144" s="38">
        <f t="shared" si="1"/>
        <v>466.73780399999993</v>
      </c>
      <c r="G144" s="38">
        <v>0</v>
      </c>
      <c r="H144" s="67">
        <v>991</v>
      </c>
      <c r="I144" s="33"/>
      <c r="K144" s="41">
        <f t="shared" si="2"/>
        <v>2.1232477667482881</v>
      </c>
      <c r="L144" s="85"/>
      <c r="M144" s="85"/>
      <c r="N144" s="33"/>
      <c r="T144" s="18"/>
    </row>
    <row r="145" spans="1:20" s="41" customFormat="1" ht="15.75" customHeight="1" x14ac:dyDescent="0.3">
      <c r="A145" s="83">
        <v>17</v>
      </c>
      <c r="B145" s="84"/>
      <c r="C145" s="38" t="s">
        <v>182</v>
      </c>
      <c r="D145" s="61">
        <f>(43.361)*(10.764)</f>
        <v>466.73780399999993</v>
      </c>
      <c r="E145" s="38">
        <v>0</v>
      </c>
      <c r="F145" s="38">
        <f t="shared" si="1"/>
        <v>466.73780399999993</v>
      </c>
      <c r="G145" s="38">
        <v>0</v>
      </c>
      <c r="H145" s="67">
        <v>991</v>
      </c>
      <c r="I145" s="33"/>
      <c r="K145" s="41">
        <f t="shared" si="2"/>
        <v>2.1232477667482881</v>
      </c>
      <c r="L145" s="85"/>
      <c r="M145" s="85"/>
      <c r="N145" s="33"/>
      <c r="T145" s="32"/>
    </row>
    <row r="146" spans="1:20" s="41" customFormat="1" ht="15.75" customHeight="1" x14ac:dyDescent="0.3">
      <c r="A146" s="83">
        <v>18</v>
      </c>
      <c r="B146" s="84"/>
      <c r="C146" s="38" t="s">
        <v>182</v>
      </c>
      <c r="D146" s="61">
        <f>(43.361)*(10.764)</f>
        <v>466.73780399999993</v>
      </c>
      <c r="E146" s="38">
        <v>0</v>
      </c>
      <c r="F146" s="38">
        <f t="shared" si="1"/>
        <v>466.73780399999993</v>
      </c>
      <c r="G146" s="38">
        <v>0</v>
      </c>
      <c r="H146" s="67">
        <v>991</v>
      </c>
      <c r="I146" s="33"/>
      <c r="K146" s="41">
        <f t="shared" si="2"/>
        <v>2.1232477667482881</v>
      </c>
      <c r="L146" s="85"/>
      <c r="M146" s="85"/>
      <c r="N146" s="33"/>
      <c r="T146" s="31"/>
    </row>
    <row r="147" spans="1:20" s="41" customFormat="1" ht="15.75" customHeight="1" x14ac:dyDescent="0.3">
      <c r="A147" s="83">
        <v>19</v>
      </c>
      <c r="B147" s="84"/>
      <c r="C147" s="38" t="s">
        <v>182</v>
      </c>
      <c r="D147" s="61">
        <f>(37.149)*(10.764)</f>
        <v>399.87183599999997</v>
      </c>
      <c r="E147" s="38">
        <v>0</v>
      </c>
      <c r="F147" s="38">
        <f t="shared" si="1"/>
        <v>399.87183599999997</v>
      </c>
      <c r="G147" s="38">
        <v>0</v>
      </c>
      <c r="H147" s="67">
        <v>849</v>
      </c>
      <c r="I147" s="33"/>
      <c r="K147" s="41">
        <f t="shared" si="2"/>
        <v>2.1231802881961412</v>
      </c>
      <c r="L147" s="85"/>
      <c r="M147" s="85"/>
      <c r="N147" s="33"/>
      <c r="T147" s="18"/>
    </row>
    <row r="148" spans="1:20" s="41" customFormat="1" ht="15.75" customHeight="1" x14ac:dyDescent="0.3">
      <c r="A148" s="83">
        <v>20</v>
      </c>
      <c r="B148" s="84"/>
      <c r="C148" s="38" t="s">
        <v>182</v>
      </c>
      <c r="D148" s="61">
        <f>(37.149)*(10.764)</f>
        <v>399.87183599999997</v>
      </c>
      <c r="E148" s="38">
        <v>0</v>
      </c>
      <c r="F148" s="38">
        <f t="shared" si="1"/>
        <v>399.87183599999997</v>
      </c>
      <c r="G148" s="38">
        <v>0</v>
      </c>
      <c r="H148" s="67">
        <v>849</v>
      </c>
      <c r="I148" s="33"/>
      <c r="K148" s="41">
        <f t="shared" si="2"/>
        <v>2.1231802881961412</v>
      </c>
      <c r="L148" s="85"/>
      <c r="M148" s="85"/>
      <c r="N148" s="33"/>
      <c r="T148" s="18"/>
    </row>
    <row r="149" spans="1:20" s="41" customFormat="1" ht="15.75" customHeight="1" x14ac:dyDescent="0.3">
      <c r="A149" s="83">
        <v>21</v>
      </c>
      <c r="B149" s="84"/>
      <c r="C149" s="38" t="s">
        <v>182</v>
      </c>
      <c r="D149" s="61">
        <f>(33.495)*(10.764)</f>
        <v>360.54017999999996</v>
      </c>
      <c r="E149" s="38">
        <v>0</v>
      </c>
      <c r="F149" s="38">
        <f t="shared" si="1"/>
        <v>360.54017999999996</v>
      </c>
      <c r="G149" s="38">
        <v>0</v>
      </c>
      <c r="H149" s="67">
        <v>765</v>
      </c>
      <c r="I149" s="33"/>
      <c r="K149" s="41">
        <f t="shared" si="2"/>
        <v>2.1218162147697384</v>
      </c>
      <c r="L149" s="85"/>
      <c r="M149" s="85"/>
      <c r="N149" s="33"/>
      <c r="T149" s="32"/>
    </row>
    <row r="150" spans="1:20" s="41" customFormat="1" ht="15.75" customHeight="1" x14ac:dyDescent="0.3">
      <c r="A150" s="83">
        <v>22</v>
      </c>
      <c r="B150" s="84"/>
      <c r="C150" s="38" t="s">
        <v>182</v>
      </c>
      <c r="D150" s="61">
        <f>(37.149)*(10.764)</f>
        <v>399.87183599999997</v>
      </c>
      <c r="E150" s="38">
        <v>0</v>
      </c>
      <c r="F150" s="38">
        <f t="shared" si="1"/>
        <v>399.87183599999997</v>
      </c>
      <c r="G150" s="38">
        <v>0</v>
      </c>
      <c r="H150" s="67">
        <v>849</v>
      </c>
      <c r="I150" s="33"/>
      <c r="K150" s="41">
        <f t="shared" si="2"/>
        <v>2.1231802881961412</v>
      </c>
      <c r="L150" s="85"/>
      <c r="M150" s="85"/>
      <c r="N150" s="33"/>
      <c r="T150" s="31"/>
    </row>
    <row r="151" spans="1:20" s="41" customFormat="1" x14ac:dyDescent="0.3">
      <c r="A151" s="83"/>
      <c r="B151" s="86"/>
      <c r="C151" s="86"/>
      <c r="D151" s="86"/>
      <c r="E151" s="86"/>
      <c r="F151" s="86"/>
      <c r="G151" s="86"/>
      <c r="H151" s="84"/>
      <c r="I151" s="33"/>
      <c r="N151" s="33"/>
    </row>
    <row r="152" spans="1:20" ht="47.25" customHeight="1" x14ac:dyDescent="0.3">
      <c r="A152" s="212" t="s">
        <v>260</v>
      </c>
      <c r="B152" s="207" t="s">
        <v>223</v>
      </c>
      <c r="C152" s="207" t="s">
        <v>57</v>
      </c>
      <c r="D152" s="207" t="s">
        <v>224</v>
      </c>
      <c r="E152" s="207" t="s">
        <v>228</v>
      </c>
      <c r="F152" s="207" t="s">
        <v>58</v>
      </c>
      <c r="G152" s="209" t="s">
        <v>59</v>
      </c>
      <c r="H152" s="65" t="s">
        <v>222</v>
      </c>
      <c r="I152" s="33"/>
      <c r="T152" s="41"/>
    </row>
    <row r="153" spans="1:20" s="41" customFormat="1" x14ac:dyDescent="0.3">
      <c r="A153" s="213"/>
      <c r="B153" s="208"/>
      <c r="C153" s="208"/>
      <c r="D153" s="208"/>
      <c r="E153" s="208"/>
      <c r="F153" s="208"/>
      <c r="G153" s="210"/>
      <c r="H153" s="66">
        <v>0.55000000000000004</v>
      </c>
      <c r="I153" s="33"/>
    </row>
    <row r="154" spans="1:20" s="41" customFormat="1" x14ac:dyDescent="0.3">
      <c r="A154" s="214" t="s">
        <v>226</v>
      </c>
      <c r="B154" s="215"/>
      <c r="C154" s="215"/>
      <c r="D154" s="215"/>
      <c r="E154" s="215"/>
      <c r="F154" s="215"/>
      <c r="G154" s="215"/>
      <c r="H154" s="216"/>
      <c r="J154" s="33"/>
    </row>
    <row r="155" spans="1:20" s="41" customFormat="1" x14ac:dyDescent="0.3">
      <c r="A155" s="107" t="s">
        <v>227</v>
      </c>
      <c r="B155" s="108"/>
      <c r="C155" s="108"/>
      <c r="D155" s="108"/>
      <c r="E155" s="108"/>
      <c r="F155" s="108"/>
      <c r="G155" s="108"/>
      <c r="H155" s="109"/>
      <c r="J155" s="33"/>
    </row>
    <row r="156" spans="1:20" s="41" customFormat="1" x14ac:dyDescent="0.3">
      <c r="A156" s="107" t="s">
        <v>259</v>
      </c>
      <c r="B156" s="108"/>
      <c r="C156" s="108"/>
      <c r="D156" s="108"/>
      <c r="E156" s="108"/>
      <c r="F156" s="108"/>
      <c r="G156" s="108"/>
      <c r="H156" s="109"/>
      <c r="I156" s="60">
        <v>1</v>
      </c>
      <c r="J156" s="33"/>
    </row>
    <row r="157" spans="1:20" s="41" customFormat="1" ht="15.75" customHeight="1" x14ac:dyDescent="0.3">
      <c r="A157" s="83">
        <v>1</v>
      </c>
      <c r="B157" s="84"/>
      <c r="C157" s="38" t="s">
        <v>187</v>
      </c>
      <c r="D157" s="61">
        <f>(58.072)*(10.764)</f>
        <v>625.08700799999997</v>
      </c>
      <c r="E157" s="61">
        <f>(3.05*1.5+2.14*0.75+3.05*0.75+2.75*0.75)*(10.764)</f>
        <v>113.34491999999999</v>
      </c>
      <c r="F157" s="38">
        <f>D157+E157</f>
        <v>738.43192799999997</v>
      </c>
      <c r="G157" s="38">
        <v>0</v>
      </c>
      <c r="H157" s="38">
        <f>F157*(($H$153)+1)+(IF(G157&lt;101,G157,IF(G157&lt;201,G157/2,IF(G157&lt;=301,G157/3,G157/4))))</f>
        <v>1144.5694884</v>
      </c>
      <c r="I157" s="57">
        <f>5.5*3.05+2.14*2.75+3.14*1.53+3.66*2.75+3.66*3.05+1.22*2.14+2.14*1.22+2*0.9</f>
        <v>55.713799999999992</v>
      </c>
      <c r="L157" s="85"/>
      <c r="M157" s="85"/>
      <c r="N157" s="33"/>
    </row>
    <row r="158" spans="1:20" s="41" customFormat="1" ht="15.75" customHeight="1" x14ac:dyDescent="0.3">
      <c r="A158" s="83">
        <f>A157+1</f>
        <v>2</v>
      </c>
      <c r="B158" s="84"/>
      <c r="C158" s="38" t="s">
        <v>187</v>
      </c>
      <c r="D158" s="61">
        <f>(56.578)*(10.764)</f>
        <v>609.00559199999998</v>
      </c>
      <c r="E158" s="61">
        <f>(3.05*1.5+2.91*0.75+2.75*0.75+2*0.75)*(10.764)</f>
        <v>111.08448</v>
      </c>
      <c r="F158" s="38">
        <f>D158+E158</f>
        <v>720.09007199999996</v>
      </c>
      <c r="G158" s="38">
        <v>0</v>
      </c>
      <c r="H158" s="38">
        <f t="shared" ref="H158:H161" si="4">F158*(($H$153)+1)+(IF(G158&lt;101,G158,IF(G158&lt;201,G158/2,IF(G158&lt;=301,G158/3,G158/4))))</f>
        <v>1116.1396116000001</v>
      </c>
      <c r="I158" s="33"/>
      <c r="L158" s="85"/>
      <c r="M158" s="85"/>
      <c r="N158" s="33"/>
    </row>
    <row r="159" spans="1:20" s="41" customFormat="1" ht="15.75" customHeight="1" x14ac:dyDescent="0.3">
      <c r="A159" s="83">
        <f t="shared" ref="A159:A162" si="5">A158+1</f>
        <v>3</v>
      </c>
      <c r="B159" s="84"/>
      <c r="C159" s="38" t="s">
        <v>187</v>
      </c>
      <c r="D159" s="61">
        <f>(56.581)*(10.764)</f>
        <v>609.03788399999996</v>
      </c>
      <c r="E159" s="61">
        <f>(3.05*1.5+2.91*0.75+2.75*0.75+2*0.75)*(10.764)</f>
        <v>111.08448</v>
      </c>
      <c r="F159" s="38">
        <f>D159+E159</f>
        <v>720.12236399999995</v>
      </c>
      <c r="G159" s="38">
        <v>0</v>
      </c>
      <c r="H159" s="38">
        <f t="shared" si="4"/>
        <v>1116.1896641999999</v>
      </c>
      <c r="I159" s="33"/>
      <c r="L159" s="85"/>
      <c r="M159" s="85"/>
      <c r="N159" s="33"/>
    </row>
    <row r="160" spans="1:20" s="41" customFormat="1" ht="15.75" customHeight="1" x14ac:dyDescent="0.3">
      <c r="A160" s="83">
        <f t="shared" si="5"/>
        <v>4</v>
      </c>
      <c r="B160" s="84"/>
      <c r="C160" s="38" t="s">
        <v>188</v>
      </c>
      <c r="D160" s="61">
        <f>(81.848)*(10.764)</f>
        <v>881.01187199999993</v>
      </c>
      <c r="E160" s="61">
        <f>(3.36*1.2+2.3*0.75+3.05*0.75+3.05*0.75+3.05*0.75)*(10.764)</f>
        <v>135.83629799999997</v>
      </c>
      <c r="F160" s="38">
        <f>D160+E160</f>
        <v>1016.8481699999999</v>
      </c>
      <c r="G160" s="38">
        <v>0</v>
      </c>
      <c r="H160" s="38">
        <f>F160*(($H$153)+1)+(IF(G160&lt;101,G160,IF(G160&lt;201,G160/2,IF(G160&lt;=301,G160/3,G160/4))))</f>
        <v>1576.1146634999998</v>
      </c>
      <c r="I160" s="57">
        <f>3.36*5.5+3.15*2.3+3.05*2.3+3.05*3.97+1.22*2.14+3.05*3.97+4.05*3.05+1.22*2.73+2.14*1.22+3*0.9</f>
        <v>80.561700000000002</v>
      </c>
      <c r="L160" s="85"/>
      <c r="M160" s="85"/>
      <c r="N160" s="33"/>
      <c r="T160" s="18"/>
    </row>
    <row r="161" spans="1:20" s="41" customFormat="1" ht="15.75" customHeight="1" x14ac:dyDescent="0.3">
      <c r="A161" s="83">
        <f t="shared" si="5"/>
        <v>5</v>
      </c>
      <c r="B161" s="84"/>
      <c r="C161" s="38" t="s">
        <v>187</v>
      </c>
      <c r="D161" s="61">
        <f>(56.694)*(10.764)</f>
        <v>610.25421600000004</v>
      </c>
      <c r="E161" s="61">
        <f>(3.05*0.75+2.14*0.75+2.1*0.75+3.05*0.75)*(10.764)</f>
        <v>83.47481999999998</v>
      </c>
      <c r="F161" s="38">
        <f>D161+E161</f>
        <v>693.72903600000006</v>
      </c>
      <c r="G161" s="38">
        <v>0</v>
      </c>
      <c r="H161" s="38">
        <f t="shared" si="4"/>
        <v>1075.2800058</v>
      </c>
      <c r="I161" s="33"/>
      <c r="L161" s="85"/>
      <c r="M161" s="85"/>
      <c r="N161" s="33"/>
      <c r="T161" s="18"/>
    </row>
    <row r="162" spans="1:20" s="41" customFormat="1" ht="15.75" customHeight="1" x14ac:dyDescent="0.3">
      <c r="A162" s="83">
        <f t="shared" si="5"/>
        <v>6</v>
      </c>
      <c r="B162" s="84"/>
      <c r="C162" s="83" t="s">
        <v>261</v>
      </c>
      <c r="D162" s="86"/>
      <c r="E162" s="86"/>
      <c r="F162" s="86"/>
      <c r="G162" s="86"/>
      <c r="H162" s="84"/>
      <c r="I162" s="33"/>
      <c r="L162" s="85"/>
      <c r="M162" s="85"/>
      <c r="N162" s="33"/>
      <c r="T162" s="18"/>
    </row>
    <row r="163" spans="1:20" s="41" customFormat="1" x14ac:dyDescent="0.3">
      <c r="A163" s="107" t="s">
        <v>189</v>
      </c>
      <c r="B163" s="108"/>
      <c r="C163" s="108"/>
      <c r="D163" s="108"/>
      <c r="E163" s="108"/>
      <c r="F163" s="108"/>
      <c r="G163" s="108"/>
      <c r="H163" s="109"/>
      <c r="I163" s="60">
        <v>1</v>
      </c>
      <c r="J163" s="33"/>
    </row>
    <row r="164" spans="1:20" s="41" customFormat="1" ht="15.75" customHeight="1" x14ac:dyDescent="0.3">
      <c r="A164" s="83">
        <v>1</v>
      </c>
      <c r="B164" s="84"/>
      <c r="C164" s="38" t="s">
        <v>187</v>
      </c>
      <c r="D164" s="61">
        <f>(58.072)*(10.764)</f>
        <v>625.08700799999997</v>
      </c>
      <c r="E164" s="61">
        <f>(3.05*1.5+2.14*0.75+3.05*0.75+2.75*0.75)*(10.764)</f>
        <v>113.34491999999999</v>
      </c>
      <c r="F164" s="38">
        <f t="shared" ref="F164:F169" si="6">D164+E164</f>
        <v>738.43192799999997</v>
      </c>
      <c r="G164" s="38">
        <v>0</v>
      </c>
      <c r="H164" s="38">
        <f t="shared" ref="H164:H169" si="7">F164*(($H$153)+1)+(IF(G164&lt;101,G164,IF(G164&lt;201,G164/2,IF(G164&lt;=301,G164/3,G164/4))))</f>
        <v>1144.5694884</v>
      </c>
      <c r="I164" s="57">
        <f>5.5*3.05+2.14*2.75+3.14*1.53+3.66*2.75+3.66*3.05+1.22*2.14+2.14*1.22+2*0.9</f>
        <v>55.713799999999992</v>
      </c>
      <c r="L164" s="85"/>
      <c r="M164" s="85"/>
      <c r="N164" s="33"/>
    </row>
    <row r="165" spans="1:20" s="41" customFormat="1" ht="15.75" customHeight="1" x14ac:dyDescent="0.3">
      <c r="A165" s="83">
        <v>2</v>
      </c>
      <c r="B165" s="84"/>
      <c r="C165" s="38" t="s">
        <v>187</v>
      </c>
      <c r="D165" s="61">
        <f>(56.578)*(10.764)</f>
        <v>609.00559199999998</v>
      </c>
      <c r="E165" s="61">
        <f>(3.05*1.5+2.91*0.75+2.75*0.75+2*0.75)*(10.764)</f>
        <v>111.08448</v>
      </c>
      <c r="F165" s="38">
        <f t="shared" si="6"/>
        <v>720.09007199999996</v>
      </c>
      <c r="G165" s="38">
        <v>0</v>
      </c>
      <c r="H165" s="38">
        <f t="shared" si="7"/>
        <v>1116.1396116000001</v>
      </c>
      <c r="I165" s="33"/>
      <c r="L165" s="85"/>
      <c r="M165" s="85"/>
      <c r="N165" s="33"/>
    </row>
    <row r="166" spans="1:20" s="41" customFormat="1" ht="15.75" customHeight="1" x14ac:dyDescent="0.3">
      <c r="A166" s="83">
        <v>3</v>
      </c>
      <c r="B166" s="84"/>
      <c r="C166" s="38" t="s">
        <v>187</v>
      </c>
      <c r="D166" s="61">
        <f>(56.578)*(10.764)</f>
        <v>609.00559199999998</v>
      </c>
      <c r="E166" s="61">
        <f>(3.05*1.5+2.91*0.75+2.75*0.75+2*0.75)*(10.764)</f>
        <v>111.08448</v>
      </c>
      <c r="F166" s="38">
        <f t="shared" si="6"/>
        <v>720.09007199999996</v>
      </c>
      <c r="G166" s="38">
        <v>0</v>
      </c>
      <c r="H166" s="38">
        <f t="shared" si="7"/>
        <v>1116.1396116000001</v>
      </c>
      <c r="I166" s="33"/>
      <c r="L166" s="85"/>
      <c r="M166" s="85"/>
      <c r="N166" s="33"/>
    </row>
    <row r="167" spans="1:20" s="41" customFormat="1" ht="15.75" customHeight="1" x14ac:dyDescent="0.3">
      <c r="A167" s="83">
        <v>4</v>
      </c>
      <c r="B167" s="84"/>
      <c r="C167" s="38" t="s">
        <v>188</v>
      </c>
      <c r="D167" s="61">
        <f>(81.848)*(10.764)</f>
        <v>881.01187199999993</v>
      </c>
      <c r="E167" s="61">
        <f>(3.36*1.2+2.3*0.75+3.05*0.75+3.05*0.75+3.05*0.75)*(10.764)</f>
        <v>135.83629799999997</v>
      </c>
      <c r="F167" s="38">
        <f t="shared" si="6"/>
        <v>1016.8481699999999</v>
      </c>
      <c r="G167" s="38">
        <v>0</v>
      </c>
      <c r="H167" s="38">
        <f t="shared" si="7"/>
        <v>1576.1146634999998</v>
      </c>
      <c r="I167" s="57">
        <f>3.36*5.5+3.15*2.3+3.05*2.3+3.05*3.97+1.22*2.14+3.05*3.97+4.05*3.05+1.22*2.73+2.14*1.22+3*0.9</f>
        <v>80.561700000000002</v>
      </c>
      <c r="K167" s="41">
        <v>1640</v>
      </c>
      <c r="L167" s="85">
        <f>K167/F167</f>
        <v>1.6128268195634361</v>
      </c>
      <c r="M167" s="85"/>
      <c r="N167" s="33"/>
      <c r="T167" s="18"/>
    </row>
    <row r="168" spans="1:20" s="41" customFormat="1" ht="15.75" customHeight="1" x14ac:dyDescent="0.3">
      <c r="A168" s="83">
        <v>5</v>
      </c>
      <c r="B168" s="84"/>
      <c r="C168" s="38" t="s">
        <v>187</v>
      </c>
      <c r="D168" s="61">
        <f>(56.696)*(10.764)</f>
        <v>610.27574399999992</v>
      </c>
      <c r="E168" s="61">
        <f>(3.05*0.75+2.14*0.75+2.1*0.75+3.05*0.75)*(10.764)</f>
        <v>83.47481999999998</v>
      </c>
      <c r="F168" s="38">
        <f t="shared" si="6"/>
        <v>693.75056399999994</v>
      </c>
      <c r="G168" s="38">
        <v>0</v>
      </c>
      <c r="H168" s="38">
        <f t="shared" si="7"/>
        <v>1075.3133742</v>
      </c>
      <c r="I168" s="33"/>
      <c r="L168" s="85"/>
      <c r="M168" s="85"/>
      <c r="N168" s="33"/>
      <c r="T168" s="18"/>
    </row>
    <row r="169" spans="1:20" s="41" customFormat="1" ht="15.75" customHeight="1" x14ac:dyDescent="0.3">
      <c r="A169" s="83">
        <v>6</v>
      </c>
      <c r="B169" s="84"/>
      <c r="C169" s="38" t="s">
        <v>187</v>
      </c>
      <c r="D169" s="61">
        <f>(58.882)*(10.764)</f>
        <v>633.80584799999997</v>
      </c>
      <c r="E169" s="61">
        <f>(5.5*1.31+2.14*0.75+3.66*0.75+3.91*0.75)*(10.764)</f>
        <v>155.94344999999998</v>
      </c>
      <c r="F169" s="38">
        <f t="shared" si="6"/>
        <v>789.74929799999995</v>
      </c>
      <c r="G169" s="49">
        <f>(2.2*3+0.9*2.4)*(10.764)</f>
        <v>94.292640000000006</v>
      </c>
      <c r="H169" s="38">
        <f t="shared" si="7"/>
        <v>1318.4040519</v>
      </c>
      <c r="I169" s="33"/>
      <c r="J169" s="49">
        <f>10.764</f>
        <v>10.763999999999999</v>
      </c>
      <c r="L169" s="85"/>
      <c r="M169" s="85"/>
      <c r="N169" s="33"/>
      <c r="T169" s="18"/>
    </row>
    <row r="170" spans="1:20" s="41" customFormat="1" x14ac:dyDescent="0.3">
      <c r="A170" s="107" t="s">
        <v>229</v>
      </c>
      <c r="B170" s="108"/>
      <c r="C170" s="108"/>
      <c r="D170" s="108"/>
      <c r="E170" s="108"/>
      <c r="F170" s="108"/>
      <c r="G170" s="108"/>
      <c r="H170" s="109"/>
      <c r="I170" s="60">
        <v>7</v>
      </c>
      <c r="J170" s="33"/>
    </row>
    <row r="171" spans="1:20" s="41" customFormat="1" ht="15.75" customHeight="1" x14ac:dyDescent="0.3">
      <c r="A171" s="83">
        <v>1</v>
      </c>
      <c r="B171" s="84"/>
      <c r="C171" s="38" t="s">
        <v>187</v>
      </c>
      <c r="D171" s="61">
        <f>(58.072)*(10.764)</f>
        <v>625.08700799999997</v>
      </c>
      <c r="E171" s="61">
        <f>(3.05*1.5+2.14*0.75+3.05*0.75+2.75*0.75)*(10.764)</f>
        <v>113.34491999999999</v>
      </c>
      <c r="F171" s="38">
        <f t="shared" ref="F171:F176" si="8">D171+E171</f>
        <v>738.43192799999997</v>
      </c>
      <c r="G171" s="38">
        <v>0</v>
      </c>
      <c r="H171" s="38">
        <f t="shared" ref="H171:H176" si="9">F171*(($H$153)+1)+(IF(G171&lt;101,G171,IF(G171&lt;201,G171/2,IF(G171&lt;=301,G171/3,G171/4))))</f>
        <v>1144.5694884</v>
      </c>
      <c r="I171" s="57">
        <f>5.5*3.05+2.14*2.75+3.14*1.53+3.66*2.75+3.66*3.05+1.22*2.14+2.14*1.22+2*0.9</f>
        <v>55.713799999999992</v>
      </c>
      <c r="K171" s="41">
        <v>1200</v>
      </c>
      <c r="L171" s="85">
        <f>K171/F171</f>
        <v>1.6250651610502953</v>
      </c>
      <c r="M171" s="85"/>
      <c r="N171" s="33"/>
    </row>
    <row r="172" spans="1:20" s="41" customFormat="1" ht="15.75" customHeight="1" x14ac:dyDescent="0.3">
      <c r="A172" s="83">
        <v>2</v>
      </c>
      <c r="B172" s="84"/>
      <c r="C172" s="38" t="s">
        <v>187</v>
      </c>
      <c r="D172" s="61">
        <f>(56.578)*(10.764)</f>
        <v>609.00559199999998</v>
      </c>
      <c r="E172" s="61">
        <f>(3.05*1.5+2.91*0.75+2.75*0.75+2*0.75)*(10.764)</f>
        <v>111.08448</v>
      </c>
      <c r="F172" s="38">
        <f t="shared" si="8"/>
        <v>720.09007199999996</v>
      </c>
      <c r="G172" s="38">
        <v>0</v>
      </c>
      <c r="H172" s="38">
        <f t="shared" si="9"/>
        <v>1116.1396116000001</v>
      </c>
      <c r="I172" s="33"/>
      <c r="K172" s="41">
        <v>1160</v>
      </c>
      <c r="L172" s="85">
        <f t="shared" ref="L172:L173" si="10">K172/F172</f>
        <v>1.6109095863218623</v>
      </c>
      <c r="M172" s="85"/>
      <c r="N172" s="33"/>
    </row>
    <row r="173" spans="1:20" s="41" customFormat="1" ht="15.75" customHeight="1" x14ac:dyDescent="0.3">
      <c r="A173" s="83">
        <v>3</v>
      </c>
      <c r="B173" s="84"/>
      <c r="C173" s="38" t="s">
        <v>187</v>
      </c>
      <c r="D173" s="61">
        <f>(56.578)*(10.764)</f>
        <v>609.00559199999998</v>
      </c>
      <c r="E173" s="61">
        <f>(3.05*1.5+2.91*0.75+2.75*0.75+2*0.75)*(10.764)</f>
        <v>111.08448</v>
      </c>
      <c r="F173" s="38">
        <f t="shared" si="8"/>
        <v>720.09007199999996</v>
      </c>
      <c r="G173" s="38">
        <v>0</v>
      </c>
      <c r="H173" s="38">
        <f t="shared" si="9"/>
        <v>1116.1396116000001</v>
      </c>
      <c r="I173" s="33"/>
      <c r="K173" s="41">
        <v>1160</v>
      </c>
      <c r="L173" s="85">
        <f t="shared" si="10"/>
        <v>1.6109095863218623</v>
      </c>
      <c r="M173" s="85"/>
      <c r="N173" s="33"/>
    </row>
    <row r="174" spans="1:20" s="41" customFormat="1" ht="15.75" customHeight="1" x14ac:dyDescent="0.3">
      <c r="A174" s="83">
        <v>4</v>
      </c>
      <c r="B174" s="84"/>
      <c r="C174" s="38" t="s">
        <v>188</v>
      </c>
      <c r="D174" s="61">
        <f>(81.848)*(10.764)</f>
        <v>881.01187199999993</v>
      </c>
      <c r="E174" s="61">
        <f>(3.36*1.2+2.3*0.75+3.05*0.75+3.05*0.75+3.05*0.75)*(10.764)</f>
        <v>135.83629799999997</v>
      </c>
      <c r="F174" s="38">
        <f t="shared" si="8"/>
        <v>1016.8481699999999</v>
      </c>
      <c r="G174" s="38">
        <v>0</v>
      </c>
      <c r="H174" s="38">
        <f t="shared" si="9"/>
        <v>1576.1146634999998</v>
      </c>
      <c r="I174" s="57">
        <f>3.36*5.5+3.15*2.3+3.05*2.3+3.05*3.97+1.22*2.14+3.05*3.97+4.05*3.05+1.22*2.73+2.14*1.22+3*0.9</f>
        <v>80.561700000000002</v>
      </c>
      <c r="K174" s="41">
        <v>1640</v>
      </c>
      <c r="L174" s="85">
        <f t="shared" ref="L174:L175" si="11">K174/F174</f>
        <v>1.6128268195634361</v>
      </c>
      <c r="M174" s="85"/>
      <c r="N174" s="33"/>
      <c r="T174" s="18"/>
    </row>
    <row r="175" spans="1:20" s="41" customFormat="1" ht="15.75" customHeight="1" x14ac:dyDescent="0.3">
      <c r="A175" s="83">
        <v>5</v>
      </c>
      <c r="B175" s="84"/>
      <c r="C175" s="38" t="s">
        <v>187</v>
      </c>
      <c r="D175" s="61">
        <f>(56.696)*(10.764)</f>
        <v>610.27574399999992</v>
      </c>
      <c r="E175" s="61">
        <f>(3.05*0.75+2.14*0.75+2.1*0.75+3.05*0.75)*(10.764)</f>
        <v>83.47481999999998</v>
      </c>
      <c r="F175" s="38">
        <f t="shared" si="8"/>
        <v>693.75056399999994</v>
      </c>
      <c r="G175" s="38">
        <v>0</v>
      </c>
      <c r="H175" s="38">
        <f t="shared" si="9"/>
        <v>1075.3133742</v>
      </c>
      <c r="I175" s="33"/>
      <c r="K175" s="41">
        <v>1195</v>
      </c>
      <c r="L175" s="85">
        <f t="shared" si="11"/>
        <v>1.722521122159405</v>
      </c>
      <c r="M175" s="85"/>
      <c r="N175" s="33"/>
      <c r="T175" s="18"/>
    </row>
    <row r="176" spans="1:20" s="41" customFormat="1" ht="15.75" customHeight="1" x14ac:dyDescent="0.3">
      <c r="A176" s="83">
        <v>6</v>
      </c>
      <c r="B176" s="84"/>
      <c r="C176" s="38" t="s">
        <v>187</v>
      </c>
      <c r="D176" s="61">
        <f>(58.882)*(10.764)</f>
        <v>633.80584799999997</v>
      </c>
      <c r="E176" s="61">
        <f>(5.5*1.31+2.14*0.75+3.66*0.75+3.91*0.75)*(10.764)</f>
        <v>155.94344999999998</v>
      </c>
      <c r="F176" s="38">
        <f t="shared" si="8"/>
        <v>789.74929799999995</v>
      </c>
      <c r="G176" s="38">
        <v>0</v>
      </c>
      <c r="H176" s="38">
        <f t="shared" si="9"/>
        <v>1224.1114118999999</v>
      </c>
      <c r="I176" s="33"/>
      <c r="L176" s="85"/>
      <c r="M176" s="85"/>
      <c r="N176" s="33"/>
      <c r="T176" s="18"/>
    </row>
    <row r="177" spans="1:20" s="41" customFormat="1" x14ac:dyDescent="0.3">
      <c r="A177" s="107" t="s">
        <v>263</v>
      </c>
      <c r="B177" s="108"/>
      <c r="C177" s="108"/>
      <c r="D177" s="108"/>
      <c r="E177" s="108"/>
      <c r="F177" s="108"/>
      <c r="G177" s="108"/>
      <c r="H177" s="109"/>
      <c r="I177" s="60">
        <v>7</v>
      </c>
      <c r="J177" s="33"/>
    </row>
    <row r="178" spans="1:20" s="41" customFormat="1" ht="15.75" customHeight="1" x14ac:dyDescent="0.3">
      <c r="A178" s="83">
        <v>1</v>
      </c>
      <c r="B178" s="84"/>
      <c r="C178" s="38" t="s">
        <v>187</v>
      </c>
      <c r="D178" s="61">
        <f>(58.072)*(10.764)</f>
        <v>625.08700799999997</v>
      </c>
      <c r="E178" s="61">
        <f>(3.05*1.5+1.2*0.75+3.05*0.75+2.75*0.75)*(10.764)</f>
        <v>105.75629999999998</v>
      </c>
      <c r="F178" s="38">
        <f t="shared" ref="F178:F183" si="12">D178+E178</f>
        <v>730.84330799999998</v>
      </c>
      <c r="G178" s="38">
        <v>0</v>
      </c>
      <c r="H178" s="38">
        <f t="shared" ref="H178:H183" si="13">F178*(($H$153)+1)+(IF(G178&lt;101,G178,IF(G178&lt;201,G178/2,IF(G178&lt;=301,G178/3,G178/4))))</f>
        <v>1132.8071273999999</v>
      </c>
      <c r="I178" s="57">
        <f>5.5*3.05+2.14*2.75+3.14*1.53+3.66*2.75+3.66*3.05+1.22*2.14+2.14*1.22+2*0.9</f>
        <v>55.713799999999992</v>
      </c>
      <c r="L178" s="85"/>
      <c r="M178" s="85"/>
      <c r="N178" s="33"/>
    </row>
    <row r="179" spans="1:20" s="41" customFormat="1" ht="15.75" customHeight="1" x14ac:dyDescent="0.3">
      <c r="A179" s="83">
        <v>2</v>
      </c>
      <c r="B179" s="84"/>
      <c r="C179" s="38" t="s">
        <v>187</v>
      </c>
      <c r="D179" s="61">
        <f>(56.578)*(10.764)</f>
        <v>609.00559199999998</v>
      </c>
      <c r="E179" s="61">
        <f>(3.05*1.5+2.91*0.75+2.75*0.75+2*0.75)*(10.764)</f>
        <v>111.08448</v>
      </c>
      <c r="F179" s="38">
        <f t="shared" si="12"/>
        <v>720.09007199999996</v>
      </c>
      <c r="G179" s="38">
        <v>0</v>
      </c>
      <c r="H179" s="38">
        <f t="shared" si="13"/>
        <v>1116.1396116000001</v>
      </c>
      <c r="I179" s="33"/>
      <c r="L179" s="85"/>
      <c r="M179" s="85"/>
      <c r="N179" s="33"/>
    </row>
    <row r="180" spans="1:20" s="41" customFormat="1" ht="15.75" customHeight="1" x14ac:dyDescent="0.3">
      <c r="A180" s="83">
        <v>3</v>
      </c>
      <c r="B180" s="84"/>
      <c r="C180" s="38" t="s">
        <v>187</v>
      </c>
      <c r="D180" s="61">
        <f>(56.578)*(10.764)</f>
        <v>609.00559199999998</v>
      </c>
      <c r="E180" s="61">
        <f>(3.05*1.5+2.91*0.75+2.75*0.75+2*0.75)*(10.764)</f>
        <v>111.08448</v>
      </c>
      <c r="F180" s="38">
        <f t="shared" si="12"/>
        <v>720.09007199999996</v>
      </c>
      <c r="G180" s="38">
        <v>0</v>
      </c>
      <c r="H180" s="38">
        <f t="shared" si="13"/>
        <v>1116.1396116000001</v>
      </c>
      <c r="I180" s="33"/>
      <c r="L180" s="85"/>
      <c r="M180" s="85"/>
      <c r="N180" s="33"/>
    </row>
    <row r="181" spans="1:20" s="41" customFormat="1" ht="15.75" customHeight="1" x14ac:dyDescent="0.3">
      <c r="A181" s="83">
        <v>4</v>
      </c>
      <c r="B181" s="84"/>
      <c r="C181" s="38" t="s">
        <v>188</v>
      </c>
      <c r="D181" s="61">
        <f>(81.848)*(10.764)</f>
        <v>881.01187199999993</v>
      </c>
      <c r="E181" s="61">
        <f>(3.36*1.2+2.3*0.75+3.05*0.75+3.05*0.75+3.05*0.75)*(10.764)</f>
        <v>135.83629799999997</v>
      </c>
      <c r="F181" s="38">
        <f t="shared" si="12"/>
        <v>1016.8481699999999</v>
      </c>
      <c r="G181" s="38">
        <v>0</v>
      </c>
      <c r="H181" s="38">
        <f t="shared" si="13"/>
        <v>1576.1146634999998</v>
      </c>
      <c r="I181" s="57">
        <f>3.36*5.5+3.15*2.3+3.05*2.3+3.05*3.97+1.22*2.14+3.05*3.97+4.05*3.05+1.22*2.73+2.14*1.22+3*0.9</f>
        <v>80.561700000000002</v>
      </c>
      <c r="L181" s="85"/>
      <c r="M181" s="85"/>
      <c r="N181" s="33"/>
      <c r="T181" s="18"/>
    </row>
    <row r="182" spans="1:20" s="41" customFormat="1" ht="15.75" customHeight="1" x14ac:dyDescent="0.3">
      <c r="A182" s="83">
        <v>5</v>
      </c>
      <c r="B182" s="84"/>
      <c r="C182" s="38" t="s">
        <v>187</v>
      </c>
      <c r="D182" s="61">
        <f>(56.696)*(10.764)</f>
        <v>610.27574399999992</v>
      </c>
      <c r="E182" s="61">
        <f>(3.05*0.75+2.14*0.75+2.1*0.75+3.05*0.75)*(10.764)</f>
        <v>83.47481999999998</v>
      </c>
      <c r="F182" s="38">
        <f t="shared" si="12"/>
        <v>693.75056399999994</v>
      </c>
      <c r="G182" s="38">
        <v>0</v>
      </c>
      <c r="H182" s="38">
        <f t="shared" si="13"/>
        <v>1075.3133742</v>
      </c>
      <c r="I182" s="33"/>
      <c r="L182" s="85"/>
      <c r="M182" s="85"/>
      <c r="N182" s="33"/>
      <c r="T182" s="18"/>
    </row>
    <row r="183" spans="1:20" s="41" customFormat="1" ht="15.75" customHeight="1" x14ac:dyDescent="0.3">
      <c r="A183" s="83">
        <v>6</v>
      </c>
      <c r="B183" s="84"/>
      <c r="C183" s="38" t="s">
        <v>187</v>
      </c>
      <c r="D183" s="61">
        <f>(58.882)*(10.764)</f>
        <v>633.80584799999997</v>
      </c>
      <c r="E183" s="61">
        <f>(5.5*1.31+2.14*0.75+3.66*0.75+3.91*0.75)*(10.764)</f>
        <v>155.94344999999998</v>
      </c>
      <c r="F183" s="38">
        <f t="shared" si="12"/>
        <v>789.74929799999995</v>
      </c>
      <c r="G183" s="38">
        <v>0</v>
      </c>
      <c r="H183" s="38">
        <f t="shared" si="13"/>
        <v>1224.1114118999999</v>
      </c>
      <c r="I183" s="33"/>
      <c r="L183" s="85"/>
      <c r="M183" s="85"/>
      <c r="N183" s="33"/>
      <c r="T183" s="18"/>
    </row>
    <row r="184" spans="1:20" s="41" customFormat="1" ht="15.75" customHeight="1" x14ac:dyDescent="0.3">
      <c r="A184" s="83" t="s">
        <v>230</v>
      </c>
      <c r="B184" s="84"/>
      <c r="C184" s="83" t="s">
        <v>262</v>
      </c>
      <c r="D184" s="86"/>
      <c r="E184" s="86"/>
      <c r="F184" s="86"/>
      <c r="G184" s="86"/>
      <c r="H184" s="84"/>
      <c r="I184" s="33"/>
      <c r="L184" s="85"/>
      <c r="M184" s="85"/>
      <c r="N184" s="33"/>
      <c r="T184" s="18"/>
    </row>
    <row r="185" spans="1:20" s="41" customFormat="1" x14ac:dyDescent="0.3">
      <c r="A185" s="107" t="s">
        <v>264</v>
      </c>
      <c r="B185" s="108"/>
      <c r="C185" s="108"/>
      <c r="D185" s="108"/>
      <c r="E185" s="108"/>
      <c r="F185" s="108"/>
      <c r="G185" s="108"/>
      <c r="H185" s="109"/>
      <c r="I185" s="60">
        <v>7</v>
      </c>
      <c r="J185" s="33"/>
    </row>
    <row r="186" spans="1:20" s="41" customFormat="1" ht="15.75" customHeight="1" x14ac:dyDescent="0.3">
      <c r="A186" s="83">
        <v>1</v>
      </c>
      <c r="B186" s="84"/>
      <c r="C186" s="38" t="s">
        <v>187</v>
      </c>
      <c r="D186" s="61">
        <f>(58.072)*(10.764)</f>
        <v>625.08700799999997</v>
      </c>
      <c r="E186" s="61">
        <f>(3.05*1.5+1.2*0.75+3.05*0.75+2.75*0.75)*(10.764)</f>
        <v>105.75629999999998</v>
      </c>
      <c r="F186" s="38">
        <f t="shared" ref="F186:F191" si="14">D186+E186</f>
        <v>730.84330799999998</v>
      </c>
      <c r="G186" s="38">
        <v>0</v>
      </c>
      <c r="H186" s="38">
        <f t="shared" ref="H186:H191" si="15">F186*(($H$153)+1)+(IF(G186&lt;101,G186,IF(G186&lt;201,G186/2,IF(G186&lt;=301,G186/3,G186/4))))</f>
        <v>1132.8071273999999</v>
      </c>
      <c r="I186" s="57">
        <f>5.5*3.05+2.14*2.75+3.14*1.53+3.66*2.75+3.66*3.05+1.22*2.14+2.14*1.22+2*0.9</f>
        <v>55.713799999999992</v>
      </c>
      <c r="L186" s="85"/>
      <c r="M186" s="85"/>
      <c r="N186" s="33"/>
    </row>
    <row r="187" spans="1:20" s="41" customFormat="1" ht="15.75" customHeight="1" x14ac:dyDescent="0.3">
      <c r="A187" s="83">
        <v>2</v>
      </c>
      <c r="B187" s="84"/>
      <c r="C187" s="38" t="s">
        <v>187</v>
      </c>
      <c r="D187" s="61">
        <f>(56.578)*(10.764)</f>
        <v>609.00559199999998</v>
      </c>
      <c r="E187" s="61">
        <f>(3.05*1.5+2.91*0.75+2.75*0.75+2*0.75)*(10.764)</f>
        <v>111.08448</v>
      </c>
      <c r="F187" s="38">
        <f t="shared" si="14"/>
        <v>720.09007199999996</v>
      </c>
      <c r="G187" s="38">
        <v>0</v>
      </c>
      <c r="H187" s="38">
        <f t="shared" si="15"/>
        <v>1116.1396116000001</v>
      </c>
      <c r="I187" s="33"/>
      <c r="L187" s="85"/>
      <c r="M187" s="85"/>
      <c r="N187" s="33"/>
    </row>
    <row r="188" spans="1:20" s="41" customFormat="1" ht="15.75" customHeight="1" x14ac:dyDescent="0.3">
      <c r="A188" s="83">
        <v>3</v>
      </c>
      <c r="B188" s="84"/>
      <c r="C188" s="38" t="s">
        <v>187</v>
      </c>
      <c r="D188" s="61">
        <f>(56.578)*(10.764)</f>
        <v>609.00559199999998</v>
      </c>
      <c r="E188" s="61">
        <f>(3.05*1.5+2.91*0.75+2.75*0.75+2*0.75)*(10.764)</f>
        <v>111.08448</v>
      </c>
      <c r="F188" s="38">
        <f t="shared" si="14"/>
        <v>720.09007199999996</v>
      </c>
      <c r="G188" s="38">
        <v>0</v>
      </c>
      <c r="H188" s="38">
        <f t="shared" si="15"/>
        <v>1116.1396116000001</v>
      </c>
      <c r="I188" s="33"/>
      <c r="L188" s="85"/>
      <c r="M188" s="85"/>
      <c r="N188" s="33"/>
    </row>
    <row r="189" spans="1:20" s="41" customFormat="1" ht="15.75" customHeight="1" x14ac:dyDescent="0.3">
      <c r="A189" s="83">
        <v>4</v>
      </c>
      <c r="B189" s="84"/>
      <c r="C189" s="38" t="s">
        <v>188</v>
      </c>
      <c r="D189" s="61">
        <f>(81.848)*(10.764)</f>
        <v>881.01187199999993</v>
      </c>
      <c r="E189" s="61">
        <f>(3.36*1.2+2.3*0.75+3.05*0.75+3.05*0.75+3.05*0.75)*(10.764)</f>
        <v>135.83629799999997</v>
      </c>
      <c r="F189" s="38">
        <f t="shared" si="14"/>
        <v>1016.8481699999999</v>
      </c>
      <c r="G189" s="38">
        <v>0</v>
      </c>
      <c r="H189" s="38">
        <f t="shared" si="15"/>
        <v>1576.1146634999998</v>
      </c>
      <c r="I189" s="57">
        <f>3.36*5.5+3.15*2.3+3.05*2.3+3.05*3.97+1.22*2.14+3.05*3.97+4.05*3.05+1.22*2.73+2.14*1.22+3*0.9</f>
        <v>80.561700000000002</v>
      </c>
      <c r="L189" s="85"/>
      <c r="M189" s="85"/>
      <c r="N189" s="33"/>
      <c r="T189" s="18"/>
    </row>
    <row r="190" spans="1:20" s="41" customFormat="1" ht="15.75" customHeight="1" x14ac:dyDescent="0.3">
      <c r="A190" s="83">
        <v>5</v>
      </c>
      <c r="B190" s="84"/>
      <c r="C190" s="38" t="s">
        <v>187</v>
      </c>
      <c r="D190" s="61">
        <f>(56.696)*(10.764)</f>
        <v>610.27574399999992</v>
      </c>
      <c r="E190" s="61">
        <f>(3.05*0.75+2.14*0.75+2.1*0.75+3.05*0.75)*(10.764)</f>
        <v>83.47481999999998</v>
      </c>
      <c r="F190" s="38">
        <f t="shared" si="14"/>
        <v>693.75056399999994</v>
      </c>
      <c r="G190" s="38">
        <v>0</v>
      </c>
      <c r="H190" s="38">
        <f t="shared" si="15"/>
        <v>1075.3133742</v>
      </c>
      <c r="I190" s="33"/>
      <c r="L190" s="85"/>
      <c r="M190" s="85"/>
      <c r="N190" s="33"/>
      <c r="T190" s="18"/>
    </row>
    <row r="191" spans="1:20" s="41" customFormat="1" ht="15.75" customHeight="1" x14ac:dyDescent="0.3">
      <c r="A191" s="83">
        <v>6</v>
      </c>
      <c r="B191" s="84"/>
      <c r="C191" s="38" t="s">
        <v>187</v>
      </c>
      <c r="D191" s="61">
        <f>(58.882)*(10.764)</f>
        <v>633.80584799999997</v>
      </c>
      <c r="E191" s="61">
        <f>(5.5*1.31+2.14*0.75+3.66*0.75+3.91*0.75)*(10.764)</f>
        <v>155.94344999999998</v>
      </c>
      <c r="F191" s="38">
        <f t="shared" si="14"/>
        <v>789.74929799999995</v>
      </c>
      <c r="G191" s="38">
        <v>0</v>
      </c>
      <c r="H191" s="38">
        <f t="shared" si="15"/>
        <v>1224.1114118999999</v>
      </c>
      <c r="I191" s="33"/>
      <c r="L191" s="85"/>
      <c r="M191" s="85"/>
      <c r="N191" s="33"/>
      <c r="T191" s="18"/>
    </row>
    <row r="192" spans="1:20" s="41" customFormat="1" ht="15.75" customHeight="1" x14ac:dyDescent="0.3">
      <c r="A192" s="83" t="s">
        <v>230</v>
      </c>
      <c r="B192" s="84"/>
      <c r="C192" s="83" t="s">
        <v>262</v>
      </c>
      <c r="D192" s="86"/>
      <c r="E192" s="86"/>
      <c r="F192" s="86"/>
      <c r="G192" s="86"/>
      <c r="H192" s="84"/>
      <c r="I192" s="33"/>
      <c r="L192" s="85"/>
      <c r="M192" s="85"/>
      <c r="N192" s="33"/>
      <c r="T192" s="18"/>
    </row>
    <row r="193" spans="1:20" s="41" customFormat="1" x14ac:dyDescent="0.3">
      <c r="A193" s="107" t="s">
        <v>231</v>
      </c>
      <c r="B193" s="108"/>
      <c r="C193" s="108"/>
      <c r="D193" s="108"/>
      <c r="E193" s="108"/>
      <c r="F193" s="108"/>
      <c r="G193" s="108"/>
      <c r="H193" s="109"/>
      <c r="I193" s="60">
        <v>1</v>
      </c>
      <c r="J193" s="33"/>
    </row>
    <row r="194" spans="1:20" s="41" customFormat="1" ht="15.75" customHeight="1" x14ac:dyDescent="0.3">
      <c r="A194" s="83">
        <v>1</v>
      </c>
      <c r="B194" s="84"/>
      <c r="C194" s="38" t="s">
        <v>187</v>
      </c>
      <c r="D194" s="61">
        <f>(58.072)*(10.764)</f>
        <v>625.08700799999997</v>
      </c>
      <c r="E194" s="61">
        <f>(3.05*1.5+2.14*0.75+3.05*0.75+2.75*0.75)*(10.764)</f>
        <v>113.34491999999999</v>
      </c>
      <c r="F194" s="38">
        <f t="shared" ref="F194:F199" si="16">D194+E194</f>
        <v>738.43192799999997</v>
      </c>
      <c r="G194" s="38">
        <v>0</v>
      </c>
      <c r="H194" s="38">
        <f t="shared" ref="H194:H199" si="17">F194*(($H$153)+1)+(IF(G194&lt;101,G194,IF(G194&lt;201,G194/2,IF(G194&lt;=301,G194/3,G194/4))))</f>
        <v>1144.5694884</v>
      </c>
      <c r="I194" s="57">
        <f>5.5*3.05+2.14*2.75+3.14*1.53+3.66*2.75+3.66*3.05+1.22*2.14+2.14*1.22+2*0.9</f>
        <v>55.713799999999992</v>
      </c>
      <c r="L194" s="85"/>
      <c r="M194" s="85"/>
      <c r="N194" s="33"/>
    </row>
    <row r="195" spans="1:20" s="41" customFormat="1" ht="15.75" customHeight="1" x14ac:dyDescent="0.3">
      <c r="A195" s="83">
        <v>2</v>
      </c>
      <c r="B195" s="84"/>
      <c r="C195" s="38" t="s">
        <v>187</v>
      </c>
      <c r="D195" s="61">
        <f>(56.578)*(10.764)</f>
        <v>609.00559199999998</v>
      </c>
      <c r="E195" s="61">
        <f>(3.05*1.5+2.91*0.75+2.75*0.75+2*0.75)*(10.764)</f>
        <v>111.08448</v>
      </c>
      <c r="F195" s="38">
        <f t="shared" si="16"/>
        <v>720.09007199999996</v>
      </c>
      <c r="G195" s="38">
        <v>0</v>
      </c>
      <c r="H195" s="38">
        <f t="shared" si="17"/>
        <v>1116.1396116000001</v>
      </c>
      <c r="I195" s="33"/>
      <c r="L195" s="85"/>
      <c r="M195" s="85"/>
      <c r="N195" s="33"/>
    </row>
    <row r="196" spans="1:20" s="41" customFormat="1" ht="15.75" customHeight="1" x14ac:dyDescent="0.3">
      <c r="A196" s="83">
        <v>3</v>
      </c>
      <c r="B196" s="84"/>
      <c r="C196" s="38" t="s">
        <v>187</v>
      </c>
      <c r="D196" s="61">
        <f>(56.578)*(10.764)</f>
        <v>609.00559199999998</v>
      </c>
      <c r="E196" s="61">
        <f>(3.05*1.5+2.91*0.75+2.75*0.75+2*0.75)*(10.764)</f>
        <v>111.08448</v>
      </c>
      <c r="F196" s="38">
        <f t="shared" si="16"/>
        <v>720.09007199999996</v>
      </c>
      <c r="G196" s="38">
        <v>0</v>
      </c>
      <c r="H196" s="38">
        <f t="shared" si="17"/>
        <v>1116.1396116000001</v>
      </c>
      <c r="I196" s="33"/>
      <c r="L196" s="85"/>
      <c r="M196" s="85"/>
      <c r="N196" s="33"/>
    </row>
    <row r="197" spans="1:20" s="41" customFormat="1" ht="15.75" customHeight="1" x14ac:dyDescent="0.3">
      <c r="A197" s="83">
        <v>4</v>
      </c>
      <c r="B197" s="84"/>
      <c r="C197" s="38" t="s">
        <v>188</v>
      </c>
      <c r="D197" s="61">
        <f>(81.848)*(10.764)</f>
        <v>881.01187199999993</v>
      </c>
      <c r="E197" s="61">
        <f>(3.36*1.2+2.3*0.75+3.05*0.75+3.05*0.75+3.05*0.75)*(10.764)</f>
        <v>135.83629799999997</v>
      </c>
      <c r="F197" s="38">
        <f t="shared" si="16"/>
        <v>1016.8481699999999</v>
      </c>
      <c r="G197" s="38">
        <v>0</v>
      </c>
      <c r="H197" s="38">
        <f t="shared" si="17"/>
        <v>1576.1146634999998</v>
      </c>
      <c r="I197" s="57">
        <f>3.36*5.5+3.15*2.3+3.05*2.3+3.05*3.97+1.22*2.14+3.05*3.97+4.05*3.05+1.22*2.73+2.14*1.22+3*0.9</f>
        <v>80.561700000000002</v>
      </c>
      <c r="L197" s="85"/>
      <c r="M197" s="85"/>
      <c r="N197" s="33"/>
      <c r="T197" s="18"/>
    </row>
    <row r="198" spans="1:20" s="41" customFormat="1" ht="15.75" customHeight="1" x14ac:dyDescent="0.3">
      <c r="A198" s="83">
        <v>5</v>
      </c>
      <c r="B198" s="84"/>
      <c r="C198" s="38" t="s">
        <v>187</v>
      </c>
      <c r="D198" s="61">
        <f>(56.696)*(10.764)</f>
        <v>610.27574399999992</v>
      </c>
      <c r="E198" s="61">
        <f>(3.05*0.75+2.14*0.75+2.1*0.75+3.05*0.75)*(10.764)</f>
        <v>83.47481999999998</v>
      </c>
      <c r="F198" s="38">
        <f t="shared" si="16"/>
        <v>693.75056399999994</v>
      </c>
      <c r="G198" s="38">
        <v>0</v>
      </c>
      <c r="H198" s="38">
        <f t="shared" si="17"/>
        <v>1075.3133742</v>
      </c>
      <c r="I198" s="33"/>
      <c r="L198" s="85"/>
      <c r="M198" s="85"/>
      <c r="N198" s="33"/>
      <c r="T198" s="18"/>
    </row>
    <row r="199" spans="1:20" s="41" customFormat="1" ht="15.75" customHeight="1" x14ac:dyDescent="0.3">
      <c r="A199" s="83">
        <v>6</v>
      </c>
      <c r="B199" s="84"/>
      <c r="C199" s="38" t="s">
        <v>187</v>
      </c>
      <c r="D199" s="61">
        <f>(58.882)*(10.764)</f>
        <v>633.80584799999997</v>
      </c>
      <c r="E199" s="61">
        <f>(5.5*1.31+2.14*0.75+3.66*0.75+3.91*0.75)*(10.764)</f>
        <v>155.94344999999998</v>
      </c>
      <c r="F199" s="38">
        <f t="shared" si="16"/>
        <v>789.74929799999995</v>
      </c>
      <c r="G199" s="38">
        <v>0</v>
      </c>
      <c r="H199" s="38">
        <f t="shared" si="17"/>
        <v>1224.1114118999999</v>
      </c>
      <c r="I199" s="33"/>
      <c r="L199" s="85"/>
      <c r="M199" s="85"/>
      <c r="N199" s="33"/>
      <c r="T199" s="18"/>
    </row>
    <row r="200" spans="1:20" s="41" customFormat="1" x14ac:dyDescent="0.3">
      <c r="A200" s="214" t="s">
        <v>232</v>
      </c>
      <c r="B200" s="215"/>
      <c r="C200" s="215"/>
      <c r="D200" s="215"/>
      <c r="E200" s="215"/>
      <c r="F200" s="215"/>
      <c r="G200" s="215"/>
      <c r="H200" s="216"/>
      <c r="I200" s="33"/>
      <c r="L200" s="85"/>
      <c r="M200" s="85"/>
    </row>
    <row r="201" spans="1:20" s="41" customFormat="1" x14ac:dyDescent="0.3">
      <c r="A201" s="205" t="s">
        <v>227</v>
      </c>
      <c r="B201" s="205"/>
      <c r="C201" s="205"/>
      <c r="D201" s="205"/>
      <c r="E201" s="205"/>
      <c r="F201" s="205"/>
      <c r="G201" s="205"/>
      <c r="H201" s="205"/>
      <c r="I201" s="33"/>
      <c r="L201" s="85"/>
      <c r="M201" s="85"/>
    </row>
    <row r="202" spans="1:20" s="41" customFormat="1" x14ac:dyDescent="0.3">
      <c r="A202" s="205" t="s">
        <v>266</v>
      </c>
      <c r="B202" s="205"/>
      <c r="C202" s="205"/>
      <c r="D202" s="205"/>
      <c r="E202" s="205"/>
      <c r="F202" s="205"/>
      <c r="G202" s="205"/>
      <c r="H202" s="205"/>
      <c r="I202" s="57">
        <v>1</v>
      </c>
      <c r="L202" s="85"/>
      <c r="M202" s="85"/>
    </row>
    <row r="203" spans="1:20" s="41" customFormat="1" x14ac:dyDescent="0.3">
      <c r="A203" s="87">
        <v>1</v>
      </c>
      <c r="B203" s="87"/>
      <c r="C203" s="38" t="s">
        <v>187</v>
      </c>
      <c r="D203" s="61">
        <f>(56.695)*(10.764)</f>
        <v>610.26497999999992</v>
      </c>
      <c r="E203" s="61">
        <f>(3.05*1.5+2.14*0.75+2.2*0.75+3.05*0.75)*(10.764)</f>
        <v>108.90476999999998</v>
      </c>
      <c r="F203" s="38">
        <f>D203+E203</f>
        <v>719.16974999999991</v>
      </c>
      <c r="G203" s="38">
        <v>0</v>
      </c>
      <c r="H203" s="38">
        <f t="shared" ref="H203:H205" si="18">F203*(($H$153)+1)+(IF(G203&lt;101,G203,IF(G203&lt;201,G203/2,IF(G203&lt;=301,G203/3,G203/4))))</f>
        <v>1114.7131124999999</v>
      </c>
      <c r="I203" s="57">
        <f>3.05*5.5+3.05*1.64+2.14*2.91+2.75*3.05+3.05*3.66+1.22*2.14+1.22*2.14+1.5*1.22</f>
        <v>54.606499999999983</v>
      </c>
      <c r="N203" s="33"/>
    </row>
    <row r="204" spans="1:20" s="41" customFormat="1" x14ac:dyDescent="0.3">
      <c r="A204" s="87">
        <f>A203+1</f>
        <v>2</v>
      </c>
      <c r="B204" s="87"/>
      <c r="C204" s="38" t="s">
        <v>187</v>
      </c>
      <c r="D204" s="61">
        <f>(56.578)*(10.764)</f>
        <v>609.00559199999998</v>
      </c>
      <c r="E204" s="61">
        <f>(3.05*1.5+2.14*0.75+2.75*0.75+2.08*0.75)*(10.764)</f>
        <v>105.51411</v>
      </c>
      <c r="F204" s="38">
        <f>D204+E204</f>
        <v>714.51970199999994</v>
      </c>
      <c r="G204" s="38">
        <v>0</v>
      </c>
      <c r="H204" s="38">
        <f t="shared" si="18"/>
        <v>1107.5055381</v>
      </c>
      <c r="I204" s="33"/>
      <c r="N204" s="33"/>
    </row>
    <row r="205" spans="1:20" s="41" customFormat="1" x14ac:dyDescent="0.3">
      <c r="A205" s="87">
        <f>A204+1</f>
        <v>3</v>
      </c>
      <c r="B205" s="87"/>
      <c r="C205" s="38" t="s">
        <v>188</v>
      </c>
      <c r="D205" s="61">
        <f>(79.9)*(10.764)</f>
        <v>860.04359999999997</v>
      </c>
      <c r="E205" s="61">
        <f>(3.36*1.5+2.3*0.75+3.05*0.75+3.05*0.75+3.05*0.75)*(10.764)</f>
        <v>146.68640999999997</v>
      </c>
      <c r="F205" s="38">
        <f>D205+E205</f>
        <v>1006.73001</v>
      </c>
      <c r="G205" s="38">
        <v>0</v>
      </c>
      <c r="H205" s="38">
        <f t="shared" si="18"/>
        <v>1560.4315154999999</v>
      </c>
      <c r="I205" s="57">
        <f>3.36*5.5+3.15*2.15+2.3*3.22+3.05*3.66+3.05*3.97+1.22*2.14+3.05*3.97+1.22*2.14+2.1*1.22+0.9*1.22</f>
        <v>76.920099999999991</v>
      </c>
      <c r="N205" s="33"/>
    </row>
    <row r="206" spans="1:20" s="41" customFormat="1" ht="15.75" customHeight="1" x14ac:dyDescent="0.3">
      <c r="A206" s="87">
        <f>A205+1</f>
        <v>4</v>
      </c>
      <c r="B206" s="87"/>
      <c r="C206" s="83" t="s">
        <v>265</v>
      </c>
      <c r="D206" s="86"/>
      <c r="E206" s="86"/>
      <c r="F206" s="86"/>
      <c r="G206" s="86"/>
      <c r="H206" s="84"/>
      <c r="I206" s="33"/>
      <c r="L206" s="85"/>
      <c r="M206" s="85"/>
      <c r="N206" s="33"/>
      <c r="T206" s="18"/>
    </row>
    <row r="207" spans="1:20" s="41" customFormat="1" x14ac:dyDescent="0.3">
      <c r="A207" s="205" t="s">
        <v>189</v>
      </c>
      <c r="B207" s="205"/>
      <c r="C207" s="205"/>
      <c r="D207" s="205"/>
      <c r="E207" s="205"/>
      <c r="F207" s="205"/>
      <c r="G207" s="205"/>
      <c r="H207" s="205"/>
      <c r="I207" s="57">
        <v>1</v>
      </c>
      <c r="L207" s="85"/>
      <c r="M207" s="85"/>
    </row>
    <row r="208" spans="1:20" s="41" customFormat="1" x14ac:dyDescent="0.3">
      <c r="A208" s="87">
        <v>1</v>
      </c>
      <c r="B208" s="87"/>
      <c r="C208" s="38" t="s">
        <v>187</v>
      </c>
      <c r="D208" s="61">
        <f>(56.695)*(10.764)</f>
        <v>610.26497999999992</v>
      </c>
      <c r="E208" s="61">
        <f>(3.05*1.5+2.14*0.75+2.2*0.75+3.05*0.75)*(10.764)</f>
        <v>108.90476999999998</v>
      </c>
      <c r="F208" s="38">
        <f>D208+E208</f>
        <v>719.16974999999991</v>
      </c>
      <c r="G208" s="38">
        <v>0</v>
      </c>
      <c r="H208" s="38">
        <f t="shared" ref="H208:H211" si="19">F208*(($H$153)+1)+(IF(G208&lt;101,G208,IF(G208&lt;201,G208/2,IF(G208&lt;=301,G208/3,G208/4))))</f>
        <v>1114.7131124999999</v>
      </c>
      <c r="I208" s="57">
        <f>3.05*5.5+3.05*1.64+2.14*2.91+2.75*3.05+3.05*3.66+1.22*2.14+1.22*2.14+1.5*1.22</f>
        <v>54.606499999999983</v>
      </c>
      <c r="N208" s="33"/>
    </row>
    <row r="209" spans="1:14" s="41" customFormat="1" x14ac:dyDescent="0.3">
      <c r="A209" s="87">
        <f>A208+1</f>
        <v>2</v>
      </c>
      <c r="B209" s="87"/>
      <c r="C209" s="38" t="s">
        <v>187</v>
      </c>
      <c r="D209" s="61">
        <f>(56.577)*(10.764)</f>
        <v>608.99482799999998</v>
      </c>
      <c r="E209" s="61">
        <f>(3.05*1.5+2.14*0.75+2.75*0.75+2.08*0.75)*(10.764)</f>
        <v>105.51411</v>
      </c>
      <c r="F209" s="38">
        <f>D209+E209</f>
        <v>714.50893799999994</v>
      </c>
      <c r="G209" s="38">
        <v>0</v>
      </c>
      <c r="H209" s="38">
        <f t="shared" si="19"/>
        <v>1107.4888538999999</v>
      </c>
      <c r="I209" s="33"/>
      <c r="N209" s="33"/>
    </row>
    <row r="210" spans="1:14" s="41" customFormat="1" x14ac:dyDescent="0.3">
      <c r="A210" s="87">
        <f>A209+1</f>
        <v>3</v>
      </c>
      <c r="B210" s="87"/>
      <c r="C210" s="38" t="s">
        <v>188</v>
      </c>
      <c r="D210" s="61">
        <f>(79.9)*(10.764)</f>
        <v>860.04359999999997</v>
      </c>
      <c r="E210" s="61">
        <f>(3.36*1.5+2.3*0.75+3.05*0.75+3.05*0.75+3.05*0.75)*(10.764)</f>
        <v>146.68640999999997</v>
      </c>
      <c r="F210" s="38">
        <f>D210+E210</f>
        <v>1006.73001</v>
      </c>
      <c r="G210" s="38">
        <v>0</v>
      </c>
      <c r="H210" s="38">
        <f t="shared" si="19"/>
        <v>1560.4315154999999</v>
      </c>
      <c r="I210" s="57">
        <f>3.36*5.5+3.15*2.15+2.3*3.22+3.05*3.66+3.05*3.97+1.22*2.14+3.05*3.97+1.22*2.14+2.1*1.22+0.9*1.22</f>
        <v>76.920099999999991</v>
      </c>
      <c r="N210" s="33"/>
    </row>
    <row r="211" spans="1:14" s="41" customFormat="1" x14ac:dyDescent="0.3">
      <c r="A211" s="87">
        <f>A210+1</f>
        <v>4</v>
      </c>
      <c r="B211" s="87"/>
      <c r="C211" s="38" t="s">
        <v>187</v>
      </c>
      <c r="D211" s="61">
        <f>(61.353)*(10.764)</f>
        <v>660.40369199999998</v>
      </c>
      <c r="E211" s="61">
        <f>(3.05*1.38+2.14*0.75+2.75*0.75+3.05*0.75)*(10.764)</f>
        <v>109.40529599999999</v>
      </c>
      <c r="F211" s="38">
        <f>D211+E211</f>
        <v>769.808988</v>
      </c>
      <c r="G211" s="38">
        <v>0</v>
      </c>
      <c r="H211" s="38">
        <f t="shared" si="19"/>
        <v>1193.2039314000001</v>
      </c>
      <c r="I211" s="57"/>
      <c r="N211" s="33"/>
    </row>
    <row r="212" spans="1:14" s="41" customFormat="1" x14ac:dyDescent="0.3">
      <c r="A212" s="205" t="s">
        <v>229</v>
      </c>
      <c r="B212" s="205"/>
      <c r="C212" s="205"/>
      <c r="D212" s="205"/>
      <c r="E212" s="205"/>
      <c r="F212" s="205"/>
      <c r="G212" s="205"/>
      <c r="H212" s="205"/>
      <c r="I212" s="57">
        <v>7</v>
      </c>
      <c r="L212" s="85"/>
      <c r="M212" s="85"/>
    </row>
    <row r="213" spans="1:14" s="41" customFormat="1" x14ac:dyDescent="0.3">
      <c r="A213" s="87">
        <v>1</v>
      </c>
      <c r="B213" s="87"/>
      <c r="C213" s="38" t="s">
        <v>187</v>
      </c>
      <c r="D213" s="61">
        <f>(56.695)*(10.764)</f>
        <v>610.26497999999992</v>
      </c>
      <c r="E213" s="61">
        <f>(3.05*1.5+2.14*0.75+2.2*0.75+3.05*0.75)*(10.764)</f>
        <v>108.90476999999998</v>
      </c>
      <c r="F213" s="38">
        <f>D213+E213</f>
        <v>719.16974999999991</v>
      </c>
      <c r="G213" s="38">
        <v>0</v>
      </c>
      <c r="H213" s="38">
        <f t="shared" ref="H213:H216" si="20">F213*(($H$153)+1)+(IF(G213&lt;101,G213,IF(G213&lt;201,G213/2,IF(G213&lt;=301,G213/3,G213/4))))</f>
        <v>1114.7131124999999</v>
      </c>
      <c r="I213" s="57">
        <f>3.05*5.5+3.05*1.64+2.14*2.91+2.75*3.05+3.05*3.66+1.22*2.14+1.22*2.14+1.5*1.22</f>
        <v>54.606499999999983</v>
      </c>
      <c r="N213" s="33"/>
    </row>
    <row r="214" spans="1:14" s="41" customFormat="1" x14ac:dyDescent="0.3">
      <c r="A214" s="87">
        <f>A213+1</f>
        <v>2</v>
      </c>
      <c r="B214" s="87"/>
      <c r="C214" s="38" t="s">
        <v>187</v>
      </c>
      <c r="D214" s="61">
        <f>(56.577)*(10.764)</f>
        <v>608.99482799999998</v>
      </c>
      <c r="E214" s="61">
        <f>(3.05*1.5+2.14*0.75+2.75*0.75+2.08*0.75)*(10.764)</f>
        <v>105.51411</v>
      </c>
      <c r="F214" s="38">
        <f>D214+E214</f>
        <v>714.50893799999994</v>
      </c>
      <c r="G214" s="38">
        <v>0</v>
      </c>
      <c r="H214" s="38">
        <f t="shared" si="20"/>
        <v>1107.4888538999999</v>
      </c>
      <c r="I214" s="33"/>
      <c r="N214" s="33"/>
    </row>
    <row r="215" spans="1:14" s="41" customFormat="1" x14ac:dyDescent="0.3">
      <c r="A215" s="87">
        <f>A214+1</f>
        <v>3</v>
      </c>
      <c r="B215" s="87"/>
      <c r="C215" s="38" t="s">
        <v>188</v>
      </c>
      <c r="D215" s="61">
        <f>(79.9)*(10.764)</f>
        <v>860.04359999999997</v>
      </c>
      <c r="E215" s="61">
        <f>(3.36*1.5+2.3*0.75+3.05*0.75+3.05*0.75+3.05*0.75)*(10.764)</f>
        <v>146.68640999999997</v>
      </c>
      <c r="F215" s="38">
        <f>D215+E215</f>
        <v>1006.73001</v>
      </c>
      <c r="G215" s="38">
        <v>0</v>
      </c>
      <c r="H215" s="38">
        <f t="shared" si="20"/>
        <v>1560.4315154999999</v>
      </c>
      <c r="I215" s="57">
        <f>3.36*5.5+3.15*2.15+2.3*3.22+3.05*3.66+3.05*3.97+1.22*2.14+3.05*3.97+1.22*2.14+2.1*1.22+0.9*1.22</f>
        <v>76.920099999999991</v>
      </c>
      <c r="N215" s="33"/>
    </row>
    <row r="216" spans="1:14" s="41" customFormat="1" x14ac:dyDescent="0.3">
      <c r="A216" s="87">
        <f>A215+1</f>
        <v>4</v>
      </c>
      <c r="B216" s="87"/>
      <c r="C216" s="38" t="s">
        <v>187</v>
      </c>
      <c r="D216" s="61">
        <f>(61.353)*(10.764)</f>
        <v>660.40369199999998</v>
      </c>
      <c r="E216" s="61">
        <f>(3.05*1.38+2.14*0.75+2.75*0.75+3.05*0.75)*(10.764)</f>
        <v>109.40529599999999</v>
      </c>
      <c r="F216" s="38">
        <f>D216+E216</f>
        <v>769.808988</v>
      </c>
      <c r="G216" s="38">
        <v>0</v>
      </c>
      <c r="H216" s="38">
        <f t="shared" si="20"/>
        <v>1193.2039314000001</v>
      </c>
      <c r="I216" s="57"/>
      <c r="N216" s="33"/>
    </row>
    <row r="217" spans="1:14" s="41" customFormat="1" x14ac:dyDescent="0.3">
      <c r="A217" s="205" t="s">
        <v>267</v>
      </c>
      <c r="B217" s="205"/>
      <c r="C217" s="205"/>
      <c r="D217" s="205"/>
      <c r="E217" s="205"/>
      <c r="F217" s="205"/>
      <c r="G217" s="205"/>
      <c r="H217" s="205"/>
      <c r="I217" s="57">
        <v>7</v>
      </c>
      <c r="L217" s="85"/>
      <c r="M217" s="85"/>
    </row>
    <row r="218" spans="1:14" s="41" customFormat="1" x14ac:dyDescent="0.3">
      <c r="A218" s="87">
        <v>1</v>
      </c>
      <c r="B218" s="87"/>
      <c r="C218" s="38" t="s">
        <v>187</v>
      </c>
      <c r="D218" s="61">
        <f>(56.695)*(10.764)</f>
        <v>610.26497999999992</v>
      </c>
      <c r="E218" s="61">
        <f>(3.05*1.5+2.14*0.75+2.2*0.75+3.05*0.75)*(10.764)</f>
        <v>108.90476999999998</v>
      </c>
      <c r="F218" s="38">
        <f>D218+E218</f>
        <v>719.16974999999991</v>
      </c>
      <c r="G218" s="38">
        <v>0</v>
      </c>
      <c r="H218" s="38">
        <f t="shared" ref="H218:H221" si="21">F218*(($H$153)+1)+(IF(G218&lt;101,G218,IF(G218&lt;201,G218/2,IF(G218&lt;=301,G218/3,G218/4))))</f>
        <v>1114.7131124999999</v>
      </c>
      <c r="I218" s="57">
        <f>3.05*5.5+3.05*1.64+2.14*2.91+2.75*3.05+3.05*3.66+1.22*2.14+1.22*2.14+1.5*1.22</f>
        <v>54.606499999999983</v>
      </c>
      <c r="N218" s="33"/>
    </row>
    <row r="219" spans="1:14" s="41" customFormat="1" x14ac:dyDescent="0.3">
      <c r="A219" s="87">
        <f>A218+1</f>
        <v>2</v>
      </c>
      <c r="B219" s="87"/>
      <c r="C219" s="38" t="s">
        <v>187</v>
      </c>
      <c r="D219" s="61">
        <f>(56.577)*(10.764)</f>
        <v>608.99482799999998</v>
      </c>
      <c r="E219" s="61">
        <f>(3.05*1.5+2.14*0.75+2.75*0.75+2.08*0.75)*(10.764)</f>
        <v>105.51411</v>
      </c>
      <c r="F219" s="38">
        <f>D219+E219</f>
        <v>714.50893799999994</v>
      </c>
      <c r="G219" s="38">
        <v>0</v>
      </c>
      <c r="H219" s="38">
        <f t="shared" si="21"/>
        <v>1107.4888538999999</v>
      </c>
      <c r="I219" s="33"/>
      <c r="N219" s="33"/>
    </row>
    <row r="220" spans="1:14" s="41" customFormat="1" x14ac:dyDescent="0.3">
      <c r="A220" s="87">
        <f>A219+1</f>
        <v>3</v>
      </c>
      <c r="B220" s="87"/>
      <c r="C220" s="38" t="s">
        <v>188</v>
      </c>
      <c r="D220" s="61">
        <f>(79.9)*(10.764)</f>
        <v>860.04359999999997</v>
      </c>
      <c r="E220" s="61">
        <f>(3.36*1.5+2.3*0.75+3.05*0.75+3.05*0.75+3.05*0.75)*(10.764)</f>
        <v>146.68640999999997</v>
      </c>
      <c r="F220" s="38">
        <f>D220+E220</f>
        <v>1006.73001</v>
      </c>
      <c r="G220" s="38">
        <v>0</v>
      </c>
      <c r="H220" s="38">
        <f t="shared" si="21"/>
        <v>1560.4315154999999</v>
      </c>
      <c r="I220" s="57">
        <f>3.36*5.5+3.15*2.15+2.3*3.22+3.05*3.66+3.05*3.97+1.22*2.14+3.05*3.97+1.22*2.14+2.1*1.22+0.9*1.22</f>
        <v>76.920099999999991</v>
      </c>
      <c r="N220" s="33"/>
    </row>
    <row r="221" spans="1:14" s="41" customFormat="1" x14ac:dyDescent="0.3">
      <c r="A221" s="87">
        <f>A220+1</f>
        <v>4</v>
      </c>
      <c r="B221" s="87"/>
      <c r="C221" s="38" t="s">
        <v>187</v>
      </c>
      <c r="D221" s="61">
        <f>(56.126)*(10.764)</f>
        <v>604.14026399999989</v>
      </c>
      <c r="E221" s="61">
        <f>(3.05*1.38+2.14*0.75+2.75*0.75+3.05*0.75)*(10.764)</f>
        <v>109.40529599999999</v>
      </c>
      <c r="F221" s="38">
        <f>D221+E221</f>
        <v>713.54555999999991</v>
      </c>
      <c r="G221" s="38">
        <v>0</v>
      </c>
      <c r="H221" s="38">
        <f t="shared" si="21"/>
        <v>1105.9956179999999</v>
      </c>
      <c r="I221" s="57"/>
      <c r="N221" s="33"/>
    </row>
    <row r="222" spans="1:14" s="41" customFormat="1" x14ac:dyDescent="0.3">
      <c r="A222" s="205" t="s">
        <v>268</v>
      </c>
      <c r="B222" s="205"/>
      <c r="C222" s="205"/>
      <c r="D222" s="205"/>
      <c r="E222" s="205"/>
      <c r="F222" s="205"/>
      <c r="G222" s="205"/>
      <c r="H222" s="205"/>
      <c r="I222" s="57">
        <v>7</v>
      </c>
      <c r="L222" s="85"/>
      <c r="M222" s="85"/>
    </row>
    <row r="223" spans="1:14" s="41" customFormat="1" x14ac:dyDescent="0.3">
      <c r="A223" s="87">
        <v>1</v>
      </c>
      <c r="B223" s="87"/>
      <c r="C223" s="38" t="s">
        <v>187</v>
      </c>
      <c r="D223" s="61">
        <f>(56.695)*(10.764)</f>
        <v>610.26497999999992</v>
      </c>
      <c r="E223" s="61">
        <f>(3.05*1.5+2.14*0.75+2.2*0.75+3.05*0.75)*(10.764)</f>
        <v>108.90476999999998</v>
      </c>
      <c r="F223" s="38">
        <f>D223+E223</f>
        <v>719.16974999999991</v>
      </c>
      <c r="G223" s="38">
        <v>0</v>
      </c>
      <c r="H223" s="38">
        <f t="shared" ref="H223:H226" si="22">F223*(($H$153)+1)+(IF(G223&lt;101,G223,IF(G223&lt;201,G223/2,IF(G223&lt;=301,G223/3,G223/4))))</f>
        <v>1114.7131124999999</v>
      </c>
      <c r="I223" s="57">
        <f>3.05*5.5+3.05*1.64+2.14*2.91+2.75*3.05+3.05*3.66+1.22*2.14+1.22*2.14+1.5*1.22</f>
        <v>54.606499999999983</v>
      </c>
      <c r="N223" s="33"/>
    </row>
    <row r="224" spans="1:14" s="41" customFormat="1" x14ac:dyDescent="0.3">
      <c r="A224" s="87">
        <f>A223+1</f>
        <v>2</v>
      </c>
      <c r="B224" s="87"/>
      <c r="C224" s="38" t="s">
        <v>187</v>
      </c>
      <c r="D224" s="61">
        <f>(56.577)*(10.764)</f>
        <v>608.99482799999998</v>
      </c>
      <c r="E224" s="61">
        <f>(3.05*1.5+2.14*0.75+2.75*0.75+2.08*0.75)*(10.764)</f>
        <v>105.51411</v>
      </c>
      <c r="F224" s="38">
        <f>D224+E224</f>
        <v>714.50893799999994</v>
      </c>
      <c r="G224" s="38">
        <v>0</v>
      </c>
      <c r="H224" s="38">
        <f t="shared" si="22"/>
        <v>1107.4888538999999</v>
      </c>
      <c r="I224" s="33"/>
      <c r="N224" s="33"/>
    </row>
    <row r="225" spans="1:14" s="41" customFormat="1" x14ac:dyDescent="0.3">
      <c r="A225" s="87">
        <f>A224+1</f>
        <v>3</v>
      </c>
      <c r="B225" s="87"/>
      <c r="C225" s="38" t="s">
        <v>188</v>
      </c>
      <c r="D225" s="61">
        <f>(79.9)*(10.764)</f>
        <v>860.04359999999997</v>
      </c>
      <c r="E225" s="61">
        <f>(3.36*1.5+2.3*0.75+3.05*0.75+3.05*0.75+3.05*0.75)*(10.764)</f>
        <v>146.68640999999997</v>
      </c>
      <c r="F225" s="38">
        <f>D225+E225</f>
        <v>1006.73001</v>
      </c>
      <c r="G225" s="38">
        <v>0</v>
      </c>
      <c r="H225" s="38">
        <f t="shared" si="22"/>
        <v>1560.4315154999999</v>
      </c>
      <c r="I225" s="57">
        <f>3.36*5.5+3.15*2.15+2.3*3.22+3.05*3.66+3.05*3.97+1.22*2.14+3.05*3.97+1.22*2.14+2.1*1.22+0.9*1.22</f>
        <v>76.920099999999991</v>
      </c>
      <c r="N225" s="33"/>
    </row>
    <row r="226" spans="1:14" s="41" customFormat="1" x14ac:dyDescent="0.3">
      <c r="A226" s="87">
        <f>A225+1</f>
        <v>4</v>
      </c>
      <c r="B226" s="87"/>
      <c r="C226" s="38" t="s">
        <v>187</v>
      </c>
      <c r="D226" s="61">
        <f>(56.126)*(10.764)</f>
        <v>604.14026399999989</v>
      </c>
      <c r="E226" s="61">
        <f>(3.05*1.38+2.14*0.75+2.75*0.75+3.05*0.75)*(10.764)</f>
        <v>109.40529599999999</v>
      </c>
      <c r="F226" s="38">
        <f>D226+E226</f>
        <v>713.54555999999991</v>
      </c>
      <c r="G226" s="38">
        <v>0</v>
      </c>
      <c r="H226" s="38">
        <f t="shared" si="22"/>
        <v>1105.9956179999999</v>
      </c>
      <c r="I226" s="57"/>
      <c r="N226" s="33"/>
    </row>
    <row r="227" spans="1:14" s="41" customFormat="1" x14ac:dyDescent="0.3">
      <c r="A227" s="205" t="s">
        <v>231</v>
      </c>
      <c r="B227" s="205"/>
      <c r="C227" s="205"/>
      <c r="D227" s="205"/>
      <c r="E227" s="205"/>
      <c r="F227" s="205"/>
      <c r="G227" s="205"/>
      <c r="H227" s="205"/>
      <c r="I227" s="57">
        <v>7</v>
      </c>
      <c r="L227" s="85"/>
      <c r="M227" s="85"/>
    </row>
    <row r="228" spans="1:14" s="41" customFormat="1" x14ac:dyDescent="0.3">
      <c r="A228" s="87">
        <v>1</v>
      </c>
      <c r="B228" s="87"/>
      <c r="C228" s="38" t="s">
        <v>187</v>
      </c>
      <c r="D228" s="61">
        <f>(56.695)*(10.764)</f>
        <v>610.26497999999992</v>
      </c>
      <c r="E228" s="61">
        <f>(3.05*1.5+2.14*0.75+2.2*0.75+3.05*0.75)*(10.764)</f>
        <v>108.90476999999998</v>
      </c>
      <c r="F228" s="38">
        <f>D228+E228</f>
        <v>719.16974999999991</v>
      </c>
      <c r="G228" s="38">
        <v>0</v>
      </c>
      <c r="H228" s="38">
        <f t="shared" ref="H228:H230" si="23">F228*(($H$153)+1)+(IF(G228&lt;101,G228,IF(G228&lt;201,G228/2,IF(G228&lt;=301,G228/3,G228/4))))</f>
        <v>1114.7131124999999</v>
      </c>
      <c r="I228" s="57">
        <f>3.05*5.5+3.05*1.64+2.14*2.91+2.75*3.05+3.05*3.66+1.22*2.14+1.22*2.14+1.5*1.22</f>
        <v>54.606499999999983</v>
      </c>
      <c r="N228" s="33"/>
    </row>
    <row r="229" spans="1:14" s="41" customFormat="1" x14ac:dyDescent="0.3">
      <c r="A229" s="87">
        <f>A228+1</f>
        <v>2</v>
      </c>
      <c r="B229" s="87"/>
      <c r="C229" s="38" t="s">
        <v>187</v>
      </c>
      <c r="D229" s="61">
        <f>(56.577)*(10.764)</f>
        <v>608.99482799999998</v>
      </c>
      <c r="E229" s="61">
        <f>(3.05*1.5+2.14*0.75+2.75*0.75+2.08*0.75)*(10.764)</f>
        <v>105.51411</v>
      </c>
      <c r="F229" s="38">
        <f>D229+E229</f>
        <v>714.50893799999994</v>
      </c>
      <c r="G229" s="38">
        <v>0</v>
      </c>
      <c r="H229" s="38">
        <f t="shared" si="23"/>
        <v>1107.4888538999999</v>
      </c>
      <c r="I229" s="33"/>
      <c r="N229" s="33"/>
    </row>
    <row r="230" spans="1:14" s="41" customFormat="1" x14ac:dyDescent="0.3">
      <c r="A230" s="87">
        <f>A229+1</f>
        <v>3</v>
      </c>
      <c r="B230" s="87"/>
      <c r="C230" s="38" t="s">
        <v>188</v>
      </c>
      <c r="D230" s="61">
        <f>(79.9)*(10.764)</f>
        <v>860.04359999999997</v>
      </c>
      <c r="E230" s="61">
        <f>(3.36*1.5+2.3*0.75+3.05*0.75+3.05*0.75+3.05*0.75)*(10.764)</f>
        <v>146.68640999999997</v>
      </c>
      <c r="F230" s="38">
        <f>D230+E230</f>
        <v>1006.73001</v>
      </c>
      <c r="G230" s="38">
        <v>0</v>
      </c>
      <c r="H230" s="38">
        <f t="shared" si="23"/>
        <v>1560.4315154999999</v>
      </c>
      <c r="I230" s="57">
        <f>3.36*5.5+3.15*2.15+2.3*3.22+3.05*3.66+3.05*3.97+1.22*2.14+3.05*3.97+1.22*2.14+2.1*1.22+0.9*1.22</f>
        <v>76.920099999999991</v>
      </c>
      <c r="N230" s="33"/>
    </row>
    <row r="231" spans="1:14" s="41" customFormat="1" x14ac:dyDescent="0.3">
      <c r="A231" s="87">
        <f>A230+1</f>
        <v>4</v>
      </c>
      <c r="B231" s="87"/>
      <c r="C231" s="38" t="s">
        <v>187</v>
      </c>
      <c r="D231" s="61">
        <f>(61.353)*(10.764)</f>
        <v>660.40369199999998</v>
      </c>
      <c r="E231" s="61">
        <f>(3.05*1.38+2.14*0.75+2.75*0.75+3.05*0.75)*(10.764)</f>
        <v>109.40529599999999</v>
      </c>
      <c r="F231" s="38">
        <f>D231+E231</f>
        <v>769.808988</v>
      </c>
      <c r="G231" s="38">
        <v>0</v>
      </c>
      <c r="H231" s="38">
        <f>F231*(($H$153)+1)+(IF(G231&lt;101,G231,IF(G231&lt;201,G231/2,IF(G231&lt;=301,G231/3,G231/4))))</f>
        <v>1193.2039314000001</v>
      </c>
      <c r="I231" s="57"/>
      <c r="N231" s="33"/>
    </row>
    <row r="232" spans="1:14" s="31" customFormat="1" hidden="1" x14ac:dyDescent="0.3">
      <c r="A232" s="141" t="s">
        <v>55</v>
      </c>
      <c r="B232" s="141"/>
      <c r="C232" s="141"/>
      <c r="D232" s="141"/>
      <c r="E232" s="141"/>
      <c r="F232" s="141"/>
      <c r="G232" s="141"/>
      <c r="H232" s="141"/>
    </row>
    <row r="233" spans="1:14" hidden="1" x14ac:dyDescent="0.3">
      <c r="A233" s="141" t="s">
        <v>56</v>
      </c>
      <c r="B233" s="141"/>
      <c r="C233" s="141"/>
      <c r="D233" s="141"/>
      <c r="E233" s="141"/>
      <c r="F233" s="141"/>
      <c r="G233" s="141"/>
      <c r="H233" s="141"/>
    </row>
    <row r="234" spans="1:14" ht="47.25" hidden="1" customHeight="1" x14ac:dyDescent="0.3">
      <c r="A234" s="39" t="s">
        <v>117</v>
      </c>
      <c r="B234" s="39" t="s">
        <v>116</v>
      </c>
      <c r="C234" s="39" t="s">
        <v>57</v>
      </c>
      <c r="D234" s="39" t="s">
        <v>58</v>
      </c>
      <c r="E234" s="54" t="s">
        <v>153</v>
      </c>
      <c r="F234" s="39" t="s">
        <v>217</v>
      </c>
      <c r="G234" s="128" t="s">
        <v>60</v>
      </c>
      <c r="H234" s="129"/>
    </row>
    <row r="235" spans="1:14" s="41" customFormat="1" hidden="1" x14ac:dyDescent="0.3">
      <c r="A235" s="107" t="s">
        <v>207</v>
      </c>
      <c r="B235" s="108"/>
      <c r="C235" s="108"/>
      <c r="D235" s="108"/>
      <c r="E235" s="108"/>
      <c r="F235" s="108"/>
      <c r="G235" s="108"/>
      <c r="H235" s="109"/>
      <c r="J235" s="33"/>
    </row>
    <row r="236" spans="1:14" s="41" customFormat="1" hidden="1" x14ac:dyDescent="0.3">
      <c r="A236" s="107" t="s">
        <v>181</v>
      </c>
      <c r="B236" s="108"/>
      <c r="C236" s="108"/>
      <c r="D236" s="108"/>
      <c r="E236" s="108"/>
      <c r="F236" s="108"/>
      <c r="G236" s="108"/>
      <c r="H236" s="109"/>
      <c r="J236" s="33"/>
    </row>
    <row r="237" spans="1:14" s="41" customFormat="1" ht="15.75" hidden="1" customHeight="1" x14ac:dyDescent="0.3">
      <c r="A237" s="83">
        <v>1</v>
      </c>
      <c r="B237" s="84"/>
      <c r="C237" s="38" t="s">
        <v>182</v>
      </c>
      <c r="D237" s="49">
        <f>(64.666)*10.764</f>
        <v>696.06482399999993</v>
      </c>
      <c r="E237" s="38">
        <v>0</v>
      </c>
      <c r="F237" s="38">
        <v>1338</v>
      </c>
      <c r="G237" s="110" t="str">
        <f>A236</f>
        <v>Ground Floor For Commercial &amp; Parking</v>
      </c>
      <c r="H237" s="111"/>
      <c r="I237" s="33">
        <v>10.763999999999999</v>
      </c>
      <c r="J237" s="41">
        <f>1338/D237</f>
        <v>1.922234760134927</v>
      </c>
      <c r="K237" s="41">
        <f>12000*1338</f>
        <v>16056000</v>
      </c>
      <c r="L237" s="85"/>
      <c r="M237" s="85"/>
      <c r="N237" s="33"/>
    </row>
    <row r="238" spans="1:14" s="41" customFormat="1" ht="15.75" hidden="1" customHeight="1" x14ac:dyDescent="0.3">
      <c r="A238" s="83">
        <f t="shared" ref="A238:A258" si="24">A237+1</f>
        <v>2</v>
      </c>
      <c r="B238" s="84"/>
      <c r="C238" s="38" t="s">
        <v>182</v>
      </c>
      <c r="D238" s="49">
        <f>((34.75))*10.764</f>
        <v>374.04899999999998</v>
      </c>
      <c r="E238" s="38">
        <v>0</v>
      </c>
      <c r="F238" s="38">
        <v>968</v>
      </c>
      <c r="G238" s="112"/>
      <c r="H238" s="113"/>
      <c r="I238" s="33">
        <f>12000*F238</f>
        <v>11616000</v>
      </c>
      <c r="L238" s="85"/>
      <c r="M238" s="85"/>
      <c r="N238" s="33"/>
    </row>
    <row r="239" spans="1:14" s="41" customFormat="1" ht="15.75" hidden="1" customHeight="1" x14ac:dyDescent="0.3">
      <c r="A239" s="83">
        <f t="shared" si="24"/>
        <v>3</v>
      </c>
      <c r="B239" s="84"/>
      <c r="C239" s="38" t="s">
        <v>182</v>
      </c>
      <c r="D239" s="49">
        <f>((38.52))*10.764</f>
        <v>414.62927999999999</v>
      </c>
      <c r="E239" s="38">
        <v>0</v>
      </c>
      <c r="F239" s="38">
        <v>1067</v>
      </c>
      <c r="G239" s="112"/>
      <c r="H239" s="113"/>
      <c r="I239" s="33"/>
      <c r="L239" s="85"/>
      <c r="M239" s="85"/>
      <c r="N239" s="33"/>
    </row>
    <row r="240" spans="1:14" s="41" customFormat="1" ht="15.75" hidden="1" customHeight="1" x14ac:dyDescent="0.3">
      <c r="A240" s="83">
        <f t="shared" si="24"/>
        <v>4</v>
      </c>
      <c r="B240" s="84"/>
      <c r="C240" s="38" t="s">
        <v>182</v>
      </c>
      <c r="D240" s="49">
        <f>((34.75))*10.764</f>
        <v>374.04899999999998</v>
      </c>
      <c r="E240" s="38">
        <v>0</v>
      </c>
      <c r="F240" s="38">
        <v>968</v>
      </c>
      <c r="G240" s="112"/>
      <c r="H240" s="113"/>
      <c r="I240" s="33"/>
      <c r="L240" s="85"/>
      <c r="M240" s="85"/>
      <c r="N240" s="33"/>
    </row>
    <row r="241" spans="1:14" s="41" customFormat="1" hidden="1" x14ac:dyDescent="0.3">
      <c r="A241" s="83">
        <f t="shared" si="24"/>
        <v>5</v>
      </c>
      <c r="B241" s="84"/>
      <c r="C241" s="38" t="s">
        <v>182</v>
      </c>
      <c r="D241" s="49">
        <f>((40.96))*10.764</f>
        <v>440.89344</v>
      </c>
      <c r="E241" s="38">
        <v>0</v>
      </c>
      <c r="F241" s="38">
        <v>1076</v>
      </c>
      <c r="G241" s="112"/>
      <c r="H241" s="113"/>
      <c r="I241" s="33"/>
      <c r="L241" s="85"/>
      <c r="M241" s="85"/>
      <c r="N241" s="33"/>
    </row>
    <row r="242" spans="1:14" s="41" customFormat="1" hidden="1" x14ac:dyDescent="0.3">
      <c r="A242" s="83">
        <f t="shared" si="24"/>
        <v>6</v>
      </c>
      <c r="B242" s="84"/>
      <c r="C242" s="38" t="s">
        <v>182</v>
      </c>
      <c r="D242" s="49">
        <f>((34.75))*10.764</f>
        <v>374.04899999999998</v>
      </c>
      <c r="E242" s="38">
        <v>0</v>
      </c>
      <c r="F242" s="38">
        <v>1130</v>
      </c>
      <c r="G242" s="112"/>
      <c r="H242" s="113"/>
      <c r="I242" s="33">
        <f>441*2.44</f>
        <v>1076.04</v>
      </c>
      <c r="L242" s="85"/>
      <c r="M242" s="85"/>
      <c r="N242" s="33"/>
    </row>
    <row r="243" spans="1:14" s="41" customFormat="1" hidden="1" x14ac:dyDescent="0.3">
      <c r="A243" s="83">
        <f t="shared" si="24"/>
        <v>7</v>
      </c>
      <c r="B243" s="84"/>
      <c r="C243" s="38" t="s">
        <v>182</v>
      </c>
      <c r="D243" s="49">
        <f>((34.75))*10.764</f>
        <v>374.04899999999998</v>
      </c>
      <c r="E243" s="38">
        <v>0</v>
      </c>
      <c r="F243" s="38">
        <v>1130</v>
      </c>
      <c r="G243" s="112"/>
      <c r="H243" s="113"/>
      <c r="I243" s="33"/>
      <c r="L243" s="85"/>
      <c r="M243" s="85"/>
      <c r="N243" s="33"/>
    </row>
    <row r="244" spans="1:14" s="41" customFormat="1" hidden="1" x14ac:dyDescent="0.3">
      <c r="A244" s="83">
        <f t="shared" si="24"/>
        <v>8</v>
      </c>
      <c r="B244" s="84"/>
      <c r="C244" s="38" t="s">
        <v>182</v>
      </c>
      <c r="D244" s="49">
        <f>((51.09))*10.764</f>
        <v>549.93276000000003</v>
      </c>
      <c r="E244" s="38">
        <v>0</v>
      </c>
      <c r="F244" s="38">
        <v>1394</v>
      </c>
      <c r="G244" s="112"/>
      <c r="H244" s="113"/>
      <c r="I244" s="33"/>
      <c r="L244" s="85"/>
      <c r="M244" s="85"/>
      <c r="N244" s="33"/>
    </row>
    <row r="245" spans="1:14" s="41" customFormat="1" hidden="1" x14ac:dyDescent="0.3">
      <c r="A245" s="83">
        <f t="shared" si="24"/>
        <v>9</v>
      </c>
      <c r="B245" s="84"/>
      <c r="C245" s="38" t="s">
        <v>182</v>
      </c>
      <c r="D245" s="49">
        <f>((51.09))*10.764</f>
        <v>549.93276000000003</v>
      </c>
      <c r="E245" s="38">
        <v>0</v>
      </c>
      <c r="F245" s="38">
        <v>1394</v>
      </c>
      <c r="G245" s="112"/>
      <c r="H245" s="113"/>
      <c r="I245" s="33"/>
      <c r="L245" s="85"/>
      <c r="M245" s="85"/>
      <c r="N245" s="33"/>
    </row>
    <row r="246" spans="1:14" s="41" customFormat="1" hidden="1" x14ac:dyDescent="0.3">
      <c r="A246" s="83">
        <f t="shared" si="24"/>
        <v>10</v>
      </c>
      <c r="B246" s="84"/>
      <c r="C246" s="38" t="s">
        <v>182</v>
      </c>
      <c r="D246" s="49">
        <f>((34.75))*10.764</f>
        <v>374.04899999999998</v>
      </c>
      <c r="E246" s="38">
        <v>0</v>
      </c>
      <c r="F246" s="38">
        <v>968</v>
      </c>
      <c r="G246" s="112"/>
      <c r="H246" s="113"/>
      <c r="I246" s="33"/>
      <c r="L246" s="85"/>
      <c r="M246" s="85"/>
      <c r="N246" s="33"/>
    </row>
    <row r="247" spans="1:14" s="41" customFormat="1" hidden="1" x14ac:dyDescent="0.3">
      <c r="A247" s="83">
        <f t="shared" si="24"/>
        <v>11</v>
      </c>
      <c r="B247" s="84"/>
      <c r="C247" s="38" t="s">
        <v>182</v>
      </c>
      <c r="D247" s="49">
        <f>((38.48))*10.764</f>
        <v>414.19871999999992</v>
      </c>
      <c r="E247" s="38">
        <v>0</v>
      </c>
      <c r="F247" s="38">
        <v>1066</v>
      </c>
      <c r="G247" s="112"/>
      <c r="H247" s="113"/>
      <c r="I247" s="33"/>
      <c r="L247" s="85"/>
      <c r="M247" s="85"/>
      <c r="N247" s="33"/>
    </row>
    <row r="248" spans="1:14" s="41" customFormat="1" hidden="1" x14ac:dyDescent="0.3">
      <c r="A248" s="83">
        <f t="shared" si="24"/>
        <v>12</v>
      </c>
      <c r="B248" s="84"/>
      <c r="C248" s="38" t="s">
        <v>182</v>
      </c>
      <c r="D248" s="49">
        <f>((65.61))*10.764</f>
        <v>706.2260399999999</v>
      </c>
      <c r="E248" s="38">
        <v>0</v>
      </c>
      <c r="F248" s="38">
        <v>2382</v>
      </c>
      <c r="G248" s="112"/>
      <c r="H248" s="113"/>
      <c r="I248" s="33"/>
      <c r="L248" s="85"/>
      <c r="M248" s="85"/>
      <c r="N248" s="33"/>
    </row>
    <row r="249" spans="1:14" s="41" customFormat="1" hidden="1" x14ac:dyDescent="0.3">
      <c r="A249" s="83">
        <f t="shared" si="24"/>
        <v>13</v>
      </c>
      <c r="B249" s="84"/>
      <c r="C249" s="38" t="s">
        <v>182</v>
      </c>
      <c r="D249" s="49">
        <f>((27.78))*10.764</f>
        <v>299.02391999999998</v>
      </c>
      <c r="E249" s="38">
        <v>0</v>
      </c>
      <c r="F249" s="38">
        <v>819</v>
      </c>
      <c r="G249" s="112"/>
      <c r="H249" s="113"/>
      <c r="I249" s="33"/>
      <c r="L249" s="85"/>
      <c r="M249" s="85"/>
      <c r="N249" s="33"/>
    </row>
    <row r="250" spans="1:14" s="41" customFormat="1" hidden="1" x14ac:dyDescent="0.3">
      <c r="A250" s="83">
        <f t="shared" si="24"/>
        <v>14</v>
      </c>
      <c r="B250" s="84"/>
      <c r="C250" s="38" t="s">
        <v>182</v>
      </c>
      <c r="D250" s="49">
        <f>(29.19)*10.764</f>
        <v>314.20116000000002</v>
      </c>
      <c r="E250" s="38">
        <v>0</v>
      </c>
      <c r="F250" s="38">
        <v>849</v>
      </c>
      <c r="G250" s="112"/>
      <c r="H250" s="113"/>
      <c r="I250" s="33"/>
      <c r="L250" s="85"/>
      <c r="M250" s="85"/>
      <c r="N250" s="33"/>
    </row>
    <row r="251" spans="1:14" s="41" customFormat="1" hidden="1" x14ac:dyDescent="0.3">
      <c r="A251" s="83">
        <f t="shared" si="24"/>
        <v>15</v>
      </c>
      <c r="B251" s="84"/>
      <c r="C251" s="38" t="s">
        <v>182</v>
      </c>
      <c r="D251" s="49">
        <f>((34.49))*10.764</f>
        <v>371.25036</v>
      </c>
      <c r="E251" s="38">
        <v>0</v>
      </c>
      <c r="F251" s="38">
        <v>991</v>
      </c>
      <c r="G251" s="112"/>
      <c r="H251" s="113"/>
      <c r="I251" s="33"/>
      <c r="L251" s="85"/>
      <c r="M251" s="85"/>
      <c r="N251" s="33"/>
    </row>
    <row r="252" spans="1:14" s="41" customFormat="1" hidden="1" x14ac:dyDescent="0.3">
      <c r="A252" s="83">
        <f t="shared" si="24"/>
        <v>16</v>
      </c>
      <c r="B252" s="84"/>
      <c r="C252" s="38" t="s">
        <v>182</v>
      </c>
      <c r="D252" s="49">
        <f>((34.49))*10.764</f>
        <v>371.25036</v>
      </c>
      <c r="E252" s="38">
        <v>0</v>
      </c>
      <c r="F252" s="38">
        <v>991</v>
      </c>
      <c r="G252" s="112"/>
      <c r="H252" s="113"/>
      <c r="I252" s="33"/>
      <c r="L252" s="85"/>
      <c r="M252" s="85"/>
      <c r="N252" s="33"/>
    </row>
    <row r="253" spans="1:14" s="41" customFormat="1" hidden="1" x14ac:dyDescent="0.3">
      <c r="A253" s="83">
        <f t="shared" si="24"/>
        <v>17</v>
      </c>
      <c r="B253" s="84"/>
      <c r="C253" s="38" t="s">
        <v>182</v>
      </c>
      <c r="D253" s="49">
        <f>((34.49))*10.764</f>
        <v>371.25036</v>
      </c>
      <c r="E253" s="38">
        <v>0</v>
      </c>
      <c r="F253" s="38">
        <v>991</v>
      </c>
      <c r="G253" s="112"/>
      <c r="H253" s="113"/>
      <c r="I253" s="33"/>
      <c r="L253" s="85"/>
      <c r="M253" s="85"/>
      <c r="N253" s="33"/>
    </row>
    <row r="254" spans="1:14" s="41" customFormat="1" hidden="1" x14ac:dyDescent="0.3">
      <c r="A254" s="83">
        <f t="shared" si="24"/>
        <v>18</v>
      </c>
      <c r="B254" s="84"/>
      <c r="C254" s="38" t="s">
        <v>182</v>
      </c>
      <c r="D254" s="49">
        <f>((34.49))*10.764</f>
        <v>371.25036</v>
      </c>
      <c r="E254" s="38">
        <v>0</v>
      </c>
      <c r="F254" s="38">
        <v>991</v>
      </c>
      <c r="G254" s="112"/>
      <c r="H254" s="113"/>
      <c r="I254" s="33"/>
      <c r="L254" s="85"/>
      <c r="M254" s="85"/>
      <c r="N254" s="33"/>
    </row>
    <row r="255" spans="1:14" s="41" customFormat="1" hidden="1" x14ac:dyDescent="0.3">
      <c r="A255" s="83">
        <f t="shared" si="24"/>
        <v>19</v>
      </c>
      <c r="B255" s="84"/>
      <c r="C255" s="38" t="s">
        <v>182</v>
      </c>
      <c r="D255" s="49">
        <f>((29.19))*10.764</f>
        <v>314.20116000000002</v>
      </c>
      <c r="E255" s="38">
        <v>0</v>
      </c>
      <c r="F255" s="38">
        <v>849</v>
      </c>
      <c r="G255" s="112"/>
      <c r="H255" s="113"/>
      <c r="I255" s="33"/>
      <c r="L255" s="85"/>
      <c r="M255" s="85"/>
      <c r="N255" s="33"/>
    </row>
    <row r="256" spans="1:14" s="41" customFormat="1" hidden="1" x14ac:dyDescent="0.3">
      <c r="A256" s="83">
        <f t="shared" si="24"/>
        <v>20</v>
      </c>
      <c r="B256" s="84"/>
      <c r="C256" s="38" t="s">
        <v>182</v>
      </c>
      <c r="D256" s="49">
        <f>((29.19))*10.764</f>
        <v>314.20116000000002</v>
      </c>
      <c r="E256" s="38">
        <v>0</v>
      </c>
      <c r="F256" s="38">
        <v>849</v>
      </c>
      <c r="G256" s="112"/>
      <c r="H256" s="113"/>
      <c r="I256" s="33"/>
      <c r="L256" s="85"/>
      <c r="M256" s="85"/>
      <c r="N256" s="33"/>
    </row>
    <row r="257" spans="1:14" s="41" customFormat="1" hidden="1" x14ac:dyDescent="0.3">
      <c r="A257" s="83">
        <f t="shared" si="24"/>
        <v>21</v>
      </c>
      <c r="B257" s="84"/>
      <c r="C257" s="38" t="s">
        <v>182</v>
      </c>
      <c r="D257" s="49">
        <f>((26.08))*10.764</f>
        <v>280.72511999999995</v>
      </c>
      <c r="E257" s="38">
        <v>0</v>
      </c>
      <c r="F257" s="38">
        <v>765</v>
      </c>
      <c r="G257" s="112"/>
      <c r="H257" s="113"/>
      <c r="I257" s="33"/>
      <c r="L257" s="85"/>
      <c r="M257" s="85"/>
      <c r="N257" s="33"/>
    </row>
    <row r="258" spans="1:14" s="41" customFormat="1" hidden="1" x14ac:dyDescent="0.3">
      <c r="A258" s="83">
        <f t="shared" si="24"/>
        <v>22</v>
      </c>
      <c r="B258" s="84"/>
      <c r="C258" s="38" t="s">
        <v>182</v>
      </c>
      <c r="D258" s="49">
        <f>((29.19))*10.764</f>
        <v>314.20116000000002</v>
      </c>
      <c r="E258" s="38">
        <v>0</v>
      </c>
      <c r="F258" s="38">
        <v>849</v>
      </c>
      <c r="G258" s="114"/>
      <c r="H258" s="115"/>
      <c r="I258" s="33"/>
      <c r="L258" s="85"/>
      <c r="M258" s="85"/>
      <c r="N258" s="33"/>
    </row>
    <row r="259" spans="1:14" s="41" customFormat="1" hidden="1" x14ac:dyDescent="0.3">
      <c r="A259" s="83"/>
      <c r="B259" s="86"/>
      <c r="C259" s="86"/>
      <c r="D259" s="86"/>
      <c r="E259" s="86"/>
      <c r="F259" s="86"/>
      <c r="G259" s="86"/>
      <c r="H259" s="84"/>
      <c r="I259" s="33"/>
      <c r="N259" s="33"/>
    </row>
    <row r="260" spans="1:14" ht="47.25" hidden="1" customHeight="1" x14ac:dyDescent="0.3">
      <c r="A260" s="55" t="s">
        <v>118</v>
      </c>
      <c r="B260" s="55" t="s">
        <v>119</v>
      </c>
      <c r="C260" s="39" t="s">
        <v>57</v>
      </c>
      <c r="D260" s="39" t="s">
        <v>58</v>
      </c>
      <c r="E260" s="54" t="s">
        <v>59</v>
      </c>
      <c r="F260" s="39" t="s">
        <v>217</v>
      </c>
      <c r="G260" s="128" t="s">
        <v>60</v>
      </c>
      <c r="H260" s="129"/>
      <c r="I260" s="33"/>
    </row>
    <row r="261" spans="1:14" s="41" customFormat="1" hidden="1" x14ac:dyDescent="0.3">
      <c r="A261" s="107" t="s">
        <v>183</v>
      </c>
      <c r="B261" s="108"/>
      <c r="C261" s="108"/>
      <c r="D261" s="108"/>
      <c r="E261" s="108"/>
      <c r="F261" s="108"/>
      <c r="G261" s="108"/>
      <c r="H261" s="109"/>
      <c r="J261" s="33"/>
    </row>
    <row r="262" spans="1:14" s="41" customFormat="1" hidden="1" x14ac:dyDescent="0.3">
      <c r="A262" s="107" t="s">
        <v>184</v>
      </c>
      <c r="B262" s="108"/>
      <c r="C262" s="108"/>
      <c r="D262" s="108"/>
      <c r="E262" s="108"/>
      <c r="F262" s="108"/>
      <c r="G262" s="108"/>
      <c r="H262" s="109"/>
      <c r="J262" s="33"/>
    </row>
    <row r="263" spans="1:14" s="41" customFormat="1" hidden="1" x14ac:dyDescent="0.3">
      <c r="A263" s="107" t="s">
        <v>185</v>
      </c>
      <c r="B263" s="108"/>
      <c r="C263" s="108"/>
      <c r="D263" s="108"/>
      <c r="E263" s="108"/>
      <c r="F263" s="108"/>
      <c r="G263" s="108"/>
      <c r="H263" s="109"/>
      <c r="J263" s="33"/>
    </row>
    <row r="264" spans="1:14" s="41" customFormat="1" hidden="1" x14ac:dyDescent="0.3">
      <c r="A264" s="107" t="s">
        <v>190</v>
      </c>
      <c r="B264" s="108"/>
      <c r="C264" s="108"/>
      <c r="D264" s="108"/>
      <c r="E264" s="108"/>
      <c r="F264" s="108"/>
      <c r="G264" s="108"/>
      <c r="H264" s="109"/>
      <c r="J264" s="33"/>
    </row>
    <row r="265" spans="1:14" s="41" customFormat="1" ht="15.75" hidden="1" customHeight="1" x14ac:dyDescent="0.3">
      <c r="A265" s="83">
        <v>301</v>
      </c>
      <c r="B265" s="84"/>
      <c r="C265" s="47" t="s">
        <v>187</v>
      </c>
      <c r="D265" s="49">
        <f>((53.01+(3.05+2.75+3.05+2.14)*0.75))*10.764</f>
        <v>659.32190999999989</v>
      </c>
      <c r="E265" s="38">
        <v>0</v>
      </c>
      <c r="F265" s="38">
        <v>1200</v>
      </c>
      <c r="G265" s="110" t="str">
        <f>A264</f>
        <v>3rd Floor For Residential</v>
      </c>
      <c r="H265" s="111"/>
      <c r="I265" s="33">
        <v>10.763999999999999</v>
      </c>
      <c r="J265" s="41">
        <f>400*F265</f>
        <v>480000</v>
      </c>
      <c r="K265" s="41">
        <f>F265*7900</f>
        <v>9480000</v>
      </c>
      <c r="L265" s="85"/>
      <c r="M265" s="85"/>
      <c r="N265" s="33"/>
    </row>
    <row r="266" spans="1:14" s="41" customFormat="1" ht="15.75" hidden="1" customHeight="1" x14ac:dyDescent="0.3">
      <c r="A266" s="83">
        <f t="shared" ref="A266:A269" si="25">A265+1</f>
        <v>302</v>
      </c>
      <c r="B266" s="84"/>
      <c r="C266" s="47" t="s">
        <v>187</v>
      </c>
      <c r="D266" s="49">
        <f>((51.82+(3.05+2.11+2.75+2.08)*0.75))*10.764</f>
        <v>638.43975</v>
      </c>
      <c r="E266" s="38">
        <v>0</v>
      </c>
      <c r="F266" s="38">
        <v>1160</v>
      </c>
      <c r="G266" s="112"/>
      <c r="H266" s="113"/>
      <c r="I266" s="33"/>
      <c r="J266" s="41">
        <f t="shared" ref="J266:J268" si="26">400*F266</f>
        <v>464000</v>
      </c>
      <c r="K266" s="41">
        <f t="shared" ref="K266:K269" si="27">F266*7900</f>
        <v>9164000</v>
      </c>
      <c r="L266" s="85"/>
      <c r="M266" s="85"/>
      <c r="N266" s="33"/>
    </row>
    <row r="267" spans="1:14" s="41" customFormat="1" ht="15.75" hidden="1" customHeight="1" x14ac:dyDescent="0.3">
      <c r="A267" s="83">
        <f t="shared" si="25"/>
        <v>303</v>
      </c>
      <c r="B267" s="84"/>
      <c r="C267" s="47" t="s">
        <v>187</v>
      </c>
      <c r="D267" s="49">
        <f>((51.82+(3.05+2.11+2.75+2.08)*0.75))*10.764</f>
        <v>638.43975</v>
      </c>
      <c r="E267" s="38">
        <v>0</v>
      </c>
      <c r="F267" s="38">
        <v>1160</v>
      </c>
      <c r="G267" s="112"/>
      <c r="H267" s="113"/>
      <c r="I267" s="33"/>
      <c r="J267" s="41">
        <f t="shared" si="26"/>
        <v>464000</v>
      </c>
      <c r="K267" s="41">
        <f t="shared" si="27"/>
        <v>9164000</v>
      </c>
      <c r="L267" s="85"/>
      <c r="M267" s="85"/>
      <c r="N267" s="33"/>
    </row>
    <row r="268" spans="1:14" s="41" customFormat="1" ht="15.75" hidden="1" customHeight="1" x14ac:dyDescent="0.3">
      <c r="A268" s="83">
        <f t="shared" si="25"/>
        <v>304</v>
      </c>
      <c r="B268" s="84"/>
      <c r="C268" s="47" t="s">
        <v>188</v>
      </c>
      <c r="D268" s="49">
        <f>((73.16+(3.36+3.35+3.1+2.3+3.05)*0.75))*10.764</f>
        <v>909.88091999999995</v>
      </c>
      <c r="E268" s="38">
        <v>0</v>
      </c>
      <c r="F268" s="38">
        <v>1640</v>
      </c>
      <c r="G268" s="112"/>
      <c r="H268" s="113"/>
      <c r="I268" s="33"/>
      <c r="J268" s="41">
        <f t="shared" si="26"/>
        <v>656000</v>
      </c>
      <c r="K268" s="41">
        <f t="shared" si="27"/>
        <v>12956000</v>
      </c>
      <c r="L268" s="85"/>
      <c r="M268" s="85"/>
      <c r="N268" s="33"/>
    </row>
    <row r="269" spans="1:14" s="41" customFormat="1" ht="15.75" hidden="1" customHeight="1" x14ac:dyDescent="0.3">
      <c r="A269" s="83">
        <f t="shared" si="25"/>
        <v>305</v>
      </c>
      <c r="B269" s="84"/>
      <c r="C269" s="47" t="s">
        <v>187</v>
      </c>
      <c r="D269" s="49">
        <f>((53.03+(3.05+2.44+2.15)*0.75))*10.764</f>
        <v>632.49264000000005</v>
      </c>
      <c r="E269" s="38">
        <f>(5.36*5.74+1.3*3.8+1.22*1.8)</f>
        <v>37.9024</v>
      </c>
      <c r="F269" s="38">
        <v>1355</v>
      </c>
      <c r="G269" s="114"/>
      <c r="H269" s="115"/>
      <c r="I269" s="33"/>
      <c r="K269" s="41">
        <f t="shared" si="27"/>
        <v>10704500</v>
      </c>
      <c r="L269" s="85"/>
      <c r="M269" s="85"/>
      <c r="N269" s="33"/>
    </row>
    <row r="270" spans="1:14" s="41" customFormat="1" hidden="1" x14ac:dyDescent="0.3">
      <c r="A270" s="107" t="s">
        <v>189</v>
      </c>
      <c r="B270" s="108"/>
      <c r="C270" s="108"/>
      <c r="D270" s="108"/>
      <c r="E270" s="108"/>
      <c r="F270" s="108"/>
      <c r="G270" s="108"/>
      <c r="H270" s="109"/>
      <c r="J270" s="41">
        <f t="shared" ref="J270:J274" si="28">400*F270</f>
        <v>0</v>
      </c>
    </row>
    <row r="271" spans="1:14" s="41" customFormat="1" hidden="1" x14ac:dyDescent="0.3">
      <c r="A271" s="83">
        <v>401</v>
      </c>
      <c r="B271" s="84"/>
      <c r="C271" s="47" t="s">
        <v>187</v>
      </c>
      <c r="D271" s="49">
        <f>((53.01+(3.05+2.75+3.05+2.14)*0.75))*10.764</f>
        <v>659.32190999999989</v>
      </c>
      <c r="E271" s="38">
        <v>0</v>
      </c>
      <c r="F271" s="38">
        <v>1185</v>
      </c>
      <c r="G271" s="110" t="str">
        <f>A270</f>
        <v>4th Floor</v>
      </c>
      <c r="H271" s="111"/>
      <c r="I271" s="33"/>
      <c r="J271" s="41">
        <f t="shared" si="28"/>
        <v>474000</v>
      </c>
      <c r="K271" s="41">
        <f>8000000/F271</f>
        <v>6751.0548523206753</v>
      </c>
      <c r="L271" s="85"/>
      <c r="M271" s="85"/>
      <c r="N271" s="33"/>
    </row>
    <row r="272" spans="1:14" s="41" customFormat="1" hidden="1" x14ac:dyDescent="0.3">
      <c r="A272" s="83">
        <f t="shared" ref="A272:A275" si="29">A271+1</f>
        <v>402</v>
      </c>
      <c r="B272" s="84"/>
      <c r="C272" s="47" t="s">
        <v>187</v>
      </c>
      <c r="D272" s="49">
        <f>((51.82+(3.05+2.11+2.75+2.08)*0.75))*10.764</f>
        <v>638.43975</v>
      </c>
      <c r="E272" s="38">
        <v>0</v>
      </c>
      <c r="F272" s="38">
        <v>1160</v>
      </c>
      <c r="G272" s="112"/>
      <c r="H272" s="113"/>
      <c r="I272" s="33"/>
      <c r="J272" s="41">
        <f t="shared" si="28"/>
        <v>464000</v>
      </c>
      <c r="K272" s="41">
        <f t="shared" ref="K272:K273" si="30">8000000/F272</f>
        <v>6896.5517241379312</v>
      </c>
      <c r="L272" s="85"/>
      <c r="M272" s="85"/>
      <c r="N272" s="33"/>
    </row>
    <row r="273" spans="1:14" s="41" customFormat="1" hidden="1" x14ac:dyDescent="0.3">
      <c r="A273" s="83">
        <f t="shared" si="29"/>
        <v>403</v>
      </c>
      <c r="B273" s="84"/>
      <c r="C273" s="47" t="s">
        <v>187</v>
      </c>
      <c r="D273" s="49">
        <f>((51.82+(3.05+2.11+2.75+2.08)*0.75))*10.764</f>
        <v>638.43975</v>
      </c>
      <c r="E273" s="38">
        <v>0</v>
      </c>
      <c r="F273" s="38">
        <v>1160</v>
      </c>
      <c r="G273" s="112"/>
      <c r="H273" s="113"/>
      <c r="I273" s="33"/>
      <c r="J273" s="41">
        <f t="shared" si="28"/>
        <v>464000</v>
      </c>
      <c r="K273" s="41">
        <f t="shared" si="30"/>
        <v>6896.5517241379312</v>
      </c>
      <c r="L273" s="85"/>
      <c r="M273" s="85"/>
      <c r="N273" s="33"/>
    </row>
    <row r="274" spans="1:14" s="41" customFormat="1" hidden="1" x14ac:dyDescent="0.3">
      <c r="A274" s="83">
        <f t="shared" si="29"/>
        <v>404</v>
      </c>
      <c r="B274" s="84"/>
      <c r="C274" s="47" t="s">
        <v>188</v>
      </c>
      <c r="D274" s="49">
        <f>((73.16+(3.36+3.35+3.1+2.3+3.05)*0.75))*10.764</f>
        <v>909.88091999999995</v>
      </c>
      <c r="E274" s="38">
        <v>0</v>
      </c>
      <c r="F274" s="38">
        <v>1645</v>
      </c>
      <c r="G274" s="112"/>
      <c r="H274" s="113"/>
      <c r="I274" s="33"/>
      <c r="J274" s="41">
        <f t="shared" si="28"/>
        <v>658000</v>
      </c>
      <c r="L274" s="85"/>
      <c r="M274" s="85"/>
      <c r="N274" s="33"/>
    </row>
    <row r="275" spans="1:14" s="41" customFormat="1" hidden="1" x14ac:dyDescent="0.3">
      <c r="A275" s="83">
        <f t="shared" si="29"/>
        <v>405</v>
      </c>
      <c r="B275" s="84"/>
      <c r="C275" s="47" t="s">
        <v>187</v>
      </c>
      <c r="D275" s="49">
        <f>((53.03+(3.05+2.44+2.15+3.05)*0.75))*10.764</f>
        <v>657.11528999999996</v>
      </c>
      <c r="E275" s="38">
        <v>0</v>
      </c>
      <c r="F275" s="38">
        <v>1155</v>
      </c>
      <c r="G275" s="114"/>
      <c r="H275" s="115"/>
      <c r="I275" s="33"/>
      <c r="L275" s="85"/>
      <c r="M275" s="85"/>
      <c r="N275" s="33"/>
    </row>
    <row r="276" spans="1:14" s="41" customFormat="1" hidden="1" x14ac:dyDescent="0.3">
      <c r="A276" s="107" t="s">
        <v>191</v>
      </c>
      <c r="B276" s="108"/>
      <c r="C276" s="108"/>
      <c r="D276" s="108"/>
      <c r="E276" s="108"/>
      <c r="F276" s="108"/>
      <c r="G276" s="108"/>
      <c r="H276" s="109"/>
      <c r="J276" s="33"/>
    </row>
    <row r="277" spans="1:14" s="41" customFormat="1" ht="15.75" hidden="1" customHeight="1" x14ac:dyDescent="0.3">
      <c r="A277" s="83" t="s">
        <v>192</v>
      </c>
      <c r="B277" s="84"/>
      <c r="C277" s="47" t="s">
        <v>187</v>
      </c>
      <c r="D277" s="49">
        <f>((53.01+(3.05+2.75+3.05+2.14)*0.75))*10.764</f>
        <v>659.32190999999989</v>
      </c>
      <c r="E277" s="38">
        <v>0</v>
      </c>
      <c r="F277" s="38">
        <v>1200</v>
      </c>
      <c r="G277" s="110" t="str">
        <f>A276</f>
        <v>5th, 7th , 9th, 11th Floor</v>
      </c>
      <c r="H277" s="111"/>
      <c r="I277" s="33">
        <f>D277*1.6</f>
        <v>1054.9150559999998</v>
      </c>
      <c r="J277" s="41">
        <f t="shared" ref="J277:J282" si="31">400*F277</f>
        <v>480000</v>
      </c>
      <c r="L277" s="85"/>
      <c r="M277" s="85"/>
      <c r="N277" s="33"/>
    </row>
    <row r="278" spans="1:14" s="41" customFormat="1" ht="15.75" hidden="1" customHeight="1" x14ac:dyDescent="0.3">
      <c r="A278" s="83" t="s">
        <v>193</v>
      </c>
      <c r="B278" s="84"/>
      <c r="C278" s="47" t="s">
        <v>187</v>
      </c>
      <c r="D278" s="49">
        <f>((51.82+(3.05+2.11+2.75+2.08)*0.75))*10.764</f>
        <v>638.43975</v>
      </c>
      <c r="E278" s="38">
        <v>0</v>
      </c>
      <c r="F278" s="38">
        <v>1160</v>
      </c>
      <c r="G278" s="112"/>
      <c r="H278" s="113"/>
      <c r="I278" s="33">
        <f>I277*7900</f>
        <v>8333828.9423999982</v>
      </c>
      <c r="J278" s="41">
        <f t="shared" si="31"/>
        <v>464000</v>
      </c>
      <c r="L278" s="85"/>
      <c r="M278" s="85"/>
      <c r="N278" s="33"/>
    </row>
    <row r="279" spans="1:14" s="41" customFormat="1" ht="15.75" hidden="1" customHeight="1" x14ac:dyDescent="0.3">
      <c r="A279" s="83" t="s">
        <v>194</v>
      </c>
      <c r="B279" s="84"/>
      <c r="C279" s="47" t="s">
        <v>187</v>
      </c>
      <c r="D279" s="49">
        <f>((51.82+(3.05+2.11+2.75+2.08)*0.75))*10.764</f>
        <v>638.43975</v>
      </c>
      <c r="E279" s="38">
        <v>0</v>
      </c>
      <c r="F279" s="38">
        <v>1160</v>
      </c>
      <c r="G279" s="112"/>
      <c r="H279" s="113"/>
      <c r="I279" s="33">
        <f>I278/F277</f>
        <v>6944.8574519999984</v>
      </c>
      <c r="J279" s="41">
        <f t="shared" si="31"/>
        <v>464000</v>
      </c>
      <c r="L279" s="85"/>
      <c r="M279" s="85"/>
      <c r="N279" s="33"/>
    </row>
    <row r="280" spans="1:14" s="41" customFormat="1" ht="15.75" hidden="1" customHeight="1" x14ac:dyDescent="0.3">
      <c r="A280" s="83" t="s">
        <v>195</v>
      </c>
      <c r="B280" s="84"/>
      <c r="C280" s="47" t="s">
        <v>188</v>
      </c>
      <c r="D280" s="49">
        <f>((73.16+(3.36+3.35+3.1+2.3+3.05)*0.75))*10.764</f>
        <v>909.88091999999995</v>
      </c>
      <c r="E280" s="38">
        <v>0</v>
      </c>
      <c r="F280" s="38">
        <v>1640</v>
      </c>
      <c r="G280" s="112"/>
      <c r="H280" s="113"/>
      <c r="I280" s="33"/>
      <c r="J280" s="41">
        <f t="shared" si="31"/>
        <v>656000</v>
      </c>
      <c r="L280" s="85"/>
      <c r="M280" s="85"/>
      <c r="N280" s="33"/>
    </row>
    <row r="281" spans="1:14" s="41" customFormat="1" ht="15.75" hidden="1" customHeight="1" x14ac:dyDescent="0.3">
      <c r="A281" s="83" t="s">
        <v>196</v>
      </c>
      <c r="B281" s="84"/>
      <c r="C281" s="47" t="s">
        <v>187</v>
      </c>
      <c r="D281" s="49">
        <f>((53.03+(3.05+2.44+2.15+3.05)*0.75))*10.764</f>
        <v>657.11528999999996</v>
      </c>
      <c r="E281" s="38">
        <v>0</v>
      </c>
      <c r="F281" s="38">
        <v>1195</v>
      </c>
      <c r="G281" s="114"/>
      <c r="H281" s="115"/>
      <c r="I281" s="33"/>
      <c r="J281" s="41">
        <f t="shared" si="31"/>
        <v>478000</v>
      </c>
      <c r="L281" s="85"/>
      <c r="M281" s="85"/>
      <c r="N281" s="33"/>
    </row>
    <row r="282" spans="1:14" s="41" customFormat="1" hidden="1" x14ac:dyDescent="0.3">
      <c r="A282" s="107" t="s">
        <v>197</v>
      </c>
      <c r="B282" s="108"/>
      <c r="C282" s="108"/>
      <c r="D282" s="108"/>
      <c r="E282" s="108"/>
      <c r="F282" s="108"/>
      <c r="G282" s="108"/>
      <c r="H282" s="109"/>
      <c r="J282" s="41">
        <f t="shared" si="31"/>
        <v>0</v>
      </c>
    </row>
    <row r="283" spans="1:14" s="41" customFormat="1" ht="15.75" hidden="1" customHeight="1" x14ac:dyDescent="0.3">
      <c r="A283" s="83" t="s">
        <v>199</v>
      </c>
      <c r="B283" s="84"/>
      <c r="C283" s="47" t="s">
        <v>187</v>
      </c>
      <c r="D283" s="49">
        <f>((53.01+(3.05+2.75+3.05+2.14)*0.75))*10.764</f>
        <v>659.32190999999989</v>
      </c>
      <c r="E283" s="38">
        <v>0</v>
      </c>
      <c r="F283" s="38">
        <v>1185</v>
      </c>
      <c r="G283" s="110" t="str">
        <f>A282</f>
        <v>6th &amp; 8th Floor (Part Refuge Area)</v>
      </c>
      <c r="H283" s="111"/>
      <c r="I283" s="33"/>
      <c r="L283" s="85"/>
      <c r="M283" s="85"/>
      <c r="N283" s="33"/>
    </row>
    <row r="284" spans="1:14" s="41" customFormat="1" ht="15.75" hidden="1" customHeight="1" x14ac:dyDescent="0.3">
      <c r="A284" s="83" t="s">
        <v>200</v>
      </c>
      <c r="B284" s="84"/>
      <c r="C284" s="47" t="s">
        <v>187</v>
      </c>
      <c r="D284" s="49">
        <f>((51.82+(3.05+2.11+2.75+2.08)*0.75))*10.764</f>
        <v>638.43975</v>
      </c>
      <c r="E284" s="38">
        <v>0</v>
      </c>
      <c r="F284" s="38">
        <v>1160</v>
      </c>
      <c r="G284" s="112"/>
      <c r="H284" s="113"/>
      <c r="I284" s="33"/>
      <c r="L284" s="85"/>
      <c r="M284" s="85"/>
      <c r="N284" s="33"/>
    </row>
    <row r="285" spans="1:14" s="41" customFormat="1" ht="15.75" hidden="1" customHeight="1" x14ac:dyDescent="0.3">
      <c r="A285" s="83" t="s">
        <v>201</v>
      </c>
      <c r="B285" s="84"/>
      <c r="C285" s="47" t="s">
        <v>187</v>
      </c>
      <c r="D285" s="49">
        <f>((51.82+(3.05+2.11+2.75+2.08)*0.75))*10.764</f>
        <v>638.43975</v>
      </c>
      <c r="E285" s="38">
        <v>0</v>
      </c>
      <c r="F285" s="38">
        <v>1160</v>
      </c>
      <c r="G285" s="112"/>
      <c r="H285" s="113"/>
      <c r="I285" s="33"/>
      <c r="L285" s="85"/>
      <c r="M285" s="85"/>
      <c r="N285" s="33"/>
    </row>
    <row r="286" spans="1:14" s="41" customFormat="1" ht="15.75" hidden="1" customHeight="1" x14ac:dyDescent="0.3">
      <c r="A286" s="83" t="s">
        <v>202</v>
      </c>
      <c r="B286" s="84"/>
      <c r="C286" s="47" t="s">
        <v>188</v>
      </c>
      <c r="D286" s="49">
        <f>((73.16+(3.36+3.35+3.1+2.3+3.05)*0.75))*10.764</f>
        <v>909.88091999999995</v>
      </c>
      <c r="E286" s="38">
        <v>0</v>
      </c>
      <c r="F286" s="38">
        <v>1645</v>
      </c>
      <c r="G286" s="112"/>
      <c r="H286" s="113"/>
      <c r="I286" s="33"/>
      <c r="L286" s="85"/>
      <c r="M286" s="85"/>
      <c r="N286" s="33"/>
    </row>
    <row r="287" spans="1:14" s="41" customFormat="1" ht="15.75" hidden="1" customHeight="1" x14ac:dyDescent="0.3">
      <c r="A287" s="83" t="s">
        <v>203</v>
      </c>
      <c r="B287" s="84"/>
      <c r="C287" s="47" t="s">
        <v>187</v>
      </c>
      <c r="D287" s="49">
        <f>((53.03+(3.05+2.44+2.15+3.05)*0.75))*10.764</f>
        <v>657.11528999999996</v>
      </c>
      <c r="E287" s="38">
        <v>0</v>
      </c>
      <c r="F287" s="38">
        <v>1195</v>
      </c>
      <c r="G287" s="114"/>
      <c r="H287" s="115"/>
      <c r="I287" s="33"/>
      <c r="L287" s="85"/>
      <c r="M287" s="85"/>
      <c r="N287" s="33"/>
    </row>
    <row r="288" spans="1:14" s="41" customFormat="1" hidden="1" x14ac:dyDescent="0.3">
      <c r="A288" s="107" t="s">
        <v>198</v>
      </c>
      <c r="B288" s="108"/>
      <c r="C288" s="108"/>
      <c r="D288" s="108"/>
      <c r="E288" s="108"/>
      <c r="F288" s="108"/>
      <c r="G288" s="108"/>
      <c r="H288" s="109"/>
      <c r="J288" s="33"/>
    </row>
    <row r="289" spans="1:14" s="41" customFormat="1" ht="15.75" hidden="1" customHeight="1" x14ac:dyDescent="0.3">
      <c r="A289" s="83">
        <v>1001</v>
      </c>
      <c r="B289" s="84"/>
      <c r="C289" s="47" t="s">
        <v>187</v>
      </c>
      <c r="D289" s="49">
        <f>((53.01+(3.05+2.75+3.05+2.14)*0.75))*10.764</f>
        <v>659.32190999999989</v>
      </c>
      <c r="E289" s="38">
        <v>0</v>
      </c>
      <c r="F289" s="38">
        <v>1185</v>
      </c>
      <c r="G289" s="110" t="str">
        <f>A288</f>
        <v>10th Floor (Part Refuge Area)</v>
      </c>
      <c r="H289" s="111"/>
      <c r="I289" s="33"/>
      <c r="L289" s="85"/>
      <c r="M289" s="85"/>
      <c r="N289" s="33"/>
    </row>
    <row r="290" spans="1:14" s="41" customFormat="1" ht="15.75" hidden="1" customHeight="1" x14ac:dyDescent="0.3">
      <c r="A290" s="83">
        <v>1002</v>
      </c>
      <c r="B290" s="84"/>
      <c r="C290" s="47" t="s">
        <v>187</v>
      </c>
      <c r="D290" s="49">
        <f>((51.82+(3.05+2.11+2.75+2.08)*0.75))*10.764</f>
        <v>638.43975</v>
      </c>
      <c r="E290" s="38">
        <v>0</v>
      </c>
      <c r="F290" s="38">
        <v>1160</v>
      </c>
      <c r="G290" s="112"/>
      <c r="H290" s="113"/>
      <c r="I290" s="33"/>
      <c r="L290" s="85"/>
      <c r="M290" s="85"/>
      <c r="N290" s="33"/>
    </row>
    <row r="291" spans="1:14" s="41" customFormat="1" ht="15.75" hidden="1" customHeight="1" x14ac:dyDescent="0.3">
      <c r="A291" s="83">
        <v>1003</v>
      </c>
      <c r="B291" s="84"/>
      <c r="C291" s="47" t="s">
        <v>187</v>
      </c>
      <c r="D291" s="49">
        <f>((51.82+(3.05+2.11+2.75+2.08)*0.75))*10.764</f>
        <v>638.43975</v>
      </c>
      <c r="E291" s="38">
        <v>0</v>
      </c>
      <c r="F291" s="38">
        <v>1160</v>
      </c>
      <c r="G291" s="112"/>
      <c r="H291" s="113"/>
      <c r="I291" s="33"/>
      <c r="L291" s="85"/>
      <c r="M291" s="85"/>
      <c r="N291" s="33"/>
    </row>
    <row r="292" spans="1:14" s="41" customFormat="1" ht="15.75" hidden="1" customHeight="1" x14ac:dyDescent="0.3">
      <c r="A292" s="83">
        <v>1004</v>
      </c>
      <c r="B292" s="84"/>
      <c r="C292" s="47" t="s">
        <v>188</v>
      </c>
      <c r="D292" s="49">
        <f>((73.16+(3.36+3.35+3.1+2.3+3.05)*0.75))*10.764</f>
        <v>909.88091999999995</v>
      </c>
      <c r="E292" s="38">
        <v>0</v>
      </c>
      <c r="F292" s="38">
        <v>1645</v>
      </c>
      <c r="G292" s="112"/>
      <c r="H292" s="113"/>
      <c r="I292" s="33"/>
      <c r="L292" s="85"/>
      <c r="M292" s="85"/>
      <c r="N292" s="33"/>
    </row>
    <row r="293" spans="1:14" s="41" customFormat="1" ht="15.75" hidden="1" customHeight="1" x14ac:dyDescent="0.3">
      <c r="A293" s="83">
        <v>1005</v>
      </c>
      <c r="B293" s="84"/>
      <c r="C293" s="47" t="s">
        <v>187</v>
      </c>
      <c r="D293" s="49">
        <f>((53.03+(3.05+2.44+2.15+3.05)*0.75))*10.764</f>
        <v>657.11528999999996</v>
      </c>
      <c r="E293" s="38">
        <v>0</v>
      </c>
      <c r="F293" s="38">
        <v>1195</v>
      </c>
      <c r="G293" s="114"/>
      <c r="H293" s="115"/>
      <c r="I293" s="33"/>
      <c r="L293" s="85"/>
      <c r="M293" s="85"/>
      <c r="N293" s="33"/>
    </row>
    <row r="294" spans="1:14" s="41" customFormat="1" hidden="1" x14ac:dyDescent="0.3">
      <c r="A294" s="107" t="s">
        <v>204</v>
      </c>
      <c r="B294" s="108"/>
      <c r="C294" s="108"/>
      <c r="D294" s="108"/>
      <c r="E294" s="108"/>
      <c r="F294" s="108"/>
      <c r="G294" s="108"/>
      <c r="H294" s="109"/>
      <c r="J294" s="33"/>
    </row>
    <row r="295" spans="1:14" s="41" customFormat="1" ht="15.75" hidden="1" customHeight="1" x14ac:dyDescent="0.3">
      <c r="A295" s="83">
        <v>1201</v>
      </c>
      <c r="B295" s="84"/>
      <c r="C295" s="47" t="s">
        <v>187</v>
      </c>
      <c r="D295" s="49">
        <f>((53.02+(3.05+2.75+3.05+2.14)*0.75))*10.764</f>
        <v>659.42954999999995</v>
      </c>
      <c r="E295" s="38">
        <v>0</v>
      </c>
      <c r="F295" s="38">
        <v>1185</v>
      </c>
      <c r="G295" s="110" t="str">
        <f>A294</f>
        <v>12th Floor (Part Refuge Area)</v>
      </c>
      <c r="H295" s="111"/>
      <c r="I295" s="33"/>
      <c r="L295" s="85"/>
      <c r="M295" s="85"/>
      <c r="N295" s="33"/>
    </row>
    <row r="296" spans="1:14" s="41" customFormat="1" ht="15.75" hidden="1" customHeight="1" x14ac:dyDescent="0.3">
      <c r="A296" s="83">
        <v>1202</v>
      </c>
      <c r="B296" s="84"/>
      <c r="C296" s="47" t="s">
        <v>187</v>
      </c>
      <c r="D296" s="49">
        <f>((51.82+(3.05+2.11+2.75+2.08)*0.75))*10.764</f>
        <v>638.43975</v>
      </c>
      <c r="E296" s="38">
        <v>0</v>
      </c>
      <c r="F296" s="38">
        <v>1160</v>
      </c>
      <c r="G296" s="112"/>
      <c r="H296" s="113"/>
      <c r="I296" s="33"/>
      <c r="L296" s="85"/>
      <c r="M296" s="85"/>
      <c r="N296" s="33"/>
    </row>
    <row r="297" spans="1:14" s="41" customFormat="1" ht="15.75" hidden="1" customHeight="1" x14ac:dyDescent="0.3">
      <c r="A297" s="83">
        <v>1203</v>
      </c>
      <c r="B297" s="84"/>
      <c r="C297" s="47" t="s">
        <v>187</v>
      </c>
      <c r="D297" s="49">
        <f>((51.82+(3.05+2.11+2.75+2.08)*0.75))*10.764</f>
        <v>638.43975</v>
      </c>
      <c r="E297" s="38">
        <v>0</v>
      </c>
      <c r="F297" s="38">
        <v>1160</v>
      </c>
      <c r="G297" s="112"/>
      <c r="H297" s="113"/>
      <c r="I297" s="33"/>
      <c r="L297" s="85"/>
      <c r="M297" s="85"/>
      <c r="N297" s="33"/>
    </row>
    <row r="298" spans="1:14" s="41" customFormat="1" ht="15.75" hidden="1" customHeight="1" x14ac:dyDescent="0.3">
      <c r="A298" s="83">
        <v>1204</v>
      </c>
      <c r="B298" s="84"/>
      <c r="C298" s="47" t="s">
        <v>188</v>
      </c>
      <c r="D298" s="49">
        <f>((73.16+(3.36+3.35+3.1+2.3+3.05)*0.75))*10.764</f>
        <v>909.88091999999995</v>
      </c>
      <c r="E298" s="38">
        <v>0</v>
      </c>
      <c r="F298" s="38">
        <v>1645</v>
      </c>
      <c r="G298" s="112"/>
      <c r="H298" s="113"/>
      <c r="I298" s="33"/>
      <c r="L298" s="85"/>
      <c r="M298" s="85"/>
      <c r="N298" s="33"/>
    </row>
    <row r="299" spans="1:14" s="41" customFormat="1" ht="15.75" hidden="1" customHeight="1" x14ac:dyDescent="0.3">
      <c r="A299" s="83">
        <v>1205</v>
      </c>
      <c r="B299" s="84"/>
      <c r="C299" s="47" t="s">
        <v>187</v>
      </c>
      <c r="D299" s="49">
        <f>((53.03+(3.05+2.44+2.15+3.05)*0.75))*10.764</f>
        <v>657.11528999999996</v>
      </c>
      <c r="E299" s="38">
        <v>0</v>
      </c>
      <c r="F299" s="38">
        <v>1195</v>
      </c>
      <c r="G299" s="114"/>
      <c r="H299" s="115"/>
      <c r="I299" s="33"/>
      <c r="L299" s="85"/>
      <c r="M299" s="85"/>
      <c r="N299" s="33"/>
    </row>
    <row r="300" spans="1:14" s="41" customFormat="1" hidden="1" x14ac:dyDescent="0.3">
      <c r="A300" s="107" t="s">
        <v>205</v>
      </c>
      <c r="B300" s="108"/>
      <c r="C300" s="108"/>
      <c r="D300" s="108"/>
      <c r="E300" s="108"/>
      <c r="F300" s="108"/>
      <c r="G300" s="108"/>
      <c r="H300" s="109"/>
      <c r="J300" s="33"/>
    </row>
    <row r="301" spans="1:14" s="41" customFormat="1" ht="15.75" hidden="1" customHeight="1" x14ac:dyDescent="0.3">
      <c r="A301" s="83">
        <v>1301</v>
      </c>
      <c r="B301" s="84"/>
      <c r="C301" s="47" t="s">
        <v>187</v>
      </c>
      <c r="D301" s="49">
        <f>((53.01+(3.05+2.75+3.05+2.14)*0.75))*10.764</f>
        <v>659.32190999999989</v>
      </c>
      <c r="E301" s="38">
        <v>0</v>
      </c>
      <c r="F301" s="38">
        <v>1185</v>
      </c>
      <c r="G301" s="110" t="str">
        <f>A300</f>
        <v>13th Floor (Part Terrace Area)</v>
      </c>
      <c r="H301" s="111"/>
      <c r="I301" s="33"/>
      <c r="L301" s="85"/>
      <c r="M301" s="85"/>
      <c r="N301" s="33"/>
    </row>
    <row r="302" spans="1:14" s="41" customFormat="1" ht="15.75" hidden="1" customHeight="1" x14ac:dyDescent="0.3">
      <c r="A302" s="83">
        <v>1302</v>
      </c>
      <c r="B302" s="84"/>
      <c r="C302" s="119" t="s">
        <v>206</v>
      </c>
      <c r="D302" s="120"/>
      <c r="E302" s="120"/>
      <c r="F302" s="121"/>
      <c r="G302" s="112"/>
      <c r="H302" s="113"/>
      <c r="I302" s="33"/>
      <c r="L302" s="85"/>
      <c r="M302" s="85"/>
      <c r="N302" s="33"/>
    </row>
    <row r="303" spans="1:14" s="41" customFormat="1" ht="15.75" hidden="1" customHeight="1" x14ac:dyDescent="0.3">
      <c r="A303" s="83">
        <v>1303</v>
      </c>
      <c r="B303" s="84"/>
      <c r="C303" s="122"/>
      <c r="D303" s="123"/>
      <c r="E303" s="123"/>
      <c r="F303" s="124"/>
      <c r="G303" s="112"/>
      <c r="H303" s="113"/>
      <c r="I303" s="33"/>
      <c r="L303" s="85"/>
      <c r="M303" s="85"/>
      <c r="N303" s="33"/>
    </row>
    <row r="304" spans="1:14" s="41" customFormat="1" ht="15.75" hidden="1" customHeight="1" x14ac:dyDescent="0.3">
      <c r="A304" s="83">
        <v>1304</v>
      </c>
      <c r="B304" s="84"/>
      <c r="C304" s="47" t="s">
        <v>188</v>
      </c>
      <c r="D304" s="49">
        <f>((73.16+(3.36+3.35+3.1+2.3+3.05)*0.75))*10.764</f>
        <v>909.88091999999995</v>
      </c>
      <c r="E304" s="38">
        <v>0</v>
      </c>
      <c r="F304" s="38">
        <v>1645</v>
      </c>
      <c r="G304" s="112"/>
      <c r="H304" s="113"/>
      <c r="I304" s="33"/>
      <c r="L304" s="85"/>
      <c r="M304" s="85"/>
      <c r="N304" s="33"/>
    </row>
    <row r="305" spans="1:14" s="41" customFormat="1" ht="15.75" hidden="1" customHeight="1" x14ac:dyDescent="0.3">
      <c r="A305" s="83">
        <v>1305</v>
      </c>
      <c r="B305" s="84"/>
      <c r="C305" s="116" t="s">
        <v>206</v>
      </c>
      <c r="D305" s="117"/>
      <c r="E305" s="117"/>
      <c r="F305" s="118"/>
      <c r="G305" s="114"/>
      <c r="H305" s="115"/>
      <c r="I305" s="33"/>
      <c r="L305" s="85"/>
      <c r="M305" s="85"/>
      <c r="N305" s="33"/>
    </row>
    <row r="306" spans="1:14" s="41" customFormat="1" hidden="1" x14ac:dyDescent="0.3">
      <c r="A306" s="107" t="s">
        <v>186</v>
      </c>
      <c r="B306" s="108"/>
      <c r="C306" s="108"/>
      <c r="D306" s="108"/>
      <c r="E306" s="108"/>
      <c r="F306" s="108"/>
      <c r="G306" s="108"/>
      <c r="H306" s="109"/>
      <c r="J306" s="33"/>
    </row>
    <row r="307" spans="1:14" s="41" customFormat="1" hidden="1" x14ac:dyDescent="0.3">
      <c r="A307" s="107" t="s">
        <v>184</v>
      </c>
      <c r="B307" s="108"/>
      <c r="C307" s="108"/>
      <c r="D307" s="108"/>
      <c r="E307" s="108"/>
      <c r="F307" s="108"/>
      <c r="G307" s="108"/>
      <c r="H307" s="109"/>
      <c r="J307" s="33"/>
    </row>
    <row r="308" spans="1:14" s="41" customFormat="1" hidden="1" x14ac:dyDescent="0.3">
      <c r="A308" s="107" t="s">
        <v>185</v>
      </c>
      <c r="B308" s="108"/>
      <c r="C308" s="108"/>
      <c r="D308" s="108"/>
      <c r="E308" s="108"/>
      <c r="F308" s="108"/>
      <c r="G308" s="108"/>
      <c r="H308" s="109"/>
      <c r="J308" s="33"/>
    </row>
    <row r="309" spans="1:14" s="41" customFormat="1" hidden="1" x14ac:dyDescent="0.3">
      <c r="A309" s="107" t="s">
        <v>190</v>
      </c>
      <c r="B309" s="108"/>
      <c r="C309" s="108"/>
      <c r="D309" s="108"/>
      <c r="E309" s="108"/>
      <c r="F309" s="108"/>
      <c r="G309" s="108"/>
      <c r="H309" s="109"/>
      <c r="J309" s="33"/>
    </row>
    <row r="310" spans="1:14" s="41" customFormat="1" ht="15.75" hidden="1" customHeight="1" x14ac:dyDescent="0.3">
      <c r="A310" s="83">
        <v>301</v>
      </c>
      <c r="B310" s="84"/>
      <c r="C310" s="47" t="s">
        <v>187</v>
      </c>
      <c r="D310" s="49">
        <f>((53.03+(3.1+2.44+2.15)*0.75))*10.764</f>
        <v>632.89628999999991</v>
      </c>
      <c r="E310" s="38">
        <f>(5.89*5.51+1.22*1.8)</f>
        <v>34.649899999999995</v>
      </c>
      <c r="F310" s="38">
        <v>1355</v>
      </c>
      <c r="G310" s="110" t="str">
        <f>A309</f>
        <v>3rd Floor For Residential</v>
      </c>
      <c r="H310" s="111"/>
      <c r="I310" s="33"/>
      <c r="K310" s="41">
        <f>9502000/F281</f>
        <v>7951.4644351464431</v>
      </c>
      <c r="L310" s="85"/>
      <c r="M310" s="85"/>
      <c r="N310" s="33"/>
    </row>
    <row r="311" spans="1:14" s="41" customFormat="1" ht="15.75" hidden="1" customHeight="1" x14ac:dyDescent="0.3">
      <c r="A311" s="83">
        <f t="shared" ref="A311:A312" si="32">A310+1</f>
        <v>302</v>
      </c>
      <c r="B311" s="84"/>
      <c r="C311" s="47" t="s">
        <v>187</v>
      </c>
      <c r="D311" s="49">
        <f>((53.01+(3.05+2.24+3.05)*0.75))*10.764</f>
        <v>637.92845999999997</v>
      </c>
      <c r="E311" s="38">
        <v>0</v>
      </c>
      <c r="F311" s="38">
        <v>1065</v>
      </c>
      <c r="G311" s="112"/>
      <c r="H311" s="113"/>
      <c r="I311" s="49">
        <v>10.763999999999999</v>
      </c>
      <c r="L311" s="85"/>
      <c r="M311" s="85"/>
      <c r="N311" s="33"/>
    </row>
    <row r="312" spans="1:14" s="41" customFormat="1" ht="15.75" hidden="1" customHeight="1" x14ac:dyDescent="0.3">
      <c r="A312" s="83">
        <f t="shared" si="32"/>
        <v>303</v>
      </c>
      <c r="B312" s="84"/>
      <c r="C312" s="47" t="s">
        <v>188</v>
      </c>
      <c r="D312" s="49">
        <f>((70.82+(3.36+3.05+3.05+3.05+2.3)*0.75))*10.764</f>
        <v>881.8676099999999</v>
      </c>
      <c r="E312" s="38">
        <v>0</v>
      </c>
      <c r="F312" s="38">
        <v>1600</v>
      </c>
      <c r="G312" s="114"/>
      <c r="H312" s="115"/>
      <c r="I312" s="33"/>
      <c r="L312" s="85"/>
      <c r="M312" s="85"/>
      <c r="N312" s="33"/>
    </row>
    <row r="313" spans="1:14" s="41" customFormat="1" hidden="1" x14ac:dyDescent="0.3">
      <c r="A313" s="107" t="s">
        <v>189</v>
      </c>
      <c r="B313" s="108"/>
      <c r="C313" s="108"/>
      <c r="D313" s="108"/>
      <c r="E313" s="108"/>
      <c r="F313" s="108"/>
      <c r="G313" s="108"/>
      <c r="H313" s="109"/>
      <c r="J313" s="33"/>
    </row>
    <row r="314" spans="1:14" s="41" customFormat="1" hidden="1" x14ac:dyDescent="0.3">
      <c r="A314" s="83">
        <v>401</v>
      </c>
      <c r="B314" s="84"/>
      <c r="C314" s="47" t="s">
        <v>187</v>
      </c>
      <c r="D314" s="49">
        <f>((53.03+(3.1+2.44+2.15+3.05)*0.75))*10.764</f>
        <v>657.51893999999993</v>
      </c>
      <c r="E314" s="38">
        <f>(5.89*5.51+1.22*1.8)</f>
        <v>34.649899999999995</v>
      </c>
      <c r="F314" s="38">
        <v>1155</v>
      </c>
      <c r="G314" s="110" t="str">
        <f>A313</f>
        <v>4th Floor</v>
      </c>
      <c r="H314" s="111"/>
      <c r="I314" s="33"/>
      <c r="L314" s="85"/>
      <c r="M314" s="85"/>
      <c r="N314" s="33"/>
    </row>
    <row r="315" spans="1:14" s="41" customFormat="1" hidden="1" x14ac:dyDescent="0.3">
      <c r="A315" s="83">
        <f t="shared" ref="A315:A316" si="33">A314+1</f>
        <v>402</v>
      </c>
      <c r="B315" s="84"/>
      <c r="C315" s="47" t="s">
        <v>187</v>
      </c>
      <c r="D315" s="49">
        <f>((53.03+(3.05+2.24+3.05+2.1)*0.75))*10.764</f>
        <v>655.09703999999999</v>
      </c>
      <c r="E315" s="38">
        <v>0</v>
      </c>
      <c r="F315" s="38">
        <v>1160</v>
      </c>
      <c r="G315" s="112"/>
      <c r="H315" s="113"/>
      <c r="I315" s="33"/>
      <c r="L315" s="85"/>
      <c r="M315" s="85"/>
      <c r="N315" s="33"/>
    </row>
    <row r="316" spans="1:14" s="41" customFormat="1" hidden="1" x14ac:dyDescent="0.3">
      <c r="A316" s="83">
        <f t="shared" si="33"/>
        <v>403</v>
      </c>
      <c r="B316" s="84"/>
      <c r="C316" s="47" t="s">
        <v>188</v>
      </c>
      <c r="D316" s="49">
        <f>((51.97+(3.36+3.35+3.05+3.05+2.3)*0.75))*10.764</f>
        <v>681.38810999999987</v>
      </c>
      <c r="E316" s="38">
        <v>0</v>
      </c>
      <c r="F316" s="38">
        <v>1600</v>
      </c>
      <c r="G316" s="114"/>
      <c r="H316" s="115"/>
      <c r="I316" s="33"/>
      <c r="L316" s="85"/>
      <c r="M316" s="85"/>
      <c r="N316" s="33"/>
    </row>
    <row r="317" spans="1:14" s="41" customFormat="1" hidden="1" x14ac:dyDescent="0.3">
      <c r="A317" s="107" t="s">
        <v>191</v>
      </c>
      <c r="B317" s="108"/>
      <c r="C317" s="108"/>
      <c r="D317" s="108"/>
      <c r="E317" s="108"/>
      <c r="F317" s="108"/>
      <c r="G317" s="108"/>
      <c r="H317" s="109"/>
      <c r="J317" s="33"/>
    </row>
    <row r="318" spans="1:14" s="41" customFormat="1" ht="15.75" hidden="1" customHeight="1" x14ac:dyDescent="0.3">
      <c r="A318" s="83" t="s">
        <v>192</v>
      </c>
      <c r="B318" s="84"/>
      <c r="C318" s="47" t="s">
        <v>187</v>
      </c>
      <c r="D318" s="49">
        <f>((53.03+(3.1+2.44+2.15+3.05)*0.75))*10.764</f>
        <v>657.51893999999993</v>
      </c>
      <c r="E318" s="38">
        <f>(5.89*5.51+1.22*1.8)</f>
        <v>34.649899999999995</v>
      </c>
      <c r="F318" s="38">
        <v>1195</v>
      </c>
      <c r="G318" s="110" t="str">
        <f>A317</f>
        <v>5th, 7th , 9th, 11th Floor</v>
      </c>
      <c r="H318" s="111"/>
      <c r="I318" s="33"/>
      <c r="L318" s="85"/>
      <c r="M318" s="85"/>
      <c r="N318" s="33"/>
    </row>
    <row r="319" spans="1:14" s="41" customFormat="1" ht="15.75" hidden="1" customHeight="1" x14ac:dyDescent="0.3">
      <c r="A319" s="83" t="s">
        <v>193</v>
      </c>
      <c r="B319" s="84"/>
      <c r="C319" s="47" t="s">
        <v>187</v>
      </c>
      <c r="D319" s="49">
        <f>((51.97+(3.05+2.24+3.05+2.1)*0.75))*10.764</f>
        <v>643.68719999999996</v>
      </c>
      <c r="E319" s="38">
        <v>0</v>
      </c>
      <c r="F319" s="38">
        <v>1165</v>
      </c>
      <c r="G319" s="112"/>
      <c r="H319" s="113"/>
      <c r="I319" s="33"/>
      <c r="L319" s="85"/>
      <c r="M319" s="85"/>
      <c r="N319" s="33"/>
    </row>
    <row r="320" spans="1:14" s="41" customFormat="1" ht="15.75" hidden="1" customHeight="1" x14ac:dyDescent="0.3">
      <c r="A320" s="83" t="s">
        <v>194</v>
      </c>
      <c r="B320" s="84"/>
      <c r="C320" s="47" t="s">
        <v>188</v>
      </c>
      <c r="D320" s="49">
        <f>((70.82+(3.36+3.35+3.05+3.05+2.3)*0.75))*10.764</f>
        <v>884.28950999999984</v>
      </c>
      <c r="E320" s="38">
        <v>0</v>
      </c>
      <c r="F320" s="38">
        <v>1600</v>
      </c>
      <c r="G320" s="114"/>
      <c r="H320" s="115"/>
      <c r="I320" s="33"/>
      <c r="L320" s="85"/>
      <c r="M320" s="85"/>
      <c r="N320" s="33"/>
    </row>
    <row r="321" spans="1:14" s="41" customFormat="1" hidden="1" x14ac:dyDescent="0.3">
      <c r="A321" s="107" t="s">
        <v>197</v>
      </c>
      <c r="B321" s="108"/>
      <c r="C321" s="108"/>
      <c r="D321" s="108"/>
      <c r="E321" s="108"/>
      <c r="F321" s="108"/>
      <c r="G321" s="108"/>
      <c r="H321" s="109"/>
      <c r="J321" s="33"/>
    </row>
    <row r="322" spans="1:14" s="41" customFormat="1" ht="15.75" hidden="1" customHeight="1" x14ac:dyDescent="0.3">
      <c r="A322" s="83" t="s">
        <v>199</v>
      </c>
      <c r="B322" s="84"/>
      <c r="C322" s="47" t="s">
        <v>187</v>
      </c>
      <c r="D322" s="49">
        <f>((53.03+(3.1+2.44+2.15+3.05)*0.75))*10.764</f>
        <v>657.51893999999993</v>
      </c>
      <c r="E322" s="38">
        <f>(5.89*5.51+1.22*1.8)</f>
        <v>34.649899999999995</v>
      </c>
      <c r="F322" s="38">
        <v>1195</v>
      </c>
      <c r="G322" s="110" t="str">
        <f>A321</f>
        <v>6th &amp; 8th Floor (Part Refuge Area)</v>
      </c>
      <c r="H322" s="111"/>
      <c r="I322" s="33"/>
      <c r="L322" s="85"/>
      <c r="M322" s="85"/>
      <c r="N322" s="33"/>
    </row>
    <row r="323" spans="1:14" s="41" customFormat="1" ht="15.75" hidden="1" customHeight="1" x14ac:dyDescent="0.3">
      <c r="A323" s="83" t="s">
        <v>200</v>
      </c>
      <c r="B323" s="84"/>
      <c r="C323" s="47" t="s">
        <v>187</v>
      </c>
      <c r="D323" s="49">
        <f>((51.97+(3.05+2.24+3.05+2.1)*0.75))*10.764</f>
        <v>643.68719999999996</v>
      </c>
      <c r="E323" s="38">
        <v>0</v>
      </c>
      <c r="F323" s="38">
        <v>1160</v>
      </c>
      <c r="G323" s="112"/>
      <c r="H323" s="113"/>
      <c r="I323" s="33"/>
      <c r="L323" s="85"/>
      <c r="M323" s="85"/>
      <c r="N323" s="33"/>
    </row>
    <row r="324" spans="1:14" s="41" customFormat="1" ht="15.75" hidden="1" customHeight="1" x14ac:dyDescent="0.3">
      <c r="A324" s="83" t="s">
        <v>201</v>
      </c>
      <c r="B324" s="84"/>
      <c r="C324" s="47" t="s">
        <v>188</v>
      </c>
      <c r="D324" s="49">
        <f>((70.82+(3.36+3.35+3.05+3.05+2.3)*0.75))*10.764</f>
        <v>884.28950999999984</v>
      </c>
      <c r="E324" s="38">
        <v>0</v>
      </c>
      <c r="F324" s="38">
        <v>1600</v>
      </c>
      <c r="G324" s="114"/>
      <c r="H324" s="115"/>
      <c r="I324" s="33"/>
      <c r="L324" s="85"/>
      <c r="M324" s="85"/>
      <c r="N324" s="33"/>
    </row>
    <row r="325" spans="1:14" s="41" customFormat="1" hidden="1" x14ac:dyDescent="0.3">
      <c r="A325" s="107" t="s">
        <v>198</v>
      </c>
      <c r="B325" s="108"/>
      <c r="C325" s="108"/>
      <c r="D325" s="108"/>
      <c r="E325" s="108"/>
      <c r="F325" s="108"/>
      <c r="G325" s="108"/>
      <c r="H325" s="109"/>
      <c r="J325" s="33"/>
    </row>
    <row r="326" spans="1:14" s="41" customFormat="1" ht="15.75" hidden="1" customHeight="1" x14ac:dyDescent="0.3">
      <c r="A326" s="83">
        <v>1001</v>
      </c>
      <c r="B326" s="84"/>
      <c r="C326" s="47" t="s">
        <v>187</v>
      </c>
      <c r="D326" s="49">
        <f>((53.03+(3.1+2.44+2.15+3.05)*0.75))*10.764</f>
        <v>657.51893999999993</v>
      </c>
      <c r="E326" s="38">
        <f>(5.89*5.51+1.22*1.8)</f>
        <v>34.649899999999995</v>
      </c>
      <c r="F326" s="38">
        <v>1195</v>
      </c>
      <c r="G326" s="110" t="str">
        <f>A325</f>
        <v>10th Floor (Part Refuge Area)</v>
      </c>
      <c r="H326" s="111"/>
      <c r="I326" s="33"/>
      <c r="L326" s="85"/>
      <c r="M326" s="85"/>
      <c r="N326" s="33"/>
    </row>
    <row r="327" spans="1:14" s="41" customFormat="1" ht="15.75" hidden="1" customHeight="1" x14ac:dyDescent="0.3">
      <c r="A327" s="83">
        <v>1002</v>
      </c>
      <c r="B327" s="84"/>
      <c r="C327" s="47" t="s">
        <v>187</v>
      </c>
      <c r="D327" s="49">
        <f>((51.97+(3.05+2.24+3.05+2.1)*0.75))*10.764</f>
        <v>643.68719999999996</v>
      </c>
      <c r="E327" s="38">
        <v>0</v>
      </c>
      <c r="F327" s="38">
        <v>1160</v>
      </c>
      <c r="G327" s="112"/>
      <c r="H327" s="113"/>
      <c r="I327" s="33"/>
      <c r="L327" s="85"/>
      <c r="M327" s="85"/>
      <c r="N327" s="33"/>
    </row>
    <row r="328" spans="1:14" s="41" customFormat="1" ht="15.75" hidden="1" customHeight="1" x14ac:dyDescent="0.3">
      <c r="A328" s="83">
        <v>1003</v>
      </c>
      <c r="B328" s="84"/>
      <c r="C328" s="47" t="s">
        <v>188</v>
      </c>
      <c r="D328" s="49">
        <f>((70.82+(3.36+3.35+3.05+3.05+2.3)*0.75))*10.764</f>
        <v>884.28950999999984</v>
      </c>
      <c r="E328" s="38">
        <v>0</v>
      </c>
      <c r="F328" s="38">
        <v>1600</v>
      </c>
      <c r="G328" s="114"/>
      <c r="H328" s="115"/>
      <c r="I328" s="33"/>
      <c r="L328" s="85"/>
      <c r="M328" s="85"/>
      <c r="N328" s="33"/>
    </row>
    <row r="329" spans="1:14" s="41" customFormat="1" hidden="1" x14ac:dyDescent="0.3">
      <c r="A329" s="107" t="s">
        <v>204</v>
      </c>
      <c r="B329" s="108"/>
      <c r="C329" s="108"/>
      <c r="D329" s="108"/>
      <c r="E329" s="108"/>
      <c r="F329" s="108"/>
      <c r="G329" s="108"/>
      <c r="H329" s="109"/>
      <c r="J329" s="33"/>
    </row>
    <row r="330" spans="1:14" s="41" customFormat="1" ht="15.75" hidden="1" customHeight="1" x14ac:dyDescent="0.3">
      <c r="A330" s="83">
        <v>1201</v>
      </c>
      <c r="B330" s="84"/>
      <c r="C330" s="47" t="s">
        <v>187</v>
      </c>
      <c r="D330" s="49">
        <f>((53.03+(3.1+2.44+2.15+3.05)*0.75))*10.764</f>
        <v>657.51893999999993</v>
      </c>
      <c r="E330" s="38">
        <f>(5.89*5.51+1.22*1.8)</f>
        <v>34.649899999999995</v>
      </c>
      <c r="F330" s="38">
        <v>1195</v>
      </c>
      <c r="G330" s="110" t="str">
        <f>A329</f>
        <v>12th Floor (Part Refuge Area)</v>
      </c>
      <c r="H330" s="111"/>
      <c r="I330" s="33"/>
      <c r="L330" s="85"/>
      <c r="M330" s="85"/>
      <c r="N330" s="33"/>
    </row>
    <row r="331" spans="1:14" s="41" customFormat="1" ht="15.75" hidden="1" customHeight="1" x14ac:dyDescent="0.3">
      <c r="A331" s="83">
        <v>1202</v>
      </c>
      <c r="B331" s="84"/>
      <c r="C331" s="47" t="s">
        <v>187</v>
      </c>
      <c r="D331" s="49">
        <f>((51.97+(3.05+2.24+3.05+2.1)*0.75))*10.764</f>
        <v>643.68719999999996</v>
      </c>
      <c r="E331" s="38">
        <v>0</v>
      </c>
      <c r="F331" s="38">
        <v>1160</v>
      </c>
      <c r="G331" s="112"/>
      <c r="H331" s="113"/>
      <c r="I331" s="33"/>
      <c r="L331" s="85"/>
      <c r="M331" s="85"/>
      <c r="N331" s="33"/>
    </row>
    <row r="332" spans="1:14" s="41" customFormat="1" ht="15.75" hidden="1" customHeight="1" x14ac:dyDescent="0.3">
      <c r="A332" s="83">
        <v>1203</v>
      </c>
      <c r="B332" s="84"/>
      <c r="C332" s="47" t="s">
        <v>188</v>
      </c>
      <c r="D332" s="49">
        <f>((70.82+(3.36+3.35+3.05+3.05+2.3)*0.75))*10.764</f>
        <v>884.28950999999984</v>
      </c>
      <c r="E332" s="38">
        <v>0</v>
      </c>
      <c r="F332" s="38">
        <v>1600</v>
      </c>
      <c r="G332" s="114"/>
      <c r="H332" s="115"/>
      <c r="I332" s="33"/>
      <c r="L332" s="85"/>
      <c r="M332" s="85"/>
      <c r="N332" s="33"/>
    </row>
    <row r="333" spans="1:14" s="41" customFormat="1" hidden="1" x14ac:dyDescent="0.3">
      <c r="A333" s="107" t="s">
        <v>205</v>
      </c>
      <c r="B333" s="108"/>
      <c r="C333" s="108"/>
      <c r="D333" s="108"/>
      <c r="E333" s="108"/>
      <c r="F333" s="108"/>
      <c r="G333" s="108"/>
      <c r="H333" s="109"/>
      <c r="J333" s="33"/>
    </row>
    <row r="334" spans="1:14" s="41" customFormat="1" ht="15.75" hidden="1" customHeight="1" x14ac:dyDescent="0.3">
      <c r="A334" s="83">
        <v>1301</v>
      </c>
      <c r="B334" s="84"/>
      <c r="C334" s="47" t="s">
        <v>187</v>
      </c>
      <c r="D334" s="49">
        <f>((53.03+(3.1+2.44+2.15+3.05)*0.75))*10.764</f>
        <v>657.51893999999993</v>
      </c>
      <c r="E334" s="38">
        <f>(5.89*5.51+1.22*1.8)</f>
        <v>34.649899999999995</v>
      </c>
      <c r="F334" s="38">
        <v>1195</v>
      </c>
      <c r="G334" s="110" t="str">
        <f>A333</f>
        <v>13th Floor (Part Terrace Area)</v>
      </c>
      <c r="H334" s="111"/>
      <c r="I334" s="33"/>
      <c r="L334" s="85"/>
      <c r="M334" s="85"/>
      <c r="N334" s="33"/>
    </row>
    <row r="335" spans="1:14" s="41" customFormat="1" ht="15.75" hidden="1" customHeight="1" x14ac:dyDescent="0.3">
      <c r="A335" s="83">
        <v>1302</v>
      </c>
      <c r="B335" s="84"/>
      <c r="C335" s="116" t="s">
        <v>206</v>
      </c>
      <c r="D335" s="117"/>
      <c r="E335" s="117"/>
      <c r="F335" s="118"/>
      <c r="G335" s="112"/>
      <c r="H335" s="113"/>
      <c r="I335" s="33"/>
      <c r="L335" s="85"/>
      <c r="M335" s="85"/>
      <c r="N335" s="33"/>
    </row>
    <row r="336" spans="1:14" s="41" customFormat="1" ht="15.75" hidden="1" customHeight="1" x14ac:dyDescent="0.3">
      <c r="A336" s="83">
        <v>1303</v>
      </c>
      <c r="B336" s="84"/>
      <c r="C336" s="47" t="s">
        <v>188</v>
      </c>
      <c r="D336" s="49">
        <f>((70.82+(3.36+3.35+3.05+3.05+2.3)*0.75))*10.764</f>
        <v>884.28950999999984</v>
      </c>
      <c r="E336" s="38">
        <v>0</v>
      </c>
      <c r="F336" s="38">
        <v>1600</v>
      </c>
      <c r="G336" s="114"/>
      <c r="H336" s="115"/>
      <c r="I336" s="33"/>
      <c r="L336" s="85"/>
      <c r="M336" s="85"/>
      <c r="N336" s="33"/>
    </row>
    <row r="337" spans="1:15" s="32" customFormat="1" x14ac:dyDescent="0.3">
      <c r="A337" s="139" t="s">
        <v>68</v>
      </c>
      <c r="B337" s="139"/>
      <c r="C337" s="139"/>
      <c r="D337" s="139"/>
      <c r="E337" s="139"/>
      <c r="F337" s="139"/>
      <c r="G337" s="139"/>
      <c r="H337" s="139"/>
    </row>
    <row r="338" spans="1:15" s="32" customFormat="1" x14ac:dyDescent="0.3">
      <c r="A338" s="40" t="s">
        <v>151</v>
      </c>
      <c r="B338" s="136" t="s">
        <v>209</v>
      </c>
      <c r="C338" s="137"/>
      <c r="D338" s="137"/>
      <c r="E338" s="137"/>
      <c r="F338" s="137"/>
      <c r="G338" s="137"/>
      <c r="H338" s="138"/>
    </row>
    <row r="339" spans="1:15" s="32" customFormat="1" x14ac:dyDescent="0.3">
      <c r="A339" s="40" t="s">
        <v>151</v>
      </c>
      <c r="B339" s="136" t="s">
        <v>277</v>
      </c>
      <c r="C339" s="137"/>
      <c r="D339" s="137"/>
      <c r="E339" s="137"/>
      <c r="F339" s="137"/>
      <c r="G339" s="137"/>
      <c r="H339" s="138"/>
    </row>
    <row r="340" spans="1:15" s="32" customFormat="1" x14ac:dyDescent="0.3">
      <c r="A340" s="40" t="s">
        <v>151</v>
      </c>
      <c r="B340" s="136" t="s">
        <v>216</v>
      </c>
      <c r="C340" s="137"/>
      <c r="D340" s="137"/>
      <c r="E340" s="137"/>
      <c r="F340" s="137"/>
      <c r="G340" s="137"/>
      <c r="H340" s="138"/>
    </row>
    <row r="341" spans="1:15" s="32" customFormat="1" x14ac:dyDescent="0.3">
      <c r="A341" s="40" t="s">
        <v>151</v>
      </c>
      <c r="B341" s="133" t="s">
        <v>122</v>
      </c>
      <c r="C341" s="134"/>
      <c r="D341" s="134"/>
      <c r="E341" s="134"/>
      <c r="F341" s="134"/>
      <c r="G341" s="134"/>
      <c r="H341" s="135"/>
    </row>
    <row r="342" spans="1:15" s="32" customFormat="1" x14ac:dyDescent="0.3">
      <c r="A342" s="40" t="s">
        <v>151</v>
      </c>
      <c r="B342" s="136" t="s">
        <v>242</v>
      </c>
      <c r="C342" s="137"/>
      <c r="D342" s="137"/>
      <c r="E342" s="137"/>
      <c r="F342" s="137"/>
      <c r="G342" s="137"/>
      <c r="H342" s="138"/>
      <c r="I342" s="133" t="s">
        <v>210</v>
      </c>
      <c r="J342" s="134"/>
      <c r="K342" s="134"/>
      <c r="L342" s="134"/>
      <c r="M342" s="134"/>
      <c r="N342" s="134"/>
      <c r="O342" s="135"/>
    </row>
    <row r="343" spans="1:15" s="32" customFormat="1" x14ac:dyDescent="0.3">
      <c r="A343" s="40" t="s">
        <v>151</v>
      </c>
      <c r="B343" s="133" t="s">
        <v>150</v>
      </c>
      <c r="C343" s="134"/>
      <c r="D343" s="134"/>
      <c r="E343" s="134"/>
      <c r="F343" s="134"/>
      <c r="G343" s="134"/>
      <c r="H343" s="135"/>
    </row>
    <row r="344" spans="1:15" s="32" customFormat="1" x14ac:dyDescent="0.3">
      <c r="A344" s="40" t="s">
        <v>151</v>
      </c>
      <c r="B344" s="133" t="s">
        <v>123</v>
      </c>
      <c r="C344" s="134"/>
      <c r="D344" s="134"/>
      <c r="E344" s="134"/>
      <c r="F344" s="134"/>
      <c r="G344" s="134"/>
      <c r="H344" s="135"/>
    </row>
    <row r="345" spans="1:15" s="32" customFormat="1" ht="34.5" customHeight="1" x14ac:dyDescent="0.3">
      <c r="A345" s="40" t="s">
        <v>151</v>
      </c>
      <c r="B345" s="133" t="s">
        <v>152</v>
      </c>
      <c r="C345" s="134"/>
      <c r="D345" s="134"/>
      <c r="E345" s="134"/>
      <c r="F345" s="134"/>
      <c r="G345" s="134"/>
      <c r="H345" s="135"/>
    </row>
    <row r="346" spans="1:15" s="32" customFormat="1" x14ac:dyDescent="0.3">
      <c r="A346" s="40" t="s">
        <v>151</v>
      </c>
      <c r="B346" s="133" t="s">
        <v>124</v>
      </c>
      <c r="C346" s="134"/>
      <c r="D346" s="134"/>
      <c r="E346" s="134"/>
      <c r="F346" s="134"/>
      <c r="G346" s="134"/>
      <c r="H346" s="135"/>
    </row>
    <row r="347" spans="1:15" s="64" customFormat="1" ht="15.75" customHeight="1" x14ac:dyDescent="0.3">
      <c r="A347" s="69" t="s">
        <v>151</v>
      </c>
      <c r="B347" s="136" t="s">
        <v>273</v>
      </c>
      <c r="C347" s="137"/>
      <c r="D347" s="137"/>
      <c r="E347" s="137"/>
      <c r="F347" s="137"/>
      <c r="G347" s="137"/>
      <c r="H347" s="138"/>
    </row>
    <row r="348" spans="1:15" s="64" customFormat="1" ht="15.75" customHeight="1" x14ac:dyDescent="0.3">
      <c r="A348" s="69" t="s">
        <v>151</v>
      </c>
      <c r="B348" s="136" t="s">
        <v>274</v>
      </c>
      <c r="C348" s="137"/>
      <c r="D348" s="137"/>
      <c r="E348" s="137"/>
      <c r="F348" s="137"/>
      <c r="G348" s="137"/>
      <c r="H348" s="138"/>
    </row>
    <row r="349" spans="1:15" s="32" customFormat="1" ht="34.5" customHeight="1" x14ac:dyDescent="0.3">
      <c r="A349" s="69" t="s">
        <v>151</v>
      </c>
      <c r="B349" s="136" t="s">
        <v>282</v>
      </c>
      <c r="C349" s="137"/>
      <c r="D349" s="137"/>
      <c r="E349" s="137"/>
      <c r="F349" s="137"/>
      <c r="G349" s="137"/>
      <c r="H349" s="138"/>
    </row>
    <row r="350" spans="1:15" s="32" customFormat="1" x14ac:dyDescent="0.3">
      <c r="A350" s="69" t="s">
        <v>151</v>
      </c>
      <c r="B350" s="136" t="s">
        <v>283</v>
      </c>
      <c r="C350" s="137"/>
      <c r="D350" s="137"/>
      <c r="E350" s="137"/>
      <c r="F350" s="137"/>
      <c r="G350" s="137"/>
      <c r="H350" s="138"/>
    </row>
    <row r="351" spans="1:15" s="32" customFormat="1" ht="15.75" customHeight="1" x14ac:dyDescent="0.3">
      <c r="A351" s="73" t="s">
        <v>151</v>
      </c>
      <c r="B351" s="223" t="s">
        <v>287</v>
      </c>
      <c r="C351" s="224"/>
      <c r="D351" s="224"/>
      <c r="E351" s="224"/>
      <c r="F351" s="224"/>
      <c r="G351" s="224"/>
      <c r="H351" s="225"/>
    </row>
    <row r="352" spans="1:15" x14ac:dyDescent="0.3">
      <c r="A352" s="153" t="s">
        <v>61</v>
      </c>
      <c r="B352" s="153"/>
      <c r="C352" s="153"/>
      <c r="D352" s="153"/>
      <c r="E352" s="153"/>
      <c r="F352" s="153"/>
      <c r="G352" s="153"/>
      <c r="H352" s="153"/>
    </row>
    <row r="353" spans="1:9" x14ac:dyDescent="0.3">
      <c r="A353" s="125" t="s">
        <v>62</v>
      </c>
      <c r="B353" s="125"/>
      <c r="C353" s="125"/>
      <c r="D353" s="125"/>
      <c r="E353" s="125"/>
      <c r="F353" s="125"/>
      <c r="G353" s="125"/>
      <c r="H353" s="125"/>
    </row>
    <row r="354" spans="1:9" ht="15.75" customHeight="1" x14ac:dyDescent="0.3">
      <c r="A354" s="126" t="s">
        <v>63</v>
      </c>
      <c r="B354" s="126"/>
      <c r="C354" s="126"/>
      <c r="D354" s="126"/>
      <c r="E354" s="126"/>
      <c r="F354" s="126"/>
      <c r="G354" s="126"/>
      <c r="H354" s="126"/>
    </row>
    <row r="355" spans="1:9" x14ac:dyDescent="0.3">
      <c r="A355" s="125" t="s">
        <v>64</v>
      </c>
      <c r="B355" s="125"/>
      <c r="C355" s="125"/>
      <c r="D355" s="125"/>
      <c r="E355" s="125"/>
      <c r="F355" s="125"/>
      <c r="G355" s="125"/>
      <c r="H355" s="125"/>
    </row>
    <row r="356" spans="1:9" x14ac:dyDescent="0.3">
      <c r="A356" s="125" t="s">
        <v>65</v>
      </c>
      <c r="B356" s="125"/>
      <c r="C356" s="125"/>
      <c r="D356" s="125"/>
      <c r="E356" s="125"/>
      <c r="F356" s="125"/>
      <c r="G356" s="125"/>
      <c r="H356" s="125"/>
    </row>
    <row r="357" spans="1:9" x14ac:dyDescent="0.3">
      <c r="A357" s="125" t="s">
        <v>125</v>
      </c>
      <c r="B357" s="125"/>
      <c r="C357" s="125"/>
      <c r="D357" s="125"/>
      <c r="E357" s="125"/>
      <c r="F357" s="125"/>
      <c r="G357" s="125"/>
      <c r="H357" s="125"/>
    </row>
    <row r="358" spans="1:9" ht="35.25" customHeight="1" x14ac:dyDescent="0.3">
      <c r="A358" s="152" t="s">
        <v>126</v>
      </c>
      <c r="B358" s="152"/>
      <c r="C358" s="152"/>
      <c r="D358" s="152"/>
      <c r="E358" s="152"/>
      <c r="F358" s="152"/>
      <c r="G358" s="152"/>
      <c r="H358" s="152"/>
    </row>
    <row r="359" spans="1:9" x14ac:dyDescent="0.3">
      <c r="A359" s="148" t="s">
        <v>77</v>
      </c>
      <c r="B359" s="148"/>
      <c r="C359" s="148" t="s">
        <v>293</v>
      </c>
      <c r="D359" s="148"/>
      <c r="E359" s="148" t="s">
        <v>103</v>
      </c>
      <c r="F359" s="148"/>
      <c r="G359" s="148" t="s">
        <v>292</v>
      </c>
      <c r="H359" s="148"/>
    </row>
    <row r="360" spans="1:9" x14ac:dyDescent="0.3">
      <c r="A360" s="147" t="s">
        <v>79</v>
      </c>
      <c r="B360" s="147"/>
      <c r="C360" s="147"/>
      <c r="D360" s="147"/>
      <c r="E360" s="147"/>
      <c r="F360" s="147"/>
      <c r="G360" s="147"/>
      <c r="H360" s="147"/>
    </row>
    <row r="361" spans="1:9" x14ac:dyDescent="0.3">
      <c r="A361" s="147"/>
      <c r="B361" s="147"/>
      <c r="C361" s="147"/>
      <c r="D361" s="147"/>
      <c r="E361" s="147"/>
      <c r="F361" s="147"/>
      <c r="G361" s="147"/>
      <c r="H361" s="147"/>
    </row>
    <row r="362" spans="1:9" x14ac:dyDescent="0.3">
      <c r="A362" s="147"/>
      <c r="B362" s="147"/>
      <c r="C362" s="147"/>
      <c r="D362" s="147"/>
      <c r="E362" s="147"/>
      <c r="F362" s="147"/>
      <c r="G362" s="147"/>
      <c r="H362" s="147"/>
      <c r="I362" s="59"/>
    </row>
    <row r="363" spans="1:9" x14ac:dyDescent="0.3">
      <c r="A363" s="147"/>
      <c r="B363" s="147"/>
      <c r="C363" s="147"/>
      <c r="D363" s="147"/>
      <c r="E363" s="147"/>
      <c r="F363" s="147"/>
      <c r="G363" s="147"/>
      <c r="H363" s="147"/>
    </row>
    <row r="364" spans="1:9" x14ac:dyDescent="0.3">
      <c r="A364" s="34" t="s">
        <v>66</v>
      </c>
      <c r="B364" s="35"/>
      <c r="C364" s="35"/>
      <c r="D364" s="34" t="str">
        <f>E8</f>
        <v>Royal Palm</v>
      </c>
      <c r="F364" s="35"/>
      <c r="G364" s="35"/>
      <c r="H364" s="35"/>
    </row>
    <row r="365" spans="1:9" x14ac:dyDescent="0.3">
      <c r="A365" s="35"/>
      <c r="B365" s="35"/>
      <c r="C365" s="35"/>
      <c r="D365" s="35"/>
      <c r="E365" s="35"/>
      <c r="F365" s="35"/>
      <c r="G365" s="35"/>
      <c r="H365" s="35"/>
    </row>
    <row r="366" spans="1:9" x14ac:dyDescent="0.3">
      <c r="A366" s="35"/>
      <c r="B366" s="35"/>
      <c r="C366" s="35"/>
      <c r="D366" s="35"/>
      <c r="E366" s="35"/>
      <c r="F366" s="35"/>
      <c r="G366" s="35"/>
      <c r="H366" s="35"/>
    </row>
    <row r="367" spans="1:9" ht="15" customHeight="1" x14ac:dyDescent="0.3"/>
    <row r="375" spans="3:3" x14ac:dyDescent="0.3">
      <c r="C375"/>
    </row>
    <row r="406" spans="1:1" x14ac:dyDescent="0.3">
      <c r="A406" s="37" t="s">
        <v>241</v>
      </c>
    </row>
    <row r="448" spans="1:1" x14ac:dyDescent="0.3">
      <c r="A448" s="37" t="s">
        <v>67</v>
      </c>
    </row>
  </sheetData>
  <mergeCells count="675">
    <mergeCell ref="B351:H351"/>
    <mergeCell ref="B350:H350"/>
    <mergeCell ref="A54:B55"/>
    <mergeCell ref="C54:E54"/>
    <mergeCell ref="G54:H54"/>
    <mergeCell ref="C55:H55"/>
    <mergeCell ref="E98:F98"/>
    <mergeCell ref="G98:H98"/>
    <mergeCell ref="I342:O342"/>
    <mergeCell ref="B349:H349"/>
    <mergeCell ref="A226:B226"/>
    <mergeCell ref="A212:H212"/>
    <mergeCell ref="L212:M212"/>
    <mergeCell ref="A213:B213"/>
    <mergeCell ref="A214:B214"/>
    <mergeCell ref="A215:B215"/>
    <mergeCell ref="A216:B216"/>
    <mergeCell ref="A217:H217"/>
    <mergeCell ref="L217:M217"/>
    <mergeCell ref="A218:B218"/>
    <mergeCell ref="L198:M198"/>
    <mergeCell ref="A199:B199"/>
    <mergeCell ref="L199:M199"/>
    <mergeCell ref="A192:B192"/>
    <mergeCell ref="A52:B53"/>
    <mergeCell ref="C52:E52"/>
    <mergeCell ref="G52:H52"/>
    <mergeCell ref="B348:H348"/>
    <mergeCell ref="A227:H227"/>
    <mergeCell ref="L227:M227"/>
    <mergeCell ref="A228:B228"/>
    <mergeCell ref="A229:B229"/>
    <mergeCell ref="A230:B230"/>
    <mergeCell ref="A231:B231"/>
    <mergeCell ref="A219:B219"/>
    <mergeCell ref="A220:B220"/>
    <mergeCell ref="A221:B221"/>
    <mergeCell ref="A222:H222"/>
    <mergeCell ref="L222:M222"/>
    <mergeCell ref="A223:B223"/>
    <mergeCell ref="A224:B224"/>
    <mergeCell ref="A225:B225"/>
    <mergeCell ref="A98:B98"/>
    <mergeCell ref="C98:D98"/>
    <mergeCell ref="L207:M207"/>
    <mergeCell ref="A209:B209"/>
    <mergeCell ref="A210:B210"/>
    <mergeCell ref="A211:B211"/>
    <mergeCell ref="C192:H192"/>
    <mergeCell ref="L192:M192"/>
    <mergeCell ref="A200:H200"/>
    <mergeCell ref="L200:M200"/>
    <mergeCell ref="A201:H201"/>
    <mergeCell ref="L201:M201"/>
    <mergeCell ref="L191:M191"/>
    <mergeCell ref="A193:H193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L186:M186"/>
    <mergeCell ref="A187:B187"/>
    <mergeCell ref="L187:M187"/>
    <mergeCell ref="A188:B188"/>
    <mergeCell ref="L188:M188"/>
    <mergeCell ref="A189:B189"/>
    <mergeCell ref="L189:M189"/>
    <mergeCell ref="A190:B190"/>
    <mergeCell ref="L190:M190"/>
    <mergeCell ref="L179:M179"/>
    <mergeCell ref="A180:B180"/>
    <mergeCell ref="L180:M180"/>
    <mergeCell ref="L181:M181"/>
    <mergeCell ref="A182:B182"/>
    <mergeCell ref="L182:M182"/>
    <mergeCell ref="A183:B183"/>
    <mergeCell ref="L183:M183"/>
    <mergeCell ref="A184:B184"/>
    <mergeCell ref="L184:M184"/>
    <mergeCell ref="C184:H184"/>
    <mergeCell ref="L159:M159"/>
    <mergeCell ref="A161:B161"/>
    <mergeCell ref="L161:M161"/>
    <mergeCell ref="A154:H154"/>
    <mergeCell ref="L175:M175"/>
    <mergeCell ref="A176:B176"/>
    <mergeCell ref="L176:M176"/>
    <mergeCell ref="A177:H177"/>
    <mergeCell ref="A178:B178"/>
    <mergeCell ref="L178:M178"/>
    <mergeCell ref="L140:M140"/>
    <mergeCell ref="A141:B141"/>
    <mergeCell ref="L141:M141"/>
    <mergeCell ref="A142:B142"/>
    <mergeCell ref="L142:M142"/>
    <mergeCell ref="A143:B143"/>
    <mergeCell ref="L157:M157"/>
    <mergeCell ref="A158:B158"/>
    <mergeCell ref="L158:M158"/>
    <mergeCell ref="A148:B148"/>
    <mergeCell ref="L148:M148"/>
    <mergeCell ref="A149:B149"/>
    <mergeCell ref="L149:M149"/>
    <mergeCell ref="A150:B150"/>
    <mergeCell ref="L150:M150"/>
    <mergeCell ref="L134:M134"/>
    <mergeCell ref="A135:B135"/>
    <mergeCell ref="L135:M135"/>
    <mergeCell ref="A136:B136"/>
    <mergeCell ref="L136:M136"/>
    <mergeCell ref="A137:B137"/>
    <mergeCell ref="L137:M137"/>
    <mergeCell ref="L138:M138"/>
    <mergeCell ref="A139:B139"/>
    <mergeCell ref="L139:M139"/>
    <mergeCell ref="L202:M202"/>
    <mergeCell ref="A160:B160"/>
    <mergeCell ref="L160:M160"/>
    <mergeCell ref="A163:H163"/>
    <mergeCell ref="A164:B164"/>
    <mergeCell ref="L164:M164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A173:B173"/>
    <mergeCell ref="L173:M173"/>
    <mergeCell ref="A170:H170"/>
    <mergeCell ref="A171:B171"/>
    <mergeCell ref="L174:M174"/>
    <mergeCell ref="L171:M171"/>
    <mergeCell ref="A172:B172"/>
    <mergeCell ref="L172:M172"/>
    <mergeCell ref="L129:M129"/>
    <mergeCell ref="A130:B130"/>
    <mergeCell ref="L130:M130"/>
    <mergeCell ref="A131:B131"/>
    <mergeCell ref="L131:M131"/>
    <mergeCell ref="A132:B132"/>
    <mergeCell ref="L132:M132"/>
    <mergeCell ref="A151:H151"/>
    <mergeCell ref="A152:A153"/>
    <mergeCell ref="B152:B153"/>
    <mergeCell ref="C152:C153"/>
    <mergeCell ref="D152:D153"/>
    <mergeCell ref="E152:E153"/>
    <mergeCell ref="F152:F153"/>
    <mergeCell ref="G152:G153"/>
    <mergeCell ref="L143:M143"/>
    <mergeCell ref="A144:B144"/>
    <mergeCell ref="L144:M144"/>
    <mergeCell ref="A145:B145"/>
    <mergeCell ref="L145:M145"/>
    <mergeCell ref="A146:B146"/>
    <mergeCell ref="L146:M146"/>
    <mergeCell ref="L147:M147"/>
    <mergeCell ref="L133:M133"/>
    <mergeCell ref="I50:K50"/>
    <mergeCell ref="I48:K48"/>
    <mergeCell ref="I51:K51"/>
    <mergeCell ref="L48:M48"/>
    <mergeCell ref="A123:H123"/>
    <mergeCell ref="A124:H124"/>
    <mergeCell ref="A125:A126"/>
    <mergeCell ref="B125:B126"/>
    <mergeCell ref="C125:C126"/>
    <mergeCell ref="D125:D126"/>
    <mergeCell ref="E125:E126"/>
    <mergeCell ref="F125:F126"/>
    <mergeCell ref="G125:G126"/>
    <mergeCell ref="A122:B122"/>
    <mergeCell ref="C122:D122"/>
    <mergeCell ref="E122:F122"/>
    <mergeCell ref="G122:H122"/>
    <mergeCell ref="A116:B116"/>
    <mergeCell ref="C116:D116"/>
    <mergeCell ref="E116:F116"/>
    <mergeCell ref="G116:H116"/>
    <mergeCell ref="G118:H118"/>
    <mergeCell ref="D64:H64"/>
    <mergeCell ref="A72:B72"/>
    <mergeCell ref="C37:H37"/>
    <mergeCell ref="B345:H345"/>
    <mergeCell ref="A47:B47"/>
    <mergeCell ref="C47:H47"/>
    <mergeCell ref="B343:H343"/>
    <mergeCell ref="F101:H101"/>
    <mergeCell ref="A101:E101"/>
    <mergeCell ref="A103:E103"/>
    <mergeCell ref="A237:B237"/>
    <mergeCell ref="A238:B238"/>
    <mergeCell ref="A239:B239"/>
    <mergeCell ref="A108:E108"/>
    <mergeCell ref="F102:H102"/>
    <mergeCell ref="A107:E107"/>
    <mergeCell ref="A104:E104"/>
    <mergeCell ref="F103:H103"/>
    <mergeCell ref="A102:E102"/>
    <mergeCell ref="C115:D115"/>
    <mergeCell ref="E115:F115"/>
    <mergeCell ref="A76:B76"/>
    <mergeCell ref="A202:H202"/>
    <mergeCell ref="A179:B179"/>
    <mergeCell ref="A185:H185"/>
    <mergeCell ref="A207:H207"/>
    <mergeCell ref="C50:E50"/>
    <mergeCell ref="A65:C65"/>
    <mergeCell ref="G120:H120"/>
    <mergeCell ref="C118:D118"/>
    <mergeCell ref="A16:B16"/>
    <mergeCell ref="C16:H16"/>
    <mergeCell ref="A38:B38"/>
    <mergeCell ref="C38:H38"/>
    <mergeCell ref="A99:E99"/>
    <mergeCell ref="C114:D114"/>
    <mergeCell ref="F110:H110"/>
    <mergeCell ref="F108:H108"/>
    <mergeCell ref="G114:H114"/>
    <mergeCell ref="A109:E109"/>
    <mergeCell ref="A105:E105"/>
    <mergeCell ref="F105:H105"/>
    <mergeCell ref="A106:E106"/>
    <mergeCell ref="A64:C64"/>
    <mergeCell ref="D63:H63"/>
    <mergeCell ref="E74:F83"/>
    <mergeCell ref="A66:C66"/>
    <mergeCell ref="D66:H66"/>
    <mergeCell ref="A42:D42"/>
    <mergeCell ref="E42:H42"/>
    <mergeCell ref="A69:C69"/>
    <mergeCell ref="D69:H69"/>
    <mergeCell ref="A67:C67"/>
    <mergeCell ref="D67:H67"/>
    <mergeCell ref="A68:C68"/>
    <mergeCell ref="D68:H68"/>
    <mergeCell ref="A74:B74"/>
    <mergeCell ref="G73:H73"/>
    <mergeCell ref="A73:B73"/>
    <mergeCell ref="G74:H83"/>
    <mergeCell ref="A82:B82"/>
    <mergeCell ref="A83:B83"/>
    <mergeCell ref="A70:B70"/>
    <mergeCell ref="C70:H70"/>
    <mergeCell ref="A79:B79"/>
    <mergeCell ref="A80:B80"/>
    <mergeCell ref="C49:E49"/>
    <mergeCell ref="C56:E56"/>
    <mergeCell ref="A78:B78"/>
    <mergeCell ref="A43:D43"/>
    <mergeCell ref="A36:H36"/>
    <mergeCell ref="A35:B35"/>
    <mergeCell ref="C35:E35"/>
    <mergeCell ref="A40:D40"/>
    <mergeCell ref="E40:H40"/>
    <mergeCell ref="D65:H65"/>
    <mergeCell ref="C72:H72"/>
    <mergeCell ref="A58:H58"/>
    <mergeCell ref="A59:C59"/>
    <mergeCell ref="A60:C60"/>
    <mergeCell ref="D60:H60"/>
    <mergeCell ref="G56:H56"/>
    <mergeCell ref="A56:B57"/>
    <mergeCell ref="C57:H57"/>
    <mergeCell ref="C51:H51"/>
    <mergeCell ref="E44:H44"/>
    <mergeCell ref="E45:H45"/>
    <mergeCell ref="A75:B75"/>
    <mergeCell ref="A77:B77"/>
    <mergeCell ref="E73:F73"/>
    <mergeCell ref="L240:M240"/>
    <mergeCell ref="L239:M239"/>
    <mergeCell ref="L238:M238"/>
    <mergeCell ref="L237:M237"/>
    <mergeCell ref="A81:B81"/>
    <mergeCell ref="C119:D119"/>
    <mergeCell ref="E119:F119"/>
    <mergeCell ref="G119:H119"/>
    <mergeCell ref="F106:H106"/>
    <mergeCell ref="A100:E100"/>
    <mergeCell ref="A236:H236"/>
    <mergeCell ref="G234:H234"/>
    <mergeCell ref="F99:H99"/>
    <mergeCell ref="F104:H104"/>
    <mergeCell ref="G121:H121"/>
    <mergeCell ref="A120:B120"/>
    <mergeCell ref="A233:H233"/>
    <mergeCell ref="A121:B121"/>
    <mergeCell ref="A127:H127"/>
    <mergeCell ref="F109:H109"/>
    <mergeCell ref="A110:E110"/>
    <mergeCell ref="C121:D121"/>
    <mergeCell ref="E121:F121"/>
    <mergeCell ref="E120:F120"/>
    <mergeCell ref="F32:H32"/>
    <mergeCell ref="F33:H33"/>
    <mergeCell ref="A39:H39"/>
    <mergeCell ref="A63:C63"/>
    <mergeCell ref="F35:H35"/>
    <mergeCell ref="A37:B37"/>
    <mergeCell ref="A44:D44"/>
    <mergeCell ref="A45:D45"/>
    <mergeCell ref="A46:H46"/>
    <mergeCell ref="D61:H61"/>
    <mergeCell ref="A61:C61"/>
    <mergeCell ref="G49:H49"/>
    <mergeCell ref="A50:B51"/>
    <mergeCell ref="E41:H41"/>
    <mergeCell ref="A41:D41"/>
    <mergeCell ref="A48:B48"/>
    <mergeCell ref="C48:E48"/>
    <mergeCell ref="G48:H48"/>
    <mergeCell ref="A62:C62"/>
    <mergeCell ref="D62:H62"/>
    <mergeCell ref="E43:H43"/>
    <mergeCell ref="G50:H50"/>
    <mergeCell ref="D59:H59"/>
    <mergeCell ref="A49:B49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360:H363"/>
    <mergeCell ref="A359:B359"/>
    <mergeCell ref="E359:F359"/>
    <mergeCell ref="C359:D359"/>
    <mergeCell ref="G359:H359"/>
    <mergeCell ref="A113:H113"/>
    <mergeCell ref="A111:E111"/>
    <mergeCell ref="F111:H111"/>
    <mergeCell ref="A112:E112"/>
    <mergeCell ref="F112:H112"/>
    <mergeCell ref="A119:B119"/>
    <mergeCell ref="A115:B115"/>
    <mergeCell ref="A355:H355"/>
    <mergeCell ref="A117:H117"/>
    <mergeCell ref="A358:H358"/>
    <mergeCell ref="A356:H356"/>
    <mergeCell ref="A259:H259"/>
    <mergeCell ref="A352:H352"/>
    <mergeCell ref="A353:H353"/>
    <mergeCell ref="E118:F118"/>
    <mergeCell ref="B346:H346"/>
    <mergeCell ref="B347:H347"/>
    <mergeCell ref="B344:H344"/>
    <mergeCell ref="C120:D120"/>
    <mergeCell ref="B338:H338"/>
    <mergeCell ref="B339:H339"/>
    <mergeCell ref="A296:B296"/>
    <mergeCell ref="A128:H128"/>
    <mergeCell ref="A129:B129"/>
    <mergeCell ref="A156:H156"/>
    <mergeCell ref="A157:B157"/>
    <mergeCell ref="A203:B203"/>
    <mergeCell ref="A204:B204"/>
    <mergeCell ref="A205:B205"/>
    <mergeCell ref="A208:B208"/>
    <mergeCell ref="A159:B159"/>
    <mergeCell ref="A133:B133"/>
    <mergeCell ref="A138:B138"/>
    <mergeCell ref="A175:B175"/>
    <mergeCell ref="A181:B181"/>
    <mergeCell ref="A186:B186"/>
    <mergeCell ref="A147:B147"/>
    <mergeCell ref="A174:B174"/>
    <mergeCell ref="A155:H155"/>
    <mergeCell ref="A134:B134"/>
    <mergeCell ref="A140:B140"/>
    <mergeCell ref="A191:B191"/>
    <mergeCell ref="A198:B198"/>
    <mergeCell ref="A357:H357"/>
    <mergeCell ref="A354:H354"/>
    <mergeCell ref="A118:B118"/>
    <mergeCell ref="G260:H260"/>
    <mergeCell ref="F100:H100"/>
    <mergeCell ref="G115:H115"/>
    <mergeCell ref="A280:B280"/>
    <mergeCell ref="A314:B314"/>
    <mergeCell ref="A328:B328"/>
    <mergeCell ref="G318:H320"/>
    <mergeCell ref="G322:H324"/>
    <mergeCell ref="G326:H328"/>
    <mergeCell ref="A327:B327"/>
    <mergeCell ref="B341:H341"/>
    <mergeCell ref="B342:H342"/>
    <mergeCell ref="A337:H337"/>
    <mergeCell ref="A310:B310"/>
    <mergeCell ref="A240:B240"/>
    <mergeCell ref="A245:B245"/>
    <mergeCell ref="E114:F114"/>
    <mergeCell ref="A114:B114"/>
    <mergeCell ref="F107:H107"/>
    <mergeCell ref="B340:H340"/>
    <mergeCell ref="A232:H232"/>
    <mergeCell ref="L245:M245"/>
    <mergeCell ref="A246:B246"/>
    <mergeCell ref="L246:M246"/>
    <mergeCell ref="A247:B247"/>
    <mergeCell ref="L247:M247"/>
    <mergeCell ref="L241:M241"/>
    <mergeCell ref="A242:B242"/>
    <mergeCell ref="L242:M242"/>
    <mergeCell ref="A243:B243"/>
    <mergeCell ref="L243:M243"/>
    <mergeCell ref="A244:B244"/>
    <mergeCell ref="L244:M244"/>
    <mergeCell ref="A241:B241"/>
    <mergeCell ref="L251:M251"/>
    <mergeCell ref="A252:B252"/>
    <mergeCell ref="L252:M252"/>
    <mergeCell ref="A253:B253"/>
    <mergeCell ref="L253:M253"/>
    <mergeCell ref="A248:B248"/>
    <mergeCell ref="L248:M248"/>
    <mergeCell ref="A249:B249"/>
    <mergeCell ref="L249:M249"/>
    <mergeCell ref="A250:B250"/>
    <mergeCell ref="L250:M250"/>
    <mergeCell ref="A251:B251"/>
    <mergeCell ref="L257:M257"/>
    <mergeCell ref="A258:B258"/>
    <mergeCell ref="L258:M258"/>
    <mergeCell ref="A254:B254"/>
    <mergeCell ref="L254:M254"/>
    <mergeCell ref="A255:B255"/>
    <mergeCell ref="L255:M255"/>
    <mergeCell ref="A256:B256"/>
    <mergeCell ref="L256:M256"/>
    <mergeCell ref="L269:M269"/>
    <mergeCell ref="A270:H270"/>
    <mergeCell ref="A271:B271"/>
    <mergeCell ref="L271:M271"/>
    <mergeCell ref="A272:B272"/>
    <mergeCell ref="L272:M272"/>
    <mergeCell ref="A273:B273"/>
    <mergeCell ref="L273:M273"/>
    <mergeCell ref="A261:H261"/>
    <mergeCell ref="A262:H262"/>
    <mergeCell ref="A263:H263"/>
    <mergeCell ref="A264:H264"/>
    <mergeCell ref="A265:B265"/>
    <mergeCell ref="L265:M265"/>
    <mergeCell ref="A266:B266"/>
    <mergeCell ref="L266:M266"/>
    <mergeCell ref="A267:B267"/>
    <mergeCell ref="L267:M267"/>
    <mergeCell ref="A268:B268"/>
    <mergeCell ref="L268:M268"/>
    <mergeCell ref="A269:B269"/>
    <mergeCell ref="L274:M274"/>
    <mergeCell ref="A275:B275"/>
    <mergeCell ref="L275:M275"/>
    <mergeCell ref="A313:H313"/>
    <mergeCell ref="L283:M283"/>
    <mergeCell ref="A284:B284"/>
    <mergeCell ref="L284:M284"/>
    <mergeCell ref="A285:B285"/>
    <mergeCell ref="L285:M285"/>
    <mergeCell ref="A286:B286"/>
    <mergeCell ref="L286:M286"/>
    <mergeCell ref="A287:B287"/>
    <mergeCell ref="L287:M287"/>
    <mergeCell ref="A306:H306"/>
    <mergeCell ref="A307:H307"/>
    <mergeCell ref="A308:H308"/>
    <mergeCell ref="L310:M310"/>
    <mergeCell ref="L311:M311"/>
    <mergeCell ref="L312:M312"/>
    <mergeCell ref="L277:M277"/>
    <mergeCell ref="A278:B278"/>
    <mergeCell ref="L278:M278"/>
    <mergeCell ref="A279:B279"/>
    <mergeCell ref="L279:M279"/>
    <mergeCell ref="A324:B324"/>
    <mergeCell ref="L324:M324"/>
    <mergeCell ref="A317:H317"/>
    <mergeCell ref="A318:B318"/>
    <mergeCell ref="L318:M318"/>
    <mergeCell ref="A319:B319"/>
    <mergeCell ref="L319:M319"/>
    <mergeCell ref="A320:B320"/>
    <mergeCell ref="L320:M320"/>
    <mergeCell ref="A321:H321"/>
    <mergeCell ref="A322:B322"/>
    <mergeCell ref="L322:M322"/>
    <mergeCell ref="A323:B323"/>
    <mergeCell ref="L323:M323"/>
    <mergeCell ref="L314:M314"/>
    <mergeCell ref="A301:B301"/>
    <mergeCell ref="L280:M280"/>
    <mergeCell ref="A281:B281"/>
    <mergeCell ref="L281:M281"/>
    <mergeCell ref="L289:M289"/>
    <mergeCell ref="A290:B290"/>
    <mergeCell ref="L290:M290"/>
    <mergeCell ref="A291:B291"/>
    <mergeCell ref="L291:M291"/>
    <mergeCell ref="L293:M293"/>
    <mergeCell ref="L295:M295"/>
    <mergeCell ref="L299:M299"/>
    <mergeCell ref="L296:M296"/>
    <mergeCell ref="A297:B297"/>
    <mergeCell ref="L297:M297"/>
    <mergeCell ref="L304:M304"/>
    <mergeCell ref="A305:B305"/>
    <mergeCell ref="L305:M305"/>
    <mergeCell ref="G314:H316"/>
    <mergeCell ref="C302:F303"/>
    <mergeCell ref="C305:F305"/>
    <mergeCell ref="A311:B311"/>
    <mergeCell ref="L328:M328"/>
    <mergeCell ref="A329:H329"/>
    <mergeCell ref="A292:B292"/>
    <mergeCell ref="L292:M292"/>
    <mergeCell ref="A293:B293"/>
    <mergeCell ref="A325:H325"/>
    <mergeCell ref="A326:B326"/>
    <mergeCell ref="L326:M326"/>
    <mergeCell ref="L301:M301"/>
    <mergeCell ref="A302:B302"/>
    <mergeCell ref="L302:M302"/>
    <mergeCell ref="A303:B303"/>
    <mergeCell ref="L303:M303"/>
    <mergeCell ref="A304:B304"/>
    <mergeCell ref="A309:H309"/>
    <mergeCell ref="A316:B316"/>
    <mergeCell ref="L316:M316"/>
    <mergeCell ref="A298:B298"/>
    <mergeCell ref="L298:M298"/>
    <mergeCell ref="A299:B299"/>
    <mergeCell ref="G310:H312"/>
    <mergeCell ref="A315:B315"/>
    <mergeCell ref="L315:M315"/>
    <mergeCell ref="A312:B312"/>
    <mergeCell ref="A336:B336"/>
    <mergeCell ref="L336:M336"/>
    <mergeCell ref="C335:F335"/>
    <mergeCell ref="A331:B331"/>
    <mergeCell ref="L331:M331"/>
    <mergeCell ref="A332:B332"/>
    <mergeCell ref="L332:M332"/>
    <mergeCell ref="G330:H332"/>
    <mergeCell ref="G334:H336"/>
    <mergeCell ref="A333:H333"/>
    <mergeCell ref="A334:B334"/>
    <mergeCell ref="A330:B330"/>
    <mergeCell ref="L330:M330"/>
    <mergeCell ref="L334:M334"/>
    <mergeCell ref="A335:B335"/>
    <mergeCell ref="L335:M335"/>
    <mergeCell ref="A92:B92"/>
    <mergeCell ref="A93:B93"/>
    <mergeCell ref="A94:B94"/>
    <mergeCell ref="L327:M327"/>
    <mergeCell ref="A235:H235"/>
    <mergeCell ref="G237:H258"/>
    <mergeCell ref="G265:H269"/>
    <mergeCell ref="G271:H275"/>
    <mergeCell ref="G277:H281"/>
    <mergeCell ref="G283:H287"/>
    <mergeCell ref="G289:H293"/>
    <mergeCell ref="G295:H299"/>
    <mergeCell ref="G301:H305"/>
    <mergeCell ref="A294:H294"/>
    <mergeCell ref="A295:B295"/>
    <mergeCell ref="A300:H300"/>
    <mergeCell ref="A288:H288"/>
    <mergeCell ref="A289:B289"/>
    <mergeCell ref="A276:H276"/>
    <mergeCell ref="A277:B277"/>
    <mergeCell ref="A282:H282"/>
    <mergeCell ref="A283:B283"/>
    <mergeCell ref="A274:B274"/>
    <mergeCell ref="A257:B257"/>
    <mergeCell ref="A95:B95"/>
    <mergeCell ref="A96:B96"/>
    <mergeCell ref="A97:B97"/>
    <mergeCell ref="C53:E53"/>
    <mergeCell ref="G53:H53"/>
    <mergeCell ref="A162:B162"/>
    <mergeCell ref="L162:M162"/>
    <mergeCell ref="C162:H162"/>
    <mergeCell ref="A206:B206"/>
    <mergeCell ref="C206:H206"/>
    <mergeCell ref="L206:M206"/>
    <mergeCell ref="A84:B84"/>
    <mergeCell ref="C84:H84"/>
    <mergeCell ref="A86:B86"/>
    <mergeCell ref="C86:H86"/>
    <mergeCell ref="A87:B87"/>
    <mergeCell ref="E87:F87"/>
    <mergeCell ref="G87:H87"/>
    <mergeCell ref="A88:B88"/>
    <mergeCell ref="E88:F97"/>
    <mergeCell ref="G88:H97"/>
    <mergeCell ref="A89:B89"/>
    <mergeCell ref="A90:B90"/>
    <mergeCell ref="A91:B91"/>
  </mergeCells>
  <dataValidations count="8">
    <dataValidation type="list" allowBlank="1" showInputMessage="1" showErrorMessage="1" sqref="D152:D153" xr:uid="{00000000-0002-0000-0000-000000000000}">
      <formula1>"Carpet Area,Carpet + Encl Balcony Area,RERA Carpet area"</formula1>
    </dataValidation>
    <dataValidation type="list" allowBlank="1" showInputMessage="1" showErrorMessage="1" sqref="D125:D126" xr:uid="{00000000-0002-0000-0000-000001000000}">
      <formula1>"Carpet area,RERA Carpet area"</formula1>
    </dataValidation>
    <dataValidation type="list" allowBlank="1" showInputMessage="1" showErrorMessage="1" sqref="H125 H152" xr:uid="{00000000-0002-0000-0000-000002000000}">
      <formula1>"Saleable area Loading :,Builder Saleable Area"</formula1>
    </dataValidation>
    <dataValidation type="list" allowBlank="1" showInputMessage="1" showErrorMessage="1" sqref="H126 H153" xr:uid="{00000000-0002-0000-0000-000003000000}">
      <formula1>".45,.50,.55,.60"</formula1>
    </dataValidation>
    <dataValidation type="list" allowBlank="1" showInputMessage="1" showErrorMessage="1" sqref="E152:E153" xr:uid="{00000000-0002-0000-0000-000004000000}">
      <formula1>"Fungible area,Balcony Area,Balcony + Chajja Area,Cornice Area,AP Area,WS Area"</formula1>
    </dataValidation>
    <dataValidation type="list" allowBlank="1" showInputMessage="1" showErrorMessage="1" sqref="B152:B153" xr:uid="{00000000-0002-0000-0000-000005000000}">
      <formula1>"Flat No. (Sale Plan),Sale / Rehab,Sale / Mhada"</formula1>
    </dataValidation>
    <dataValidation type="list" allowBlank="1" showInputMessage="1" showErrorMessage="1" sqref="B125:B126" xr:uid="{00000000-0002-0000-0000-000006000000}">
      <formula1>"Shop No. (Sale Plan),Sale / Rehab,Sale / Mhada"</formula1>
    </dataValidation>
    <dataValidation type="list" allowBlank="1" showInputMessage="1" showErrorMessage="1" sqref="E125:E126" xr:uid="{00000000-0002-0000-0000-000007000000}">
      <formula1>"Attached Loft area,Attached Otla area,Attached Mezzanine area"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69" max="7" man="1"/>
    <brk id="112" max="7" man="1"/>
    <brk id="151" max="7" man="1"/>
    <brk id="336" max="7" man="1"/>
    <brk id="363" max="16383" man="1"/>
    <brk id="405" max="7" man="1"/>
    <brk id="44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28" t="s">
        <v>104</v>
      </c>
      <c r="C3" s="228"/>
      <c r="D3" s="228"/>
      <c r="E3" s="228"/>
      <c r="F3" s="228"/>
      <c r="G3" s="228"/>
      <c r="H3" s="228"/>
    </row>
    <row r="4" spans="1:9" x14ac:dyDescent="0.3">
      <c r="A4" s="2"/>
      <c r="B4" s="3" t="s">
        <v>105</v>
      </c>
      <c r="C4" s="3" t="s">
        <v>106</v>
      </c>
      <c r="D4" s="3" t="s">
        <v>69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2025-09-12T12:52:27Z</cp:lastPrinted>
  <dcterms:created xsi:type="dcterms:W3CDTF">2019-07-16T09:29:46Z</dcterms:created>
  <dcterms:modified xsi:type="dcterms:W3CDTF">2025-09-12T12:52:32Z</dcterms:modified>
</cp:coreProperties>
</file>