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C02A1BAC-DC18-4782-97A0-6367D4F222C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2" i="1" l="1"/>
  <c r="A163" i="1" s="1"/>
  <c r="A164" i="1" s="1"/>
  <c r="A165" i="1" s="1"/>
  <c r="A166" i="1" s="1"/>
  <c r="D153" i="1"/>
  <c r="D62" i="1" l="1"/>
  <c r="J230" i="1"/>
  <c r="J233" i="1"/>
  <c r="K206" i="1"/>
  <c r="J174" i="1"/>
  <c r="E253" i="1"/>
  <c r="E238" i="1"/>
  <c r="E237" i="1"/>
  <c r="D240" i="1"/>
  <c r="F240" i="1" s="1"/>
  <c r="H240" i="1" s="1"/>
  <c r="D238" i="1"/>
  <c r="D237" i="1"/>
  <c r="E243" i="1"/>
  <c r="E242" i="1"/>
  <c r="D245" i="1"/>
  <c r="F245" i="1" s="1"/>
  <c r="H245" i="1" s="1"/>
  <c r="D244" i="1"/>
  <c r="F244" i="1" s="1"/>
  <c r="H244" i="1" s="1"/>
  <c r="D243" i="1"/>
  <c r="D242" i="1"/>
  <c r="E247" i="1"/>
  <c r="D250" i="1"/>
  <c r="F250" i="1" s="1"/>
  <c r="H250" i="1" s="1"/>
  <c r="D249" i="1"/>
  <c r="F249" i="1" s="1"/>
  <c r="H249" i="1" s="1"/>
  <c r="D247" i="1"/>
  <c r="E252" i="1"/>
  <c r="D255" i="1"/>
  <c r="F255" i="1" s="1"/>
  <c r="H255" i="1" s="1"/>
  <c r="D254" i="1"/>
  <c r="F254" i="1" s="1"/>
  <c r="H254" i="1" s="1"/>
  <c r="D253" i="1"/>
  <c r="D252" i="1"/>
  <c r="E257" i="1"/>
  <c r="D257" i="1"/>
  <c r="D260" i="1"/>
  <c r="F260" i="1" s="1"/>
  <c r="H260" i="1" s="1"/>
  <c r="D259" i="1"/>
  <c r="F259" i="1" s="1"/>
  <c r="H259" i="1" s="1"/>
  <c r="E263" i="1"/>
  <c r="E262" i="1"/>
  <c r="D265" i="1"/>
  <c r="F265" i="1" s="1"/>
  <c r="H265" i="1" s="1"/>
  <c r="D264" i="1"/>
  <c r="F264" i="1" s="1"/>
  <c r="H264" i="1" s="1"/>
  <c r="D263" i="1"/>
  <c r="D262" i="1"/>
  <c r="J262" i="1"/>
  <c r="E231" i="1"/>
  <c r="E230" i="1"/>
  <c r="D233" i="1"/>
  <c r="F233" i="1" s="1"/>
  <c r="H233" i="1" s="1"/>
  <c r="D232" i="1"/>
  <c r="F232" i="1" s="1"/>
  <c r="H232" i="1" s="1"/>
  <c r="D231" i="1"/>
  <c r="D230" i="1"/>
  <c r="E225" i="1"/>
  <c r="D228" i="1"/>
  <c r="F228" i="1" s="1"/>
  <c r="H228" i="1" s="1"/>
  <c r="D227" i="1"/>
  <c r="F227" i="1" s="1"/>
  <c r="H227" i="1" s="1"/>
  <c r="D225" i="1"/>
  <c r="E221" i="1"/>
  <c r="E220" i="1"/>
  <c r="D223" i="1"/>
  <c r="D222" i="1"/>
  <c r="D221" i="1"/>
  <c r="D220" i="1"/>
  <c r="D218" i="1"/>
  <c r="D217" i="1"/>
  <c r="E211" i="1"/>
  <c r="E210" i="1"/>
  <c r="D213" i="1"/>
  <c r="D212" i="1"/>
  <c r="D211" i="1"/>
  <c r="D210" i="1"/>
  <c r="E206" i="1"/>
  <c r="E205" i="1"/>
  <c r="D206" i="1"/>
  <c r="D205" i="1"/>
  <c r="J208" i="1"/>
  <c r="E199" i="1"/>
  <c r="E198" i="1"/>
  <c r="E197" i="1"/>
  <c r="E196" i="1"/>
  <c r="D201" i="1"/>
  <c r="D200" i="1"/>
  <c r="D199" i="1"/>
  <c r="D198" i="1"/>
  <c r="D197" i="1"/>
  <c r="D196" i="1"/>
  <c r="E192" i="1"/>
  <c r="E191" i="1"/>
  <c r="E190" i="1"/>
  <c r="D194" i="1"/>
  <c r="D193" i="1"/>
  <c r="D192" i="1"/>
  <c r="D191" i="1"/>
  <c r="D190" i="1"/>
  <c r="E185" i="1"/>
  <c r="E184" i="1"/>
  <c r="E183" i="1"/>
  <c r="E182" i="1"/>
  <c r="D187" i="1"/>
  <c r="D186" i="1"/>
  <c r="D185" i="1"/>
  <c r="D184" i="1"/>
  <c r="D183" i="1"/>
  <c r="D182" i="1"/>
  <c r="E178" i="1"/>
  <c r="E177" i="1"/>
  <c r="E176" i="1"/>
  <c r="D180" i="1"/>
  <c r="D179" i="1"/>
  <c r="D178" i="1"/>
  <c r="D177" i="1"/>
  <c r="D176" i="1"/>
  <c r="E171" i="1"/>
  <c r="E170" i="1"/>
  <c r="E169" i="1"/>
  <c r="E168" i="1"/>
  <c r="D173" i="1"/>
  <c r="D172" i="1"/>
  <c r="D171" i="1"/>
  <c r="D170" i="1"/>
  <c r="D169" i="1"/>
  <c r="C142" i="1" s="1"/>
  <c r="D168" i="1"/>
  <c r="E164" i="1"/>
  <c r="E163" i="1"/>
  <c r="E162" i="1"/>
  <c r="E161" i="1"/>
  <c r="D165" i="1"/>
  <c r="D164" i="1"/>
  <c r="D163" i="1"/>
  <c r="D162" i="1"/>
  <c r="D161" i="1"/>
  <c r="D155" i="1"/>
  <c r="D154" i="1"/>
  <c r="N172" i="1"/>
  <c r="I265" i="1"/>
  <c r="I262" i="1"/>
  <c r="I260" i="1"/>
  <c r="I257" i="1"/>
  <c r="I255" i="1"/>
  <c r="I252" i="1"/>
  <c r="I250" i="1"/>
  <c r="I247" i="1"/>
  <c r="I245" i="1"/>
  <c r="I242" i="1"/>
  <c r="I237" i="1"/>
  <c r="I240" i="1"/>
  <c r="I231" i="1"/>
  <c r="I230" i="1"/>
  <c r="I225" i="1"/>
  <c r="C132" i="1" l="1"/>
  <c r="C133" i="1" s="1"/>
  <c r="F262" i="1"/>
  <c r="H262" i="1" s="1"/>
  <c r="F243" i="1"/>
  <c r="H243" i="1" s="1"/>
  <c r="F242" i="1"/>
  <c r="H242" i="1" s="1"/>
  <c r="F230" i="1"/>
  <c r="H230" i="1" s="1"/>
  <c r="C138" i="1"/>
  <c r="F247" i="1"/>
  <c r="H247" i="1" s="1"/>
  <c r="C137" i="1"/>
  <c r="C136" i="1"/>
  <c r="C143" i="1"/>
  <c r="F252" i="1"/>
  <c r="H252" i="1" s="1"/>
  <c r="F263" i="1"/>
  <c r="H263" i="1" s="1"/>
  <c r="F237" i="1"/>
  <c r="C144" i="1"/>
  <c r="F238" i="1"/>
  <c r="F231" i="1"/>
  <c r="H231" i="1" s="1"/>
  <c r="F253" i="1"/>
  <c r="H253" i="1" s="1"/>
  <c r="F257" i="1"/>
  <c r="H257" i="1" s="1"/>
  <c r="F225" i="1"/>
  <c r="H225" i="1" s="1"/>
  <c r="F223" i="1"/>
  <c r="H223" i="1" s="1"/>
  <c r="F222" i="1"/>
  <c r="H222" i="1" s="1"/>
  <c r="I221" i="1"/>
  <c r="F221" i="1"/>
  <c r="H221" i="1" s="1"/>
  <c r="I220" i="1"/>
  <c r="F218" i="1"/>
  <c r="H218" i="1" s="1"/>
  <c r="F217" i="1"/>
  <c r="H217" i="1" s="1"/>
  <c r="F212" i="1"/>
  <c r="H212" i="1" s="1"/>
  <c r="I211" i="1"/>
  <c r="I210" i="1"/>
  <c r="I206" i="1"/>
  <c r="I205" i="1"/>
  <c r="F201" i="1"/>
  <c r="H201" i="1" s="1"/>
  <c r="F200" i="1"/>
  <c r="H200" i="1" s="1"/>
  <c r="F199" i="1"/>
  <c r="H199" i="1" s="1"/>
  <c r="I198" i="1"/>
  <c r="I196" i="1"/>
  <c r="F196" i="1"/>
  <c r="H196" i="1" s="1"/>
  <c r="F194" i="1"/>
  <c r="H194" i="1" s="1"/>
  <c r="F193" i="1"/>
  <c r="H193" i="1" s="1"/>
  <c r="F192" i="1"/>
  <c r="H192" i="1" s="1"/>
  <c r="I191" i="1"/>
  <c r="F190" i="1"/>
  <c r="H190" i="1" s="1"/>
  <c r="F187" i="1"/>
  <c r="H187" i="1" s="1"/>
  <c r="F186" i="1"/>
  <c r="H186" i="1" s="1"/>
  <c r="F185" i="1"/>
  <c r="H185" i="1" s="1"/>
  <c r="I184" i="1"/>
  <c r="F184" i="1"/>
  <c r="H184" i="1" s="1"/>
  <c r="I182" i="1"/>
  <c r="F182" i="1"/>
  <c r="H182" i="1" s="1"/>
  <c r="F180" i="1"/>
  <c r="H180" i="1" s="1"/>
  <c r="F179" i="1"/>
  <c r="H179" i="1" s="1"/>
  <c r="F178" i="1"/>
  <c r="H178" i="1" s="1"/>
  <c r="I177" i="1"/>
  <c r="F172" i="1"/>
  <c r="H172" i="1" s="1"/>
  <c r="F173" i="1"/>
  <c r="H173" i="1" s="1"/>
  <c r="F171" i="1"/>
  <c r="H171" i="1" s="1"/>
  <c r="I170" i="1"/>
  <c r="F170" i="1"/>
  <c r="H170" i="1" s="1"/>
  <c r="I168" i="1"/>
  <c r="F164" i="1"/>
  <c r="H164" i="1" s="1"/>
  <c r="I163" i="1"/>
  <c r="I161" i="1"/>
  <c r="C139" i="1" l="1"/>
  <c r="C145" i="1"/>
  <c r="H238" i="1"/>
  <c r="G138" i="1" s="1"/>
  <c r="E138" i="1"/>
  <c r="H237" i="1"/>
  <c r="G144" i="1" s="1"/>
  <c r="E144" i="1"/>
  <c r="F168" i="1"/>
  <c r="H168" i="1" s="1"/>
  <c r="F197" i="1"/>
  <c r="H197" i="1" s="1"/>
  <c r="F176" i="1"/>
  <c r="H176" i="1" s="1"/>
  <c r="F211" i="1"/>
  <c r="H211" i="1" s="1"/>
  <c r="F183" i="1"/>
  <c r="H183" i="1" s="1"/>
  <c r="F205" i="1"/>
  <c r="F198" i="1"/>
  <c r="H198" i="1" s="1"/>
  <c r="F220" i="1"/>
  <c r="H220" i="1" s="1"/>
  <c r="F210" i="1"/>
  <c r="F213" i="1"/>
  <c r="H213" i="1" s="1"/>
  <c r="F169" i="1"/>
  <c r="F177" i="1"/>
  <c r="H177" i="1" s="1"/>
  <c r="F191" i="1"/>
  <c r="H191" i="1" s="1"/>
  <c r="F206" i="1"/>
  <c r="H206" i="1" s="1"/>
  <c r="F163" i="1"/>
  <c r="H163" i="1" s="1"/>
  <c r="I62" i="1"/>
  <c r="C146" i="1" l="1"/>
  <c r="H169" i="1"/>
  <c r="G142" i="1" s="1"/>
  <c r="E142" i="1"/>
  <c r="H205" i="1"/>
  <c r="G137" i="1" s="1"/>
  <c r="E137" i="1"/>
  <c r="H210" i="1"/>
  <c r="G143" i="1" s="1"/>
  <c r="E143" i="1"/>
  <c r="I31" i="1"/>
  <c r="E145" i="1" l="1"/>
  <c r="G145" i="1"/>
  <c r="C103" i="1"/>
  <c r="C89" i="1"/>
  <c r="F153" i="1" l="1"/>
  <c r="H153" i="1" l="1"/>
  <c r="E26" i="1"/>
  <c r="F161" i="1" l="1"/>
  <c r="H161"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268" i="1" l="1"/>
  <c r="F154" i="1" l="1"/>
  <c r="F155" i="1"/>
  <c r="H155" i="1" s="1"/>
  <c r="H154" i="1" l="1"/>
  <c r="G132" i="1" s="1"/>
  <c r="G133" i="1" s="1"/>
  <c r="E132" i="1"/>
  <c r="E133" i="1" s="1"/>
  <c r="C54" i="1"/>
  <c r="S33" i="1" l="1"/>
  <c r="F11" i="5" l="1"/>
  <c r="G11" i="5" s="1"/>
  <c r="F10" i="5"/>
  <c r="G10" i="5" s="1"/>
  <c r="F9" i="5"/>
  <c r="G9" i="5" s="1"/>
  <c r="F8" i="5"/>
  <c r="G8" i="5" s="1"/>
  <c r="F7" i="5"/>
  <c r="G7" i="5" s="1"/>
  <c r="F6" i="5"/>
  <c r="G6" i="5" s="1"/>
  <c r="F5" i="5"/>
  <c r="G5" i="5" s="1"/>
  <c r="D296" i="1"/>
  <c r="B269" i="1"/>
  <c r="F165" i="1"/>
  <c r="H165" i="1" s="1"/>
  <c r="F162" i="1"/>
  <c r="A154" i="1"/>
  <c r="A155" i="1" s="1"/>
  <c r="F129" i="1"/>
  <c r="C75" i="1"/>
  <c r="B76" i="1" s="1"/>
  <c r="G51" i="1"/>
  <c r="C51" i="1"/>
  <c r="E44" i="1"/>
  <c r="E45" i="1" s="1"/>
  <c r="E28" i="1"/>
  <c r="C16" i="1"/>
  <c r="I15" i="1"/>
  <c r="Z13" i="1"/>
  <c r="E8" i="1"/>
  <c r="E3" i="1"/>
  <c r="D69" i="1" s="1"/>
  <c r="H76" i="1"/>
  <c r="H162" i="1" l="1"/>
  <c r="G136" i="1" s="1"/>
  <c r="G139" i="1" s="1"/>
  <c r="G146" i="1" s="1"/>
  <c r="E136" i="1"/>
  <c r="E139" i="1" s="1"/>
  <c r="E146" i="1" s="1"/>
  <c r="G12" i="5"/>
  <c r="J75" i="1"/>
  <c r="J77" i="1" s="1"/>
  <c r="J78" i="1"/>
  <c r="J79" i="1"/>
  <c r="J80" i="1"/>
  <c r="C79" i="1" s="1"/>
  <c r="D83" i="1"/>
  <c r="D85" i="1"/>
  <c r="D84" i="1"/>
  <c r="D88" i="1"/>
  <c r="D82" i="1"/>
  <c r="D87" i="1"/>
  <c r="D81" i="1"/>
  <c r="D86" i="1"/>
  <c r="J81" i="1"/>
  <c r="D79" i="1" l="1"/>
  <c r="J85" i="1"/>
  <c r="J83" i="1"/>
  <c r="J84" i="1"/>
  <c r="J82" i="1"/>
  <c r="J87" i="1" s="1"/>
  <c r="J88" i="1" s="1"/>
  <c r="C80" i="1" s="1"/>
  <c r="J86" i="1"/>
  <c r="B90" i="1" l="1"/>
  <c r="J76" i="1"/>
  <c r="E79" i="1"/>
  <c r="D80" i="1"/>
  <c r="G79" i="1"/>
  <c r="D73" i="1" s="1"/>
  <c r="H9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Height from AMSL</t>
        </r>
      </text>
    </comment>
    <comment ref="D62"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<sst xmlns="http://schemas.openxmlformats.org/spreadsheetml/2006/main" count="892" uniqueCount="434">
  <si>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</si>
  <si>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</si>
  <si>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</si>
  <si>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</si>
  <si>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</si>
  <si>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</si>
  <si>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</si>
  <si>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</si>
  <si>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</si>
  <si>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</si>
  <si>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</si>
  <si>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</si>
  <si>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</si>
  <si>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</si>
  <si>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</si>
  <si>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</si>
  <si>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</si>
  <si>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</si>
  <si>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</si>
  <si>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</si>
  <si>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</si>
  <si>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</si>
  <si>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</si>
  <si>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</si>
  <si>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</si>
  <si>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</si>
  <si>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</si>
  <si>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</si>
  <si>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</si>
  <si>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</si>
  <si>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</si>
  <si>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</si>
  <si>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</si>
  <si>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</si>
  <si>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</si>
  <si>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</si>
  <si>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</si>
  <si>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</si>
  <si>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</si>
  <si>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</si>
  <si>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</si>
  <si>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</si>
  <si>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</si>
  <si>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</si>
  <si>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</si>
  <si>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</si>
  <si>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</si>
  <si>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</si>
  <si>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</si>
  <si>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</si>
  <si>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</si>
  <si>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</si>
  <si>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</si>
  <si>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</si>
  <si>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</si>
  <si>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</si>
  <si>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</si>
  <si>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</si>
  <si>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</si>
  <si>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</si>
  <si>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</si>
  <si>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</si>
  <si>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</si>
  <si>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</si>
  <si>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</si>
  <si>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</si>
  <si>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</si>
  <si>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</si>
  <si>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</si>
  <si>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</si>
  <si>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</si>
  <si>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</si>
  <si>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</si>
  <si>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</si>
  <si>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</si>
  <si>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</si>
  <si>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</si>
  <si>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</si>
  <si>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</si>
  <si>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</si>
  <si>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</si>
  <si>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</si>
  <si>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</si>
  <si>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</si>
  <si>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</si>
  <si>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</si>
  <si>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</si>
  <si>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</si>
  <si>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</si>
  <si>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</si>
  <si>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</si>
  <si>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</si>
  <si>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</si>
  <si>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</si>
  <si>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</si>
  <si>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</si>
  <si>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</si>
  <si>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</si>
  <si>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</si>
  <si>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</si>
  <si>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</si>
  <si>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</si>
  <si>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</si>
  <si>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</si>
  <si>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</si>
  <si>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</si>
  <si>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</si>
  <si>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</si>
  <si>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</si>
  <si>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</si>
  <si>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</si>
  <si>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</si>
  <si>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</si>
  <si>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</si>
  <si>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</si>
  <si>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</si>
  <si>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</si>
  <si>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</si>
  <si>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</si>
  <si>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</si>
  <si>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</si>
  <si>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</si>
  <si>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</si>
  <si>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</si>
  <si>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</si>
  <si>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</si>
  <si>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</si>
  <si>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</si>
  <si>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</si>
  <si>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</si>
  <si>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</si>
  <si>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</si>
  <si>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</si>
  <si>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</si>
  <si>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</si>
  <si>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</si>
  <si>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</si>
  <si>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</si>
  <si>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</si>
  <si>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</si>
  <si>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</si>
  <si>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</si>
  <si>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Flats -, Shops -, Offices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</si>
  <si>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</si>
  <si>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</si>
  <si>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</si>
  <si>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</si>
  <si>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</si>
  <si>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</si>
  <si>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</si>
  <si>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</si>
  <si>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</si>
  <si>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</si>
  <si>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</si>
  <si>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</si>
  <si>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</si>
  <si>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</si>
  <si>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</si>
  <si>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</si>
  <si>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</si>
  <si>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</si>
  <si>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</si>
  <si>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</si>
  <si>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</si>
  <si>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</si>
  <si>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</si>
  <si>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</si>
  <si>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</si>
  <si>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</si>
  <si>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</si>
  <si>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</si>
  <si>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</si>
  <si>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</si>
  <si>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</si>
  <si>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</si>
  <si>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</si>
  <si>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</si>
  <si>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</si>
  <si>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</si>
  <si>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</si>
  <si>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</si>
  <si>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</si>
  <si>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</si>
  <si>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</si>
  <si>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</si>
  <si>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</si>
  <si>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</si>
  <si>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</si>
  <si>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</si>
  <si>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</si>
  <si>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</si>
  <si>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</si>
  <si>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</si>
  <si>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</si>
  <si>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</si>
  <si>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</si>
  <si>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</si>
  <si>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</si>
  <si>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</si>
  <si>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</si>
  <si>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</si>
  <si>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</si>
  <si>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</si>
  <si>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</si>
  <si>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</si>
  <si>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</si>
  <si>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</si>
  <si>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</si>
  <si>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</si>
  <si>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</si>
  <si>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</si>
  <si>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</si>
  <si>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</si>
  <si>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</si>
  <si>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</si>
  <si>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</si>
  <si>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</si>
  <si>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</si>
  <si>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</si>
  <si>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</si>
  <si>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</si>
  <si>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</si>
  <si>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</si>
  <si>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</si>
  <si>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</si>
  <si>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</si>
  <si>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</si>
  <si>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</si>
  <si>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</si>
  <si>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</si>
  <si>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</si>
  <si>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</si>
  <si>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</si>
  <si>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</si>
  <si>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</si>
  <si>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</si>
  <si>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</si>
  <si>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</si>
  <si>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</si>
  <si>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</si>
  <si>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</si>
  <si>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</si>
  <si>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</si>
  <si>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</si>
  <si>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</si>
  <si>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</si>
  <si>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</si>
  <si>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</si>
  <si>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</si>
  <si>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</si>
  <si>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</si>
  <si>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</si>
  <si>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</si>
  <si>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</si>
  <si>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</si>
  <si>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</si>
  <si>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</si>
  <si>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</si>
  <si>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</si>
  <si>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</si>
  <si>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</si>
  <si>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</si>
  <si>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</si>
  <si>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</si>
  <si>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</si>
  <si>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</si>
  <si>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</si>
  <si>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</si>
  <si>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</si>
  <si>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</si>
  <si>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</si>
  <si>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</si>
  <si>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</si>
  <si>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</si>
  <si>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</si>
  <si>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</si>
  <si>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</si>
  <si>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</si>
  <si>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</si>
  <si>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</si>
  <si>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</si>
  <si>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</si>
  <si>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</si>
  <si>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</si>
  <si>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</si>
  <si>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</si>
  <si>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</si>
  <si>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</si>
  <si>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</si>
  <si>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</si>
  <si>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</si>
  <si>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</si>
  <si>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</si>
  <si>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</si>
  <si>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</si>
  <si>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</si>
  <si>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</si>
  <si>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</si>
  <si>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</si>
  <si>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</si>
  <si>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</si>
  <si>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</si>
  <si>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</si>
  <si>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</si>
  <si>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</si>
  <si>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</si>
  <si>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</si>
  <si>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</si>
  <si>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</si>
  <si>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</si>
  <si>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</si>
  <si>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</si>
  <si>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</si>
  <si>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</si>
  <si>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</si>
  <si>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</si>
  <si>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</si>
  <si>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</si>
  <si>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</si>
  <si>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</si>
  <si>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</si>
  <si>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</si>
  <si>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</si>
  <si>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</si>
  <si>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</si>
  <si>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</si>
  <si>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</si>
  <si>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</si>
  <si>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</si>
  <si>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</si>
  <si>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</si>
  <si>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</si>
  <si>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</si>
  <si>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</si>
  <si>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</si>
  <si>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</si>
  <si>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</si>
  <si>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</si>
  <si>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</si>
  <si>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</si>
  <si>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</si>
  <si>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</si>
  <si>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</si>
  <si>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</si>
  <si>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</si>
  <si>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RRB Homes Private Limited</t>
  </si>
  <si>
    <t>Satra Nexus</t>
  </si>
  <si>
    <t>Building No 25 &amp; 26 Meghwadi Siddhivinayak CHSL</t>
  </si>
  <si>
    <t>Majas</t>
  </si>
  <si>
    <t>Jogeshwari East</t>
  </si>
  <si>
    <t>P51800077218</t>
  </si>
  <si>
    <t>Hema Industries</t>
  </si>
  <si>
    <t>Indira Nagar</t>
  </si>
  <si>
    <t>Salsingkar Road</t>
  </si>
  <si>
    <t>19.131670,72.861867</t>
  </si>
  <si>
    <t>https://maps.app.goo.gl/jhiXuEqFjmwzAtVJ8</t>
  </si>
  <si>
    <t>Slum</t>
  </si>
  <si>
    <t>Open Plot/Building</t>
  </si>
  <si>
    <t>13.14 M. Wide Road</t>
  </si>
  <si>
    <t>Garden</t>
  </si>
  <si>
    <t>Other Plot</t>
  </si>
  <si>
    <t>2.10KM from Jogeshwari Railway Station</t>
  </si>
  <si>
    <t>Wing A, B &amp; C</t>
  </si>
  <si>
    <t>Name / No of the Building as per RERA</t>
  </si>
  <si>
    <t>MH/EE/(BP)/GM/MHADA-111/1530/
2024/CC/1/New</t>
  </si>
  <si>
    <t>This Commencement Certificate issued upto Plinth Level (i.e. height 0.60 mt. AGL) as per approved plan dated. 12.03.2024.</t>
  </si>
  <si>
    <t>Wing A, B &amp; C = Gr + 1st to 18th Floor</t>
  </si>
  <si>
    <t>As per RERA - 31/12/2027</t>
  </si>
  <si>
    <t>Gym, Indoor Games, Decorative entrance lobby, Terrace Garden, etc.</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</si>
  <si>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</si>
  <si>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</si>
  <si>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</si>
  <si>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03 Wings</t>
  </si>
  <si>
    <t>Residential</t>
  </si>
  <si>
    <t>Sale Plan</t>
  </si>
  <si>
    <t>Approved Plans, CC, Sale Plans.</t>
  </si>
  <si>
    <t>Construction work goes beyond approved plan and CC permission please provide revised approved plan and CC.</t>
  </si>
  <si>
    <t>1BHK</t>
  </si>
  <si>
    <t>Housing</t>
  </si>
  <si>
    <t xml:space="preserve">99 acres </t>
  </si>
  <si>
    <t>13500-14500</t>
  </si>
  <si>
    <t>Near by Projects</t>
  </si>
  <si>
    <t>13000-17000</t>
  </si>
  <si>
    <t>156A(pt) &amp; 160A(pt), Redevelopment of  "Building No 25 &amp; 26 Meghwadi Siddhivinayak CHSL"</t>
  </si>
  <si>
    <t>Approved Plans and CC consists of two CTS numbers i.e. 156A(pt) and 160A(pt) whereas per RERA project consists of single CTS number 156A (pt).</t>
  </si>
  <si>
    <t xml:space="preserve">Corrigendum Letter No. regarding CTS No.
Valid Up to: </t>
  </si>
  <si>
    <t>MH/EE/(BP)/GM/MHADA-111/1530/
2024</t>
  </si>
  <si>
    <t>In the Zero FSI IOA issued u/no. MH/EE/(BP)/GM/MHADA-111/1530/
2024 dtd 12/03/2024 &amp; Plinth CC u/no. MH/EE/(BP)/GM/MHADA-111/1530/2024 dtd 03/04/2024 issued by this office, the CTS no may be read as CTS No. 156A (pt) instead of CTS No. 156A(pt) &amp; 160A(pt). The Other text will remain unchanged</t>
  </si>
  <si>
    <t>We have referred corrigendum letter from RERA Site regarding above CTS No. Query. Letter attached below</t>
  </si>
  <si>
    <t>Corrigendum Letter</t>
  </si>
  <si>
    <t>Ground Floor Commerical, Entrance Lobby,Meter Room &amp; Parking</t>
  </si>
  <si>
    <t>Wing A</t>
  </si>
  <si>
    <t>Shop</t>
  </si>
  <si>
    <t xml:space="preserve">Details of Residentials in Building   </t>
  </si>
  <si>
    <t>1st Floor For Residential</t>
  </si>
  <si>
    <t>RERA Carpet area</t>
  </si>
  <si>
    <t>2BHK</t>
  </si>
  <si>
    <t>Balcony Area</t>
  </si>
  <si>
    <t>2nd to 7th Floor</t>
  </si>
  <si>
    <t>Rehab</t>
  </si>
  <si>
    <t>Sale</t>
  </si>
  <si>
    <t>Refuge Area</t>
  </si>
  <si>
    <t>-</t>
  </si>
  <si>
    <t>8th Floor (Part Refuge Area)</t>
  </si>
  <si>
    <t>9th to 14th Floor</t>
  </si>
  <si>
    <t>15th Floor (Part Refuge Area)</t>
  </si>
  <si>
    <t>16th to 18th Floor</t>
  </si>
  <si>
    <t>Wing B</t>
  </si>
  <si>
    <t>Ground Floor For Parking</t>
  </si>
  <si>
    <t>Fitness Center</t>
  </si>
  <si>
    <t xml:space="preserve"> 15th Floor (Part Refuge Area)</t>
  </si>
  <si>
    <t>Wing C</t>
  </si>
  <si>
    <t>Ground Floor For Entrance Lobby, Meter Room &amp; Parking</t>
  </si>
  <si>
    <t>Society Office</t>
  </si>
  <si>
    <t>1st Floor For Residential (Part Society Office)</t>
  </si>
  <si>
    <t>Sale / Rehab</t>
  </si>
  <si>
    <t>Residential Area Details (Sale):</t>
  </si>
  <si>
    <t>Residential Area Details (Rehab):</t>
  </si>
  <si>
    <t>`</t>
  </si>
  <si>
    <t>Please check for Fire Noc.</t>
  </si>
  <si>
    <t>MH/EE/(BP)/GM/MHADA-111/1530/ 2025/IOA/1/Amend</t>
  </si>
  <si>
    <t xml:space="preserve">Commencement-CC No
Valid Up to: </t>
  </si>
  <si>
    <t>MH/EE/(BP)/GM/MHADA-111/1530 /2024/FCC/1/New</t>
  </si>
  <si>
    <t>This F.C.C. is now granted for building proposed comprising Three wings i.e. Wing A, B and C upto top of 6th floors for residential user with height 21.55 Mt. along with Parking Tower on North -West corner as per approved Amended plans issued vide/no. MH/EE/BP Cell/GM/MHADA -111/1530/2024 dated: 29.10.2024.</t>
  </si>
  <si>
    <t>1st Floor For Residential &amp; Fitness Center</t>
  </si>
  <si>
    <t>2.5BHK</t>
  </si>
  <si>
    <t>Shops - 3, Sale Flats - 119 , Rehab Flats - 122</t>
  </si>
  <si>
    <t>We considered Gross carpet area = Net carpet + Balcony Area.</t>
  </si>
  <si>
    <t>We have updated revised plans &amp; CC (on 12/02/2025).</t>
  </si>
  <si>
    <t>Mr. Santosh 9082096451</t>
  </si>
  <si>
    <t>Validity of CC is expired on 10/04/2025 &amp; Construction work goes beyond CC permission . Please provide revised CC.</t>
  </si>
  <si>
    <t>Construction work is in process at the time of Visit. Internal visit was not allowed.
Construction work was not active at the time of Visit. (labour Not found)
All work completed. Wait for OC / OC received.
Work not yet Started.</t>
  </si>
  <si>
    <t>Kunal Kadam</t>
  </si>
  <si>
    <t>Pratik Niwate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</si>
</sst>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4" fillId="0" borderId="0"/>
    <xf numFmtId="0" fontId="5" fillId="0" borderId="0"/>
    <xf numFmtId="0" fontId="3" fillId="0" borderId="0"/>
    <xf numFmtId="0" fontId="5" fillId="0" borderId="0"/>
    <xf numFmtId="0" fontId="2"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89">
    <xf numFmtId="0" fontId="0" fillId="0" borderId="0" xfId="0"/>
    <xf numFmtId="0" fontId="5" fillId="0" borderId="0" xfId="4"/>
    <xf numFmtId="0" fontId="2" fillId="0" borderId="0" xfId="5"/>
    <xf numFmtId="0" fontId="9"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2" fontId="7" fillId="0" borderId="0" xfId="1" applyNumberFormat="1" applyFont="1"/>
    <xf numFmtId="0" fontId="1" fillId="0" borderId="1" xfId="5" applyFont="1" applyBorder="1" applyAlignment="1">
      <alignment horizontal="center" vertical="center"/>
    </xf>
    <xf numFmtId="0" fontId="17" fillId="0" borderId="0" xfId="1" applyFont="1"/>
    <xf numFmtId="0" fontId="31" fillId="0" borderId="0" xfId="1" applyFont="1"/>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7" fillId="0" borderId="0" xfId="1" applyNumberFormat="1" applyFont="1" applyAlignment="1">
      <alignment horizontal="left" vertical="center"/>
    </xf>
    <xf numFmtId="1" fontId="6" fillId="0" borderId="20"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7" fillId="0" borderId="0" xfId="1" applyFont="1" applyAlignment="1">
      <alignment horizontal="left" vertical="center" indent="7"/>
    </xf>
    <xf numFmtId="0" fontId="7" fillId="0" borderId="0" xfId="1" applyFont="1" applyAlignment="1">
      <alignment horizontal="left" vertical="center"/>
    </xf>
    <xf numFmtId="1" fontId="15" fillId="0" borderId="1" xfId="0" applyNumberFormat="1" applyFont="1" applyBorder="1" applyAlignment="1" applyProtection="1">
      <alignment horizontal="center" vertical="center" wrapText="1"/>
      <protection locked="0"/>
    </xf>
    <xf numFmtId="0" fontId="15" fillId="0" borderId="0" xfId="0" applyFont="1" applyAlignment="1">
      <alignment horizontal="center" vertical="center"/>
    </xf>
    <xf numFmtId="0" fontId="15" fillId="0" borderId="0" xfId="1"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3" borderId="2" xfId="1" applyNumberFormat="1" applyFont="1" applyFill="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0" xfId="1" applyNumberFormat="1" applyFont="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5"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5"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8" fillId="0" borderId="16" xfId="0"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3" fillId="0" borderId="16" xfId="1" applyFont="1" applyBorder="1" applyAlignment="1" applyProtection="1">
      <alignment horizontal="center" vertical="top"/>
      <protection locked="0"/>
    </xf>
    <xf numFmtId="0" fontId="8" fillId="0" borderId="16"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13</xdr:row>
      <xdr:rowOff>9525</xdr:rowOff>
    </xdr:from>
    <xdr:to>
      <xdr:col>14</xdr:col>
      <xdr:colOff>104100</xdr:colOff>
      <xdr:row>16</xdr:row>
      <xdr:rowOff>102870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29375" y="2990850"/>
          <a:ext cx="5400000" cy="1112520"/>
        </a:xfrm>
        <a:prstGeom prst="rect">
          <a:avLst/>
        </a:prstGeom>
      </xdr:spPr>
    </xdr:pic>
    <xdr:clientData/>
  </xdr:twoCellAnchor>
  <xdr:twoCellAnchor editAs="oneCell">
    <xdr:from>
      <xdr:col>8</xdr:col>
      <xdr:colOff>811530</xdr:colOff>
      <xdr:row>50</xdr:row>
      <xdr:rowOff>78105</xdr:rowOff>
    </xdr:from>
    <xdr:to>
      <xdr:col>12</xdr:col>
      <xdr:colOff>706295</xdr:colOff>
      <xdr:row>55</xdr:row>
      <xdr:rowOff>142680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296150" y="11881485"/>
          <a:ext cx="3788585" cy="1558095"/>
        </a:xfrm>
        <a:prstGeom prst="rect">
          <a:avLst/>
        </a:prstGeom>
      </xdr:spPr>
    </xdr:pic>
    <xdr:clientData/>
  </xdr:twoCellAnchor>
  <xdr:twoCellAnchor editAs="oneCell">
    <xdr:from>
      <xdr:col>8</xdr:col>
      <xdr:colOff>514350</xdr:colOff>
      <xdr:row>48</xdr:row>
      <xdr:rowOff>1</xdr:rowOff>
    </xdr:from>
    <xdr:to>
      <xdr:col>14</xdr:col>
      <xdr:colOff>144150</xdr:colOff>
      <xdr:row>49</xdr:row>
      <xdr:rowOff>350835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829425" y="10839451"/>
          <a:ext cx="5040000" cy="779459"/>
        </a:xfrm>
        <a:prstGeom prst="rect">
          <a:avLst/>
        </a:prstGeom>
      </xdr:spPr>
    </xdr:pic>
    <xdr:clientData/>
  </xdr:twoCellAnchor>
  <xdr:twoCellAnchor>
    <xdr:from>
      <xdr:col>9</xdr:col>
      <xdr:colOff>9525</xdr:colOff>
      <xdr:row>340</xdr:row>
      <xdr:rowOff>133350</xdr:rowOff>
    </xdr:from>
    <xdr:to>
      <xdr:col>13</xdr:col>
      <xdr:colOff>419100</xdr:colOff>
      <xdr:row>378</xdr:row>
      <xdr:rowOff>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690485" y="66876930"/>
          <a:ext cx="3922395" cy="7395210"/>
          <a:chOff x="1138235" y="171450"/>
          <a:chExt cx="3819525" cy="7605712"/>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138235" y="4824412"/>
            <a:ext cx="3819525" cy="2952750"/>
          </a:xfrm>
          <a:prstGeom prst="rect">
            <a:avLst/>
          </a:prstGeom>
          <a:ln>
            <a:solidFill>
              <a:schemeClr val="tx1"/>
            </a:solidFill>
          </a:ln>
        </xdr:spPr>
      </xdr:pic>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414459" y="171450"/>
            <a:ext cx="3267075" cy="4467225"/>
          </a:xfrm>
          <a:prstGeom prst="rect">
            <a:avLst/>
          </a:prstGeom>
          <a:ln>
            <a:solidFill>
              <a:schemeClr val="tx1"/>
            </a:solidFill>
          </a:ln>
        </xdr:spPr>
      </xdr:pic>
    </xdr:grpSp>
    <xdr:clientData/>
  </xdr:twoCellAnchor>
  <xdr:twoCellAnchor>
    <xdr:from>
      <xdr:col>0</xdr:col>
      <xdr:colOff>666750</xdr:colOff>
      <xdr:row>423</xdr:row>
      <xdr:rowOff>85725</xdr:rowOff>
    </xdr:from>
    <xdr:to>
      <xdr:col>7</xdr:col>
      <xdr:colOff>125100</xdr:colOff>
      <xdr:row>459</xdr:row>
      <xdr:rowOff>71925</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666750" y="83273265"/>
          <a:ext cx="5188590" cy="7118520"/>
          <a:chOff x="666750" y="55178325"/>
          <a:chExt cx="5040000" cy="7187100"/>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66750" y="55178325"/>
            <a:ext cx="5040000" cy="3264545"/>
          </a:xfrm>
          <a:prstGeom prst="rect">
            <a:avLst/>
          </a:prstGeom>
          <a:ln>
            <a:solidFill>
              <a:schemeClr val="tx1"/>
            </a:solidFill>
          </a:ln>
        </xdr:spPr>
      </xdr:pic>
      <xdr:grpSp>
        <xdr:nvGrpSpPr>
          <xdr:cNvPr id="24" name="Group 23">
            <a:extLst>
              <a:ext uri="{FF2B5EF4-FFF2-40B4-BE49-F238E27FC236}">
                <a16:creationId xmlns:a16="http://schemas.microsoft.com/office/drawing/2014/main" id="{00000000-0008-0000-0000-000018000000}"/>
              </a:ext>
            </a:extLst>
          </xdr:cNvPr>
          <xdr:cNvGrpSpPr/>
        </xdr:nvGrpSpPr>
        <xdr:grpSpPr>
          <a:xfrm>
            <a:off x="666750" y="58645425"/>
            <a:ext cx="5040000" cy="3720000"/>
            <a:chOff x="666750" y="58645425"/>
            <a:chExt cx="5040000" cy="3720000"/>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666750" y="58645425"/>
              <a:ext cx="5040000" cy="3720000"/>
            </a:xfrm>
            <a:prstGeom prst="rect">
              <a:avLst/>
            </a:prstGeom>
            <a:ln>
              <a:solidFill>
                <a:schemeClr val="tx1"/>
              </a:solidFill>
            </a:ln>
          </xdr:spPr>
        </xdr:pic>
        <xdr:sp macro="" textlink="">
          <xdr:nvSpPr>
            <xdr:cNvPr id="12" name="Rectangle 11">
              <a:extLst>
                <a:ext uri="{FF2B5EF4-FFF2-40B4-BE49-F238E27FC236}">
                  <a16:creationId xmlns:a16="http://schemas.microsoft.com/office/drawing/2014/main" id="{00000000-0008-0000-0000-00000C000000}"/>
                </a:ext>
              </a:extLst>
            </xdr:cNvPr>
            <xdr:cNvSpPr/>
          </xdr:nvSpPr>
          <xdr:spPr>
            <a:xfrm>
              <a:off x="3105150" y="59912250"/>
              <a:ext cx="253050" cy="104775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0</xdr:col>
      <xdr:colOff>647700</xdr:colOff>
      <xdr:row>382</xdr:row>
      <xdr:rowOff>9525</xdr:rowOff>
    </xdr:from>
    <xdr:to>
      <xdr:col>7</xdr:col>
      <xdr:colOff>67921</xdr:colOff>
      <xdr:row>418</xdr:row>
      <xdr:rowOff>8624</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647700" y="46501050"/>
          <a:ext cx="5001871" cy="7200000"/>
        </a:xfrm>
        <a:prstGeom prst="rect">
          <a:avLst/>
        </a:prstGeom>
        <a:ln>
          <a:solidFill>
            <a:schemeClr val="tx1"/>
          </a:solidFill>
        </a:ln>
      </xdr:spPr>
    </xdr:pic>
    <xdr:clientData/>
  </xdr:twoCellAnchor>
  <xdr:twoCellAnchor editAs="oneCell">
    <xdr:from>
      <xdr:col>8</xdr:col>
      <xdr:colOff>57150</xdr:colOff>
      <xdr:row>117</xdr:row>
      <xdr:rowOff>123825</xdr:rowOff>
    </xdr:from>
    <xdr:to>
      <xdr:col>11</xdr:col>
      <xdr:colOff>266700</xdr:colOff>
      <xdr:row>134</xdr:row>
      <xdr:rowOff>69911</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9"/>
        <a:stretch>
          <a:fillRect/>
        </a:stretch>
      </xdr:blipFill>
      <xdr:spPr>
        <a:xfrm>
          <a:off x="6372225" y="20697825"/>
          <a:ext cx="3067050" cy="1746311"/>
        </a:xfrm>
        <a:prstGeom prst="rect">
          <a:avLst/>
        </a:prstGeom>
      </xdr:spPr>
    </xdr:pic>
    <xdr:clientData/>
  </xdr:twoCellAnchor>
  <xdr:twoCellAnchor editAs="oneCell">
    <xdr:from>
      <xdr:col>11</xdr:col>
      <xdr:colOff>495300</xdr:colOff>
      <xdr:row>117</xdr:row>
      <xdr:rowOff>38101</xdr:rowOff>
    </xdr:from>
    <xdr:to>
      <xdr:col>15</xdr:col>
      <xdr:colOff>148086</xdr:colOff>
      <xdr:row>134</xdr:row>
      <xdr:rowOff>28576</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0"/>
        <a:stretch>
          <a:fillRect/>
        </a:stretch>
      </xdr:blipFill>
      <xdr:spPr>
        <a:xfrm>
          <a:off x="9667875" y="20612101"/>
          <a:ext cx="3015111" cy="1790700"/>
        </a:xfrm>
        <a:prstGeom prst="rect">
          <a:avLst/>
        </a:prstGeom>
      </xdr:spPr>
    </xdr:pic>
    <xdr:clientData/>
  </xdr:twoCellAnchor>
  <xdr:twoCellAnchor editAs="oneCell">
    <xdr:from>
      <xdr:col>8</xdr:col>
      <xdr:colOff>285751</xdr:colOff>
      <xdr:row>151</xdr:row>
      <xdr:rowOff>47626</xdr:rowOff>
    </xdr:from>
    <xdr:to>
      <xdr:col>11</xdr:col>
      <xdr:colOff>393647</xdr:colOff>
      <xdr:row>156</xdr:row>
      <xdr:rowOff>533402</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1"/>
        <a:stretch>
          <a:fillRect/>
        </a:stretch>
      </xdr:blipFill>
      <xdr:spPr>
        <a:xfrm>
          <a:off x="6600826" y="22621876"/>
          <a:ext cx="2965396" cy="1485900"/>
        </a:xfrm>
        <a:prstGeom prst="rect">
          <a:avLst/>
        </a:prstGeom>
      </xdr:spPr>
    </xdr:pic>
    <xdr:clientData/>
  </xdr:twoCellAnchor>
  <xdr:twoCellAnchor editAs="oneCell">
    <xdr:from>
      <xdr:col>11</xdr:col>
      <xdr:colOff>409575</xdr:colOff>
      <xdr:row>150</xdr:row>
      <xdr:rowOff>180975</xdr:rowOff>
    </xdr:from>
    <xdr:to>
      <xdr:col>15</xdr:col>
      <xdr:colOff>485775</xdr:colOff>
      <xdr:row>156</xdr:row>
      <xdr:rowOff>568990</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a:stretch>
          <a:fillRect/>
        </a:stretch>
      </xdr:blipFill>
      <xdr:spPr>
        <a:xfrm>
          <a:off x="9582150" y="22555200"/>
          <a:ext cx="3438525" cy="1588164"/>
        </a:xfrm>
        <a:prstGeom prst="rect">
          <a:avLst/>
        </a:prstGeom>
      </xdr:spPr>
    </xdr:pic>
    <xdr:clientData/>
  </xdr:twoCellAnchor>
  <xdr:twoCellAnchor editAs="oneCell">
    <xdr:from>
      <xdr:col>8</xdr:col>
      <xdr:colOff>704850</xdr:colOff>
      <xdr:row>158</xdr:row>
      <xdr:rowOff>47625</xdr:rowOff>
    </xdr:from>
    <xdr:to>
      <xdr:col>12</xdr:col>
      <xdr:colOff>561520</xdr:colOff>
      <xdr:row>168</xdr:row>
      <xdr:rowOff>180708</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3"/>
        <a:stretch>
          <a:fillRect/>
        </a:stretch>
      </xdr:blipFill>
      <xdr:spPr>
        <a:xfrm>
          <a:off x="7019925" y="24422100"/>
          <a:ext cx="3638095" cy="2133333"/>
        </a:xfrm>
        <a:prstGeom prst="rect">
          <a:avLst/>
        </a:prstGeom>
      </xdr:spPr>
    </xdr:pic>
    <xdr:clientData/>
  </xdr:twoCellAnchor>
  <xdr:twoCellAnchor editAs="oneCell">
    <xdr:from>
      <xdr:col>12</xdr:col>
      <xdr:colOff>57151</xdr:colOff>
      <xdr:row>159</xdr:row>
      <xdr:rowOff>38100</xdr:rowOff>
    </xdr:from>
    <xdr:to>
      <xdr:col>15</xdr:col>
      <xdr:colOff>323851</xdr:colOff>
      <xdr:row>167</xdr:row>
      <xdr:rowOff>11901</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4"/>
        <a:stretch>
          <a:fillRect/>
        </a:stretch>
      </xdr:blipFill>
      <xdr:spPr>
        <a:xfrm>
          <a:off x="10153651" y="24612600"/>
          <a:ext cx="2705100" cy="1574001"/>
        </a:xfrm>
        <a:prstGeom prst="rect">
          <a:avLst/>
        </a:prstGeom>
      </xdr:spPr>
    </xdr:pic>
    <xdr:clientData/>
  </xdr:twoCellAnchor>
  <xdr:twoCellAnchor editAs="oneCell">
    <xdr:from>
      <xdr:col>10</xdr:col>
      <xdr:colOff>542925</xdr:colOff>
      <xdr:row>173</xdr:row>
      <xdr:rowOff>171451</xdr:rowOff>
    </xdr:from>
    <xdr:to>
      <xdr:col>14</xdr:col>
      <xdr:colOff>9525</xdr:colOff>
      <xdr:row>182</xdr:row>
      <xdr:rowOff>142217</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010650" y="27346276"/>
          <a:ext cx="2724150" cy="1770992"/>
        </a:xfrm>
        <a:prstGeom prst="rect">
          <a:avLst/>
        </a:prstGeom>
      </xdr:spPr>
    </xdr:pic>
    <xdr:clientData/>
  </xdr:twoCellAnchor>
  <xdr:twoCellAnchor editAs="oneCell">
    <xdr:from>
      <xdr:col>8</xdr:col>
      <xdr:colOff>600075</xdr:colOff>
      <xdr:row>208</xdr:row>
      <xdr:rowOff>161925</xdr:rowOff>
    </xdr:from>
    <xdr:to>
      <xdr:col>15</xdr:col>
      <xdr:colOff>601698</xdr:colOff>
      <xdr:row>218</xdr:row>
      <xdr:rowOff>152780</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915150" y="34337625"/>
          <a:ext cx="6221448" cy="1991105"/>
        </a:xfrm>
        <a:prstGeom prst="rect">
          <a:avLst/>
        </a:prstGeom>
      </xdr:spPr>
    </xdr:pic>
    <xdr:clientData/>
  </xdr:twoCellAnchor>
  <xdr:twoCellAnchor editAs="oneCell">
    <xdr:from>
      <xdr:col>8</xdr:col>
      <xdr:colOff>647700</xdr:colOff>
      <xdr:row>208</xdr:row>
      <xdr:rowOff>171450</xdr:rowOff>
    </xdr:from>
    <xdr:to>
      <xdr:col>14</xdr:col>
      <xdr:colOff>47024</xdr:colOff>
      <xdr:row>223</xdr:row>
      <xdr:rowOff>47266</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7"/>
        <a:stretch>
          <a:fillRect/>
        </a:stretch>
      </xdr:blipFill>
      <xdr:spPr>
        <a:xfrm>
          <a:off x="6962775" y="34347150"/>
          <a:ext cx="4809524" cy="2876190"/>
        </a:xfrm>
        <a:prstGeom prst="rect">
          <a:avLst/>
        </a:prstGeom>
      </xdr:spPr>
    </xdr:pic>
    <xdr:clientData/>
  </xdr:twoCellAnchor>
  <xdr:twoCellAnchor editAs="oneCell">
    <xdr:from>
      <xdr:col>8</xdr:col>
      <xdr:colOff>904875</xdr:colOff>
      <xdr:row>190</xdr:row>
      <xdr:rowOff>190500</xdr:rowOff>
    </xdr:from>
    <xdr:to>
      <xdr:col>12</xdr:col>
      <xdr:colOff>761545</xdr:colOff>
      <xdr:row>204</xdr:row>
      <xdr:rowOff>47292</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8"/>
        <a:stretch>
          <a:fillRect/>
        </a:stretch>
      </xdr:blipFill>
      <xdr:spPr>
        <a:xfrm>
          <a:off x="7219950" y="30765750"/>
          <a:ext cx="3638095" cy="2657143"/>
        </a:xfrm>
        <a:prstGeom prst="rect">
          <a:avLst/>
        </a:prstGeom>
      </xdr:spPr>
    </xdr:pic>
    <xdr:clientData/>
  </xdr:twoCellAnchor>
  <xdr:twoCellAnchor editAs="oneCell">
    <xdr:from>
      <xdr:col>12</xdr:col>
      <xdr:colOff>476250</xdr:colOff>
      <xdr:row>234</xdr:row>
      <xdr:rowOff>66675</xdr:rowOff>
    </xdr:from>
    <xdr:to>
      <xdr:col>14</xdr:col>
      <xdr:colOff>621274</xdr:colOff>
      <xdr:row>247</xdr:row>
      <xdr:rowOff>47626</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a:stretch>
          <a:fillRect/>
        </a:stretch>
      </xdr:blipFill>
      <xdr:spPr>
        <a:xfrm>
          <a:off x="10572750" y="39443025"/>
          <a:ext cx="1773799" cy="2581275"/>
        </a:xfrm>
        <a:prstGeom prst="rect">
          <a:avLst/>
        </a:prstGeom>
      </xdr:spPr>
    </xdr:pic>
    <xdr:clientData/>
  </xdr:twoCellAnchor>
  <xdr:twoCellAnchor editAs="oneCell">
    <xdr:from>
      <xdr:col>9</xdr:col>
      <xdr:colOff>323851</xdr:colOff>
      <xdr:row>235</xdr:row>
      <xdr:rowOff>19051</xdr:rowOff>
    </xdr:from>
    <xdr:to>
      <xdr:col>11</xdr:col>
      <xdr:colOff>781050</xdr:colOff>
      <xdr:row>249</xdr:row>
      <xdr:rowOff>153544</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a:stretch>
          <a:fillRect/>
        </a:stretch>
      </xdr:blipFill>
      <xdr:spPr>
        <a:xfrm>
          <a:off x="7800976" y="39595426"/>
          <a:ext cx="2152649" cy="2934842"/>
        </a:xfrm>
        <a:prstGeom prst="rect">
          <a:avLst/>
        </a:prstGeom>
      </xdr:spPr>
    </xdr:pic>
    <xdr:clientData/>
  </xdr:twoCellAnchor>
  <xdr:twoCellAnchor editAs="oneCell">
    <xdr:from>
      <xdr:col>8</xdr:col>
      <xdr:colOff>533401</xdr:colOff>
      <xdr:row>265</xdr:row>
      <xdr:rowOff>0</xdr:rowOff>
    </xdr:from>
    <xdr:to>
      <xdr:col>11</xdr:col>
      <xdr:colOff>685801</xdr:colOff>
      <xdr:row>278</xdr:row>
      <xdr:rowOff>75593</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848476" y="46682025"/>
          <a:ext cx="3009900" cy="2313969"/>
        </a:xfrm>
        <a:prstGeom prst="rect">
          <a:avLst/>
        </a:prstGeom>
      </xdr:spPr>
    </xdr:pic>
    <xdr:clientData/>
  </xdr:twoCellAnchor>
  <xdr:twoCellAnchor editAs="oneCell">
    <xdr:from>
      <xdr:col>9</xdr:col>
      <xdr:colOff>19050</xdr:colOff>
      <xdr:row>277</xdr:row>
      <xdr:rowOff>85725</xdr:rowOff>
    </xdr:from>
    <xdr:to>
      <xdr:col>13</xdr:col>
      <xdr:colOff>744554</xdr:colOff>
      <xdr:row>286</xdr:row>
      <xdr:rowOff>76200</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2"/>
        <a:stretch>
          <a:fillRect/>
        </a:stretch>
      </xdr:blipFill>
      <xdr:spPr>
        <a:xfrm>
          <a:off x="7496175" y="44300775"/>
          <a:ext cx="4135454" cy="2343150"/>
        </a:xfrm>
        <a:prstGeom prst="rect">
          <a:avLst/>
        </a:prstGeom>
      </xdr:spPr>
    </xdr:pic>
    <xdr:clientData/>
  </xdr:twoCellAnchor>
  <xdr:twoCellAnchor editAs="oneCell">
    <xdr:from>
      <xdr:col>8</xdr:col>
      <xdr:colOff>847726</xdr:colOff>
      <xdr:row>250</xdr:row>
      <xdr:rowOff>161925</xdr:rowOff>
    </xdr:from>
    <xdr:to>
      <xdr:col>11</xdr:col>
      <xdr:colOff>521106</xdr:colOff>
      <xdr:row>258</xdr:row>
      <xdr:rowOff>161926</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162801" y="42738675"/>
          <a:ext cx="2530880" cy="1600200"/>
        </a:xfrm>
        <a:prstGeom prst="rect">
          <a:avLst/>
        </a:prstGeom>
      </xdr:spPr>
    </xdr:pic>
    <xdr:clientData/>
  </xdr:twoCellAnchor>
  <xdr:twoCellAnchor editAs="oneCell">
    <xdr:from>
      <xdr:col>11</xdr:col>
      <xdr:colOff>685800</xdr:colOff>
      <xdr:row>253</xdr:row>
      <xdr:rowOff>133350</xdr:rowOff>
    </xdr:from>
    <xdr:to>
      <xdr:col>14</xdr:col>
      <xdr:colOff>517025</xdr:colOff>
      <xdr:row>266</xdr:row>
      <xdr:rowOff>76201</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9858375" y="43310175"/>
          <a:ext cx="2383925" cy="2543175"/>
        </a:xfrm>
        <a:prstGeom prst="rect">
          <a:avLst/>
        </a:prstGeom>
      </xdr:spPr>
    </xdr:pic>
    <xdr:clientData/>
  </xdr:twoCellAnchor>
  <xdr:twoCellAnchor editAs="oneCell">
    <xdr:from>
      <xdr:col>8</xdr:col>
      <xdr:colOff>323850</xdr:colOff>
      <xdr:row>32</xdr:row>
      <xdr:rowOff>76201</xdr:rowOff>
    </xdr:from>
    <xdr:to>
      <xdr:col>15</xdr:col>
      <xdr:colOff>514350</xdr:colOff>
      <xdr:row>38</xdr:row>
      <xdr:rowOff>40053</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5"/>
        <a:stretch>
          <a:fillRect/>
        </a:stretch>
      </xdr:blipFill>
      <xdr:spPr>
        <a:xfrm>
          <a:off x="6638925" y="7915276"/>
          <a:ext cx="6410325" cy="1164002"/>
        </a:xfrm>
        <a:prstGeom prst="rect">
          <a:avLst/>
        </a:prstGeom>
      </xdr:spPr>
    </xdr:pic>
    <xdr:clientData/>
  </xdr:twoCellAnchor>
  <xdr:twoCellAnchor editAs="oneCell">
    <xdr:from>
      <xdr:col>9</xdr:col>
      <xdr:colOff>0</xdr:colOff>
      <xdr:row>138</xdr:row>
      <xdr:rowOff>0</xdr:rowOff>
    </xdr:from>
    <xdr:to>
      <xdr:col>9</xdr:col>
      <xdr:colOff>580952</xdr:colOff>
      <xdr:row>143</xdr:row>
      <xdr:rowOff>136570</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6"/>
        <a:stretch>
          <a:fillRect/>
        </a:stretch>
      </xdr:blipFill>
      <xdr:spPr>
        <a:xfrm>
          <a:off x="7477125" y="22974300"/>
          <a:ext cx="580952" cy="1133333"/>
        </a:xfrm>
        <a:prstGeom prst="rect">
          <a:avLst/>
        </a:prstGeom>
      </xdr:spPr>
    </xdr:pic>
    <xdr:clientData/>
  </xdr:twoCellAnchor>
  <xdr:twoCellAnchor>
    <xdr:from>
      <xdr:col>0</xdr:col>
      <xdr:colOff>739140</xdr:colOff>
      <xdr:row>338</xdr:row>
      <xdr:rowOff>144779</xdr:rowOff>
    </xdr:from>
    <xdr:to>
      <xdr:col>6</xdr:col>
      <xdr:colOff>342900</xdr:colOff>
      <xdr:row>376</xdr:row>
      <xdr:rowOff>157480</xdr:rowOff>
    </xdr:to>
    <xdr:grpSp>
      <xdr:nvGrpSpPr>
        <xdr:cNvPr id="20" name="Group 19">
          <a:extLst>
            <a:ext uri="{FF2B5EF4-FFF2-40B4-BE49-F238E27FC236}">
              <a16:creationId xmlns:a16="http://schemas.microsoft.com/office/drawing/2014/main" id="{30812604-C4EC-FF99-0A1D-F8389DFA1A39}"/>
            </a:ext>
          </a:extLst>
        </xdr:cNvPr>
        <xdr:cNvGrpSpPr/>
      </xdr:nvGrpSpPr>
      <xdr:grpSpPr>
        <a:xfrm>
          <a:off x="739140" y="66492119"/>
          <a:ext cx="4579620" cy="7541261"/>
          <a:chOff x="533400" y="66356865"/>
          <a:chExt cx="4880610" cy="8164196"/>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7"/>
          <a:stretch>
            <a:fillRect/>
          </a:stretch>
        </xdr:blipFill>
        <xdr:spPr>
          <a:xfrm>
            <a:off x="1855470" y="66356865"/>
            <a:ext cx="2443817" cy="4820946"/>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8"/>
          <a:stretch>
            <a:fillRect/>
          </a:stretch>
        </xdr:blipFill>
        <xdr:spPr>
          <a:xfrm>
            <a:off x="533400" y="71328917"/>
            <a:ext cx="4880610" cy="3192144"/>
          </a:xfrm>
          <a:prstGeom prst="rect">
            <a:avLst/>
          </a:prstGeom>
          <a:ln>
            <a:solidFill>
              <a:schemeClr val="tx1"/>
            </a:solidFill>
          </a:ln>
        </xdr:spPr>
      </xdr:pic>
    </xdr:grpSp>
    <xdr:clientData/>
  </xdr:twoCellAnchor>
  <xdr:twoCellAnchor editAs="oneCell">
    <xdr:from>
      <xdr:col>12</xdr:col>
      <xdr:colOff>55245</xdr:colOff>
      <xdr:row>327</xdr:row>
      <xdr:rowOff>161924</xdr:rowOff>
    </xdr:from>
    <xdr:to>
      <xdr:col>13</xdr:col>
      <xdr:colOff>559493</xdr:colOff>
      <xdr:row>336</xdr:row>
      <xdr:rowOff>93074</xdr:rowOff>
    </xdr:to>
    <xdr:pic>
      <xdr:nvPicPr>
        <xdr:cNvPr id="49" name="Picture 48" descr="https://vsjcllp.vsjadon.com/upload/insp-236446-1525.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10433685" y="64329944"/>
          <a:ext cx="1319588" cy="171423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266700</xdr:colOff>
      <xdr:row>316</xdr:row>
      <xdr:rowOff>133350</xdr:rowOff>
    </xdr:from>
    <xdr:to>
      <xdr:col>11</xdr:col>
      <xdr:colOff>185190</xdr:colOff>
      <xdr:row>327</xdr:row>
      <xdr:rowOff>93075</xdr:rowOff>
    </xdr:to>
    <xdr:pic>
      <xdr:nvPicPr>
        <xdr:cNvPr id="50" name="Picture 49" descr="https://vsjcllp.vsjadon.com/upload/insp-236446-843.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7947660" y="62122050"/>
          <a:ext cx="1663470" cy="2139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504825</xdr:colOff>
      <xdr:row>297</xdr:row>
      <xdr:rowOff>104775</xdr:rowOff>
    </xdr:from>
    <xdr:to>
      <xdr:col>12</xdr:col>
      <xdr:colOff>679351</xdr:colOff>
      <xdr:row>316</xdr:row>
      <xdr:rowOff>59469</xdr:rowOff>
    </xdr:to>
    <xdr:pic>
      <xdr:nvPicPr>
        <xdr:cNvPr id="51" name="Picture 50" descr="https://vsjcllp.vsjadon.com/upload/insp-236446-845.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8185785" y="58336815"/>
          <a:ext cx="2872006" cy="37113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253365</xdr:colOff>
      <xdr:row>316</xdr:row>
      <xdr:rowOff>130175</xdr:rowOff>
    </xdr:from>
    <xdr:to>
      <xdr:col>14</xdr:col>
      <xdr:colOff>563329</xdr:colOff>
      <xdr:row>327</xdr:row>
      <xdr:rowOff>89900</xdr:rowOff>
    </xdr:to>
    <xdr:pic>
      <xdr:nvPicPr>
        <xdr:cNvPr id="52" name="Picture 51" descr="https://vsjcllp.vsjadon.com/upload/insp-236446-849.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9679305" y="62118875"/>
          <a:ext cx="2938864" cy="2139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640080</xdr:colOff>
      <xdr:row>316</xdr:row>
      <xdr:rowOff>133350</xdr:rowOff>
    </xdr:from>
    <xdr:to>
      <xdr:col>16</xdr:col>
      <xdr:colOff>611505</xdr:colOff>
      <xdr:row>327</xdr:row>
      <xdr:rowOff>93075</xdr:rowOff>
    </xdr:to>
    <xdr:pic>
      <xdr:nvPicPr>
        <xdr:cNvPr id="53" name="Picture 52" descr="https://vsjcllp.vsjadon.com/upload/insp-236446-862.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12694920" y="62122050"/>
          <a:ext cx="1602105" cy="2139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760095</xdr:colOff>
      <xdr:row>297</xdr:row>
      <xdr:rowOff>104775</xdr:rowOff>
    </xdr:from>
    <xdr:to>
      <xdr:col>16</xdr:col>
      <xdr:colOff>340261</xdr:colOff>
      <xdr:row>316</xdr:row>
      <xdr:rowOff>59469</xdr:rowOff>
    </xdr:to>
    <xdr:pic>
      <xdr:nvPicPr>
        <xdr:cNvPr id="54" name="Picture 53" descr="https://vsjcllp.vsjadon.com/upload/insp-236446-860.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11138535" y="58336815"/>
          <a:ext cx="2887246" cy="371135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274320</xdr:colOff>
      <xdr:row>297</xdr:row>
      <xdr:rowOff>45720</xdr:rowOff>
    </xdr:from>
    <xdr:to>
      <xdr:col>7</xdr:col>
      <xdr:colOff>520275</xdr:colOff>
      <xdr:row>335</xdr:row>
      <xdr:rowOff>84780</xdr:rowOff>
    </xdr:to>
    <xdr:grpSp>
      <xdr:nvGrpSpPr>
        <xdr:cNvPr id="8" name="Group 7">
          <a:extLst>
            <a:ext uri="{FF2B5EF4-FFF2-40B4-BE49-F238E27FC236}">
              <a16:creationId xmlns:a16="http://schemas.microsoft.com/office/drawing/2014/main" id="{1818A2F2-4730-63AE-D2C5-93EEF4F1BEAF}"/>
            </a:ext>
          </a:extLst>
        </xdr:cNvPr>
        <xdr:cNvGrpSpPr/>
      </xdr:nvGrpSpPr>
      <xdr:grpSpPr>
        <a:xfrm>
          <a:off x="274320" y="58277760"/>
          <a:ext cx="5976195" cy="7560000"/>
          <a:chOff x="244681" y="337305"/>
          <a:chExt cx="5976195" cy="7560000"/>
        </a:xfrm>
      </xdr:grpSpPr>
      <xdr:grpSp>
        <xdr:nvGrpSpPr>
          <xdr:cNvPr id="10" name="Group 9">
            <a:extLst>
              <a:ext uri="{FF2B5EF4-FFF2-40B4-BE49-F238E27FC236}">
                <a16:creationId xmlns:a16="http://schemas.microsoft.com/office/drawing/2014/main" id="{DDB97386-BA12-3788-0DB8-33EC6D1D743E}"/>
              </a:ext>
            </a:extLst>
          </xdr:cNvPr>
          <xdr:cNvGrpSpPr/>
        </xdr:nvGrpSpPr>
        <xdr:grpSpPr>
          <a:xfrm>
            <a:off x="244681" y="337305"/>
            <a:ext cx="5976195" cy="5220000"/>
            <a:chOff x="244681" y="337305"/>
            <a:chExt cx="5976195" cy="5220000"/>
          </a:xfrm>
        </xdr:grpSpPr>
        <xdr:pic>
          <xdr:nvPicPr>
            <xdr:cNvPr id="17" name="Picture 16">
              <a:extLst>
                <a:ext uri="{FF2B5EF4-FFF2-40B4-BE49-F238E27FC236}">
                  <a16:creationId xmlns:a16="http://schemas.microsoft.com/office/drawing/2014/main" id="{9E572142-D8A2-C5D0-FD1B-A72AD34FFB1F}"/>
                </a:ext>
              </a:extLst>
            </xdr:cNvPr>
            <xdr:cNvPicPr>
              <a:picLocks noChangeAspect="1"/>
            </xdr:cNvPicPr>
          </xdr:nvPicPr>
          <xdr:blipFill>
            <a:blip xmlns:r="http://schemas.openxmlformats.org/officeDocument/2006/relationships" r:embed="rId35" cstate="hqprint">
              <a:extLst>
                <a:ext uri="{28A0092B-C50C-407E-A947-70E740481C1C}">
                  <a14:useLocalDpi xmlns:a14="http://schemas.microsoft.com/office/drawing/2010/main"/>
                </a:ext>
              </a:extLst>
            </a:blip>
            <a:stretch>
              <a:fillRect/>
            </a:stretch>
          </xdr:blipFill>
          <xdr:spPr>
            <a:xfrm>
              <a:off x="4330876" y="337305"/>
              <a:ext cx="1890000"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2D7837E5-EFD3-0E78-66A8-AB710DD672FD}"/>
                </a:ext>
              </a:extLst>
            </xdr:cNvPr>
            <xdr:cNvPicPr>
              <a:picLocks noChangeAspect="1"/>
            </xdr:cNvPicPr>
          </xdr:nvPicPr>
          <xdr:blipFill>
            <a:blip xmlns:r="http://schemas.openxmlformats.org/officeDocument/2006/relationships" r:embed="rId36" cstate="hqprint">
              <a:extLst>
                <a:ext uri="{28A0092B-C50C-407E-A947-70E740481C1C}">
                  <a14:useLocalDpi xmlns:a14="http://schemas.microsoft.com/office/drawing/2010/main"/>
                </a:ext>
              </a:extLst>
            </a:blip>
            <a:stretch>
              <a:fillRect/>
            </a:stretch>
          </xdr:blipFill>
          <xdr:spPr>
            <a:xfrm>
              <a:off x="244681" y="337305"/>
              <a:ext cx="3915000" cy="5220000"/>
            </a:xfrm>
            <a:prstGeom prst="rect">
              <a:avLst/>
            </a:prstGeom>
            <a:ln>
              <a:solidFill>
                <a:schemeClr val="tx1"/>
              </a:solidFill>
            </a:ln>
          </xdr:spPr>
        </xdr:pic>
        <xdr:pic>
          <xdr:nvPicPr>
            <xdr:cNvPr id="19" name="Picture 18">
              <a:extLst>
                <a:ext uri="{FF2B5EF4-FFF2-40B4-BE49-F238E27FC236}">
                  <a16:creationId xmlns:a16="http://schemas.microsoft.com/office/drawing/2014/main" id="{A00A363C-6C73-E165-9B12-CBE06E3D3727}"/>
                </a:ext>
              </a:extLst>
            </xdr:cNvPr>
            <xdr:cNvPicPr>
              <a:picLocks noChangeAspect="1"/>
            </xdr:cNvPicPr>
          </xdr:nvPicPr>
          <xdr:blipFill>
            <a:blip xmlns:r="http://schemas.openxmlformats.org/officeDocument/2006/relationships" r:embed="rId37" cstate="hqprint">
              <a:extLst>
                <a:ext uri="{28A0092B-C50C-407E-A947-70E740481C1C}">
                  <a14:useLocalDpi xmlns:a14="http://schemas.microsoft.com/office/drawing/2010/main"/>
                </a:ext>
              </a:extLst>
            </a:blip>
            <a:stretch>
              <a:fillRect/>
            </a:stretch>
          </xdr:blipFill>
          <xdr:spPr>
            <a:xfrm>
              <a:off x="4330876" y="3037305"/>
              <a:ext cx="1890000" cy="252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84781743-D9CB-0EA4-9FD4-14739FD132E1}"/>
              </a:ext>
            </a:extLst>
          </xdr:cNvPr>
          <xdr:cNvGrpSpPr/>
        </xdr:nvGrpSpPr>
        <xdr:grpSpPr>
          <a:xfrm>
            <a:off x="631583" y="5737305"/>
            <a:ext cx="5202390" cy="2160000"/>
            <a:chOff x="748486" y="5737305"/>
            <a:chExt cx="5202390" cy="2160000"/>
          </a:xfrm>
        </xdr:grpSpPr>
        <xdr:pic>
          <xdr:nvPicPr>
            <xdr:cNvPr id="14" name="Picture 13">
              <a:extLst>
                <a:ext uri="{FF2B5EF4-FFF2-40B4-BE49-F238E27FC236}">
                  <a16:creationId xmlns:a16="http://schemas.microsoft.com/office/drawing/2014/main" id="{56AAC7BE-F7FB-7B85-E9E2-46F99A90DDD6}"/>
                </a:ext>
              </a:extLst>
            </xdr:cNvPr>
            <xdr:cNvPicPr>
              <a:picLocks noChangeAspect="1"/>
            </xdr:cNvPicPr>
          </xdr:nvPicPr>
          <xdr:blipFill>
            <a:blip xmlns:r="http://schemas.openxmlformats.org/officeDocument/2006/relationships" r:embed="rId38" cstate="hqprint">
              <a:extLst>
                <a:ext uri="{28A0092B-C50C-407E-A947-70E740481C1C}">
                  <a14:useLocalDpi xmlns:a14="http://schemas.microsoft.com/office/drawing/2010/main"/>
                </a:ext>
              </a:extLst>
            </a:blip>
            <a:stretch>
              <a:fillRect/>
            </a:stretch>
          </xdr:blipFill>
          <xdr:spPr>
            <a:xfrm>
              <a:off x="2539681" y="5737305"/>
              <a:ext cx="1620000" cy="2160000"/>
            </a:xfrm>
            <a:prstGeom prst="rect">
              <a:avLst/>
            </a:prstGeom>
            <a:ln>
              <a:solidFill>
                <a:schemeClr val="tx1"/>
              </a:solidFill>
            </a:ln>
          </xdr:spPr>
        </xdr:pic>
        <xdr:pic>
          <xdr:nvPicPr>
            <xdr:cNvPr id="15" name="Picture 14">
              <a:extLst>
                <a:ext uri="{FF2B5EF4-FFF2-40B4-BE49-F238E27FC236}">
                  <a16:creationId xmlns:a16="http://schemas.microsoft.com/office/drawing/2014/main" id="{1DB86F46-BB4B-5268-5F42-DEB35F1C916E}"/>
                </a:ext>
              </a:extLst>
            </xdr:cNvPr>
            <xdr:cNvPicPr>
              <a:picLocks noChangeAspect="1"/>
            </xdr:cNvPicPr>
          </xdr:nvPicPr>
          <xdr:blipFill>
            <a:blip xmlns:r="http://schemas.openxmlformats.org/officeDocument/2006/relationships" r:embed="rId39" cstate="hqprint">
              <a:extLst>
                <a:ext uri="{28A0092B-C50C-407E-A947-70E740481C1C}">
                  <a14:useLocalDpi xmlns:a14="http://schemas.microsoft.com/office/drawing/2010/main"/>
                </a:ext>
              </a:extLst>
            </a:blip>
            <a:stretch>
              <a:fillRect/>
            </a:stretch>
          </xdr:blipFill>
          <xdr:spPr>
            <a:xfrm>
              <a:off x="748486" y="5737305"/>
              <a:ext cx="1620000"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7E5CB4FC-25A8-B42B-A33E-EFFEEC716543}"/>
                </a:ext>
              </a:extLst>
            </xdr:cNvPr>
            <xdr:cNvPicPr>
              <a:picLocks noChangeAspect="1"/>
            </xdr:cNvPicPr>
          </xdr:nvPicPr>
          <xdr:blipFill>
            <a:blip xmlns:r="http://schemas.openxmlformats.org/officeDocument/2006/relationships" r:embed="rId40" cstate="hqprint">
              <a:extLst>
                <a:ext uri="{28A0092B-C50C-407E-A947-70E740481C1C}">
                  <a14:useLocalDpi xmlns:a14="http://schemas.microsoft.com/office/drawing/2010/main"/>
                </a:ext>
              </a:extLst>
            </a:blip>
            <a:stretch>
              <a:fillRect/>
            </a:stretch>
          </xdr:blipFill>
          <xdr:spPr>
            <a:xfrm>
              <a:off x="4330876" y="5737305"/>
              <a:ext cx="1620000" cy="216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179295</xdr:colOff>
      <xdr:row>16</xdr:row>
      <xdr:rowOff>11207</xdr:rowOff>
    </xdr:from>
    <xdr:to>
      <xdr:col>4</xdr:col>
      <xdr:colOff>271071</xdr:colOff>
      <xdr:row>34</xdr:row>
      <xdr:rowOff>182207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79295" y="3070413"/>
          <a:ext cx="5380952"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hiXuEqFjmwzAtVJ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22"/>
  <sheetViews>
    <sheetView tabSelected="1" view="pageBreakPreview" zoomScaleNormal="100" zoomScaleSheetLayoutView="100" zoomScalePageLayoutView="85" workbookViewId="0">
      <selection activeCell="E5" sqref="E5:H5"/>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4.8867187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49" t="s">
        <v>158</v>
      </c>
      <c r="B1" s="249"/>
      <c r="C1" s="249"/>
      <c r="D1" s="249"/>
      <c r="E1" s="249"/>
      <c r="F1" s="249"/>
      <c r="G1" s="249"/>
      <c r="H1" s="249"/>
    </row>
    <row r="2" spans="1:26" ht="16.5" customHeight="1" x14ac:dyDescent="0.3">
      <c r="A2" s="250" t="s">
        <v>0</v>
      </c>
      <c r="B2" s="250"/>
      <c r="C2" s="250"/>
      <c r="D2" s="250"/>
      <c r="E2" s="250"/>
      <c r="F2" s="250"/>
      <c r="G2" s="250"/>
      <c r="H2" s="250"/>
    </row>
    <row r="3" spans="1:26" x14ac:dyDescent="0.3">
      <c r="A3" s="216" t="s">
        <v>1</v>
      </c>
      <c r="B3" s="216"/>
      <c r="C3" s="216"/>
      <c r="D3" s="216"/>
      <c r="E3" s="216" t="str">
        <f ca="1">TEXT(TODAY(),"DD/MM/YYYY")</f>
        <v>13/09/2025</v>
      </c>
      <c r="F3" s="216"/>
      <c r="G3" s="216"/>
      <c r="H3" s="216"/>
      <c r="K3" s="53" t="s">
        <v>232</v>
      </c>
      <c r="L3" s="51" t="s">
        <v>230</v>
      </c>
      <c r="M3" s="51" t="s">
        <v>235</v>
      </c>
      <c r="N3" s="51" t="s">
        <v>233</v>
      </c>
      <c r="O3" s="51" t="s">
        <v>337</v>
      </c>
      <c r="P3" s="51" t="s">
        <v>236</v>
      </c>
    </row>
    <row r="4" spans="1:26" ht="15" customHeight="1" x14ac:dyDescent="0.3">
      <c r="A4" s="216" t="s">
        <v>229</v>
      </c>
      <c r="B4" s="216"/>
      <c r="C4" s="216"/>
      <c r="D4" s="216"/>
      <c r="E4" s="216" t="s">
        <v>230</v>
      </c>
      <c r="F4" s="216"/>
      <c r="G4" s="216"/>
      <c r="H4" s="216"/>
      <c r="K4" s="50" t="s">
        <v>231</v>
      </c>
      <c r="L4" s="51" t="s">
        <v>166</v>
      </c>
      <c r="M4" s="51" t="s">
        <v>240</v>
      </c>
      <c r="N4" s="51" t="s">
        <v>242</v>
      </c>
      <c r="O4" s="51" t="s">
        <v>338</v>
      </c>
      <c r="P4" s="51"/>
    </row>
    <row r="5" spans="1:26" ht="15" customHeight="1" x14ac:dyDescent="0.3">
      <c r="A5" s="216" t="s">
        <v>2</v>
      </c>
      <c r="B5" s="216"/>
      <c r="C5" s="216"/>
      <c r="D5" s="216"/>
      <c r="E5" s="216" t="s">
        <v>166</v>
      </c>
      <c r="F5" s="216"/>
      <c r="G5" s="216"/>
      <c r="H5" s="216"/>
      <c r="K5" s="50"/>
      <c r="L5" s="51" t="s">
        <v>237</v>
      </c>
      <c r="M5" s="51" t="s">
        <v>241</v>
      </c>
      <c r="N5" s="51" t="s">
        <v>243</v>
      </c>
      <c r="O5" s="51" t="s">
        <v>339</v>
      </c>
      <c r="P5" s="51"/>
    </row>
    <row r="6" spans="1:26" x14ac:dyDescent="0.3">
      <c r="A6" s="216" t="s">
        <v>3</v>
      </c>
      <c r="B6" s="216"/>
      <c r="C6" s="216"/>
      <c r="D6" s="216"/>
      <c r="E6" s="251">
        <v>45908</v>
      </c>
      <c r="F6" s="216"/>
      <c r="G6" s="216"/>
      <c r="H6" s="216"/>
      <c r="K6" s="50"/>
      <c r="L6" s="51" t="s">
        <v>238</v>
      </c>
      <c r="M6" s="51"/>
      <c r="N6" s="51"/>
      <c r="O6" s="51" t="s">
        <v>340</v>
      </c>
      <c r="P6" s="51"/>
    </row>
    <row r="7" spans="1:26" ht="16.5" customHeight="1" x14ac:dyDescent="0.3">
      <c r="A7" s="216" t="s">
        <v>4</v>
      </c>
      <c r="B7" s="216"/>
      <c r="C7" s="216"/>
      <c r="D7" s="216"/>
      <c r="E7" s="216" t="s">
        <v>345</v>
      </c>
      <c r="F7" s="216"/>
      <c r="G7" s="216"/>
      <c r="H7" s="216"/>
      <c r="K7" s="50"/>
      <c r="L7" s="51" t="s">
        <v>239</v>
      </c>
      <c r="M7" s="51"/>
      <c r="N7" s="51"/>
      <c r="O7" s="51" t="s">
        <v>340</v>
      </c>
      <c r="P7" s="51"/>
    </row>
    <row r="8" spans="1:26" ht="15" customHeight="1" x14ac:dyDescent="0.3">
      <c r="A8" s="216" t="s">
        <v>5</v>
      </c>
      <c r="B8" s="216"/>
      <c r="C8" s="216"/>
      <c r="D8" s="216"/>
      <c r="E8" s="216" t="str">
        <f>E7</f>
        <v>RRB Homes Private Limited</v>
      </c>
      <c r="F8" s="216"/>
      <c r="G8" s="216"/>
      <c r="H8" s="216"/>
      <c r="K8" s="50"/>
      <c r="L8" s="51"/>
      <c r="M8" s="51"/>
      <c r="N8" s="51"/>
      <c r="O8" s="51" t="s">
        <v>341</v>
      </c>
      <c r="P8" s="51"/>
    </row>
    <row r="9" spans="1:26" x14ac:dyDescent="0.3">
      <c r="A9" s="216" t="s">
        <v>6</v>
      </c>
      <c r="B9" s="216"/>
      <c r="C9" s="216"/>
      <c r="D9" s="216"/>
      <c r="E9" s="166" t="s">
        <v>346</v>
      </c>
      <c r="F9" s="166"/>
      <c r="G9" s="166"/>
      <c r="H9" s="166"/>
      <c r="K9" s="50"/>
      <c r="L9" s="51"/>
      <c r="M9" s="51"/>
      <c r="N9" s="51"/>
      <c r="O9" s="51" t="s">
        <v>342</v>
      </c>
      <c r="P9" s="51"/>
    </row>
    <row r="10" spans="1:26" x14ac:dyDescent="0.3">
      <c r="A10" s="216" t="s">
        <v>161</v>
      </c>
      <c r="B10" s="216"/>
      <c r="C10" s="216"/>
      <c r="D10" s="216"/>
      <c r="E10" s="216">
        <v>9867004514</v>
      </c>
      <c r="F10" s="216"/>
      <c r="G10" s="216"/>
      <c r="H10" s="216"/>
      <c r="K10" s="50"/>
      <c r="L10" s="51"/>
      <c r="M10" s="51"/>
      <c r="N10" s="51"/>
      <c r="O10" s="51" t="s">
        <v>343</v>
      </c>
      <c r="P10" s="51"/>
    </row>
    <row r="11" spans="1:26" x14ac:dyDescent="0.3">
      <c r="A11" s="216" t="s">
        <v>162</v>
      </c>
      <c r="B11" s="216"/>
      <c r="C11" s="216"/>
      <c r="D11" s="216"/>
      <c r="E11" s="216" t="s">
        <v>429</v>
      </c>
      <c r="F11" s="216"/>
      <c r="G11" s="216"/>
      <c r="H11" s="216"/>
      <c r="O11" s="51" t="s">
        <v>344</v>
      </c>
    </row>
    <row r="12" spans="1:26" x14ac:dyDescent="0.3">
      <c r="A12" s="216" t="s">
        <v>363</v>
      </c>
      <c r="B12" s="216"/>
      <c r="C12" s="216"/>
      <c r="D12" s="216"/>
      <c r="E12" s="216" t="s">
        <v>362</v>
      </c>
      <c r="F12" s="216"/>
      <c r="G12" s="216"/>
      <c r="H12" s="216"/>
    </row>
    <row r="13" spans="1:26" x14ac:dyDescent="0.3">
      <c r="A13" s="216" t="s">
        <v>167</v>
      </c>
      <c r="B13" s="216"/>
      <c r="C13" s="216"/>
      <c r="D13" s="216"/>
      <c r="E13" s="215" t="s">
        <v>347</v>
      </c>
      <c r="F13" s="215"/>
      <c r="G13" s="215"/>
      <c r="H13" s="215"/>
      <c r="S13" s="51" t="s">
        <v>176</v>
      </c>
      <c r="T13" s="51" t="s">
        <v>185</v>
      </c>
      <c r="U13" s="51" t="s">
        <v>168</v>
      </c>
      <c r="V13" s="51" t="s">
        <v>190</v>
      </c>
      <c r="W13" s="51" t="s">
        <v>208</v>
      </c>
      <c r="X13"/>
      <c r="Y13" t="s">
        <v>190</v>
      </c>
      <c r="Z13" t="e">
        <f ca="1">OFFSET($S$13,1,MATCH($G20,$S$13:$W$13,0)-1,15,1)</f>
        <v>#VALUE!</v>
      </c>
    </row>
    <row r="14" spans="1:26" x14ac:dyDescent="0.3">
      <c r="A14" s="173" t="s">
        <v>275</v>
      </c>
      <c r="B14" s="173"/>
      <c r="C14" s="173"/>
      <c r="D14" s="173"/>
      <c r="E14" s="215" t="s">
        <v>375</v>
      </c>
      <c r="F14" s="215"/>
      <c r="G14" s="215"/>
      <c r="H14" s="215"/>
      <c r="S14" s="51" t="s">
        <v>176</v>
      </c>
      <c r="T14" s="51" t="s">
        <v>183</v>
      </c>
      <c r="U14" s="51" t="s">
        <v>205</v>
      </c>
      <c r="V14" s="51" t="s">
        <v>191</v>
      </c>
      <c r="W14" s="51" t="s">
        <v>209</v>
      </c>
      <c r="X14"/>
      <c r="Y14"/>
      <c r="Z14"/>
    </row>
    <row r="15" spans="1:26" x14ac:dyDescent="0.3">
      <c r="A15" s="173" t="s">
        <v>7</v>
      </c>
      <c r="B15" s="173"/>
      <c r="C15" s="173"/>
      <c r="D15" s="173"/>
      <c r="E15" s="215" t="s">
        <v>350</v>
      </c>
      <c r="F15" s="248"/>
      <c r="G15" s="248"/>
      <c r="H15" s="248"/>
      <c r="I15" s="264" t="e">
        <f ca="1">OFFSET($D$5,1,MATCH($J13,$D$5:$H$5,0)-1,15,1)</f>
        <v>#N/A</v>
      </c>
      <c r="J15" s="265"/>
      <c r="K15" s="265"/>
      <c r="L15" s="265"/>
      <c r="M15" s="265"/>
      <c r="N15" s="265"/>
      <c r="O15" s="265"/>
      <c r="P15" s="265"/>
      <c r="S15" s="51" t="s">
        <v>177</v>
      </c>
      <c r="T15" s="51" t="s">
        <v>184</v>
      </c>
      <c r="U15" s="51" t="s">
        <v>206</v>
      </c>
      <c r="V15" s="51" t="s">
        <v>192</v>
      </c>
      <c r="W15" s="51" t="s">
        <v>222</v>
      </c>
      <c r="X15"/>
      <c r="Y15"/>
      <c r="Z15"/>
    </row>
    <row r="16" spans="1:26" ht="48.75" customHeight="1" x14ac:dyDescent="0.3">
      <c r="A16" s="236" t="s">
        <v>8</v>
      </c>
      <c r="B16" s="236"/>
      <c r="C16" s="215" t="str">
        <f>CONCATENATE((IF(OR(E9="",E9="NA"),"",E9)),", ",(IF(OR(A17="",A17="NA"),"",A17)),".",(IF(OR(C17="",C17="NA"),"",C17)),", near ",(IF(OR(C22="",C22="NA"),"",C22)),", ",(IF(OR(C19="",C19="NA"),"",C19)),", ",(IF(OR(C18="",C18="NA"),"",C18)),", ",(IF(OR(G19="",G19="NA"),"",G19)),", ",(IF(OR(C20="",C20="NA"),"",C20)),", ",(IF(OR(C21="",C21="NA"),"",C21)),", ",(IF(OR(G20="",G20="NA"),"",G20))," - ",(IF(OR(G21="",G21="NA"),"",G21)),".")</f>
        <v>Satra Nexus, CTS No.156A(pt) &amp; 160A(pt), Redevelopment of  "Building No 25 &amp; 26 Meghwadi Siddhivinayak CHSL", near Hema Industries, Salsingkar Road, Indira Nagar, Majas, Jogeshwari East, Andheri, Mumbai - 400060.</v>
      </c>
      <c r="D16" s="215"/>
      <c r="E16" s="215"/>
      <c r="F16" s="215"/>
      <c r="G16" s="215"/>
      <c r="H16" s="215"/>
      <c r="S16" s="51" t="s">
        <v>178</v>
      </c>
      <c r="T16" s="51" t="s">
        <v>186</v>
      </c>
      <c r="U16" s="51" t="s">
        <v>207</v>
      </c>
      <c r="V16" s="51" t="s">
        <v>193</v>
      </c>
      <c r="W16" s="51" t="s">
        <v>210</v>
      </c>
      <c r="X16"/>
      <c r="Y16"/>
      <c r="Z16"/>
    </row>
    <row r="17" spans="1:26" ht="31.5" customHeight="1" x14ac:dyDescent="0.3">
      <c r="A17" s="215" t="s">
        <v>172</v>
      </c>
      <c r="B17" s="215"/>
      <c r="C17" s="215" t="s">
        <v>383</v>
      </c>
      <c r="D17" s="215"/>
      <c r="E17" s="215"/>
      <c r="F17" s="215"/>
      <c r="G17" s="215"/>
      <c r="H17" s="215"/>
      <c r="S17" s="51" t="s">
        <v>179</v>
      </c>
      <c r="T17" s="51" t="s">
        <v>187</v>
      </c>
      <c r="U17" s="51" t="s">
        <v>168</v>
      </c>
      <c r="V17" s="51" t="s">
        <v>194</v>
      </c>
      <c r="W17" s="51" t="s">
        <v>211</v>
      </c>
      <c r="X17"/>
      <c r="Y17"/>
      <c r="Z17"/>
    </row>
    <row r="18" spans="1:26" ht="15.75" customHeight="1" x14ac:dyDescent="0.3">
      <c r="A18" s="215" t="s">
        <v>156</v>
      </c>
      <c r="B18" s="215"/>
      <c r="C18" s="215" t="s">
        <v>352</v>
      </c>
      <c r="D18" s="215"/>
      <c r="E18" s="215"/>
      <c r="F18" s="215"/>
      <c r="G18" s="215"/>
      <c r="H18" s="215"/>
      <c r="S18" s="51" t="s">
        <v>180</v>
      </c>
      <c r="T18" s="51" t="s">
        <v>185</v>
      </c>
      <c r="U18" s="51"/>
      <c r="V18" s="51" t="s">
        <v>195</v>
      </c>
      <c r="W18" s="51" t="s">
        <v>212</v>
      </c>
      <c r="X18"/>
      <c r="Y18"/>
      <c r="Z18"/>
    </row>
    <row r="19" spans="1:26" ht="15.75" customHeight="1" x14ac:dyDescent="0.3">
      <c r="A19" s="236" t="s">
        <v>9</v>
      </c>
      <c r="B19" s="236"/>
      <c r="C19" s="216" t="s">
        <v>353</v>
      </c>
      <c r="D19" s="216"/>
      <c r="E19" s="215" t="s">
        <v>68</v>
      </c>
      <c r="F19" s="215"/>
      <c r="G19" s="215" t="s">
        <v>348</v>
      </c>
      <c r="H19" s="215"/>
      <c r="S19" s="51" t="s">
        <v>181</v>
      </c>
      <c r="T19" s="51" t="s">
        <v>188</v>
      </c>
      <c r="U19" s="51"/>
      <c r="V19" s="51" t="s">
        <v>196</v>
      </c>
      <c r="W19" s="51" t="s">
        <v>213</v>
      </c>
      <c r="X19"/>
      <c r="Y19"/>
      <c r="Z19"/>
    </row>
    <row r="20" spans="1:26" x14ac:dyDescent="0.3">
      <c r="A20" s="173" t="s">
        <v>11</v>
      </c>
      <c r="B20" s="173"/>
      <c r="C20" s="215" t="s">
        <v>349</v>
      </c>
      <c r="D20" s="215"/>
      <c r="E20" s="215" t="s">
        <v>10</v>
      </c>
      <c r="F20" s="215"/>
      <c r="G20" s="247" t="s">
        <v>168</v>
      </c>
      <c r="H20" s="247"/>
      <c r="S20" s="51" t="s">
        <v>182</v>
      </c>
      <c r="T20" s="51" t="s">
        <v>189</v>
      </c>
      <c r="U20" s="51"/>
      <c r="V20" s="51" t="s">
        <v>197</v>
      </c>
      <c r="W20" s="51" t="s">
        <v>214</v>
      </c>
      <c r="X20"/>
      <c r="Y20"/>
      <c r="Z20"/>
    </row>
    <row r="21" spans="1:26" x14ac:dyDescent="0.3">
      <c r="A21" s="173" t="s">
        <v>69</v>
      </c>
      <c r="B21" s="173"/>
      <c r="C21" s="215" t="s">
        <v>205</v>
      </c>
      <c r="D21" s="215"/>
      <c r="E21" s="215" t="s">
        <v>12</v>
      </c>
      <c r="F21" s="215"/>
      <c r="G21" s="215">
        <v>400060</v>
      </c>
      <c r="H21" s="215"/>
      <c r="S21" s="51"/>
      <c r="T21" s="51"/>
      <c r="U21" s="51"/>
      <c r="V21" s="51" t="s">
        <v>198</v>
      </c>
      <c r="W21" s="51" t="s">
        <v>215</v>
      </c>
      <c r="X21"/>
      <c r="Y21"/>
      <c r="Z21"/>
    </row>
    <row r="22" spans="1:26" ht="50.25" customHeight="1" x14ac:dyDescent="0.3">
      <c r="A22" s="173" t="s">
        <v>114</v>
      </c>
      <c r="B22" s="173"/>
      <c r="C22" s="215" t="s">
        <v>351</v>
      </c>
      <c r="D22" s="215"/>
      <c r="E22" s="236" t="s">
        <v>13</v>
      </c>
      <c r="F22" s="236"/>
      <c r="G22" s="215" t="s">
        <v>361</v>
      </c>
      <c r="H22" s="215"/>
      <c r="S22" s="51"/>
      <c r="T22" s="51"/>
      <c r="U22" s="51"/>
      <c r="V22" s="51" t="s">
        <v>199</v>
      </c>
      <c r="W22" s="51" t="s">
        <v>216</v>
      </c>
      <c r="X22"/>
      <c r="Y22"/>
      <c r="Z22"/>
    </row>
    <row r="23" spans="1:26" ht="15" customHeight="1" x14ac:dyDescent="0.3">
      <c r="A23" s="236" t="s">
        <v>71</v>
      </c>
      <c r="B23" s="236"/>
      <c r="C23" s="236"/>
      <c r="D23" s="236"/>
      <c r="E23" s="216" t="s">
        <v>14</v>
      </c>
      <c r="F23" s="216"/>
      <c r="G23" s="216"/>
      <c r="H23" s="216"/>
      <c r="S23" s="51"/>
      <c r="T23" s="51"/>
      <c r="U23" s="51"/>
      <c r="V23" s="51" t="s">
        <v>200</v>
      </c>
      <c r="W23" s="51" t="s">
        <v>217</v>
      </c>
      <c r="X23"/>
      <c r="Y23"/>
      <c r="Z23"/>
    </row>
    <row r="24" spans="1:26" ht="18.75" customHeight="1" x14ac:dyDescent="0.3">
      <c r="A24" s="236"/>
      <c r="B24" s="236"/>
      <c r="C24" s="236"/>
      <c r="D24" s="236"/>
      <c r="E24" s="216"/>
      <c r="F24" s="216"/>
      <c r="G24" s="216"/>
      <c r="H24" s="216"/>
      <c r="S24" s="51"/>
      <c r="T24" s="51"/>
      <c r="U24" s="51"/>
      <c r="V24" s="51" t="s">
        <v>201</v>
      </c>
      <c r="W24" s="51" t="s">
        <v>218</v>
      </c>
      <c r="X24"/>
      <c r="Y24"/>
      <c r="Z24"/>
    </row>
    <row r="25" spans="1:26" ht="15" customHeight="1" x14ac:dyDescent="0.3">
      <c r="A25" s="236" t="s">
        <v>15</v>
      </c>
      <c r="B25" s="236"/>
      <c r="C25" s="236"/>
      <c r="D25" s="236"/>
      <c r="E25" s="215" t="s">
        <v>16</v>
      </c>
      <c r="F25" s="215"/>
      <c r="G25" s="215"/>
      <c r="H25" s="215"/>
      <c r="S25" s="51"/>
      <c r="T25" s="51"/>
      <c r="U25" s="51"/>
      <c r="V25" s="51" t="s">
        <v>202</v>
      </c>
      <c r="W25" s="51" t="s">
        <v>219</v>
      </c>
      <c r="X25"/>
      <c r="Y25"/>
      <c r="Z25"/>
    </row>
    <row r="26" spans="1:26" ht="15" customHeight="1" x14ac:dyDescent="0.3">
      <c r="A26" s="173" t="s">
        <v>17</v>
      </c>
      <c r="B26" s="173"/>
      <c r="C26" s="173"/>
      <c r="D26" s="173"/>
      <c r="E26" s="215" t="str">
        <f>IF(AND(G20="Mumbai"),"Upper Class","Middle Class")</f>
        <v>Upper Class</v>
      </c>
      <c r="F26" s="215"/>
      <c r="G26" s="215"/>
      <c r="H26" s="215"/>
      <c r="S26" s="51"/>
      <c r="T26" s="51"/>
      <c r="U26" s="51"/>
      <c r="V26" s="51" t="s">
        <v>203</v>
      </c>
      <c r="W26" s="51" t="s">
        <v>220</v>
      </c>
      <c r="X26"/>
      <c r="Y26"/>
      <c r="Z26"/>
    </row>
    <row r="27" spans="1:26" x14ac:dyDescent="0.3">
      <c r="A27" s="173" t="s">
        <v>18</v>
      </c>
      <c r="B27" s="173"/>
      <c r="C27" s="173"/>
      <c r="D27" s="173"/>
      <c r="E27" s="215" t="s">
        <v>19</v>
      </c>
      <c r="F27" s="215"/>
      <c r="G27" s="215"/>
      <c r="H27" s="215"/>
      <c r="S27" s="51"/>
      <c r="T27" s="51"/>
      <c r="U27" s="51"/>
      <c r="V27" s="51" t="s">
        <v>204</v>
      </c>
      <c r="W27" s="51" t="s">
        <v>221</v>
      </c>
      <c r="X27"/>
      <c r="Y27"/>
      <c r="Z27"/>
    </row>
    <row r="28" spans="1:26" ht="15.75" customHeight="1" x14ac:dyDescent="0.3">
      <c r="A28" s="173" t="s">
        <v>20</v>
      </c>
      <c r="B28" s="173"/>
      <c r="C28" s="173"/>
      <c r="D28" s="173"/>
      <c r="E28" s="215" t="str">
        <f>IF(AND(G20="Mumbai"),"Developed","Developing")</f>
        <v>Developed</v>
      </c>
      <c r="F28" s="215"/>
      <c r="G28" s="215"/>
      <c r="H28" s="215"/>
    </row>
    <row r="29" spans="1:26" x14ac:dyDescent="0.3">
      <c r="A29" s="173" t="s">
        <v>21</v>
      </c>
      <c r="B29" s="173"/>
      <c r="C29" s="173"/>
      <c r="D29" s="173"/>
      <c r="E29" s="215" t="s">
        <v>22</v>
      </c>
      <c r="F29" s="215"/>
      <c r="G29" s="215"/>
      <c r="H29" s="215"/>
    </row>
    <row r="30" spans="1:26" ht="15.75" customHeight="1" x14ac:dyDescent="0.3">
      <c r="A30" s="173" t="s">
        <v>76</v>
      </c>
      <c r="B30" s="173"/>
      <c r="C30" s="173"/>
      <c r="D30" s="173"/>
      <c r="E30" s="215" t="s">
        <v>77</v>
      </c>
      <c r="F30" s="215"/>
      <c r="G30" s="215"/>
      <c r="H30" s="215"/>
    </row>
    <row r="31" spans="1:26" ht="15" customHeight="1" x14ac:dyDescent="0.3">
      <c r="A31" s="173" t="s">
        <v>29</v>
      </c>
      <c r="B31" s="173"/>
      <c r="C31" s="173"/>
      <c r="D31" s="173"/>
      <c r="E31" s="215" t="s">
        <v>373</v>
      </c>
      <c r="F31" s="215"/>
      <c r="G31" s="215"/>
      <c r="H31" s="215"/>
      <c r="I31" s="2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row>
    <row r="32" spans="1:26" ht="15.75" customHeight="1" x14ac:dyDescent="0.3">
      <c r="A32" s="173" t="s">
        <v>88</v>
      </c>
      <c r="B32" s="173"/>
      <c r="C32" s="173"/>
      <c r="D32" s="173"/>
      <c r="E32" s="215" t="s">
        <v>30</v>
      </c>
      <c r="F32" s="215"/>
      <c r="G32" s="215"/>
      <c r="H32" s="215"/>
    </row>
    <row r="33" spans="1:19" s="22" customFormat="1" x14ac:dyDescent="0.3">
      <c r="A33" s="246" t="s">
        <v>89</v>
      </c>
      <c r="B33" s="246"/>
      <c r="C33" s="245" t="s">
        <v>169</v>
      </c>
      <c r="D33" s="245"/>
      <c r="E33" s="245"/>
      <c r="F33" s="245" t="s">
        <v>28</v>
      </c>
      <c r="G33" s="245"/>
      <c r="H33" s="245"/>
      <c r="S33" s="22" t="e">
        <f ca="1">OFFSET($S$13,1,MATCH($G20,$S$13:$W$13,0)-1,15,1)</f>
        <v>#VALUE!</v>
      </c>
    </row>
    <row r="34" spans="1:19" s="22" customFormat="1" x14ac:dyDescent="0.3">
      <c r="A34" s="199" t="s">
        <v>23</v>
      </c>
      <c r="B34" s="199" t="s">
        <v>27</v>
      </c>
      <c r="C34" s="244" t="s">
        <v>351</v>
      </c>
      <c r="D34" s="244"/>
      <c r="E34" s="244"/>
      <c r="F34" s="244" t="s">
        <v>351</v>
      </c>
      <c r="G34" s="244"/>
      <c r="H34" s="244"/>
    </row>
    <row r="35" spans="1:19" x14ac:dyDescent="0.3">
      <c r="A35" s="199" t="s">
        <v>24</v>
      </c>
      <c r="B35" s="199" t="s">
        <v>27</v>
      </c>
      <c r="C35" s="244" t="s">
        <v>359</v>
      </c>
      <c r="D35" s="244"/>
      <c r="E35" s="244"/>
      <c r="F35" s="244" t="s">
        <v>357</v>
      </c>
      <c r="G35" s="244"/>
      <c r="H35" s="244"/>
    </row>
    <row r="36" spans="1:19" s="22" customFormat="1" x14ac:dyDescent="0.3">
      <c r="A36" s="199" t="s">
        <v>26</v>
      </c>
      <c r="B36" s="199" t="s">
        <v>27</v>
      </c>
      <c r="C36" s="244" t="s">
        <v>360</v>
      </c>
      <c r="D36" s="244"/>
      <c r="E36" s="244"/>
      <c r="F36" s="244" t="s">
        <v>356</v>
      </c>
      <c r="G36" s="244"/>
      <c r="H36" s="244"/>
    </row>
    <row r="37" spans="1:19" x14ac:dyDescent="0.3">
      <c r="A37" s="199" t="s">
        <v>25</v>
      </c>
      <c r="B37" s="199" t="s">
        <v>27</v>
      </c>
      <c r="C37" s="200" t="s">
        <v>358</v>
      </c>
      <c r="D37" s="201"/>
      <c r="E37" s="202"/>
      <c r="F37" s="200" t="s">
        <v>353</v>
      </c>
      <c r="G37" s="201"/>
      <c r="H37" s="202"/>
    </row>
    <row r="38" spans="1:19" x14ac:dyDescent="0.3">
      <c r="A38" s="173" t="s">
        <v>276</v>
      </c>
      <c r="B38" s="173"/>
      <c r="C38" s="173"/>
      <c r="D38" s="173"/>
      <c r="E38" s="173"/>
      <c r="F38" s="173"/>
      <c r="G38" s="173"/>
      <c r="H38" s="173"/>
    </row>
    <row r="39" spans="1:19" ht="15.75" customHeight="1" x14ac:dyDescent="0.3">
      <c r="A39" s="173" t="s">
        <v>159</v>
      </c>
      <c r="B39" s="173"/>
      <c r="C39" s="204" t="s">
        <v>354</v>
      </c>
      <c r="D39" s="204"/>
      <c r="E39" s="204"/>
      <c r="F39" s="204"/>
      <c r="G39" s="204"/>
      <c r="H39" s="204"/>
    </row>
    <row r="40" spans="1:19" x14ac:dyDescent="0.3">
      <c r="A40" s="173" t="s">
        <v>155</v>
      </c>
      <c r="B40" s="173"/>
      <c r="C40" s="214" t="s">
        <v>355</v>
      </c>
      <c r="D40" s="215"/>
      <c r="E40" s="215"/>
      <c r="F40" s="215"/>
      <c r="G40" s="215"/>
      <c r="H40" s="215"/>
    </row>
    <row r="41" spans="1:19" x14ac:dyDescent="0.3">
      <c r="A41" s="204" t="s">
        <v>31</v>
      </c>
      <c r="B41" s="204"/>
      <c r="C41" s="204"/>
      <c r="D41" s="204"/>
      <c r="E41" s="204"/>
      <c r="F41" s="204"/>
      <c r="G41" s="204"/>
      <c r="H41" s="204"/>
    </row>
    <row r="42" spans="1:19" x14ac:dyDescent="0.3">
      <c r="A42" s="173" t="s">
        <v>32</v>
      </c>
      <c r="B42" s="173"/>
      <c r="C42" s="173"/>
      <c r="D42" s="173"/>
      <c r="E42" s="203">
        <v>1792</v>
      </c>
      <c r="F42" s="203"/>
      <c r="G42" s="203"/>
      <c r="H42" s="203"/>
    </row>
    <row r="43" spans="1:19" x14ac:dyDescent="0.3">
      <c r="A43" s="173" t="s">
        <v>33</v>
      </c>
      <c r="B43" s="173"/>
      <c r="C43" s="173"/>
      <c r="D43" s="173"/>
      <c r="E43" s="218">
        <v>3</v>
      </c>
      <c r="F43" s="218"/>
      <c r="G43" s="218"/>
      <c r="H43" s="218"/>
    </row>
    <row r="44" spans="1:19" x14ac:dyDescent="0.3">
      <c r="A44" s="173" t="s">
        <v>34</v>
      </c>
      <c r="B44" s="173"/>
      <c r="C44" s="173"/>
      <c r="D44" s="173"/>
      <c r="E44" s="218">
        <f>E46/E42-E43</f>
        <v>2.4353794642857149</v>
      </c>
      <c r="F44" s="218"/>
      <c r="G44" s="218"/>
      <c r="H44" s="218"/>
    </row>
    <row r="45" spans="1:19" x14ac:dyDescent="0.3">
      <c r="A45" s="173" t="s">
        <v>35</v>
      </c>
      <c r="B45" s="173"/>
      <c r="C45" s="173"/>
      <c r="D45" s="173"/>
      <c r="E45" s="218">
        <f>E43+E44</f>
        <v>5.4353794642857149</v>
      </c>
      <c r="F45" s="218"/>
      <c r="G45" s="218"/>
      <c r="H45" s="218"/>
    </row>
    <row r="46" spans="1:19" x14ac:dyDescent="0.3">
      <c r="A46" s="173" t="s">
        <v>87</v>
      </c>
      <c r="B46" s="173"/>
      <c r="C46" s="173"/>
      <c r="D46" s="173"/>
      <c r="E46" s="219">
        <v>9740.2000000000007</v>
      </c>
      <c r="F46" s="219"/>
      <c r="G46" s="219"/>
      <c r="H46" s="219"/>
    </row>
    <row r="47" spans="1:19" x14ac:dyDescent="0.3">
      <c r="A47" s="216" t="s">
        <v>36</v>
      </c>
      <c r="B47" s="216"/>
      <c r="C47" s="216"/>
      <c r="D47" s="216"/>
      <c r="E47" s="216" t="s">
        <v>372</v>
      </c>
      <c r="F47" s="216"/>
      <c r="G47" s="216"/>
      <c r="H47" s="216"/>
    </row>
    <row r="48" spans="1:19" x14ac:dyDescent="0.3">
      <c r="A48" s="204" t="s">
        <v>37</v>
      </c>
      <c r="B48" s="204"/>
      <c r="C48" s="204"/>
      <c r="D48" s="204"/>
      <c r="E48" s="204"/>
      <c r="F48" s="204"/>
      <c r="G48" s="204"/>
      <c r="H48" s="204"/>
    </row>
    <row r="49" spans="1:24" ht="33.75" customHeight="1" x14ac:dyDescent="0.3">
      <c r="A49" s="206" t="s">
        <v>144</v>
      </c>
      <c r="B49" s="208"/>
      <c r="C49" s="223" t="s">
        <v>252</v>
      </c>
      <c r="D49" s="224"/>
      <c r="E49" s="224"/>
      <c r="F49" s="224"/>
      <c r="G49" s="224"/>
      <c r="H49" s="225"/>
      <c r="R49" t="s">
        <v>249</v>
      </c>
      <c r="S49" s="54" t="s">
        <v>168</v>
      </c>
      <c r="T49" s="54" t="s">
        <v>176</v>
      </c>
      <c r="U49" s="54" t="s">
        <v>190</v>
      </c>
      <c r="V49" s="54" t="s">
        <v>185</v>
      </c>
    </row>
    <row r="50" spans="1:24" ht="33.75" customHeight="1" x14ac:dyDescent="0.3">
      <c r="A50" s="206" t="s">
        <v>38</v>
      </c>
      <c r="B50" s="208"/>
      <c r="C50" s="206" t="s">
        <v>420</v>
      </c>
      <c r="D50" s="207"/>
      <c r="E50" s="208"/>
      <c r="F50" s="18" t="s">
        <v>39</v>
      </c>
      <c r="G50" s="209">
        <v>45681</v>
      </c>
      <c r="H50" s="208"/>
      <c r="R50"/>
      <c r="S50" s="54" t="s">
        <v>250</v>
      </c>
      <c r="T50" s="54" t="s">
        <v>255</v>
      </c>
      <c r="U50" s="54" t="s">
        <v>266</v>
      </c>
      <c r="V50" s="54" t="s">
        <v>271</v>
      </c>
    </row>
    <row r="51" spans="1:24" ht="33.75" customHeight="1" x14ac:dyDescent="0.3">
      <c r="A51" s="206" t="s">
        <v>40</v>
      </c>
      <c r="B51" s="208"/>
      <c r="C51" s="206" t="str">
        <f>C50</f>
        <v>MH/EE/(BP)/GM/MHADA-111/1530/ 2025/IOA/1/Amend</v>
      </c>
      <c r="D51" s="207"/>
      <c r="E51" s="208"/>
      <c r="F51" s="18" t="s">
        <v>39</v>
      </c>
      <c r="G51" s="209">
        <f>G50</f>
        <v>45681</v>
      </c>
      <c r="H51" s="208"/>
      <c r="R51"/>
      <c r="S51" s="54" t="s">
        <v>251</v>
      </c>
      <c r="T51" s="54" t="s">
        <v>256</v>
      </c>
      <c r="U51" s="54" t="s">
        <v>264</v>
      </c>
      <c r="V51" s="54" t="s">
        <v>272</v>
      </c>
    </row>
    <row r="52" spans="1:24" s="23" customFormat="1" ht="33" customHeight="1" x14ac:dyDescent="0.3">
      <c r="A52" s="210" t="s">
        <v>421</v>
      </c>
      <c r="B52" s="211"/>
      <c r="C52" s="206" t="s">
        <v>364</v>
      </c>
      <c r="D52" s="207"/>
      <c r="E52" s="208"/>
      <c r="F52" s="18" t="s">
        <v>39</v>
      </c>
      <c r="G52" s="209">
        <v>45385</v>
      </c>
      <c r="H52" s="208"/>
      <c r="R52"/>
      <c r="S52" s="54" t="s">
        <v>252</v>
      </c>
      <c r="T52" s="54" t="s">
        <v>257</v>
      </c>
      <c r="U52" s="54" t="s">
        <v>254</v>
      </c>
      <c r="V52" s="54" t="s">
        <v>273</v>
      </c>
    </row>
    <row r="53" spans="1:24" s="23" customFormat="1" ht="51" customHeight="1" x14ac:dyDescent="0.3">
      <c r="A53" s="212"/>
      <c r="B53" s="213"/>
      <c r="C53" s="206" t="s">
        <v>365</v>
      </c>
      <c r="D53" s="207"/>
      <c r="E53" s="208"/>
      <c r="F53" s="18" t="s">
        <v>113</v>
      </c>
      <c r="G53" s="209">
        <v>45749</v>
      </c>
      <c r="H53" s="208"/>
      <c r="R53"/>
      <c r="S53" s="54" t="s">
        <v>253</v>
      </c>
      <c r="T53" s="54" t="s">
        <v>260</v>
      </c>
      <c r="U53" s="54" t="s">
        <v>267</v>
      </c>
      <c r="V53" s="70"/>
    </row>
    <row r="54" spans="1:24" s="23" customFormat="1" hidden="1" x14ac:dyDescent="0.3">
      <c r="A54" s="271" t="s">
        <v>277</v>
      </c>
      <c r="B54" s="272"/>
      <c r="C54" s="206" t="str">
        <f>C53</f>
        <v>This Commencement Certificate issued upto Plinth Level (i.e. height 0.60 mt. AGL) as per approved plan dated. 12.03.2024.</v>
      </c>
      <c r="D54" s="207"/>
      <c r="E54" s="208"/>
      <c r="F54" s="18" t="s">
        <v>39</v>
      </c>
      <c r="G54" s="206"/>
      <c r="H54" s="208"/>
      <c r="R54"/>
      <c r="S54" s="54" t="s">
        <v>252</v>
      </c>
      <c r="T54" s="54" t="s">
        <v>257</v>
      </c>
      <c r="U54" s="54" t="s">
        <v>254</v>
      </c>
      <c r="V54" s="54" t="s">
        <v>273</v>
      </c>
    </row>
    <row r="55" spans="1:24" s="23" customFormat="1" ht="32.25" hidden="1" customHeight="1" x14ac:dyDescent="0.3">
      <c r="A55" s="273"/>
      <c r="B55" s="274"/>
      <c r="C55" s="184"/>
      <c r="D55" s="185"/>
      <c r="E55" s="185"/>
      <c r="F55" s="185"/>
      <c r="G55" s="185"/>
      <c r="H55" s="186"/>
      <c r="R55"/>
      <c r="S55" s="54" t="s">
        <v>254</v>
      </c>
      <c r="T55" s="54" t="s">
        <v>258</v>
      </c>
      <c r="U55" s="54" t="s">
        <v>268</v>
      </c>
      <c r="V55" s="71"/>
      <c r="W55" s="21"/>
      <c r="X55" s="21"/>
    </row>
    <row r="56" spans="1:24" s="23" customFormat="1" ht="34.5" customHeight="1" x14ac:dyDescent="0.3">
      <c r="A56" s="210" t="s">
        <v>148</v>
      </c>
      <c r="B56" s="211"/>
      <c r="C56" s="206" t="s">
        <v>422</v>
      </c>
      <c r="D56" s="207"/>
      <c r="E56" s="208"/>
      <c r="F56" s="18" t="s">
        <v>39</v>
      </c>
      <c r="G56" s="209">
        <v>45636</v>
      </c>
      <c r="H56" s="208"/>
      <c r="R56"/>
      <c r="S56" s="71"/>
      <c r="T56" s="54" t="s">
        <v>259</v>
      </c>
      <c r="U56" s="54" t="s">
        <v>269</v>
      </c>
      <c r="V56" s="71"/>
      <c r="W56" s="21"/>
      <c r="X56" s="21"/>
    </row>
    <row r="57" spans="1:24" s="23" customFormat="1" ht="147" customHeight="1" x14ac:dyDescent="0.3">
      <c r="A57" s="212"/>
      <c r="B57" s="213"/>
      <c r="C57" s="206" t="s">
        <v>423</v>
      </c>
      <c r="D57" s="207"/>
      <c r="E57" s="208"/>
      <c r="F57" s="18" t="s">
        <v>113</v>
      </c>
      <c r="G57" s="209">
        <v>45749</v>
      </c>
      <c r="H57" s="208"/>
      <c r="R57"/>
      <c r="S57" s="71"/>
      <c r="T57" s="54" t="s">
        <v>261</v>
      </c>
      <c r="U57" s="54" t="s">
        <v>270</v>
      </c>
      <c r="V57" s="71"/>
      <c r="W57" s="21"/>
      <c r="X57" s="21"/>
    </row>
    <row r="58" spans="1:24" s="23" customFormat="1" ht="39" customHeight="1" x14ac:dyDescent="0.3">
      <c r="A58" s="210" t="s">
        <v>385</v>
      </c>
      <c r="B58" s="211"/>
      <c r="C58" s="206" t="s">
        <v>386</v>
      </c>
      <c r="D58" s="207"/>
      <c r="E58" s="208"/>
      <c r="F58" s="18" t="s">
        <v>39</v>
      </c>
      <c r="G58" s="209">
        <v>45471</v>
      </c>
      <c r="H58" s="208"/>
      <c r="R58"/>
      <c r="S58" s="71"/>
      <c r="T58" s="54" t="s">
        <v>262</v>
      </c>
      <c r="U58" s="71" t="s">
        <v>291</v>
      </c>
      <c r="V58" s="71"/>
      <c r="W58" s="21"/>
      <c r="X58" s="21"/>
    </row>
    <row r="59" spans="1:24" s="23" customFormat="1" ht="81" customHeight="1" x14ac:dyDescent="0.3">
      <c r="A59" s="212"/>
      <c r="B59" s="213"/>
      <c r="C59" s="206" t="s">
        <v>387</v>
      </c>
      <c r="D59" s="207"/>
      <c r="E59" s="207"/>
      <c r="F59" s="207"/>
      <c r="G59" s="207"/>
      <c r="H59" s="208"/>
      <c r="R59"/>
      <c r="S59" s="71"/>
      <c r="T59" s="54" t="s">
        <v>263</v>
      </c>
      <c r="U59" s="71"/>
      <c r="V59" s="71"/>
      <c r="W59" s="21"/>
      <c r="X59" s="21"/>
    </row>
    <row r="60" spans="1:24" x14ac:dyDescent="0.3">
      <c r="A60" s="266" t="s">
        <v>41</v>
      </c>
      <c r="B60" s="267"/>
      <c r="C60" s="266" t="s">
        <v>101</v>
      </c>
      <c r="D60" s="268"/>
      <c r="E60" s="267"/>
      <c r="F60" s="42" t="s">
        <v>39</v>
      </c>
      <c r="G60" s="269" t="s">
        <v>27</v>
      </c>
      <c r="H60" s="270"/>
      <c r="R60"/>
      <c r="S60" s="71"/>
      <c r="T60" s="54" t="s">
        <v>265</v>
      </c>
      <c r="U60" s="71"/>
      <c r="V60" s="71"/>
    </row>
    <row r="61" spans="1:24" x14ac:dyDescent="0.3">
      <c r="A61" s="235" t="s">
        <v>43</v>
      </c>
      <c r="B61" s="235"/>
      <c r="C61" s="235"/>
      <c r="D61" s="235"/>
      <c r="E61" s="235"/>
      <c r="F61" s="235"/>
      <c r="G61" s="235"/>
      <c r="H61" s="235"/>
      <c r="S61" s="71"/>
      <c r="T61" s="54" t="s">
        <v>274</v>
      </c>
      <c r="U61" s="71"/>
      <c r="V61" s="71"/>
    </row>
    <row r="62" spans="1:24" x14ac:dyDescent="0.3">
      <c r="A62" s="236" t="s">
        <v>86</v>
      </c>
      <c r="B62" s="236"/>
      <c r="C62" s="236"/>
      <c r="D62" s="219">
        <f>E46</f>
        <v>9740.2000000000007</v>
      </c>
      <c r="E62" s="216"/>
      <c r="F62" s="216"/>
      <c r="G62" s="216"/>
      <c r="H62" s="216"/>
      <c r="I62" s="82">
        <f>E46</f>
        <v>9740.2000000000007</v>
      </c>
      <c r="R62"/>
    </row>
    <row r="63" spans="1:24" x14ac:dyDescent="0.3">
      <c r="A63" s="215" t="s">
        <v>44</v>
      </c>
      <c r="B63" s="216"/>
      <c r="C63" s="216"/>
      <c r="D63" s="216" t="s">
        <v>426</v>
      </c>
      <c r="E63" s="216"/>
      <c r="F63" s="216"/>
      <c r="G63" s="216"/>
      <c r="H63" s="216"/>
      <c r="I63" s="24" t="s">
        <v>142</v>
      </c>
      <c r="R63"/>
    </row>
    <row r="64" spans="1:24" x14ac:dyDescent="0.3">
      <c r="A64" s="210" t="s">
        <v>45</v>
      </c>
      <c r="B64" s="222"/>
      <c r="C64" s="211"/>
      <c r="D64" s="220" t="s">
        <v>366</v>
      </c>
      <c r="E64" s="221"/>
      <c r="F64" s="221"/>
      <c r="G64" s="221"/>
      <c r="H64" s="221"/>
      <c r="I64" s="21" t="s">
        <v>164</v>
      </c>
      <c r="R64"/>
    </row>
    <row r="65" spans="1:19" ht="15.75" customHeight="1" x14ac:dyDescent="0.3">
      <c r="A65" s="210" t="s">
        <v>84</v>
      </c>
      <c r="B65" s="222"/>
      <c r="C65" s="222"/>
      <c r="D65" s="229" t="s">
        <v>366</v>
      </c>
      <c r="E65" s="230"/>
      <c r="F65" s="230"/>
      <c r="G65" s="230"/>
      <c r="H65" s="231"/>
      <c r="I65" s="21" t="s">
        <v>374</v>
      </c>
      <c r="R65"/>
    </row>
    <row r="66" spans="1:19" ht="15.75" hidden="1" customHeight="1" x14ac:dyDescent="0.3">
      <c r="A66" s="226"/>
      <c r="B66" s="227"/>
      <c r="C66" s="227"/>
      <c r="D66" s="232" t="s">
        <v>292</v>
      </c>
      <c r="E66" s="233"/>
      <c r="F66" s="233"/>
      <c r="G66" s="233"/>
      <c r="H66" s="234"/>
      <c r="R66"/>
    </row>
    <row r="67" spans="1:19" ht="15.75" hidden="1" customHeight="1" x14ac:dyDescent="0.3">
      <c r="A67" s="212"/>
      <c r="B67" s="228"/>
      <c r="C67" s="228"/>
      <c r="D67" s="277" t="s">
        <v>163</v>
      </c>
      <c r="E67" s="278"/>
      <c r="F67" s="278"/>
      <c r="G67" s="278"/>
      <c r="H67" s="279"/>
      <c r="S67"/>
    </row>
    <row r="68" spans="1:19" ht="15.75" customHeight="1" x14ac:dyDescent="0.3">
      <c r="A68" s="173" t="s">
        <v>42</v>
      </c>
      <c r="B68" s="173"/>
      <c r="C68" s="173"/>
      <c r="D68" s="205" t="s">
        <v>367</v>
      </c>
      <c r="E68" s="205"/>
      <c r="F68" s="205"/>
      <c r="G68" s="205"/>
      <c r="H68" s="205"/>
      <c r="J68" s="25"/>
      <c r="K68" s="24"/>
      <c r="N68" s="24"/>
      <c r="S68"/>
    </row>
    <row r="69" spans="1:19" ht="15.75" customHeight="1" x14ac:dyDescent="0.3">
      <c r="A69" s="173" t="s">
        <v>82</v>
      </c>
      <c r="B69" s="173"/>
      <c r="C69" s="173"/>
      <c r="D69" s="217" t="str">
        <f>(IF(G60="NA","60 Years After Completion",IF(G60&lt;&gt;"NA",""&amp;60-ROUNDDOWN((E3-G60)/360,0)&amp;" Years"," ")))</f>
        <v>60 Years After Completion</v>
      </c>
      <c r="E69" s="217"/>
      <c r="F69" s="217"/>
      <c r="G69" s="217"/>
      <c r="H69" s="217"/>
      <c r="N69" s="24"/>
      <c r="S69"/>
    </row>
    <row r="70" spans="1:19" ht="15.75" customHeight="1" x14ac:dyDescent="0.3">
      <c r="A70" s="173" t="s">
        <v>83</v>
      </c>
      <c r="B70" s="173"/>
      <c r="C70" s="173"/>
      <c r="D70" s="236" t="s">
        <v>22</v>
      </c>
      <c r="E70" s="236"/>
      <c r="F70" s="236"/>
      <c r="G70" s="236"/>
      <c r="H70" s="236"/>
      <c r="J70" s="26"/>
      <c r="K70" s="26"/>
      <c r="S70"/>
    </row>
    <row r="71" spans="1:19" ht="38.4" customHeight="1" x14ac:dyDescent="0.3">
      <c r="A71" s="216" t="s">
        <v>369</v>
      </c>
      <c r="B71" s="216"/>
      <c r="C71" s="216"/>
      <c r="D71" s="215" t="s">
        <v>368</v>
      </c>
      <c r="E71" s="215"/>
      <c r="F71" s="215"/>
      <c r="G71" s="215"/>
      <c r="H71" s="215"/>
      <c r="S71"/>
    </row>
    <row r="72" spans="1:19" x14ac:dyDescent="0.3">
      <c r="A72" s="236" t="s">
        <v>140</v>
      </c>
      <c r="B72" s="236"/>
      <c r="C72" s="236"/>
      <c r="D72" s="236" t="s">
        <v>27</v>
      </c>
      <c r="E72" s="236"/>
      <c r="F72" s="236"/>
      <c r="G72" s="236"/>
      <c r="H72" s="236"/>
      <c r="I72" s="27"/>
      <c r="J72" s="27"/>
      <c r="K72" s="27"/>
      <c r="L72" s="27"/>
      <c r="M72" s="27"/>
      <c r="N72" s="27"/>
    </row>
    <row r="73" spans="1:19" ht="15.75" customHeight="1" x14ac:dyDescent="0.3">
      <c r="A73" s="243" t="s">
        <v>81</v>
      </c>
      <c r="B73" s="243"/>
      <c r="C73" s="243"/>
      <c r="D73" s="220" t="str">
        <f ca="1">(IF(G79&gt;95%,"Nothing",IF(G79&gt;0%,"Cement, Aggregate, Steel, etc",IF(G79=0%,"Work not yet Started"))))</f>
        <v>Cement, Aggregate, Steel, etc</v>
      </c>
      <c r="E73" s="220"/>
      <c r="F73" s="220"/>
      <c r="G73" s="220"/>
      <c r="H73" s="220"/>
      <c r="J73" s="26"/>
      <c r="S73"/>
    </row>
    <row r="74" spans="1:19" ht="33.75" customHeight="1" thickBot="1" x14ac:dyDescent="0.35">
      <c r="A74" s="242" t="s">
        <v>112</v>
      </c>
      <c r="B74" s="242"/>
      <c r="C74" s="242"/>
      <c r="D74" s="220" t="str">
        <f ca="1">(IF(D73="Nothing","Yes",IF(D73="Cement, Aggregate, Steel, etc","Under Construction",IF(D73="Work not yet Started","Work not yet Started"))))</f>
        <v>Under Construction</v>
      </c>
      <c r="E74" s="220"/>
      <c r="F74" s="220" t="str">
        <f ca="1">(IF(D73="Nothing","Yes",IF(D73="Cement, Aggregate, Steel, etc","Under Construction",IF(D73="Work not yet Started","Work not yet Started"))))</f>
        <v>Under Construction</v>
      </c>
      <c r="G74" s="220"/>
      <c r="H74" s="220"/>
      <c r="S74"/>
    </row>
    <row r="75" spans="1:19" ht="15.75" customHeight="1" x14ac:dyDescent="0.3">
      <c r="A75" s="237" t="s">
        <v>132</v>
      </c>
      <c r="B75" s="238"/>
      <c r="C75" s="239" t="str">
        <f>D65</f>
        <v>Wing A, B &amp; C = Gr + 1st to 18th Floor</v>
      </c>
      <c r="D75" s="240"/>
      <c r="E75" s="240"/>
      <c r="F75" s="240"/>
      <c r="G75" s="240"/>
      <c r="H75" s="241"/>
      <c r="I75" s="45" t="str">
        <f ca="1">IF(D88=100%,"All work Completed. Possession granted to the Building.",IF(D87=100%,"All work Completed, Waiting for OC",I76&amp;""&amp;I77&amp;""&amp;J76&amp;""&amp;J75&amp;" "&amp;J77))</f>
        <v>Excavation, Plinth Completed, RCC upto 17 Slab, Brickwork upto 13 Floor, Internal Plaster upto 10 Floor, External Plaster upto 10 Floor Completed</v>
      </c>
      <c r="J75" s="46"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17 Slab, Brickwork upto 13 Floor, Internal Plaster upto 10 Floor, External Plaster upto 10 Floor</v>
      </c>
      <c r="S75"/>
    </row>
    <row r="76" spans="1:19" x14ac:dyDescent="0.3">
      <c r="A76" s="16" t="s">
        <v>134</v>
      </c>
      <c r="B76" s="49">
        <f>IF(AND(ISNUMBER(SEARCH("1B",C75))),1,IF(AND(ISNUMBER(SEARCH("2B",C75))),2,IF(AND(ISNUMBER(SEARCH("3B",C75))),3,IF(AND(ISNUMBER(SEARCH("4B",C75))),4,IF(ISNUMBER(SEARCH("5B",C75)),5,0)))))</f>
        <v>0</v>
      </c>
      <c r="C76" s="49" t="s">
        <v>67</v>
      </c>
      <c r="D76" s="49">
        <v>1</v>
      </c>
      <c r="E76" s="49" t="s">
        <v>66</v>
      </c>
      <c r="F76" s="49">
        <v>0</v>
      </c>
      <c r="G76" s="49" t="s">
        <v>75</v>
      </c>
      <c r="H76" s="17">
        <f ca="1">--TRIM(RIGHT(SUBSTITUTE(LEFT(C75,_xlfn.AGGREGATE(16,6,FIND({0,1,2,3,4,5,6,7,8,9},C75,ROW(INDIRECT("1:"&amp;LEN(C75)))),1))," ",REPT(" ",LEN(C75))),LEN(C75)))</f>
        <v>18</v>
      </c>
      <c r="I76" s="47" t="str">
        <f ca="1">IF(D79=100%,"Excavation","")&amp;IF(D80=100%,", Plinth","")&amp;IF(D81=100%,", RCC Slab","")&amp;IF(D82=100%,", Brickwork","")&amp;IF(D83=100%,", Internal Plaster","")&amp;IF(D84=100%,", External Plaster","")&amp;IF(D85=100%,", Flooring","")&amp;IF(D86=100%,", Painting","")&amp;IF(D87=100%,", Building common Amenities","")</f>
        <v>Excavation, Plinth</v>
      </c>
      <c r="J76" s="48"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5.25" customHeight="1" x14ac:dyDescent="0.3">
      <c r="A77" s="165" t="s">
        <v>85</v>
      </c>
      <c r="B77" s="166"/>
      <c r="C77" s="167" t="str">
        <f ca="1">I75</f>
        <v>Excavation, Plinth Completed, RCC upto 17 Slab, Brickwork upto 13 Floor, Internal Plaster upto 10 Floor, External Plaster upto 10 Floor Completed</v>
      </c>
      <c r="D77" s="167"/>
      <c r="E77" s="167"/>
      <c r="F77" s="167"/>
      <c r="G77" s="167"/>
      <c r="H77" s="168"/>
      <c r="I77" s="47" t="str">
        <f ca="1">IF(I76&lt;&gt;""," Completed","")</f>
        <v xml:space="preserve"> Completed</v>
      </c>
      <c r="J77" s="48" t="str">
        <f ca="1">IF(J75&lt;&gt;"","Completed","")</f>
        <v>Completed</v>
      </c>
      <c r="S77"/>
    </row>
    <row r="78" spans="1:19" ht="15.75" customHeight="1" x14ac:dyDescent="0.3">
      <c r="A78" s="187" t="s">
        <v>46</v>
      </c>
      <c r="B78" s="188"/>
      <c r="C78" s="99" t="s">
        <v>131</v>
      </c>
      <c r="D78" s="99" t="s">
        <v>78</v>
      </c>
      <c r="E78" s="188" t="s">
        <v>80</v>
      </c>
      <c r="F78" s="188"/>
      <c r="G78" s="188" t="s">
        <v>79</v>
      </c>
      <c r="H78" s="281"/>
      <c r="I78" s="13" t="s">
        <v>133</v>
      </c>
      <c r="J78" s="28">
        <f ca="1">H76*25%</f>
        <v>4.5</v>
      </c>
      <c r="S78"/>
    </row>
    <row r="79" spans="1:19" x14ac:dyDescent="0.3">
      <c r="A79" s="187" t="s">
        <v>120</v>
      </c>
      <c r="B79" s="188"/>
      <c r="C79" s="99">
        <f ca="1">J80</f>
        <v>18</v>
      </c>
      <c r="D79" s="79">
        <f ca="1">((100/H76)*C79)/100</f>
        <v>1</v>
      </c>
      <c r="E79" s="190">
        <f ca="1">(((C80/H76*10)+(40/(D76+F76+H76)*C81)+(7.5/(H76)*C82)+(7.5/(H76)*C83)+(10/H76*C84)+(10/H76*C85)+(5/H76*C86)+(5/H76*C87)+(5/H76*C88))/100)</f>
        <v>0.60928362573099415</v>
      </c>
      <c r="F79" s="191"/>
      <c r="G79" s="190">
        <f ca="1">((((C79/H76)*20)+((C80/H76)*25)+(30/(H76+F76+D76)*C81)+(5/H76*C82)+(5/H76*C83)+(5/H76*C84)+(5/H76*C85)+(0/H76*C86)+(0/H76*C87)+(5/H76*C88))/100)</f>
        <v>0.81008771929824552</v>
      </c>
      <c r="H79" s="196"/>
      <c r="I79" s="13" t="s">
        <v>96</v>
      </c>
      <c r="J79" s="29">
        <f ca="1">H76*50%</f>
        <v>9</v>
      </c>
    </row>
    <row r="80" spans="1:19" x14ac:dyDescent="0.3">
      <c r="A80" s="187" t="s">
        <v>47</v>
      </c>
      <c r="B80" s="188"/>
      <c r="C80" s="99">
        <f ca="1">J88</f>
        <v>18</v>
      </c>
      <c r="D80" s="79">
        <f ca="1">((100/H76)*C80)/100</f>
        <v>1</v>
      </c>
      <c r="E80" s="192"/>
      <c r="F80" s="193"/>
      <c r="G80" s="192"/>
      <c r="H80" s="197"/>
      <c r="I80" s="13" t="s">
        <v>97</v>
      </c>
      <c r="J80" s="29">
        <f ca="1">H76</f>
        <v>18</v>
      </c>
      <c r="S80"/>
    </row>
    <row r="81" spans="1:19" ht="15.75" customHeight="1" x14ac:dyDescent="0.3">
      <c r="A81" s="187" t="s">
        <v>121</v>
      </c>
      <c r="B81" s="188"/>
      <c r="C81" s="99">
        <v>17</v>
      </c>
      <c r="D81" s="79">
        <f ca="1">((100/(D76+F76+H76))*C81)/100</f>
        <v>0.89473684210526327</v>
      </c>
      <c r="E81" s="192"/>
      <c r="F81" s="193"/>
      <c r="G81" s="192"/>
      <c r="H81" s="197"/>
      <c r="I81" s="13" t="s">
        <v>98</v>
      </c>
      <c r="J81" s="30">
        <f ca="1">(IF(B76&gt;1,(H76/(B76+2)),H76/4))</f>
        <v>4.5</v>
      </c>
      <c r="S81"/>
    </row>
    <row r="82" spans="1:19" ht="15.75" customHeight="1" x14ac:dyDescent="0.3">
      <c r="A82" s="187" t="s">
        <v>128</v>
      </c>
      <c r="B82" s="188" t="s">
        <v>122</v>
      </c>
      <c r="C82" s="99">
        <v>13</v>
      </c>
      <c r="D82" s="79">
        <f ca="1">((100/H76)*C82)/100</f>
        <v>0.7222222222222221</v>
      </c>
      <c r="E82" s="192"/>
      <c r="F82" s="193"/>
      <c r="G82" s="192"/>
      <c r="H82" s="197"/>
      <c r="I82" s="13" t="s">
        <v>99</v>
      </c>
      <c r="J82" s="30">
        <f ca="1">(IF(B76&gt;1,(H76/(B76+2)+J81),H76/4+J81))</f>
        <v>9</v>
      </c>
    </row>
    <row r="83" spans="1:19" ht="15.75" customHeight="1" x14ac:dyDescent="0.3">
      <c r="A83" s="187" t="s">
        <v>129</v>
      </c>
      <c r="B83" s="188" t="s">
        <v>122</v>
      </c>
      <c r="C83" s="99">
        <v>10</v>
      </c>
      <c r="D83" s="79">
        <f ca="1">((100/H76)*C83)/100</f>
        <v>0.55555555555555558</v>
      </c>
      <c r="E83" s="192"/>
      <c r="F83" s="193"/>
      <c r="G83" s="192"/>
      <c r="H83" s="197"/>
      <c r="I83" s="13" t="s">
        <v>138</v>
      </c>
      <c r="J83" s="30">
        <f>(IF(B76&gt;1,(H76/(B76+2)+J82),0))</f>
        <v>0</v>
      </c>
    </row>
    <row r="84" spans="1:19" ht="15" customHeight="1" x14ac:dyDescent="0.3">
      <c r="A84" s="187" t="s">
        <v>127</v>
      </c>
      <c r="B84" s="188" t="s">
        <v>124</v>
      </c>
      <c r="C84" s="99">
        <v>10</v>
      </c>
      <c r="D84" s="79">
        <f ca="1">((100/(H76))*C84)/100</f>
        <v>0.55555555555555558</v>
      </c>
      <c r="E84" s="192"/>
      <c r="F84" s="193"/>
      <c r="G84" s="192"/>
      <c r="H84" s="197"/>
      <c r="I84" s="13" t="s">
        <v>135</v>
      </c>
      <c r="J84" s="30">
        <f>(IF(B76&gt;2,(H76/(B76+2)+J83),0))</f>
        <v>0</v>
      </c>
    </row>
    <row r="85" spans="1:19" ht="15.75" customHeight="1" x14ac:dyDescent="0.3">
      <c r="A85" s="187" t="s">
        <v>123</v>
      </c>
      <c r="B85" s="188" t="s">
        <v>123</v>
      </c>
      <c r="C85" s="99">
        <v>0</v>
      </c>
      <c r="D85" s="79">
        <f ca="1">((100/H76)*C85)/100</f>
        <v>0</v>
      </c>
      <c r="E85" s="192"/>
      <c r="F85" s="193"/>
      <c r="G85" s="192"/>
      <c r="H85" s="197"/>
      <c r="I85" s="13" t="s">
        <v>136</v>
      </c>
      <c r="J85" s="31">
        <f>(IF(B76&gt;3,(H76/(B76+2)+J84),0))</f>
        <v>0</v>
      </c>
    </row>
    <row r="86" spans="1:19" ht="15.75" customHeight="1" x14ac:dyDescent="0.3">
      <c r="A86" s="187" t="s">
        <v>130</v>
      </c>
      <c r="B86" s="188"/>
      <c r="C86" s="99">
        <v>0</v>
      </c>
      <c r="D86" s="79">
        <f ca="1">((100/H76)*C86)/100</f>
        <v>0</v>
      </c>
      <c r="E86" s="192"/>
      <c r="F86" s="193"/>
      <c r="G86" s="192"/>
      <c r="H86" s="197"/>
      <c r="I86" s="13" t="s">
        <v>137</v>
      </c>
      <c r="J86" s="30">
        <f>(IF(B76&gt;4,(H76/(B76+2)+J85),0))</f>
        <v>0</v>
      </c>
    </row>
    <row r="87" spans="1:19" ht="15.75" customHeight="1" x14ac:dyDescent="0.3">
      <c r="A87" s="187" t="s">
        <v>125</v>
      </c>
      <c r="B87" s="188" t="s">
        <v>125</v>
      </c>
      <c r="C87" s="99">
        <v>0</v>
      </c>
      <c r="D87" s="79">
        <f ca="1">((100/(H76))*C87)/100</f>
        <v>0</v>
      </c>
      <c r="E87" s="192"/>
      <c r="F87" s="193"/>
      <c r="G87" s="192"/>
      <c r="H87" s="197"/>
      <c r="I87" s="13" t="s">
        <v>139</v>
      </c>
      <c r="J87" s="30">
        <f ca="1">(IF(B76=1,(H76/(B76+3)+J82),IF(B76=0,(H76/4+J82),IF(B76&gt;1,0))))</f>
        <v>13.5</v>
      </c>
    </row>
    <row r="88" spans="1:19" ht="16.2" thickBot="1" x14ac:dyDescent="0.35">
      <c r="A88" s="282" t="s">
        <v>126</v>
      </c>
      <c r="B88" s="283"/>
      <c r="C88" s="80">
        <v>0</v>
      </c>
      <c r="D88" s="81">
        <f ca="1">((100/(H76))*C88)/100</f>
        <v>0</v>
      </c>
      <c r="E88" s="194"/>
      <c r="F88" s="195"/>
      <c r="G88" s="194"/>
      <c r="H88" s="198"/>
      <c r="I88" s="15" t="s">
        <v>100</v>
      </c>
      <c r="J88" s="32">
        <f ca="1">(IF(B76&gt;1.5,(H76/(B76+2)+J82+MAX(0,J83-J82)+MAX(0,J84-J83)+MAX(0,J85-J84)+MAX(0,J86-J85)+MAX(0,J87-J86)),IF(B76=1,(H76/(B76+3)+J87),IF(B76=0,H76/4+J87))))</f>
        <v>18</v>
      </c>
    </row>
    <row r="89" spans="1:19" ht="15.75" hidden="1" customHeight="1" x14ac:dyDescent="0.3">
      <c r="A89" s="160" t="s">
        <v>132</v>
      </c>
      <c r="B89" s="161"/>
      <c r="C89" s="162" t="str">
        <f>D66</f>
        <v>B Wing = 1B + G + 1st to 19th Floor</v>
      </c>
      <c r="D89" s="163"/>
      <c r="E89" s="163"/>
      <c r="F89" s="163"/>
      <c r="G89" s="163"/>
      <c r="H89" s="164"/>
      <c r="I89" s="45" t="str">
        <f ca="1">IF(D102=100%,"All work Completed. Possession granted to the Building.",IF(D101=100%,"All work Completed, Waiting for OC",I90&amp;""&amp;I91&amp;""&amp;J90&amp;""&amp;J89&amp;" "&amp;J91))</f>
        <v xml:space="preserve">Excavation, Plinth Completed </v>
      </c>
      <c r="J89" s="46"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
      <c r="A90" s="16" t="s">
        <v>134</v>
      </c>
      <c r="B90" s="49">
        <f>IF(AND(ISNUMBER(SEARCH("1B",C89))),1,IF(AND(ISNUMBER(SEARCH("2B",C89))),2,IF(AND(ISNUMBER(SEARCH("3B",C89))),3,IF(AND(ISNUMBER(SEARCH("4B",C89))),4,IF(ISNUMBER(SEARCH("5B",C89)),5,0)))))</f>
        <v>1</v>
      </c>
      <c r="C90" s="49" t="s">
        <v>67</v>
      </c>
      <c r="D90" s="49">
        <v>1</v>
      </c>
      <c r="E90" s="49" t="s">
        <v>66</v>
      </c>
      <c r="F90" s="14">
        <v>0</v>
      </c>
      <c r="G90" s="44" t="s">
        <v>75</v>
      </c>
      <c r="H90" s="17">
        <f ca="1">--TRIM(RIGHT(SUBSTITUTE(LEFT(C89,_xlfn.AGGREGATE(16,6,FIND({0,1,2,3,4,5,6,7,8,9},C89,ROW(INDIRECT("1:"&amp;LEN(C89)))),1))," ",REPT(" ",LEN(C89))),LEN(C89)))</f>
        <v>19</v>
      </c>
      <c r="I90" s="47" t="str">
        <f ca="1">IF(D93=100%,"Excavation","")&amp;IF(D94=100%,", Plinth","")&amp;IF(D95=100%,", RCC Slab","")&amp;IF(D96=100%,", Brickwork","")&amp;IF(D97=100%,", Internal Plaster","")&amp;IF(D98=100%,", External Plaster","")&amp;IF(D99=100%,", Flooring","")&amp;IF(D100=100%,", Painting","")&amp;IF(D101=100%,", Building common Amenities","")</f>
        <v>Excavation, Plinth</v>
      </c>
      <c r="J90" s="48"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
      <c r="A91" s="165" t="s">
        <v>85</v>
      </c>
      <c r="B91" s="166"/>
      <c r="C91" s="167" t="str">
        <f ca="1">I89</f>
        <v xml:space="preserve">Excavation, Plinth Completed </v>
      </c>
      <c r="D91" s="167"/>
      <c r="E91" s="167"/>
      <c r="F91" s="167"/>
      <c r="G91" s="167"/>
      <c r="H91" s="168"/>
      <c r="I91" s="47" t="str">
        <f ca="1">IF(I90&lt;&gt;""," Completed","")</f>
        <v xml:space="preserve"> Completed</v>
      </c>
      <c r="J91" s="48" t="str">
        <f ca="1">IF(J89&lt;&gt;"","Completed","")</f>
        <v/>
      </c>
      <c r="S91"/>
    </row>
    <row r="92" spans="1:19" ht="15.75" hidden="1" customHeight="1" x14ac:dyDescent="0.3">
      <c r="A92" s="140" t="s">
        <v>46</v>
      </c>
      <c r="B92" s="141"/>
      <c r="C92" s="73" t="s">
        <v>131</v>
      </c>
      <c r="D92" s="73" t="s">
        <v>78</v>
      </c>
      <c r="E92" s="141" t="s">
        <v>80</v>
      </c>
      <c r="F92" s="141"/>
      <c r="G92" s="141" t="s">
        <v>79</v>
      </c>
      <c r="H92" s="169"/>
      <c r="I92" s="13" t="s">
        <v>133</v>
      </c>
      <c r="J92" s="28">
        <f ca="1">H90*25%</f>
        <v>4.75</v>
      </c>
      <c r="S92"/>
    </row>
    <row r="93" spans="1:19" hidden="1" x14ac:dyDescent="0.3">
      <c r="A93" s="140" t="s">
        <v>120</v>
      </c>
      <c r="B93" s="141"/>
      <c r="C93" s="57">
        <f ca="1">J94</f>
        <v>19</v>
      </c>
      <c r="D93" s="19">
        <f ca="1">((100/H90)*C93)/100</f>
        <v>1</v>
      </c>
      <c r="E93" s="149">
        <f ca="1">(((C94/H90*10)+(40/(D90+F90+H90)*C95)+(7.5/(H90)*C96)+(7.5/(H90)*C97)+(10/H90*C98)+(10/H90*C99)+(5/H90*C100)+(5/H90*C101)+(5/H90*C102))/100)</f>
        <v>0.1</v>
      </c>
      <c r="F93" s="157"/>
      <c r="G93" s="149">
        <f ca="1">((((C93/H90)*20)+((C94/H90)*25)+(30/(H90+F90+D90)*C95)+(5/H90*C96)+(5/H90*C97)+(5/H90*C98)+(5/H90*C99)+(0/H90*C100)+(0/H90*C101)+(5/H90*C102))/100)</f>
        <v>0.45</v>
      </c>
      <c r="H93" s="150"/>
      <c r="I93" s="13" t="s">
        <v>96</v>
      </c>
      <c r="J93" s="29">
        <f ca="1">H90*50%</f>
        <v>9.5</v>
      </c>
    </row>
    <row r="94" spans="1:19" hidden="1" x14ac:dyDescent="0.3">
      <c r="A94" s="140" t="s">
        <v>47</v>
      </c>
      <c r="B94" s="141"/>
      <c r="C94" s="73">
        <f ca="1">J102</f>
        <v>19</v>
      </c>
      <c r="D94" s="19">
        <f ca="1">((100/H90)*C94)/100</f>
        <v>1</v>
      </c>
      <c r="E94" s="151"/>
      <c r="F94" s="158"/>
      <c r="G94" s="151"/>
      <c r="H94" s="152"/>
      <c r="I94" s="13" t="s">
        <v>97</v>
      </c>
      <c r="J94" s="29">
        <f ca="1">H90</f>
        <v>19</v>
      </c>
      <c r="S94"/>
    </row>
    <row r="95" spans="1:19" ht="15.75" hidden="1" customHeight="1" x14ac:dyDescent="0.3">
      <c r="A95" s="140" t="s">
        <v>121</v>
      </c>
      <c r="B95" s="141"/>
      <c r="C95" s="73">
        <v>0</v>
      </c>
      <c r="D95" s="19">
        <f ca="1">((100/(D90+F90+H90))*C95)/100</f>
        <v>0</v>
      </c>
      <c r="E95" s="151"/>
      <c r="F95" s="158"/>
      <c r="G95" s="151"/>
      <c r="H95" s="152"/>
      <c r="I95" s="13" t="s">
        <v>98</v>
      </c>
      <c r="J95" s="30">
        <f ca="1">(IF(B90&gt;1,(H90/(B90+2)),H90/4))</f>
        <v>4.75</v>
      </c>
      <c r="S95"/>
    </row>
    <row r="96" spans="1:19" ht="15.75" hidden="1" customHeight="1" x14ac:dyDescent="0.3">
      <c r="A96" s="140" t="s">
        <v>128</v>
      </c>
      <c r="B96" s="141" t="s">
        <v>122</v>
      </c>
      <c r="C96" s="73">
        <v>0</v>
      </c>
      <c r="D96" s="19">
        <f ca="1">((100/H90)*C96)/100</f>
        <v>0</v>
      </c>
      <c r="E96" s="151"/>
      <c r="F96" s="158"/>
      <c r="G96" s="151"/>
      <c r="H96" s="152"/>
      <c r="I96" s="13" t="s">
        <v>99</v>
      </c>
      <c r="J96" s="30">
        <f ca="1">(IF(B90&gt;1,(H90/(B90+2)+J95),H90/4+J95))</f>
        <v>9.5</v>
      </c>
    </row>
    <row r="97" spans="1:19" ht="15.75" hidden="1" customHeight="1" x14ac:dyDescent="0.3">
      <c r="A97" s="140" t="s">
        <v>129</v>
      </c>
      <c r="B97" s="141" t="s">
        <v>122</v>
      </c>
      <c r="C97" s="73">
        <v>0</v>
      </c>
      <c r="D97" s="19">
        <f ca="1">((100/H90)*C97)/100</f>
        <v>0</v>
      </c>
      <c r="E97" s="151"/>
      <c r="F97" s="158"/>
      <c r="G97" s="151"/>
      <c r="H97" s="152"/>
      <c r="I97" s="13" t="s">
        <v>138</v>
      </c>
      <c r="J97" s="30">
        <f>(IF(B90&gt;1,(H90/(B90+2)+J96),0))</f>
        <v>0</v>
      </c>
    </row>
    <row r="98" spans="1:19" ht="15" hidden="1" customHeight="1" x14ac:dyDescent="0.3">
      <c r="A98" s="140" t="s">
        <v>127</v>
      </c>
      <c r="B98" s="141" t="s">
        <v>124</v>
      </c>
      <c r="C98" s="73">
        <v>0</v>
      </c>
      <c r="D98" s="19">
        <f ca="1">((100/(H90))*C98)/100</f>
        <v>0</v>
      </c>
      <c r="E98" s="151"/>
      <c r="F98" s="158"/>
      <c r="G98" s="151"/>
      <c r="H98" s="152"/>
      <c r="I98" s="13" t="s">
        <v>135</v>
      </c>
      <c r="J98" s="30">
        <f>(IF(B90&gt;2,(H90/(B90+2)+J97),0))</f>
        <v>0</v>
      </c>
    </row>
    <row r="99" spans="1:19" ht="15.75" hidden="1" customHeight="1" x14ac:dyDescent="0.3">
      <c r="A99" s="140" t="s">
        <v>123</v>
      </c>
      <c r="B99" s="141" t="s">
        <v>123</v>
      </c>
      <c r="C99" s="73">
        <v>0</v>
      </c>
      <c r="D99" s="19">
        <f ca="1">((100/H90)*C99)/100</f>
        <v>0</v>
      </c>
      <c r="E99" s="151"/>
      <c r="F99" s="158"/>
      <c r="G99" s="151"/>
      <c r="H99" s="152"/>
      <c r="I99" s="13" t="s">
        <v>136</v>
      </c>
      <c r="J99" s="31">
        <f>(IF(B90&gt;3,(H90/(B90+2)+J98),0))</f>
        <v>0</v>
      </c>
    </row>
    <row r="100" spans="1:19" ht="15.75" hidden="1" customHeight="1" x14ac:dyDescent="0.3">
      <c r="A100" s="140" t="s">
        <v>130</v>
      </c>
      <c r="B100" s="141"/>
      <c r="C100" s="73">
        <v>0</v>
      </c>
      <c r="D100" s="19">
        <f ca="1">((100/H90)*C100)/100</f>
        <v>0</v>
      </c>
      <c r="E100" s="151"/>
      <c r="F100" s="158"/>
      <c r="G100" s="151"/>
      <c r="H100" s="152"/>
      <c r="I100" s="13" t="s">
        <v>137</v>
      </c>
      <c r="J100" s="30">
        <f>(IF(B90&gt;4,(H90/(B90+2)+J99),0))</f>
        <v>0</v>
      </c>
    </row>
    <row r="101" spans="1:19" ht="15.75" hidden="1" customHeight="1" x14ac:dyDescent="0.3">
      <c r="A101" s="140" t="s">
        <v>125</v>
      </c>
      <c r="B101" s="141" t="s">
        <v>125</v>
      </c>
      <c r="C101" s="73">
        <v>0</v>
      </c>
      <c r="D101" s="19">
        <f ca="1">((100/(H90))*C101)/100</f>
        <v>0</v>
      </c>
      <c r="E101" s="151"/>
      <c r="F101" s="158"/>
      <c r="G101" s="151"/>
      <c r="H101" s="152"/>
      <c r="I101" s="13" t="s">
        <v>139</v>
      </c>
      <c r="J101" s="30">
        <f ca="1">(IF(B90=1,(H90/(B90+3)+J96),IF(B90=0,(H90/4+J96),IF(B90&gt;1,0))))</f>
        <v>14.25</v>
      </c>
    </row>
    <row r="102" spans="1:19" ht="16.2" hidden="1" thickBot="1" x14ac:dyDescent="0.35">
      <c r="A102" s="155" t="s">
        <v>126</v>
      </c>
      <c r="B102" s="156"/>
      <c r="C102" s="72">
        <v>0</v>
      </c>
      <c r="D102" s="20">
        <f ca="1">((100/(H90))*C102)/100</f>
        <v>0</v>
      </c>
      <c r="E102" s="153"/>
      <c r="F102" s="159"/>
      <c r="G102" s="153"/>
      <c r="H102" s="154"/>
      <c r="I102" s="15" t="s">
        <v>100</v>
      </c>
      <c r="J102" s="32">
        <f ca="1">(IF(B90&gt;1.5,(H90/(B90+2)+J96+MAX(0,J97-J96)+MAX(0,J98-J97)+MAX(0,J99-J98)+MAX(0,J100-J99)+MAX(0,J101-J100)),IF(B90=1,(H90/(B90+3)+J101),IF(B90=0,H90/4+J101))))</f>
        <v>19</v>
      </c>
    </row>
    <row r="103" spans="1:19" ht="15.75" hidden="1" customHeight="1" x14ac:dyDescent="0.3">
      <c r="A103" s="160" t="s">
        <v>132</v>
      </c>
      <c r="B103" s="161"/>
      <c r="C103" s="162" t="str">
        <f>D67</f>
        <v>C Wing = 1B + G + 1st to 20th Floor</v>
      </c>
      <c r="D103" s="163"/>
      <c r="E103" s="163"/>
      <c r="F103" s="163"/>
      <c r="G103" s="163"/>
      <c r="H103" s="164"/>
      <c r="I103" s="45" t="str">
        <f ca="1">IF(D116=100%,"All work Completed. Possession granted to the Building.",IF(D115=100%,"All work Completed, Waiting for OC",I104&amp;""&amp;I105&amp;""&amp;J104&amp;""&amp;J103&amp;" "&amp;J105))</f>
        <v xml:space="preserve">Excavation, Plinth Completed </v>
      </c>
      <c r="J103" s="46"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
      <c r="A104" s="16" t="s">
        <v>134</v>
      </c>
      <c r="B104" s="49">
        <f>IF(AND(ISNUMBER(SEARCH("1B",C103))),1,IF(AND(ISNUMBER(SEARCH("2B",C103))),2,IF(AND(ISNUMBER(SEARCH("3B",C103))),3,IF(AND(ISNUMBER(SEARCH("4B",C103))),4,IF(ISNUMBER(SEARCH("5B",C103)),5,0)))))</f>
        <v>1</v>
      </c>
      <c r="C104" s="49" t="s">
        <v>67</v>
      </c>
      <c r="D104" s="49">
        <v>1</v>
      </c>
      <c r="E104" s="49" t="s">
        <v>66</v>
      </c>
      <c r="F104" s="14">
        <v>0</v>
      </c>
      <c r="G104" s="44" t="s">
        <v>75</v>
      </c>
      <c r="H104" s="17">
        <f ca="1">--TRIM(RIGHT(SUBSTITUTE(LEFT(C103,_xlfn.AGGREGATE(16,6,FIND({0,1,2,3,4,5,6,7,8,9},C103,ROW(INDIRECT("1:"&amp;LEN(C103)))),1))," ",REPT(" ",LEN(C103))),LEN(C103)))</f>
        <v>20</v>
      </c>
      <c r="I104" s="47" t="str">
        <f ca="1">IF(D107=100%,"Excavation","")&amp;IF(D108=100%,", Plinth","")&amp;IF(D109=100%,", RCC Slab","")&amp;IF(D110=100%,", Brickwork","")&amp;IF(D111=100%,", Internal Plaster","")&amp;IF(D112=100%,", External Plaster","")&amp;IF(D113=100%,", Flooring","")&amp;IF(D114=100%,", Painting","")&amp;IF(D115=100%,", Building common Amenities","")</f>
        <v>Excavation, Plinth</v>
      </c>
      <c r="J104" s="48"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
      <c r="A105" s="165" t="s">
        <v>85</v>
      </c>
      <c r="B105" s="166"/>
      <c r="C105" s="167" t="str">
        <f ca="1">I103</f>
        <v xml:space="preserve">Excavation, Plinth Completed </v>
      </c>
      <c r="D105" s="167"/>
      <c r="E105" s="167"/>
      <c r="F105" s="167"/>
      <c r="G105" s="167"/>
      <c r="H105" s="168"/>
      <c r="I105" s="47" t="str">
        <f ca="1">IF(I104&lt;&gt;""," Completed","")</f>
        <v xml:space="preserve"> Completed</v>
      </c>
      <c r="J105" s="48" t="str">
        <f ca="1">IF(J103&lt;&gt;"","Completed","")</f>
        <v/>
      </c>
      <c r="S105"/>
    </row>
    <row r="106" spans="1:19" ht="15.75" hidden="1" customHeight="1" x14ac:dyDescent="0.3">
      <c r="A106" s="140" t="s">
        <v>46</v>
      </c>
      <c r="B106" s="141"/>
      <c r="C106" s="73" t="s">
        <v>131</v>
      </c>
      <c r="D106" s="73" t="s">
        <v>78</v>
      </c>
      <c r="E106" s="141" t="s">
        <v>80</v>
      </c>
      <c r="F106" s="141"/>
      <c r="G106" s="141" t="s">
        <v>79</v>
      </c>
      <c r="H106" s="169"/>
      <c r="I106" s="13" t="s">
        <v>133</v>
      </c>
      <c r="J106" s="28">
        <f ca="1">H104*25%</f>
        <v>5</v>
      </c>
      <c r="S106"/>
    </row>
    <row r="107" spans="1:19" hidden="1" x14ac:dyDescent="0.3">
      <c r="A107" s="140" t="s">
        <v>120</v>
      </c>
      <c r="B107" s="141"/>
      <c r="C107" s="57">
        <f ca="1">J108</f>
        <v>20</v>
      </c>
      <c r="D107" s="19">
        <f ca="1">((100/H104)*C107)/100</f>
        <v>1</v>
      </c>
      <c r="E107" s="149">
        <f ca="1">(((C108/H104*10)+(40/(D104+F104+H104)*C109)+(7.5/(H104)*C110)+(7.5/(H104)*C111)+(10/H104*C112)+(10/H104*C113)+(5/H104*C114)+(5/H104*C115)+(5/H104*C116))/100)</f>
        <v>0.1</v>
      </c>
      <c r="F107" s="157"/>
      <c r="G107" s="149">
        <f ca="1">((((C107/H104)*20)+((C108/H104)*25)+(30/(H104+F104+D104)*C109)+(5/H104*C110)+(5/H104*C111)+(5/H104*C112)+(5/H104*C113)+(0/H104*C114)+(0/H104*C115)+(5/H104*C116))/100)</f>
        <v>0.45</v>
      </c>
      <c r="H107" s="150"/>
      <c r="I107" s="13" t="s">
        <v>96</v>
      </c>
      <c r="J107" s="29">
        <f ca="1">H104*50%</f>
        <v>10</v>
      </c>
    </row>
    <row r="108" spans="1:19" hidden="1" x14ac:dyDescent="0.3">
      <c r="A108" s="140" t="s">
        <v>47</v>
      </c>
      <c r="B108" s="141"/>
      <c r="C108" s="73">
        <f ca="1">J116</f>
        <v>20</v>
      </c>
      <c r="D108" s="19">
        <f ca="1">((100/H104)*C108)/100</f>
        <v>1</v>
      </c>
      <c r="E108" s="151"/>
      <c r="F108" s="158"/>
      <c r="G108" s="151"/>
      <c r="H108" s="152"/>
      <c r="I108" s="13" t="s">
        <v>97</v>
      </c>
      <c r="J108" s="29">
        <f ca="1">H104</f>
        <v>20</v>
      </c>
      <c r="S108"/>
    </row>
    <row r="109" spans="1:19" ht="15.75" hidden="1" customHeight="1" x14ac:dyDescent="0.3">
      <c r="A109" s="140" t="s">
        <v>121</v>
      </c>
      <c r="B109" s="141"/>
      <c r="C109" s="73">
        <v>0</v>
      </c>
      <c r="D109" s="19">
        <f ca="1">((100/(D104+F104+H104))*C109)/100</f>
        <v>0</v>
      </c>
      <c r="E109" s="151"/>
      <c r="F109" s="158"/>
      <c r="G109" s="151"/>
      <c r="H109" s="152"/>
      <c r="I109" s="13" t="s">
        <v>98</v>
      </c>
      <c r="J109" s="30">
        <f ca="1">(IF(B104&gt;1,(H104/(B104+2)),H104/4))</f>
        <v>5</v>
      </c>
      <c r="S109"/>
    </row>
    <row r="110" spans="1:19" ht="15.75" hidden="1" customHeight="1" x14ac:dyDescent="0.3">
      <c r="A110" s="140" t="s">
        <v>128</v>
      </c>
      <c r="B110" s="141" t="s">
        <v>122</v>
      </c>
      <c r="C110" s="73">
        <v>0</v>
      </c>
      <c r="D110" s="19">
        <f ca="1">((100/H104)*C110)/100</f>
        <v>0</v>
      </c>
      <c r="E110" s="151"/>
      <c r="F110" s="158"/>
      <c r="G110" s="151"/>
      <c r="H110" s="152"/>
      <c r="I110" s="13" t="s">
        <v>99</v>
      </c>
      <c r="J110" s="30">
        <f ca="1">(IF(B104&gt;1,(H104/(B104+2)+J109),H104/4+J109))</f>
        <v>10</v>
      </c>
    </row>
    <row r="111" spans="1:19" ht="15.75" hidden="1" customHeight="1" x14ac:dyDescent="0.3">
      <c r="A111" s="140" t="s">
        <v>129</v>
      </c>
      <c r="B111" s="141" t="s">
        <v>122</v>
      </c>
      <c r="C111" s="73">
        <v>0</v>
      </c>
      <c r="D111" s="19">
        <f ca="1">((100/H104)*C111)/100</f>
        <v>0</v>
      </c>
      <c r="E111" s="151"/>
      <c r="F111" s="158"/>
      <c r="G111" s="151"/>
      <c r="H111" s="152"/>
      <c r="I111" s="13" t="s">
        <v>138</v>
      </c>
      <c r="J111" s="30">
        <f>(IF(B104&gt;1,(H104/(B104+2)+J110),0))</f>
        <v>0</v>
      </c>
    </row>
    <row r="112" spans="1:19" ht="15" hidden="1" customHeight="1" x14ac:dyDescent="0.3">
      <c r="A112" s="140" t="s">
        <v>127</v>
      </c>
      <c r="B112" s="141" t="s">
        <v>124</v>
      </c>
      <c r="C112" s="73">
        <v>0</v>
      </c>
      <c r="D112" s="19">
        <f ca="1">((100/(H104))*C112)/100</f>
        <v>0</v>
      </c>
      <c r="E112" s="151"/>
      <c r="F112" s="158"/>
      <c r="G112" s="151"/>
      <c r="H112" s="152"/>
      <c r="I112" s="13" t="s">
        <v>135</v>
      </c>
      <c r="J112" s="30">
        <f>(IF(B104&gt;2,(H104/(B104+2)+J111),0))</f>
        <v>0</v>
      </c>
    </row>
    <row r="113" spans="1:22" ht="15.75" hidden="1" customHeight="1" x14ac:dyDescent="0.3">
      <c r="A113" s="140" t="s">
        <v>123</v>
      </c>
      <c r="B113" s="141" t="s">
        <v>123</v>
      </c>
      <c r="C113" s="73">
        <v>0</v>
      </c>
      <c r="D113" s="19">
        <f ca="1">((100/H104)*C113)/100</f>
        <v>0</v>
      </c>
      <c r="E113" s="151"/>
      <c r="F113" s="158"/>
      <c r="G113" s="151"/>
      <c r="H113" s="152"/>
      <c r="I113" s="13" t="s">
        <v>136</v>
      </c>
      <c r="J113" s="31">
        <f>(IF(B104&gt;3,(H104/(B104+2)+J112),0))</f>
        <v>0</v>
      </c>
    </row>
    <row r="114" spans="1:22" ht="15.75" hidden="1" customHeight="1" x14ac:dyDescent="0.3">
      <c r="A114" s="140" t="s">
        <v>130</v>
      </c>
      <c r="B114" s="141"/>
      <c r="C114" s="73">
        <v>0</v>
      </c>
      <c r="D114" s="19">
        <f ca="1">((100/H104)*C114)/100</f>
        <v>0</v>
      </c>
      <c r="E114" s="151"/>
      <c r="F114" s="158"/>
      <c r="G114" s="151"/>
      <c r="H114" s="152"/>
      <c r="I114" s="13" t="s">
        <v>137</v>
      </c>
      <c r="J114" s="30">
        <f>(IF(B104&gt;4,(H104/(B104+2)+J113),0))</f>
        <v>0</v>
      </c>
    </row>
    <row r="115" spans="1:22" ht="15.75" hidden="1" customHeight="1" x14ac:dyDescent="0.3">
      <c r="A115" s="140" t="s">
        <v>125</v>
      </c>
      <c r="B115" s="141" t="s">
        <v>125</v>
      </c>
      <c r="C115" s="73">
        <v>0</v>
      </c>
      <c r="D115" s="19">
        <f ca="1">((100/(H104))*C115)/100</f>
        <v>0</v>
      </c>
      <c r="E115" s="151"/>
      <c r="F115" s="158"/>
      <c r="G115" s="151"/>
      <c r="H115" s="152"/>
      <c r="I115" s="13" t="s">
        <v>139</v>
      </c>
      <c r="J115" s="30">
        <f ca="1">(IF(B104=1,(H104/(B104+3)+J110),IF(B104=0,(H104/4+J110),IF(B104&gt;1,0))))</f>
        <v>15</v>
      </c>
    </row>
    <row r="116" spans="1:22" ht="16.2" hidden="1" thickBot="1" x14ac:dyDescent="0.35">
      <c r="A116" s="155" t="s">
        <v>126</v>
      </c>
      <c r="B116" s="156"/>
      <c r="C116" s="72">
        <v>0</v>
      </c>
      <c r="D116" s="20">
        <f ca="1">((100/(H104))*C116)/100</f>
        <v>0</v>
      </c>
      <c r="E116" s="153"/>
      <c r="F116" s="159"/>
      <c r="G116" s="153"/>
      <c r="H116" s="154"/>
      <c r="I116" s="15" t="s">
        <v>100</v>
      </c>
      <c r="J116" s="32">
        <f ca="1">(IF(B104&gt;1.5,(H104/(B104+2)+J110+MAX(0,J111-J110)+MAX(0,J112-J111)+MAX(0,J113-J112)+MAX(0,J114-J113)+MAX(0,J115-J114)),IF(B104=1,(H104/(B104+3)+J115),IF(B104=0,H104/4+J115))))</f>
        <v>20</v>
      </c>
    </row>
    <row r="117" spans="1:22" x14ac:dyDescent="0.3">
      <c r="A117" s="259" t="s">
        <v>150</v>
      </c>
      <c r="B117" s="259"/>
      <c r="C117" s="259"/>
      <c r="D117" s="259"/>
      <c r="E117" s="259"/>
      <c r="F117" s="260" t="s">
        <v>154</v>
      </c>
      <c r="G117" s="260"/>
      <c r="H117" s="260"/>
      <c r="R117" t="s">
        <v>249</v>
      </c>
      <c r="S117" t="s">
        <v>168</v>
      </c>
      <c r="T117" t="s">
        <v>176</v>
      </c>
      <c r="U117" t="s">
        <v>190</v>
      </c>
      <c r="V117" t="s">
        <v>185</v>
      </c>
    </row>
    <row r="118" spans="1:22" x14ac:dyDescent="0.3">
      <c r="A118" s="173" t="s">
        <v>152</v>
      </c>
      <c r="B118" s="173"/>
      <c r="C118" s="173"/>
      <c r="D118" s="173"/>
      <c r="E118" s="173"/>
      <c r="F118" s="254">
        <v>16000</v>
      </c>
      <c r="G118" s="254"/>
      <c r="H118" s="254"/>
      <c r="R118"/>
      <c r="S118">
        <v>800000</v>
      </c>
      <c r="T118">
        <v>150000</v>
      </c>
      <c r="U118">
        <v>100000</v>
      </c>
      <c r="V118">
        <v>100000</v>
      </c>
    </row>
    <row r="119" spans="1:22" x14ac:dyDescent="0.3">
      <c r="A119" s="173" t="s">
        <v>151</v>
      </c>
      <c r="B119" s="173"/>
      <c r="C119" s="173"/>
      <c r="D119" s="173"/>
      <c r="E119" s="173"/>
      <c r="F119" s="254">
        <v>25000</v>
      </c>
      <c r="G119" s="254"/>
      <c r="H119" s="254"/>
      <c r="J119" s="84" t="s">
        <v>379</v>
      </c>
      <c r="K119" s="84" t="s">
        <v>381</v>
      </c>
      <c r="R119"/>
      <c r="S119">
        <v>900000</v>
      </c>
      <c r="T119">
        <v>200000</v>
      </c>
      <c r="U119">
        <v>150000</v>
      </c>
      <c r="V119">
        <v>150000</v>
      </c>
    </row>
    <row r="120" spans="1:22" hidden="1" x14ac:dyDescent="0.3">
      <c r="A120" s="173" t="s">
        <v>153</v>
      </c>
      <c r="B120" s="173"/>
      <c r="C120" s="173"/>
      <c r="D120" s="173"/>
      <c r="E120" s="173"/>
      <c r="F120" s="254"/>
      <c r="G120" s="254"/>
      <c r="H120" s="254"/>
      <c r="J120" s="84"/>
      <c r="K120" s="84"/>
      <c r="R120"/>
      <c r="S120">
        <v>1000000</v>
      </c>
      <c r="T120">
        <v>250000</v>
      </c>
      <c r="U120">
        <v>200000</v>
      </c>
      <c r="V120">
        <v>200000</v>
      </c>
    </row>
    <row r="121" spans="1:22" s="33" customFormat="1" hidden="1" x14ac:dyDescent="0.3">
      <c r="A121" s="173" t="s">
        <v>171</v>
      </c>
      <c r="B121" s="173"/>
      <c r="C121" s="173"/>
      <c r="D121" s="173"/>
      <c r="E121" s="173"/>
      <c r="F121" s="254"/>
      <c r="G121" s="254"/>
      <c r="H121" s="254"/>
      <c r="J121" s="85"/>
      <c r="K121" s="85"/>
      <c r="R121"/>
      <c r="S121">
        <v>1100000</v>
      </c>
      <c r="T121">
        <v>300000</v>
      </c>
      <c r="U121">
        <v>250000</v>
      </c>
      <c r="V121" s="23">
        <v>250000</v>
      </c>
    </row>
    <row r="122" spans="1:22" s="33" customFormat="1" hidden="1" x14ac:dyDescent="0.3">
      <c r="A122" s="173" t="s">
        <v>90</v>
      </c>
      <c r="B122" s="173"/>
      <c r="C122" s="173"/>
      <c r="D122" s="173"/>
      <c r="E122" s="173"/>
      <c r="F122" s="254"/>
      <c r="G122" s="254"/>
      <c r="H122" s="254"/>
      <c r="J122" s="85"/>
      <c r="K122" s="85"/>
      <c r="R122"/>
      <c r="S122">
        <v>1200000</v>
      </c>
      <c r="T122">
        <v>350000</v>
      </c>
      <c r="U122">
        <v>300000</v>
      </c>
      <c r="V122">
        <v>300000</v>
      </c>
    </row>
    <row r="123" spans="1:22" s="33" customFormat="1" hidden="1" x14ac:dyDescent="0.3">
      <c r="A123" s="173" t="s">
        <v>91</v>
      </c>
      <c r="B123" s="173"/>
      <c r="C123" s="173"/>
      <c r="D123" s="173"/>
      <c r="E123" s="173"/>
      <c r="F123" s="254"/>
      <c r="G123" s="254"/>
      <c r="H123" s="254"/>
      <c r="J123" s="85"/>
      <c r="K123" s="85"/>
      <c r="R123"/>
      <c r="S123">
        <v>1300000</v>
      </c>
      <c r="T123">
        <v>400000</v>
      </c>
      <c r="U123">
        <v>350000</v>
      </c>
      <c r="V123" s="23">
        <v>400000</v>
      </c>
    </row>
    <row r="124" spans="1:22" s="33" customFormat="1" hidden="1" x14ac:dyDescent="0.3">
      <c r="A124" s="173" t="s">
        <v>92</v>
      </c>
      <c r="B124" s="173"/>
      <c r="C124" s="173"/>
      <c r="D124" s="173"/>
      <c r="E124" s="173"/>
      <c r="F124" s="254"/>
      <c r="G124" s="254"/>
      <c r="H124" s="254"/>
      <c r="J124" s="85"/>
      <c r="K124" s="85"/>
      <c r="R124"/>
      <c r="S124">
        <v>1400000</v>
      </c>
      <c r="T124">
        <v>500000</v>
      </c>
      <c r="U124">
        <v>400000</v>
      </c>
      <c r="V124"/>
    </row>
    <row r="125" spans="1:22" s="33" customFormat="1" hidden="1" x14ac:dyDescent="0.3">
      <c r="A125" s="173" t="s">
        <v>93</v>
      </c>
      <c r="B125" s="173"/>
      <c r="C125" s="173"/>
      <c r="D125" s="173"/>
      <c r="E125" s="173"/>
      <c r="F125" s="254"/>
      <c r="G125" s="254"/>
      <c r="H125" s="254"/>
      <c r="J125" s="85"/>
      <c r="K125" s="85"/>
      <c r="R125"/>
      <c r="S125">
        <v>1500000</v>
      </c>
      <c r="T125">
        <v>600000</v>
      </c>
      <c r="U125">
        <v>500000</v>
      </c>
      <c r="V125" s="23"/>
    </row>
    <row r="126" spans="1:22" s="33" customFormat="1" hidden="1" x14ac:dyDescent="0.3">
      <c r="A126" s="173" t="s">
        <v>94</v>
      </c>
      <c r="B126" s="173"/>
      <c r="C126" s="173"/>
      <c r="D126" s="173"/>
      <c r="E126" s="173"/>
      <c r="F126" s="254"/>
      <c r="G126" s="254"/>
      <c r="H126" s="254"/>
      <c r="J126" s="85"/>
      <c r="K126" s="85"/>
      <c r="R126"/>
      <c r="S126">
        <v>1600000</v>
      </c>
      <c r="T126">
        <v>700000</v>
      </c>
      <c r="U126">
        <v>600000</v>
      </c>
      <c r="V126"/>
    </row>
    <row r="127" spans="1:22" s="33" customFormat="1" hidden="1" x14ac:dyDescent="0.3">
      <c r="A127" s="173" t="s">
        <v>95</v>
      </c>
      <c r="B127" s="173"/>
      <c r="C127" s="173"/>
      <c r="D127" s="173"/>
      <c r="E127" s="173"/>
      <c r="F127" s="254"/>
      <c r="G127" s="254"/>
      <c r="H127" s="254"/>
      <c r="J127" s="85"/>
      <c r="K127" s="85"/>
      <c r="R127"/>
      <c r="S127">
        <v>1700000</v>
      </c>
      <c r="T127">
        <v>800000</v>
      </c>
      <c r="U127"/>
      <c r="V127" s="23"/>
    </row>
    <row r="128" spans="1:22" x14ac:dyDescent="0.3">
      <c r="A128" s="173" t="s">
        <v>48</v>
      </c>
      <c r="B128" s="173"/>
      <c r="C128" s="173"/>
      <c r="D128" s="173"/>
      <c r="E128" s="173"/>
      <c r="F128" s="254">
        <v>800000</v>
      </c>
      <c r="G128" s="254"/>
      <c r="H128" s="254"/>
      <c r="J128" s="84" t="s">
        <v>380</v>
      </c>
      <c r="K128" s="84" t="s">
        <v>382</v>
      </c>
      <c r="R128"/>
      <c r="S128">
        <v>1800000</v>
      </c>
      <c r="T128">
        <v>900000</v>
      </c>
      <c r="U128"/>
    </row>
    <row r="129" spans="1:22" s="34" customFormat="1" x14ac:dyDescent="0.3">
      <c r="A129" s="204" t="s">
        <v>49</v>
      </c>
      <c r="B129" s="204"/>
      <c r="C129" s="204"/>
      <c r="D129" s="204"/>
      <c r="E129" s="204"/>
      <c r="F129" s="254">
        <f>F118*0.8</f>
        <v>12800</v>
      </c>
      <c r="G129" s="254"/>
      <c r="H129" s="254"/>
      <c r="R129" s="21"/>
      <c r="S129" s="21"/>
      <c r="T129">
        <v>1000000</v>
      </c>
      <c r="U129"/>
      <c r="V129" s="21"/>
    </row>
    <row r="130" spans="1:22" s="35" customFormat="1" ht="15.75" customHeight="1" x14ac:dyDescent="0.3">
      <c r="A130" s="105" t="s">
        <v>70</v>
      </c>
      <c r="B130" s="105"/>
      <c r="C130" s="105"/>
      <c r="D130" s="105"/>
      <c r="E130" s="105"/>
      <c r="F130" s="105"/>
      <c r="G130" s="105"/>
      <c r="H130" s="105"/>
      <c r="R130"/>
      <c r="S130" s="21"/>
      <c r="T130"/>
      <c r="U130"/>
      <c r="V130" s="21"/>
    </row>
    <row r="131" spans="1:22" s="35" customFormat="1" ht="15.75" customHeight="1" x14ac:dyDescent="0.3">
      <c r="A131" s="117" t="s">
        <v>50</v>
      </c>
      <c r="B131" s="117"/>
      <c r="C131" s="106" t="s">
        <v>73</v>
      </c>
      <c r="D131" s="106"/>
      <c r="E131" s="108" t="s">
        <v>51</v>
      </c>
      <c r="F131" s="108"/>
      <c r="G131" s="117" t="s">
        <v>52</v>
      </c>
      <c r="H131" s="117"/>
      <c r="R131"/>
      <c r="S131" s="21"/>
      <c r="T131"/>
      <c r="U131" s="21"/>
      <c r="V131" s="21"/>
    </row>
    <row r="132" spans="1:22" s="35" customFormat="1" x14ac:dyDescent="0.3">
      <c r="A132" s="100" t="s">
        <v>391</v>
      </c>
      <c r="B132" s="100"/>
      <c r="C132" s="119">
        <f>COUNT(D153:D155)</f>
        <v>3</v>
      </c>
      <c r="D132" s="189"/>
      <c r="E132" s="119">
        <f t="shared" ref="E132" si="0">SUM(F153:F155)</f>
        <v>835.17230159999997</v>
      </c>
      <c r="F132" s="189"/>
      <c r="G132" s="119">
        <f t="shared" ref="G132" si="1">SUM(H153:H155)</f>
        <v>1252.7584523999999</v>
      </c>
      <c r="H132" s="189"/>
      <c r="R132"/>
      <c r="S132" s="21"/>
      <c r="T132"/>
      <c r="U132" s="21"/>
      <c r="V132" s="21"/>
    </row>
    <row r="133" spans="1:22" s="35" customFormat="1" x14ac:dyDescent="0.3">
      <c r="A133" s="105" t="s">
        <v>143</v>
      </c>
      <c r="B133" s="105"/>
      <c r="C133" s="178">
        <f>SUM(C132)</f>
        <v>3</v>
      </c>
      <c r="D133" s="106"/>
      <c r="E133" s="107">
        <f>SUM(E132)</f>
        <v>835.17230159999997</v>
      </c>
      <c r="F133" s="108"/>
      <c r="G133" s="117">
        <f>SUM(G132)</f>
        <v>1252.7584523999999</v>
      </c>
      <c r="H133" s="117"/>
      <c r="R133"/>
      <c r="S133" s="21"/>
      <c r="T133"/>
      <c r="U133" s="21"/>
      <c r="V133" s="21"/>
    </row>
    <row r="134" spans="1:22" s="35" customFormat="1" x14ac:dyDescent="0.3">
      <c r="A134" s="105" t="s">
        <v>416</v>
      </c>
      <c r="B134" s="105"/>
      <c r="C134" s="105"/>
      <c r="D134" s="105"/>
      <c r="E134" s="105"/>
      <c r="F134" s="105"/>
      <c r="G134" s="105"/>
      <c r="H134" s="105"/>
      <c r="T134"/>
    </row>
    <row r="135" spans="1:22" s="35" customFormat="1" ht="15.75" customHeight="1" x14ac:dyDescent="0.3">
      <c r="A135" s="117" t="s">
        <v>50</v>
      </c>
      <c r="B135" s="117"/>
      <c r="C135" s="106" t="s">
        <v>73</v>
      </c>
      <c r="D135" s="106"/>
      <c r="E135" s="108" t="s">
        <v>51</v>
      </c>
      <c r="F135" s="108"/>
      <c r="G135" s="117" t="s">
        <v>52</v>
      </c>
      <c r="H135" s="117"/>
      <c r="T135"/>
    </row>
    <row r="136" spans="1:22" s="35" customFormat="1" x14ac:dyDescent="0.3">
      <c r="A136" s="100" t="s">
        <v>391</v>
      </c>
      <c r="B136" s="100"/>
      <c r="C136" s="118">
        <f>COUNT(D161:D165)+COUNT(D170:D173,D168)*6+COUNT(D176:D180)+COUNT(D182:D187)*6+COUNT(D190:D194)+COUNT(D196:D201)*3</f>
        <v>99</v>
      </c>
      <c r="D136" s="118"/>
      <c r="E136" s="119">
        <f>SUM(F161:F165)+SUM(F170:F173,F168)*6+SUM(F176:F180)+SUM(F182:F187)*6+SUM(F190:F194)+SUM(F196:F201)*3</f>
        <v>49895.768519999998</v>
      </c>
      <c r="F136" s="119"/>
      <c r="G136" s="119">
        <f t="shared" ref="G136" si="2">SUM(H161:H165)+SUM(H170:H173,H168)*6+SUM(H176:H180)+SUM(H182:H187)*6+SUM(H190:H194)+SUM(H196:H201)*3</f>
        <v>74843.652779999989</v>
      </c>
      <c r="H136" s="119"/>
      <c r="T136"/>
    </row>
    <row r="137" spans="1:22" s="35" customFormat="1" x14ac:dyDescent="0.3">
      <c r="A137" s="100" t="s">
        <v>407</v>
      </c>
      <c r="B137" s="100"/>
      <c r="C137" s="101">
        <f>COUNT(D205:D206)+COUNT(D225,D227)+COUNT(D230:D231)*3</f>
        <v>10</v>
      </c>
      <c r="D137" s="102"/>
      <c r="E137" s="103">
        <f t="shared" ref="E137" si="3">SUM(F205:F206)+SUM(F225,F227)+SUM(F230:F231)*3</f>
        <v>5502.879719999999</v>
      </c>
      <c r="F137" s="104"/>
      <c r="G137" s="103">
        <f t="shared" ref="G137" si="4">SUM(H205:H206)+SUM(H225,H227)+SUM(H230:H231)*3</f>
        <v>8254.3195799999994</v>
      </c>
      <c r="H137" s="104"/>
      <c r="T137"/>
    </row>
    <row r="138" spans="1:22" s="35" customFormat="1" x14ac:dyDescent="0.3">
      <c r="A138" s="100" t="s">
        <v>411</v>
      </c>
      <c r="B138" s="100"/>
      <c r="C138" s="101">
        <f>COUNT(D238)+COUNT(D247)+COUNT(D257,D259)+COUNT(D262,D264)*3</f>
        <v>10</v>
      </c>
      <c r="D138" s="102"/>
      <c r="E138" s="103">
        <f>SUM(F238)+SUM(F247)+SUM(F257,F259)+SUM(F262,F264)*3</f>
        <v>5759.5709808000001</v>
      </c>
      <c r="F138" s="104"/>
      <c r="G138" s="103">
        <f>SUM(H238)+SUM(H247)+SUM(H257,H259)+SUM(H262,H264)*3</f>
        <v>8639.3564712000007</v>
      </c>
      <c r="H138" s="104"/>
      <c r="T138"/>
    </row>
    <row r="139" spans="1:22" s="35" customFormat="1" x14ac:dyDescent="0.3">
      <c r="A139" s="105" t="s">
        <v>143</v>
      </c>
      <c r="B139" s="105"/>
      <c r="C139" s="106">
        <f>SUM(C136:D138)</f>
        <v>119</v>
      </c>
      <c r="D139" s="106"/>
      <c r="E139" s="107">
        <f>SUM(E136:F138)</f>
        <v>61158.219220799998</v>
      </c>
      <c r="F139" s="108"/>
      <c r="G139" s="117">
        <f>SUM(G136:H138)</f>
        <v>91737.328831199993</v>
      </c>
      <c r="H139" s="117"/>
      <c r="T139"/>
    </row>
    <row r="140" spans="1:22" s="35" customFormat="1" x14ac:dyDescent="0.3">
      <c r="A140" s="255" t="s">
        <v>417</v>
      </c>
      <c r="B140" s="255"/>
      <c r="C140" s="255"/>
      <c r="D140" s="255"/>
      <c r="E140" s="255"/>
      <c r="F140" s="255"/>
      <c r="G140" s="255"/>
      <c r="H140" s="255"/>
      <c r="T140"/>
    </row>
    <row r="141" spans="1:22" s="35" customFormat="1" ht="15.75" customHeight="1" x14ac:dyDescent="0.3">
      <c r="A141" s="117" t="s">
        <v>50</v>
      </c>
      <c r="B141" s="117"/>
      <c r="C141" s="106" t="s">
        <v>73</v>
      </c>
      <c r="D141" s="106"/>
      <c r="E141" s="108" t="s">
        <v>51</v>
      </c>
      <c r="F141" s="108"/>
      <c r="G141" s="117" t="s">
        <v>52</v>
      </c>
      <c r="H141" s="117"/>
      <c r="T141"/>
    </row>
    <row r="142" spans="1:22" s="35" customFormat="1" x14ac:dyDescent="0.3">
      <c r="A142" s="100" t="s">
        <v>391</v>
      </c>
      <c r="B142" s="100"/>
      <c r="C142" s="179">
        <f>COUNT(D169)*6</f>
        <v>6</v>
      </c>
      <c r="D142" s="118"/>
      <c r="E142" s="119">
        <f>SUM(F169)*6</f>
        <v>2925.6552000000001</v>
      </c>
      <c r="F142" s="189"/>
      <c r="G142" s="119">
        <f>SUM(H169)*6</f>
        <v>4388.4827999999998</v>
      </c>
      <c r="H142" s="189"/>
      <c r="T142"/>
    </row>
    <row r="143" spans="1:22" s="35" customFormat="1" x14ac:dyDescent="0.3">
      <c r="A143" s="100" t="s">
        <v>407</v>
      </c>
      <c r="B143" s="100"/>
      <c r="C143" s="179">
        <f>COUNT(D210:D213)*6+COUNT(D217:D218)+COUNT(D220:D223)*6+COUNT(D228)+COUNT(D232:D233)*3</f>
        <v>57</v>
      </c>
      <c r="D143" s="179"/>
      <c r="E143" s="119">
        <f t="shared" ref="E143" si="5">SUM(F210:F213)*6+SUM(F217:F218)+SUM(F220:F223)*6+SUM(F228)+SUM(F232:F233)*3</f>
        <v>27404.175239999993</v>
      </c>
      <c r="F143" s="119"/>
      <c r="G143" s="119">
        <f t="shared" ref="G143" si="6">SUM(H210:H213)*6+SUM(H217:H218)+SUM(H220:H223)*6+SUM(H228)+SUM(H232:H233)*3</f>
        <v>41106.262860000003</v>
      </c>
      <c r="H143" s="119"/>
      <c r="T143"/>
    </row>
    <row r="144" spans="1:22" s="35" customFormat="1" x14ac:dyDescent="0.3">
      <c r="A144" s="100" t="s">
        <v>411</v>
      </c>
      <c r="B144" s="100"/>
      <c r="C144" s="179">
        <f>COUNT(D237,D240)+COUNT(D242:D245)*6+COUNT(D249:D250)+COUNT(D252:D255)*6+COUNT(D260)+COUNT(D263,D265)*3</f>
        <v>59</v>
      </c>
      <c r="D144" s="179"/>
      <c r="E144" s="119">
        <f>SUM(F237,F240)+SUM(F242:F245)*6+SUM(F249:F250)+SUM(F252:F255)*6+SUM(F260)+SUM(F263,F265)*3</f>
        <v>29371.726800000004</v>
      </c>
      <c r="F144" s="119"/>
      <c r="G144" s="119">
        <f>SUM(H237,H240)+SUM(H242:H245)*6+SUM(H249:H250)+SUM(H252:H255)*6+SUM(H260)+SUM(H263,H265)*3</f>
        <v>44057.590199999999</v>
      </c>
      <c r="H144" s="119"/>
      <c r="T144"/>
    </row>
    <row r="145" spans="1:20" s="35" customFormat="1" ht="16.2" thickBot="1" x14ac:dyDescent="0.35">
      <c r="A145" s="174" t="s">
        <v>143</v>
      </c>
      <c r="B145" s="174"/>
      <c r="C145" s="262">
        <f>SUM(C142:D144)</f>
        <v>122</v>
      </c>
      <c r="D145" s="263"/>
      <c r="E145" s="175">
        <f>SUM(E142:F144)</f>
        <v>59701.557239999995</v>
      </c>
      <c r="F145" s="176"/>
      <c r="G145" s="177">
        <f>SUM(G142:H144)</f>
        <v>89552.335859999992</v>
      </c>
      <c r="H145" s="177"/>
      <c r="T145"/>
    </row>
    <row r="146" spans="1:20" s="35" customFormat="1" ht="16.2" thickBot="1" x14ac:dyDescent="0.35">
      <c r="A146" s="275" t="s">
        <v>160</v>
      </c>
      <c r="B146" s="276"/>
      <c r="C146" s="182">
        <f>C145+C139</f>
        <v>241</v>
      </c>
      <c r="D146" s="183"/>
      <c r="E146" s="182">
        <f t="shared" ref="E146" si="7">E145+E139</f>
        <v>120859.7764608</v>
      </c>
      <c r="F146" s="183"/>
      <c r="G146" s="182">
        <f t="shared" ref="G146" si="8">G145+G139</f>
        <v>181289.66469119999</v>
      </c>
      <c r="H146" s="183"/>
      <c r="T146"/>
    </row>
    <row r="147" spans="1:20" s="34" customFormat="1" x14ac:dyDescent="0.3">
      <c r="A147" s="258" t="s">
        <v>53</v>
      </c>
      <c r="B147" s="258"/>
      <c r="C147" s="258"/>
      <c r="D147" s="258"/>
      <c r="E147" s="258"/>
      <c r="F147" s="258"/>
      <c r="G147" s="258"/>
      <c r="H147" s="258"/>
      <c r="T147" s="35"/>
    </row>
    <row r="148" spans="1:20" x14ac:dyDescent="0.3">
      <c r="A148" s="245" t="s">
        <v>170</v>
      </c>
      <c r="B148" s="245"/>
      <c r="C148" s="245"/>
      <c r="D148" s="245"/>
      <c r="E148" s="245"/>
      <c r="F148" s="245"/>
      <c r="G148" s="245"/>
      <c r="H148" s="245"/>
      <c r="T148" s="35"/>
    </row>
    <row r="149" spans="1:20" ht="47.25" customHeight="1" x14ac:dyDescent="0.3">
      <c r="A149" s="147" t="s">
        <v>370</v>
      </c>
      <c r="B149" s="147" t="s">
        <v>173</v>
      </c>
      <c r="C149" s="147" t="s">
        <v>54</v>
      </c>
      <c r="D149" s="147" t="s">
        <v>395</v>
      </c>
      <c r="E149" s="180" t="s">
        <v>149</v>
      </c>
      <c r="F149" s="147" t="s">
        <v>55</v>
      </c>
      <c r="G149" s="180" t="s">
        <v>56</v>
      </c>
      <c r="H149" s="77" t="s">
        <v>141</v>
      </c>
      <c r="T149" s="35"/>
    </row>
    <row r="150" spans="1:20" s="37" customFormat="1" x14ac:dyDescent="0.3">
      <c r="A150" s="148"/>
      <c r="B150" s="148"/>
      <c r="C150" s="148"/>
      <c r="D150" s="148"/>
      <c r="E150" s="181"/>
      <c r="F150" s="148"/>
      <c r="G150" s="181"/>
      <c r="H150" s="76">
        <v>0.5</v>
      </c>
      <c r="T150" s="35"/>
    </row>
    <row r="151" spans="1:20" s="37" customFormat="1" x14ac:dyDescent="0.3">
      <c r="A151" s="142" t="s">
        <v>391</v>
      </c>
      <c r="B151" s="143"/>
      <c r="C151" s="143"/>
      <c r="D151" s="143"/>
      <c r="E151" s="143"/>
      <c r="F151" s="143"/>
      <c r="G151" s="143"/>
      <c r="H151" s="144"/>
      <c r="J151" s="36"/>
      <c r="T151" s="35"/>
    </row>
    <row r="152" spans="1:20" s="37" customFormat="1" x14ac:dyDescent="0.3">
      <c r="A152" s="142" t="s">
        <v>390</v>
      </c>
      <c r="B152" s="143"/>
      <c r="C152" s="143"/>
      <c r="D152" s="143"/>
      <c r="E152" s="143"/>
      <c r="F152" s="143"/>
      <c r="G152" s="143"/>
      <c r="H152" s="144"/>
      <c r="J152" s="36"/>
      <c r="T152" s="35"/>
    </row>
    <row r="153" spans="1:20" s="37" customFormat="1" ht="15.75" customHeight="1" x14ac:dyDescent="0.3">
      <c r="A153" s="256">
        <v>1</v>
      </c>
      <c r="B153" s="257"/>
      <c r="C153" s="88" t="s">
        <v>392</v>
      </c>
      <c r="D153" s="92">
        <f>(5.11*3.5+3.9*1.5+1.35)*(10.764)</f>
        <v>270.01493999999997</v>
      </c>
      <c r="E153" s="89">
        <v>0</v>
      </c>
      <c r="F153" s="78">
        <f>D153+(IF(E153&lt;201,E153,IF(E153&lt;301,E153/2,E153/3)))</f>
        <v>270.01493999999997</v>
      </c>
      <c r="G153" s="78">
        <v>0</v>
      </c>
      <c r="H153" s="78">
        <f>(F153+(IF(G153&lt;101,G153,IF(G153&lt;201,G153/2,IF(G153&lt;=301,G153/3,G153/4)))))*(($H$150)+1)</f>
        <v>405.02240999999992</v>
      </c>
      <c r="I153" s="36"/>
      <c r="L153" s="109"/>
      <c r="M153" s="109"/>
      <c r="N153" s="36"/>
      <c r="T153" s="35"/>
    </row>
    <row r="154" spans="1:20" s="37" customFormat="1" ht="15.75" customHeight="1" x14ac:dyDescent="0.3">
      <c r="A154" s="256">
        <f>A153+1</f>
        <v>2</v>
      </c>
      <c r="B154" s="257"/>
      <c r="C154" s="88" t="s">
        <v>392</v>
      </c>
      <c r="D154" s="92">
        <f>(5.68*3.5+1.08*1.43)*(10.764)</f>
        <v>230.61224159999998</v>
      </c>
      <c r="E154" s="89">
        <v>0</v>
      </c>
      <c r="F154" s="78">
        <f t="shared" ref="F154:F155" si="9">D154+(IF(E154&lt;201,E154,IF(E154&lt;301,E154/2,E154/3)))</f>
        <v>230.61224159999998</v>
      </c>
      <c r="G154" s="78">
        <v>0</v>
      </c>
      <c r="H154" s="78">
        <f t="shared" ref="H154:H155" si="10">(F154+(IF(G154&lt;101,G154,IF(G154&lt;201,G154/2,IF(G154&lt;=301,G154/3,G154/4)))))*(($H$150)+1)</f>
        <v>345.91836239999998</v>
      </c>
      <c r="I154" s="36"/>
      <c r="L154" s="109"/>
      <c r="M154" s="109"/>
      <c r="N154" s="36"/>
      <c r="T154" s="34"/>
    </row>
    <row r="155" spans="1:20" s="37" customFormat="1" ht="15.75" customHeight="1" x14ac:dyDescent="0.3">
      <c r="A155" s="256">
        <f>A154+1</f>
        <v>3</v>
      </c>
      <c r="B155" s="257"/>
      <c r="C155" s="88" t="s">
        <v>392</v>
      </c>
      <c r="D155" s="92">
        <f>(3.75*6.63+0.65*3.43+0.65*1.4+2.28*1.35)*(10.764)</f>
        <v>334.54512</v>
      </c>
      <c r="E155" s="89">
        <v>0</v>
      </c>
      <c r="F155" s="78">
        <f t="shared" si="9"/>
        <v>334.54512</v>
      </c>
      <c r="G155" s="78">
        <v>0</v>
      </c>
      <c r="H155" s="78">
        <f t="shared" si="10"/>
        <v>501.81768</v>
      </c>
      <c r="I155" s="36"/>
      <c r="L155" s="109"/>
      <c r="M155" s="109"/>
      <c r="N155" s="36"/>
      <c r="T155" s="21"/>
    </row>
    <row r="156" spans="1:20" x14ac:dyDescent="0.3">
      <c r="A156" s="245" t="s">
        <v>393</v>
      </c>
      <c r="B156" s="245"/>
      <c r="C156" s="245"/>
      <c r="D156" s="245"/>
      <c r="E156" s="245"/>
      <c r="F156" s="245"/>
      <c r="G156" s="245"/>
      <c r="H156" s="245"/>
      <c r="T156" s="35"/>
    </row>
    <row r="157" spans="1:20" ht="47.25" customHeight="1" x14ac:dyDescent="0.3">
      <c r="A157" s="145" t="s">
        <v>371</v>
      </c>
      <c r="B157" s="147" t="s">
        <v>415</v>
      </c>
      <c r="C157" s="147" t="s">
        <v>54</v>
      </c>
      <c r="D157" s="147" t="s">
        <v>395</v>
      </c>
      <c r="E157" s="147" t="s">
        <v>397</v>
      </c>
      <c r="F157" s="147" t="s">
        <v>55</v>
      </c>
      <c r="G157" s="180" t="s">
        <v>56</v>
      </c>
      <c r="H157" s="77" t="s">
        <v>141</v>
      </c>
      <c r="I157" s="36"/>
      <c r="T157" s="37"/>
    </row>
    <row r="158" spans="1:20" s="37" customFormat="1" x14ac:dyDescent="0.3">
      <c r="A158" s="146"/>
      <c r="B158" s="148"/>
      <c r="C158" s="148"/>
      <c r="D158" s="148"/>
      <c r="E158" s="148"/>
      <c r="F158" s="148"/>
      <c r="G158" s="181"/>
      <c r="H158" s="76">
        <v>0.5</v>
      </c>
      <c r="I158" s="90"/>
    </row>
    <row r="159" spans="1:20" s="37" customFormat="1" x14ac:dyDescent="0.3">
      <c r="A159" s="126" t="s">
        <v>391</v>
      </c>
      <c r="B159" s="127"/>
      <c r="C159" s="127"/>
      <c r="D159" s="127"/>
      <c r="E159" s="127"/>
      <c r="F159" s="127"/>
      <c r="G159" s="127"/>
      <c r="H159" s="128"/>
      <c r="I159" s="94">
        <v>1</v>
      </c>
      <c r="J159" s="36"/>
    </row>
    <row r="160" spans="1:20" s="37" customFormat="1" x14ac:dyDescent="0.3">
      <c r="A160" s="110" t="s">
        <v>424</v>
      </c>
      <c r="B160" s="111"/>
      <c r="C160" s="111"/>
      <c r="D160" s="111"/>
      <c r="E160" s="111"/>
      <c r="F160" s="111"/>
      <c r="G160" s="111"/>
      <c r="H160" s="112"/>
      <c r="I160" s="94"/>
      <c r="J160" s="36"/>
    </row>
    <row r="161" spans="1:20" s="37" customFormat="1" ht="15.75" customHeight="1" x14ac:dyDescent="0.3">
      <c r="A161" s="52">
        <v>1</v>
      </c>
      <c r="B161" s="87" t="s">
        <v>400</v>
      </c>
      <c r="C161" s="86" t="s">
        <v>377</v>
      </c>
      <c r="D161" s="92">
        <f>(40.4)*(10.764)</f>
        <v>434.86559999999997</v>
      </c>
      <c r="E161" s="92">
        <f>(2.75*1.2)*(10.764)</f>
        <v>35.521199999999993</v>
      </c>
      <c r="F161" s="87">
        <f>D161+E161</f>
        <v>470.38679999999999</v>
      </c>
      <c r="G161" s="52">
        <v>0</v>
      </c>
      <c r="H161" s="52">
        <f>F161*(($H$158)+1)+(IF(G161&lt;101,G161,IF(G161&lt;201,G161/2,IF(G161&lt;=301,G161/3,G161/4))))</f>
        <v>705.58019999999999</v>
      </c>
      <c r="I161" s="90">
        <f>4.82*2.75+2.5*2.1+3.55*2.79+2.2*1.3+0.7*0.78+0.7*1.34+2.2*1.3+2.5*0.9</f>
        <v>37.863500000000002</v>
      </c>
      <c r="L161" s="109"/>
      <c r="M161" s="109"/>
      <c r="N161" s="36"/>
    </row>
    <row r="162" spans="1:20" s="37" customFormat="1" ht="15.75" customHeight="1" x14ac:dyDescent="0.3">
      <c r="A162" s="52">
        <f>A161+1</f>
        <v>2</v>
      </c>
      <c r="B162" s="87" t="s">
        <v>400</v>
      </c>
      <c r="C162" s="86" t="s">
        <v>377</v>
      </c>
      <c r="D162" s="92">
        <f>(42)*(10.764)</f>
        <v>452.08799999999997</v>
      </c>
      <c r="E162" s="92">
        <f>(2.75*1.2)*(10.764)</f>
        <v>35.521199999999993</v>
      </c>
      <c r="F162" s="87">
        <f>D162+E162</f>
        <v>487.60919999999999</v>
      </c>
      <c r="G162" s="52">
        <v>0</v>
      </c>
      <c r="H162" s="52">
        <f>F162*(($H$158)+1)+(IF(G162&lt;101,G162,IF(G162&lt;201,G162/2,IF(G162&lt;=301,G162/3,G162/4))))</f>
        <v>731.41380000000004</v>
      </c>
      <c r="I162" s="90"/>
      <c r="L162" s="109"/>
      <c r="M162" s="109"/>
      <c r="N162" s="36"/>
    </row>
    <row r="163" spans="1:20" s="37" customFormat="1" ht="15.75" customHeight="1" x14ac:dyDescent="0.3">
      <c r="A163" s="52">
        <f t="shared" ref="A163:A166" si="11">A162+1</f>
        <v>3</v>
      </c>
      <c r="B163" s="87" t="s">
        <v>400</v>
      </c>
      <c r="C163" s="86" t="s">
        <v>396</v>
      </c>
      <c r="D163" s="92">
        <f>(54.05)*(10.764)</f>
        <v>581.79419999999993</v>
      </c>
      <c r="E163" s="92">
        <f>(2.63)*(10.764)</f>
        <v>28.309319999999996</v>
      </c>
      <c r="F163" s="87">
        <f>D163+E163</f>
        <v>610.10351999999989</v>
      </c>
      <c r="G163" s="52">
        <v>0</v>
      </c>
      <c r="H163" s="52">
        <f>F163*(($H$158)+1)+(IF(G163&lt;101,G163,IF(G163&lt;201,G163/2,IF(G163&lt;=301,G163/3,G163/4))))</f>
        <v>915.15527999999983</v>
      </c>
      <c r="I163" s="90">
        <f>2.63*4.133+2.45*2.25+2.1*2.31+2.8*3.36+2.15*1.25+3.75*2.98+2.28*1.35+1.73+0.65*1.4</f>
        <v>50.221789999999991</v>
      </c>
      <c r="L163" s="109"/>
      <c r="M163" s="109"/>
      <c r="N163" s="36"/>
    </row>
    <row r="164" spans="1:20" s="37" customFormat="1" ht="15.75" customHeight="1" x14ac:dyDescent="0.3">
      <c r="A164" s="52">
        <f t="shared" si="11"/>
        <v>4</v>
      </c>
      <c r="B164" s="87" t="s">
        <v>400</v>
      </c>
      <c r="C164" s="86" t="s">
        <v>396</v>
      </c>
      <c r="D164" s="92">
        <f>50.65*(10.764)</f>
        <v>545.19659999999999</v>
      </c>
      <c r="E164" s="92">
        <f>(2.63)*(10.764)</f>
        <v>28.309319999999996</v>
      </c>
      <c r="F164" s="87">
        <f>D164+E164</f>
        <v>573.50591999999995</v>
      </c>
      <c r="G164" s="52">
        <v>0</v>
      </c>
      <c r="H164" s="52">
        <f>F164*(($H$158)+1)+(IF(G164&lt;101,G164,IF(G164&lt;201,G164/2,IF(G164&lt;=301,G164/3,G164/4))))</f>
        <v>860.25887999999986</v>
      </c>
      <c r="I164" s="36"/>
      <c r="L164" s="109"/>
      <c r="M164" s="109"/>
      <c r="N164" s="36"/>
      <c r="T164" s="21"/>
    </row>
    <row r="165" spans="1:20" s="37" customFormat="1" ht="15.75" customHeight="1" x14ac:dyDescent="0.3">
      <c r="A165" s="52">
        <f t="shared" si="11"/>
        <v>5</v>
      </c>
      <c r="B165" s="87" t="s">
        <v>400</v>
      </c>
      <c r="C165" s="86" t="s">
        <v>377</v>
      </c>
      <c r="D165" s="92">
        <f>(39.59)*(10.764)</f>
        <v>426.14676000000003</v>
      </c>
      <c r="E165" s="87">
        <v>0</v>
      </c>
      <c r="F165" s="52">
        <f>D165+E165</f>
        <v>426.14676000000003</v>
      </c>
      <c r="G165" s="52">
        <v>0</v>
      </c>
      <c r="H165" s="52">
        <f>F165*(($H$158)+1)+(IF(G165&lt;101,G165,IF(G165&lt;201,G165/2,IF(G165&lt;=301,G165/3,G165/4))))</f>
        <v>639.22014000000001</v>
      </c>
      <c r="I165" s="36"/>
      <c r="L165" s="109"/>
      <c r="M165" s="109"/>
      <c r="N165" s="36"/>
    </row>
    <row r="166" spans="1:20" s="37" customFormat="1" ht="15.75" customHeight="1" x14ac:dyDescent="0.3">
      <c r="A166" s="52">
        <f t="shared" si="11"/>
        <v>6</v>
      </c>
      <c r="B166" s="87" t="s">
        <v>402</v>
      </c>
      <c r="C166" s="113" t="s">
        <v>409</v>
      </c>
      <c r="D166" s="114"/>
      <c r="E166" s="114"/>
      <c r="F166" s="114"/>
      <c r="G166" s="114"/>
      <c r="H166" s="115"/>
      <c r="I166" s="36"/>
      <c r="L166" s="109"/>
      <c r="M166" s="109"/>
      <c r="N166" s="36"/>
    </row>
    <row r="167" spans="1:20" s="37" customFormat="1" x14ac:dyDescent="0.3">
      <c r="A167" s="129" t="s">
        <v>398</v>
      </c>
      <c r="B167" s="129"/>
      <c r="C167" s="129"/>
      <c r="D167" s="129"/>
      <c r="E167" s="129"/>
      <c r="F167" s="129"/>
      <c r="G167" s="129"/>
      <c r="H167" s="129"/>
      <c r="I167" s="94">
        <v>6</v>
      </c>
      <c r="J167" s="36"/>
    </row>
    <row r="168" spans="1:20" s="37" customFormat="1" ht="15.75" customHeight="1" x14ac:dyDescent="0.3">
      <c r="A168" s="52">
        <v>1</v>
      </c>
      <c r="B168" s="52" t="s">
        <v>400</v>
      </c>
      <c r="C168" s="52" t="s">
        <v>377</v>
      </c>
      <c r="D168" s="92">
        <f>(40.4)*(10.764)</f>
        <v>434.86559999999997</v>
      </c>
      <c r="E168" s="92">
        <f>(2.75*1.2)*(10.764)</f>
        <v>35.521199999999993</v>
      </c>
      <c r="F168" s="52">
        <f t="shared" ref="F168:F173" si="12">D168+E168</f>
        <v>470.38679999999999</v>
      </c>
      <c r="G168" s="52">
        <v>0</v>
      </c>
      <c r="H168" s="52">
        <f t="shared" ref="H168:H173" si="13">F168*(($H$158)+1)+(IF(G168&lt;101,G168,IF(G168&lt;201,G168/2,IF(G168&lt;=301,G168/3,G168/4))))</f>
        <v>705.58019999999999</v>
      </c>
      <c r="I168" s="90">
        <f>4.82*2.75+2.5*2.1+3.55*2.79+2.2*1.3+0.7*0.78+0.7*1.34+2.2*1.3+2.5*0.9</f>
        <v>37.863500000000002</v>
      </c>
      <c r="L168" s="109"/>
      <c r="M168" s="109"/>
      <c r="N168" s="36"/>
    </row>
    <row r="169" spans="1:20" s="37" customFormat="1" ht="15.75" customHeight="1" x14ac:dyDescent="0.3">
      <c r="A169" s="52">
        <v>2</v>
      </c>
      <c r="B169" s="52" t="s">
        <v>399</v>
      </c>
      <c r="C169" s="52" t="s">
        <v>377</v>
      </c>
      <c r="D169" s="92">
        <f>(42)*(10.764)</f>
        <v>452.08799999999997</v>
      </c>
      <c r="E169" s="92">
        <f>(2.75*1.2)*(10.764)</f>
        <v>35.521199999999993</v>
      </c>
      <c r="F169" s="52">
        <f t="shared" si="12"/>
        <v>487.60919999999999</v>
      </c>
      <c r="G169" s="52">
        <v>0</v>
      </c>
      <c r="H169" s="52">
        <f t="shared" si="13"/>
        <v>731.41380000000004</v>
      </c>
      <c r="I169" s="90"/>
      <c r="L169" s="109"/>
      <c r="M169" s="109"/>
      <c r="N169" s="36"/>
    </row>
    <row r="170" spans="1:20" s="37" customFormat="1" ht="15.75" customHeight="1" x14ac:dyDescent="0.3">
      <c r="A170" s="52">
        <v>3</v>
      </c>
      <c r="B170" s="52" t="s">
        <v>400</v>
      </c>
      <c r="C170" s="52" t="s">
        <v>396</v>
      </c>
      <c r="D170" s="92">
        <f>(54.05)*(10.764)</f>
        <v>581.79419999999993</v>
      </c>
      <c r="E170" s="92">
        <f>(2.63)*(10.764)</f>
        <v>28.309319999999996</v>
      </c>
      <c r="F170" s="52">
        <f t="shared" si="12"/>
        <v>610.10351999999989</v>
      </c>
      <c r="G170" s="52">
        <v>0</v>
      </c>
      <c r="H170" s="52">
        <f t="shared" si="13"/>
        <v>915.15527999999983</v>
      </c>
      <c r="I170" s="90">
        <f>2.63*4.133+2.45*2.25+2.1*2.31+2.8*3.36+2.15*1.25+3.75*2.98+2.28*1.35+1.73+0.65*1.4</f>
        <v>50.221789999999991</v>
      </c>
      <c r="L170" s="109"/>
      <c r="M170" s="109"/>
      <c r="N170" s="36"/>
    </row>
    <row r="171" spans="1:20" s="37" customFormat="1" ht="15.75" customHeight="1" x14ac:dyDescent="0.3">
      <c r="A171" s="52">
        <v>4</v>
      </c>
      <c r="B171" s="52" t="s">
        <v>400</v>
      </c>
      <c r="C171" s="52" t="s">
        <v>396</v>
      </c>
      <c r="D171" s="92">
        <f>50.65*(10.764)</f>
        <v>545.19659999999999</v>
      </c>
      <c r="E171" s="92">
        <f>(2.63)*(10.764)</f>
        <v>28.309319999999996</v>
      </c>
      <c r="F171" s="52">
        <f t="shared" si="12"/>
        <v>573.50591999999995</v>
      </c>
      <c r="G171" s="52">
        <v>0</v>
      </c>
      <c r="H171" s="52">
        <f t="shared" si="13"/>
        <v>860.25887999999986</v>
      </c>
      <c r="I171" s="36"/>
      <c r="L171" s="109"/>
      <c r="M171" s="109"/>
      <c r="N171" s="36"/>
      <c r="T171" s="21"/>
    </row>
    <row r="172" spans="1:20" s="37" customFormat="1" ht="15.75" customHeight="1" x14ac:dyDescent="0.3">
      <c r="A172" s="52">
        <v>5</v>
      </c>
      <c r="B172" s="52" t="s">
        <v>400</v>
      </c>
      <c r="C172" s="52" t="s">
        <v>377</v>
      </c>
      <c r="D172" s="92">
        <f>(39.59)*(10.764)</f>
        <v>426.14676000000003</v>
      </c>
      <c r="E172" s="52">
        <v>0</v>
      </c>
      <c r="F172" s="52">
        <f t="shared" si="12"/>
        <v>426.14676000000003</v>
      </c>
      <c r="G172" s="52">
        <v>0</v>
      </c>
      <c r="H172" s="52">
        <f t="shared" si="13"/>
        <v>639.22014000000001</v>
      </c>
      <c r="I172" s="90"/>
      <c r="L172" s="109"/>
      <c r="M172" s="109"/>
      <c r="N172" s="36">
        <f>10.764</f>
        <v>10.763999999999999</v>
      </c>
    </row>
    <row r="173" spans="1:20" s="37" customFormat="1" ht="15.75" customHeight="1" x14ac:dyDescent="0.3">
      <c r="A173" s="52">
        <v>6</v>
      </c>
      <c r="B173" s="52" t="s">
        <v>400</v>
      </c>
      <c r="C173" s="52" t="s">
        <v>377</v>
      </c>
      <c r="D173" s="92">
        <f>(39.59)*(10.764)</f>
        <v>426.14676000000003</v>
      </c>
      <c r="E173" s="52">
        <v>0</v>
      </c>
      <c r="F173" s="52">
        <f t="shared" si="12"/>
        <v>426.14676000000003</v>
      </c>
      <c r="G173" s="52">
        <v>0</v>
      </c>
      <c r="H173" s="52">
        <f t="shared" si="13"/>
        <v>639.22014000000001</v>
      </c>
      <c r="I173" s="36"/>
      <c r="L173" s="109"/>
      <c r="M173" s="109"/>
      <c r="N173" s="36"/>
    </row>
    <row r="174" spans="1:20" s="37" customFormat="1" x14ac:dyDescent="0.3">
      <c r="A174" s="129" t="s">
        <v>403</v>
      </c>
      <c r="B174" s="129"/>
      <c r="C174" s="129"/>
      <c r="D174" s="129"/>
      <c r="E174" s="129"/>
      <c r="F174" s="129"/>
      <c r="G174" s="129"/>
      <c r="H174" s="129"/>
      <c r="I174" s="94">
        <v>1</v>
      </c>
      <c r="J174" s="36">
        <f>5+36+5+36+5+18</f>
        <v>105</v>
      </c>
    </row>
    <row r="175" spans="1:20" s="37" customFormat="1" ht="15.75" customHeight="1" x14ac:dyDescent="0.3">
      <c r="A175" s="52">
        <v>1</v>
      </c>
      <c r="B175" s="87" t="s">
        <v>402</v>
      </c>
      <c r="C175" s="113" t="s">
        <v>401</v>
      </c>
      <c r="D175" s="132"/>
      <c r="E175" s="132"/>
      <c r="F175" s="114"/>
      <c r="G175" s="114"/>
      <c r="H175" s="115"/>
      <c r="I175" s="90"/>
      <c r="L175" s="109"/>
      <c r="M175" s="109"/>
      <c r="N175" s="36"/>
    </row>
    <row r="176" spans="1:20" s="37" customFormat="1" ht="15.75" customHeight="1" x14ac:dyDescent="0.3">
      <c r="A176" s="52">
        <v>2</v>
      </c>
      <c r="B176" s="87" t="s">
        <v>400</v>
      </c>
      <c r="C176" s="86" t="s">
        <v>396</v>
      </c>
      <c r="D176" s="92">
        <f>(52.55)*(10.764)</f>
        <v>565.64819999999997</v>
      </c>
      <c r="E176" s="92">
        <f>(2.75*1.2+2.75*1.2)*(10.764)</f>
        <v>71.042399999999986</v>
      </c>
      <c r="F176" s="87">
        <f>D176+E176</f>
        <v>636.6905999999999</v>
      </c>
      <c r="G176" s="52">
        <v>0</v>
      </c>
      <c r="H176" s="52">
        <f>F176*(($H$158)+1)+(IF(G176&lt;101,G176,IF(G176&lt;201,G176/2,IF(G176&lt;=301,G176/3,G176/4))))</f>
        <v>955.03589999999986</v>
      </c>
      <c r="I176" s="90"/>
      <c r="L176" s="109"/>
      <c r="M176" s="109"/>
      <c r="N176" s="36"/>
    </row>
    <row r="177" spans="1:20" s="37" customFormat="1" ht="15.75" customHeight="1" x14ac:dyDescent="0.3">
      <c r="A177" s="52">
        <v>3</v>
      </c>
      <c r="B177" s="87" t="s">
        <v>400</v>
      </c>
      <c r="C177" s="86" t="s">
        <v>396</v>
      </c>
      <c r="D177" s="92">
        <f>(54.05)*(10.764)</f>
        <v>581.79419999999993</v>
      </c>
      <c r="E177" s="92">
        <f>(2.63)*(10.764)</f>
        <v>28.309319999999996</v>
      </c>
      <c r="F177" s="87">
        <f>D177+E177</f>
        <v>610.10351999999989</v>
      </c>
      <c r="G177" s="52">
        <v>0</v>
      </c>
      <c r="H177" s="52">
        <f>F177*(($H$158)+1)+(IF(G177&lt;101,G177,IF(G177&lt;201,G177/2,IF(G177&lt;=301,G177/3,G177/4))))</f>
        <v>915.15527999999983</v>
      </c>
      <c r="I177" s="90">
        <f>2.63*4.133+2.45*2.25+2.1*2.31+2.8*3.36+2.15*1.25+3.75*2.98+2.28*1.35+1.73+0.65*1.4</f>
        <v>50.221789999999991</v>
      </c>
      <c r="L177" s="109"/>
      <c r="M177" s="109"/>
      <c r="N177" s="36"/>
    </row>
    <row r="178" spans="1:20" s="37" customFormat="1" ht="15.75" customHeight="1" x14ac:dyDescent="0.3">
      <c r="A178" s="52">
        <v>4</v>
      </c>
      <c r="B178" s="87" t="s">
        <v>400</v>
      </c>
      <c r="C178" s="86" t="s">
        <v>396</v>
      </c>
      <c r="D178" s="92">
        <f>50.65*(10.764)</f>
        <v>545.19659999999999</v>
      </c>
      <c r="E178" s="92">
        <f>(2.63)*(10.764)</f>
        <v>28.309319999999996</v>
      </c>
      <c r="F178" s="87">
        <f>D178+E178</f>
        <v>573.50591999999995</v>
      </c>
      <c r="G178" s="52">
        <v>0</v>
      </c>
      <c r="H178" s="52">
        <f>F178*(($H$158)+1)+(IF(G178&lt;101,G178,IF(G178&lt;201,G178/2,IF(G178&lt;=301,G178/3,G178/4))))</f>
        <v>860.25887999999986</v>
      </c>
      <c r="I178" s="36"/>
      <c r="L178" s="109"/>
      <c r="M178" s="109"/>
      <c r="N178" s="36"/>
      <c r="T178" s="21"/>
    </row>
    <row r="179" spans="1:20" s="37" customFormat="1" ht="15.75" customHeight="1" x14ac:dyDescent="0.3">
      <c r="A179" s="52">
        <v>5</v>
      </c>
      <c r="B179" s="87" t="s">
        <v>400</v>
      </c>
      <c r="C179" s="86" t="s">
        <v>377</v>
      </c>
      <c r="D179" s="92">
        <f>(39.59)*(10.764)</f>
        <v>426.14676000000003</v>
      </c>
      <c r="E179" s="91">
        <v>0</v>
      </c>
      <c r="F179" s="52">
        <f>D179+E179</f>
        <v>426.14676000000003</v>
      </c>
      <c r="G179" s="52">
        <v>0</v>
      </c>
      <c r="H179" s="52">
        <f>F179*(($H$158)+1)+(IF(G179&lt;101,G179,IF(G179&lt;201,G179/2,IF(G179&lt;=301,G179/3,G179/4))))</f>
        <v>639.22014000000001</v>
      </c>
      <c r="I179" s="36"/>
      <c r="L179" s="109"/>
      <c r="M179" s="109"/>
      <c r="N179" s="36"/>
    </row>
    <row r="180" spans="1:20" s="37" customFormat="1" ht="15.75" customHeight="1" x14ac:dyDescent="0.3">
      <c r="A180" s="52">
        <v>6</v>
      </c>
      <c r="B180" s="87" t="s">
        <v>400</v>
      </c>
      <c r="C180" s="86" t="s">
        <v>377</v>
      </c>
      <c r="D180" s="92">
        <f>(39.59)*(10.764)</f>
        <v>426.14676000000003</v>
      </c>
      <c r="E180" s="87">
        <v>0</v>
      </c>
      <c r="F180" s="52">
        <f>D180+E180</f>
        <v>426.14676000000003</v>
      </c>
      <c r="G180" s="52">
        <v>0</v>
      </c>
      <c r="H180" s="52">
        <f>F180*(($H$158)+1)+(IF(G180&lt;101,G180,IF(G180&lt;201,G180/2,IF(G180&lt;=301,G180/3,G180/4))))</f>
        <v>639.22014000000001</v>
      </c>
      <c r="I180" s="36"/>
      <c r="J180" s="94"/>
      <c r="L180" s="109"/>
      <c r="M180" s="109"/>
      <c r="N180" s="36"/>
    </row>
    <row r="181" spans="1:20" s="37" customFormat="1" x14ac:dyDescent="0.3">
      <c r="A181" s="110" t="s">
        <v>404</v>
      </c>
      <c r="B181" s="111"/>
      <c r="C181" s="111"/>
      <c r="D181" s="137"/>
      <c r="E181" s="138"/>
      <c r="F181" s="111"/>
      <c r="G181" s="111"/>
      <c r="H181" s="112"/>
      <c r="I181" s="94">
        <v>6</v>
      </c>
      <c r="J181" s="36"/>
    </row>
    <row r="182" spans="1:20" s="37" customFormat="1" ht="15.75" customHeight="1" x14ac:dyDescent="0.3">
      <c r="A182" s="52">
        <v>1</v>
      </c>
      <c r="B182" s="87" t="s">
        <v>400</v>
      </c>
      <c r="C182" s="86" t="s">
        <v>377</v>
      </c>
      <c r="D182" s="92">
        <f>(40.4)*(10.764)</f>
        <v>434.86559999999997</v>
      </c>
      <c r="E182" s="92">
        <f>(2.75*1.2)*(10.764)</f>
        <v>35.521199999999993</v>
      </c>
      <c r="F182" s="87">
        <f t="shared" ref="F182:F187" si="14">D182+E182</f>
        <v>470.38679999999999</v>
      </c>
      <c r="G182" s="52">
        <v>0</v>
      </c>
      <c r="H182" s="52">
        <f t="shared" ref="H182:H187" si="15">F182*(($H$158)+1)+(IF(G182&lt;101,G182,IF(G182&lt;201,G182/2,IF(G182&lt;=301,G182/3,G182/4))))</f>
        <v>705.58019999999999</v>
      </c>
      <c r="I182" s="90">
        <f>4.82*2.75+2.5*2.1+3.55*2.79+2.2*1.3+0.7*0.78+0.7*1.34+2.2*1.3+2.5*0.9</f>
        <v>37.863500000000002</v>
      </c>
      <c r="L182" s="109"/>
      <c r="M182" s="109"/>
      <c r="N182" s="36"/>
    </row>
    <row r="183" spans="1:20" s="37" customFormat="1" ht="15.75" customHeight="1" x14ac:dyDescent="0.3">
      <c r="A183" s="52">
        <v>2</v>
      </c>
      <c r="B183" s="87" t="s">
        <v>400</v>
      </c>
      <c r="C183" s="86" t="s">
        <v>377</v>
      </c>
      <c r="D183" s="92">
        <f>(42)*(10.764)</f>
        <v>452.08799999999997</v>
      </c>
      <c r="E183" s="92">
        <f>(2.75*1.2)*(10.764)</f>
        <v>35.521199999999993</v>
      </c>
      <c r="F183" s="87">
        <f t="shared" si="14"/>
        <v>487.60919999999999</v>
      </c>
      <c r="G183" s="52">
        <v>0</v>
      </c>
      <c r="H183" s="52">
        <f t="shared" si="15"/>
        <v>731.41380000000004</v>
      </c>
      <c r="I183" s="90"/>
      <c r="L183" s="109"/>
      <c r="M183" s="109"/>
      <c r="N183" s="36"/>
    </row>
    <row r="184" spans="1:20" s="37" customFormat="1" ht="15.75" customHeight="1" x14ac:dyDescent="0.3">
      <c r="A184" s="52">
        <v>3</v>
      </c>
      <c r="B184" s="87" t="s">
        <v>400</v>
      </c>
      <c r="C184" s="86" t="s">
        <v>396</v>
      </c>
      <c r="D184" s="92">
        <f>(54.05)*(10.764)</f>
        <v>581.79419999999993</v>
      </c>
      <c r="E184" s="92">
        <f>(2.63)*(10.764)</f>
        <v>28.309319999999996</v>
      </c>
      <c r="F184" s="87">
        <f t="shared" si="14"/>
        <v>610.10351999999989</v>
      </c>
      <c r="G184" s="52">
        <v>0</v>
      </c>
      <c r="H184" s="52">
        <f t="shared" si="15"/>
        <v>915.15527999999983</v>
      </c>
      <c r="I184" s="90">
        <f>2.63*4.133+2.45*2.25+2.1*2.31+2.8*3.36+2.15*1.25+3.75*2.98+2.28*1.35+1.73+0.65*1.4</f>
        <v>50.221789999999991</v>
      </c>
      <c r="L184" s="109"/>
      <c r="M184" s="109"/>
      <c r="N184" s="36"/>
    </row>
    <row r="185" spans="1:20" s="37" customFormat="1" ht="15.75" customHeight="1" x14ac:dyDescent="0.3">
      <c r="A185" s="52">
        <v>4</v>
      </c>
      <c r="B185" s="87" t="s">
        <v>400</v>
      </c>
      <c r="C185" s="86" t="s">
        <v>396</v>
      </c>
      <c r="D185" s="92">
        <f>50.65*(10.764)</f>
        <v>545.19659999999999</v>
      </c>
      <c r="E185" s="92">
        <f>(2.63)*(10.764)</f>
        <v>28.309319999999996</v>
      </c>
      <c r="F185" s="87">
        <f t="shared" si="14"/>
        <v>573.50591999999995</v>
      </c>
      <c r="G185" s="52">
        <v>0</v>
      </c>
      <c r="H185" s="52">
        <f t="shared" si="15"/>
        <v>860.25887999999986</v>
      </c>
      <c r="I185" s="36"/>
      <c r="L185" s="109"/>
      <c r="M185" s="109"/>
      <c r="N185" s="36"/>
      <c r="T185" s="21"/>
    </row>
    <row r="186" spans="1:20" s="37" customFormat="1" ht="15.75" customHeight="1" x14ac:dyDescent="0.3">
      <c r="A186" s="52">
        <v>5</v>
      </c>
      <c r="B186" s="87" t="s">
        <v>400</v>
      </c>
      <c r="C186" s="86" t="s">
        <v>377</v>
      </c>
      <c r="D186" s="92">
        <f>(39.59)*(10.764)</f>
        <v>426.14676000000003</v>
      </c>
      <c r="E186" s="91">
        <v>0</v>
      </c>
      <c r="F186" s="52">
        <f t="shared" si="14"/>
        <v>426.14676000000003</v>
      </c>
      <c r="G186" s="52">
        <v>0</v>
      </c>
      <c r="H186" s="52">
        <f t="shared" si="15"/>
        <v>639.22014000000001</v>
      </c>
      <c r="I186" s="36"/>
      <c r="L186" s="109"/>
      <c r="M186" s="109"/>
      <c r="N186" s="36"/>
    </row>
    <row r="187" spans="1:20" s="37" customFormat="1" ht="15.75" customHeight="1" x14ac:dyDescent="0.3">
      <c r="A187" s="52">
        <v>6</v>
      </c>
      <c r="B187" s="87" t="s">
        <v>400</v>
      </c>
      <c r="C187" s="86" t="s">
        <v>377</v>
      </c>
      <c r="D187" s="92">
        <f>(39.59)*(10.764)</f>
        <v>426.14676000000003</v>
      </c>
      <c r="E187" s="87">
        <v>0</v>
      </c>
      <c r="F187" s="52">
        <f t="shared" si="14"/>
        <v>426.14676000000003</v>
      </c>
      <c r="G187" s="52">
        <v>0</v>
      </c>
      <c r="H187" s="52">
        <f t="shared" si="15"/>
        <v>639.22014000000001</v>
      </c>
      <c r="I187" s="36"/>
      <c r="L187" s="109"/>
      <c r="M187" s="109"/>
      <c r="N187" s="36"/>
    </row>
    <row r="188" spans="1:20" s="37" customFormat="1" x14ac:dyDescent="0.3">
      <c r="A188" s="110" t="s">
        <v>405</v>
      </c>
      <c r="B188" s="111"/>
      <c r="C188" s="111"/>
      <c r="D188" s="139"/>
      <c r="E188" s="111"/>
      <c r="F188" s="111"/>
      <c r="G188" s="111"/>
      <c r="H188" s="112"/>
      <c r="I188" s="94">
        <v>1</v>
      </c>
      <c r="J188" s="36"/>
    </row>
    <row r="189" spans="1:20" s="37" customFormat="1" ht="15.75" customHeight="1" x14ac:dyDescent="0.3">
      <c r="A189" s="52">
        <v>1</v>
      </c>
      <c r="B189" s="87" t="s">
        <v>402</v>
      </c>
      <c r="C189" s="113" t="s">
        <v>401</v>
      </c>
      <c r="D189" s="132"/>
      <c r="E189" s="132"/>
      <c r="F189" s="114"/>
      <c r="G189" s="114"/>
      <c r="H189" s="115"/>
      <c r="I189" s="90"/>
      <c r="L189" s="109"/>
      <c r="M189" s="109"/>
      <c r="N189" s="36"/>
    </row>
    <row r="190" spans="1:20" s="37" customFormat="1" ht="15.75" customHeight="1" x14ac:dyDescent="0.3">
      <c r="A190" s="52">
        <v>2</v>
      </c>
      <c r="B190" s="87" t="s">
        <v>400</v>
      </c>
      <c r="C190" s="86" t="s">
        <v>396</v>
      </c>
      <c r="D190" s="92">
        <f>(52.55)*(10.764)</f>
        <v>565.64819999999997</v>
      </c>
      <c r="E190" s="92">
        <f>(2.75*1.2+2.75*1.2)*(10.764)</f>
        <v>71.042399999999986</v>
      </c>
      <c r="F190" s="87">
        <f>D190+E190</f>
        <v>636.6905999999999</v>
      </c>
      <c r="G190" s="52">
        <v>0</v>
      </c>
      <c r="H190" s="52">
        <f>F190*(($H$158)+1)+(IF(G190&lt;101,G190,IF(G190&lt;201,G190/2,IF(G190&lt;=301,G190/3,G190/4))))</f>
        <v>955.03589999999986</v>
      </c>
      <c r="I190" s="90"/>
      <c r="L190" s="109"/>
      <c r="M190" s="109"/>
      <c r="N190" s="36"/>
    </row>
    <row r="191" spans="1:20" s="37" customFormat="1" ht="15.75" customHeight="1" x14ac:dyDescent="0.3">
      <c r="A191" s="52">
        <v>3</v>
      </c>
      <c r="B191" s="87" t="s">
        <v>400</v>
      </c>
      <c r="C191" s="86" t="s">
        <v>396</v>
      </c>
      <c r="D191" s="92">
        <f>(54.05)*(10.764)</f>
        <v>581.79419999999993</v>
      </c>
      <c r="E191" s="92">
        <f>(2.63)*(10.764)</f>
        <v>28.309319999999996</v>
      </c>
      <c r="F191" s="87">
        <f>D191+E191</f>
        <v>610.10351999999989</v>
      </c>
      <c r="G191" s="52">
        <v>0</v>
      </c>
      <c r="H191" s="52">
        <f>F191*(($H$158)+1)+(IF(G191&lt;101,G191,IF(G191&lt;201,G191/2,IF(G191&lt;=301,G191/3,G191/4))))</f>
        <v>915.15527999999983</v>
      </c>
      <c r="I191" s="90">
        <f>2.63*4.133+2.45*2.25+2.1*2.31+2.8*3.36+2.15*1.25+3.75*2.98+2.28*1.35+1.73+0.65*1.4</f>
        <v>50.221789999999991</v>
      </c>
      <c r="L191" s="109"/>
      <c r="M191" s="109"/>
      <c r="N191" s="36"/>
    </row>
    <row r="192" spans="1:20" s="37" customFormat="1" ht="15.75" customHeight="1" x14ac:dyDescent="0.3">
      <c r="A192" s="52">
        <v>4</v>
      </c>
      <c r="B192" s="87" t="s">
        <v>400</v>
      </c>
      <c r="C192" s="86" t="s">
        <v>396</v>
      </c>
      <c r="D192" s="92">
        <f>50.65*(10.764)</f>
        <v>545.19659999999999</v>
      </c>
      <c r="E192" s="92">
        <f>(2.63)*(10.764)</f>
        <v>28.309319999999996</v>
      </c>
      <c r="F192" s="87">
        <f>D192+E192</f>
        <v>573.50591999999995</v>
      </c>
      <c r="G192" s="52">
        <v>0</v>
      </c>
      <c r="H192" s="52">
        <f>F192*(($H$158)+1)+(IF(G192&lt;101,G192,IF(G192&lt;201,G192/2,IF(G192&lt;=301,G192/3,G192/4))))</f>
        <v>860.25887999999986</v>
      </c>
      <c r="I192" s="36"/>
      <c r="L192" s="109"/>
      <c r="M192" s="109"/>
      <c r="N192" s="36"/>
      <c r="T192" s="21"/>
    </row>
    <row r="193" spans="1:20" s="37" customFormat="1" ht="15.75" customHeight="1" x14ac:dyDescent="0.3">
      <c r="A193" s="52">
        <v>5</v>
      </c>
      <c r="B193" s="87" t="s">
        <v>400</v>
      </c>
      <c r="C193" s="86" t="s">
        <v>377</v>
      </c>
      <c r="D193" s="92">
        <f>(39.59)*(10.764)</f>
        <v>426.14676000000003</v>
      </c>
      <c r="E193" s="91">
        <v>0</v>
      </c>
      <c r="F193" s="52">
        <f>D193+E193</f>
        <v>426.14676000000003</v>
      </c>
      <c r="G193" s="52">
        <v>0</v>
      </c>
      <c r="H193" s="52">
        <f>F193*(($H$158)+1)+(IF(G193&lt;101,G193,IF(G193&lt;201,G193/2,IF(G193&lt;=301,G193/3,G193/4))))</f>
        <v>639.22014000000001</v>
      </c>
      <c r="I193" s="36"/>
      <c r="L193" s="109"/>
      <c r="M193" s="109"/>
      <c r="N193" s="36"/>
    </row>
    <row r="194" spans="1:20" s="37" customFormat="1" ht="15.75" customHeight="1" x14ac:dyDescent="0.3">
      <c r="A194" s="52">
        <v>6</v>
      </c>
      <c r="B194" s="87" t="s">
        <v>400</v>
      </c>
      <c r="C194" s="86" t="s">
        <v>377</v>
      </c>
      <c r="D194" s="92">
        <f>(39.59)*(10.764)</f>
        <v>426.14676000000003</v>
      </c>
      <c r="E194" s="87">
        <v>0</v>
      </c>
      <c r="F194" s="52">
        <f>D194+E194</f>
        <v>426.14676000000003</v>
      </c>
      <c r="G194" s="52">
        <v>0</v>
      </c>
      <c r="H194" s="52">
        <f>F194*(($H$158)+1)+(IF(G194&lt;101,G194,IF(G194&lt;201,G194/2,IF(G194&lt;=301,G194/3,G194/4))))</f>
        <v>639.22014000000001</v>
      </c>
      <c r="I194" s="36"/>
      <c r="L194" s="109"/>
      <c r="M194" s="109"/>
      <c r="N194" s="36"/>
    </row>
    <row r="195" spans="1:20" s="37" customFormat="1" x14ac:dyDescent="0.3">
      <c r="A195" s="110" t="s">
        <v>406</v>
      </c>
      <c r="B195" s="111"/>
      <c r="C195" s="111"/>
      <c r="D195" s="137"/>
      <c r="E195" s="138"/>
      <c r="F195" s="111"/>
      <c r="G195" s="111"/>
      <c r="H195" s="112"/>
      <c r="I195" s="94">
        <v>3</v>
      </c>
      <c r="J195" s="36"/>
    </row>
    <row r="196" spans="1:20" s="37" customFormat="1" ht="15.75" customHeight="1" x14ac:dyDescent="0.3">
      <c r="A196" s="52">
        <v>1</v>
      </c>
      <c r="B196" s="87" t="s">
        <v>400</v>
      </c>
      <c r="C196" s="86" t="s">
        <v>377</v>
      </c>
      <c r="D196" s="92">
        <f>(40.4)*(10.764)</f>
        <v>434.86559999999997</v>
      </c>
      <c r="E196" s="92">
        <f>(2.75*1.2)*(10.764)</f>
        <v>35.521199999999993</v>
      </c>
      <c r="F196" s="87">
        <f t="shared" ref="F196:F201" si="16">D196+E196</f>
        <v>470.38679999999999</v>
      </c>
      <c r="G196" s="52">
        <v>0</v>
      </c>
      <c r="H196" s="52">
        <f t="shared" ref="H196:H201" si="17">F196*(($H$158)+1)+(IF(G196&lt;101,G196,IF(G196&lt;201,G196/2,IF(G196&lt;=301,G196/3,G196/4))))</f>
        <v>705.58019999999999</v>
      </c>
      <c r="I196" s="90">
        <f>4.82*2.75+2.5*2.1+3.55*2.79+2.2*1.3+0.7*0.78+0.7*1.34+2.2*1.3+2.5*0.9</f>
        <v>37.863500000000002</v>
      </c>
      <c r="L196" s="109"/>
      <c r="M196" s="109"/>
      <c r="N196" s="36"/>
    </row>
    <row r="197" spans="1:20" s="37" customFormat="1" ht="15.75" customHeight="1" x14ac:dyDescent="0.3">
      <c r="A197" s="52">
        <v>2</v>
      </c>
      <c r="B197" s="87" t="s">
        <v>400</v>
      </c>
      <c r="C197" s="86" t="s">
        <v>377</v>
      </c>
      <c r="D197" s="92">
        <f>(42)*(10.764)</f>
        <v>452.08799999999997</v>
      </c>
      <c r="E197" s="92">
        <f>(2.75*1.2)*(10.764)</f>
        <v>35.521199999999993</v>
      </c>
      <c r="F197" s="87">
        <f t="shared" si="16"/>
        <v>487.60919999999999</v>
      </c>
      <c r="G197" s="52">
        <v>0</v>
      </c>
      <c r="H197" s="52">
        <f t="shared" si="17"/>
        <v>731.41380000000004</v>
      </c>
      <c r="I197" s="90"/>
      <c r="L197" s="109"/>
      <c r="M197" s="109"/>
      <c r="N197" s="36"/>
    </row>
    <row r="198" spans="1:20" s="37" customFormat="1" ht="15.75" customHeight="1" x14ac:dyDescent="0.3">
      <c r="A198" s="52">
        <v>3</v>
      </c>
      <c r="B198" s="87" t="s">
        <v>400</v>
      </c>
      <c r="C198" s="86" t="s">
        <v>396</v>
      </c>
      <c r="D198" s="92">
        <f>(54.05)*(10.764)</f>
        <v>581.79419999999993</v>
      </c>
      <c r="E198" s="92">
        <f>(2.63)*(10.764)</f>
        <v>28.309319999999996</v>
      </c>
      <c r="F198" s="87">
        <f t="shared" si="16"/>
        <v>610.10351999999989</v>
      </c>
      <c r="G198" s="52">
        <v>0</v>
      </c>
      <c r="H198" s="52">
        <f t="shared" si="17"/>
        <v>915.15527999999983</v>
      </c>
      <c r="I198" s="90">
        <f>2.63*4.133+2.45*2.25+2.1*2.31+2.8*3.36+2.15*1.25+3.75*2.98+2.28*1.35+1.73+0.65*1.4</f>
        <v>50.221789999999991</v>
      </c>
      <c r="L198" s="109"/>
      <c r="M198" s="109"/>
      <c r="N198" s="36"/>
    </row>
    <row r="199" spans="1:20" s="37" customFormat="1" ht="15.75" customHeight="1" x14ac:dyDescent="0.3">
      <c r="A199" s="52">
        <v>4</v>
      </c>
      <c r="B199" s="87" t="s">
        <v>400</v>
      </c>
      <c r="C199" s="86" t="s">
        <v>396</v>
      </c>
      <c r="D199" s="92">
        <f>50.65*(10.764)</f>
        <v>545.19659999999999</v>
      </c>
      <c r="E199" s="91">
        <f>2.63*10.764</f>
        <v>28.309319999999996</v>
      </c>
      <c r="F199" s="52">
        <f t="shared" si="16"/>
        <v>573.50591999999995</v>
      </c>
      <c r="G199" s="52">
        <v>0</v>
      </c>
      <c r="H199" s="52">
        <f t="shared" si="17"/>
        <v>860.25887999999986</v>
      </c>
      <c r="I199" s="36"/>
      <c r="L199" s="109"/>
      <c r="M199" s="109"/>
      <c r="N199" s="36"/>
      <c r="T199" s="21"/>
    </row>
    <row r="200" spans="1:20" s="37" customFormat="1" ht="15.75" customHeight="1" x14ac:dyDescent="0.3">
      <c r="A200" s="52">
        <v>5</v>
      </c>
      <c r="B200" s="87" t="s">
        <v>400</v>
      </c>
      <c r="C200" s="86" t="s">
        <v>377</v>
      </c>
      <c r="D200" s="92">
        <f>(39.59)*(10.764)</f>
        <v>426.14676000000003</v>
      </c>
      <c r="E200" s="87">
        <v>0</v>
      </c>
      <c r="F200" s="52">
        <f t="shared" si="16"/>
        <v>426.14676000000003</v>
      </c>
      <c r="G200" s="52">
        <v>0</v>
      </c>
      <c r="H200" s="52">
        <f t="shared" si="17"/>
        <v>639.22014000000001</v>
      </c>
      <c r="I200" s="36"/>
      <c r="L200" s="109"/>
      <c r="M200" s="109"/>
      <c r="N200" s="36"/>
    </row>
    <row r="201" spans="1:20" s="37" customFormat="1" ht="15.75" customHeight="1" x14ac:dyDescent="0.3">
      <c r="A201" s="52">
        <v>6</v>
      </c>
      <c r="B201" s="87" t="s">
        <v>400</v>
      </c>
      <c r="C201" s="86" t="s">
        <v>377</v>
      </c>
      <c r="D201" s="92">
        <f>(39.59)*(10.764)</f>
        <v>426.14676000000003</v>
      </c>
      <c r="E201" s="87">
        <v>0</v>
      </c>
      <c r="F201" s="52">
        <f t="shared" si="16"/>
        <v>426.14676000000003</v>
      </c>
      <c r="G201" s="52">
        <v>0</v>
      </c>
      <c r="H201" s="52">
        <f t="shared" si="17"/>
        <v>639.22014000000001</v>
      </c>
      <c r="I201" s="36"/>
      <c r="L201" s="109"/>
      <c r="M201" s="109"/>
      <c r="N201" s="36"/>
    </row>
    <row r="202" spans="1:20" s="37" customFormat="1" x14ac:dyDescent="0.3">
      <c r="A202" s="126" t="s">
        <v>407</v>
      </c>
      <c r="B202" s="127"/>
      <c r="C202" s="127"/>
      <c r="D202" s="130"/>
      <c r="E202" s="127"/>
      <c r="F202" s="127"/>
      <c r="G202" s="127"/>
      <c r="H202" s="128"/>
      <c r="J202" s="36"/>
    </row>
    <row r="203" spans="1:20" s="37" customFormat="1" x14ac:dyDescent="0.3">
      <c r="A203" s="110" t="s">
        <v>408</v>
      </c>
      <c r="B203" s="111"/>
      <c r="C203" s="111"/>
      <c r="D203" s="111"/>
      <c r="E203" s="111"/>
      <c r="F203" s="111"/>
      <c r="G203" s="111"/>
      <c r="H203" s="112"/>
      <c r="J203" s="36"/>
    </row>
    <row r="204" spans="1:20" s="37" customFormat="1" x14ac:dyDescent="0.3">
      <c r="A204" s="110" t="s">
        <v>394</v>
      </c>
      <c r="B204" s="111"/>
      <c r="C204" s="111"/>
      <c r="D204" s="111"/>
      <c r="E204" s="111"/>
      <c r="F204" s="111"/>
      <c r="G204" s="111"/>
      <c r="H204" s="112"/>
      <c r="I204" s="94">
        <v>1</v>
      </c>
      <c r="J204" s="36"/>
    </row>
    <row r="205" spans="1:20" s="37" customFormat="1" ht="15.75" customHeight="1" x14ac:dyDescent="0.3">
      <c r="A205" s="52">
        <v>1</v>
      </c>
      <c r="B205" s="87" t="s">
        <v>400</v>
      </c>
      <c r="C205" s="86" t="s">
        <v>396</v>
      </c>
      <c r="D205" s="92">
        <f>(56.18)*(10.764)</f>
        <v>604.72151999999994</v>
      </c>
      <c r="E205" s="92">
        <f>(2.75*1.2)*(10.764)</f>
        <v>35.521199999999993</v>
      </c>
      <c r="F205" s="87">
        <f>D205+E205</f>
        <v>640.24271999999996</v>
      </c>
      <c r="G205" s="52">
        <v>0</v>
      </c>
      <c r="H205" s="52">
        <f>F205*(($H$158)+1)+(IF(G205&lt;101,G205,IF(G205&lt;201,G205/2,IF(G205&lt;=301,G205/3,G205/4))))</f>
        <v>960.36407999999994</v>
      </c>
      <c r="I205" s="90">
        <f>4.9*2.75+3.35*2.05+2.3*1.2+3.4*2.05+1.38*2.25+4.4*2.75+1.38*2.25+3.5*0.9</f>
        <v>51.532499999999992</v>
      </c>
      <c r="L205" s="109"/>
      <c r="M205" s="109"/>
      <c r="N205" s="36"/>
    </row>
    <row r="206" spans="1:20" s="37" customFormat="1" ht="15.75" customHeight="1" x14ac:dyDescent="0.3">
      <c r="A206" s="52">
        <v>2</v>
      </c>
      <c r="B206" s="87" t="s">
        <v>400</v>
      </c>
      <c r="C206" s="86" t="s">
        <v>377</v>
      </c>
      <c r="D206" s="92">
        <f>(40.19)*(10.764)</f>
        <v>432.60515999999996</v>
      </c>
      <c r="E206" s="92">
        <f>(2.75*1.2)*(10.764)</f>
        <v>35.521199999999993</v>
      </c>
      <c r="F206" s="87">
        <f>D206+E206</f>
        <v>468.12635999999998</v>
      </c>
      <c r="G206" s="52">
        <v>0</v>
      </c>
      <c r="H206" s="52">
        <f>F206*(($H$158)+1)+(IF(G206&lt;101,G206,IF(G206&lt;201,G206/2,IF(G206&lt;=301,G206/3,G206/4))))</f>
        <v>702.18953999999997</v>
      </c>
      <c r="I206" s="90">
        <f>4.82*2.75+2.5*2.05+3.55*2.79+2.2*1.3+0.7*1.34+0.7*0.73+2.2*1.3+2.5*0.9</f>
        <v>37.703500000000005</v>
      </c>
      <c r="K206" s="37">
        <f>2+24+2+24+3+12</f>
        <v>67</v>
      </c>
      <c r="L206" s="109"/>
      <c r="M206" s="109"/>
      <c r="N206" s="36"/>
    </row>
    <row r="207" spans="1:20" s="37" customFormat="1" ht="15.75" customHeight="1" x14ac:dyDescent="0.3">
      <c r="A207" s="52">
        <v>3</v>
      </c>
      <c r="B207" s="87" t="s">
        <v>402</v>
      </c>
      <c r="C207" s="131" t="s">
        <v>409</v>
      </c>
      <c r="D207" s="132"/>
      <c r="E207" s="132"/>
      <c r="F207" s="132"/>
      <c r="G207" s="132"/>
      <c r="H207" s="133"/>
      <c r="I207" s="90"/>
      <c r="L207" s="109"/>
      <c r="M207" s="109"/>
      <c r="N207" s="36"/>
    </row>
    <row r="208" spans="1:20" s="37" customFormat="1" ht="15.75" customHeight="1" x14ac:dyDescent="0.3">
      <c r="A208" s="52">
        <v>4</v>
      </c>
      <c r="B208" s="87" t="s">
        <v>402</v>
      </c>
      <c r="C208" s="134"/>
      <c r="D208" s="135"/>
      <c r="E208" s="135"/>
      <c r="F208" s="135"/>
      <c r="G208" s="135"/>
      <c r="H208" s="136"/>
      <c r="I208" s="36"/>
      <c r="J208" s="36">
        <f>10.764</f>
        <v>10.763999999999999</v>
      </c>
      <c r="L208" s="109"/>
      <c r="M208" s="109"/>
      <c r="N208" s="36"/>
      <c r="T208" s="21"/>
    </row>
    <row r="209" spans="1:20" s="37" customFormat="1" x14ac:dyDescent="0.3">
      <c r="A209" s="129" t="s">
        <v>398</v>
      </c>
      <c r="B209" s="129"/>
      <c r="C209" s="129"/>
      <c r="D209" s="129"/>
      <c r="E209" s="129"/>
      <c r="F209" s="129"/>
      <c r="G209" s="129"/>
      <c r="H209" s="129"/>
      <c r="I209" s="94">
        <v>6</v>
      </c>
      <c r="J209" s="36"/>
    </row>
    <row r="210" spans="1:20" s="37" customFormat="1" ht="15.75" customHeight="1" x14ac:dyDescent="0.3">
      <c r="A210" s="52">
        <v>1</v>
      </c>
      <c r="B210" s="52" t="s">
        <v>399</v>
      </c>
      <c r="C210" s="52" t="s">
        <v>396</v>
      </c>
      <c r="D210" s="92">
        <f>(56.18)*(10.764)</f>
        <v>604.72151999999994</v>
      </c>
      <c r="E210" s="92">
        <f>(2.75*1.2)*(10.764)</f>
        <v>35.521199999999993</v>
      </c>
      <c r="F210" s="52">
        <f>D210+E210</f>
        <v>640.24271999999996</v>
      </c>
      <c r="G210" s="52">
        <v>0</v>
      </c>
      <c r="H210" s="52">
        <f>F210*(($H$158)+1)+(IF(G210&lt;101,G210,IF(G210&lt;201,G210/2,IF(G210&lt;=301,G210/3,G210/4))))</f>
        <v>960.36407999999994</v>
      </c>
      <c r="I210" s="90">
        <f>4.9*2.75+3.35*2.05+2.3*1.2+3.4*2.05+1.38*2.25+4.4*2.75+1.38*2.25+3.5*0.9</f>
        <v>51.532499999999992</v>
      </c>
      <c r="L210" s="109"/>
      <c r="M210" s="109"/>
      <c r="N210" s="36"/>
    </row>
    <row r="211" spans="1:20" s="37" customFormat="1" ht="15.75" customHeight="1" x14ac:dyDescent="0.3">
      <c r="A211" s="52">
        <v>2</v>
      </c>
      <c r="B211" s="52" t="s">
        <v>399</v>
      </c>
      <c r="C211" s="52" t="s">
        <v>377</v>
      </c>
      <c r="D211" s="92">
        <f>(40.19)*(10.764)</f>
        <v>432.60515999999996</v>
      </c>
      <c r="E211" s="92">
        <f>(2.75*1.2)*(10.764)</f>
        <v>35.521199999999993</v>
      </c>
      <c r="F211" s="52">
        <f>D211+E211</f>
        <v>468.12635999999998</v>
      </c>
      <c r="G211" s="52">
        <v>0</v>
      </c>
      <c r="H211" s="52">
        <f>F211*(($H$158)+1)+(IF(G211&lt;101,G211,IF(G211&lt;201,G211/2,IF(G211&lt;=301,G211/3,G211/4))))</f>
        <v>702.18953999999997</v>
      </c>
      <c r="I211" s="90">
        <f>4.82*2.75+2.5*2.05+3.55*2.79+2.2*1.3+0.7*1.34+0.7*0.73+2.2*1.3+2.5*0.9</f>
        <v>37.703500000000005</v>
      </c>
      <c r="L211" s="109"/>
      <c r="M211" s="109"/>
      <c r="N211" s="36"/>
    </row>
    <row r="212" spans="1:20" s="37" customFormat="1" ht="15.75" customHeight="1" x14ac:dyDescent="0.3">
      <c r="A212" s="52">
        <v>3</v>
      </c>
      <c r="B212" s="52" t="s">
        <v>399</v>
      </c>
      <c r="C212" s="52" t="s">
        <v>377</v>
      </c>
      <c r="D212" s="92">
        <f>(39.87)*(10.764)</f>
        <v>429.16067999999996</v>
      </c>
      <c r="E212" s="52">
        <v>0</v>
      </c>
      <c r="F212" s="52">
        <f>D212+E212</f>
        <v>429.16067999999996</v>
      </c>
      <c r="G212" s="52">
        <v>0</v>
      </c>
      <c r="H212" s="52">
        <f>F212*(($H$158)+1)+(IF(G212&lt;101,G212,IF(G212&lt;201,G212/2,IF(G212&lt;=301,G212/3,G212/4))))</f>
        <v>643.74101999999993</v>
      </c>
      <c r="I212" s="90"/>
      <c r="L212" s="109"/>
      <c r="M212" s="109"/>
      <c r="N212" s="36"/>
    </row>
    <row r="213" spans="1:20" s="37" customFormat="1" ht="15.75" customHeight="1" x14ac:dyDescent="0.3">
      <c r="A213" s="52">
        <v>4</v>
      </c>
      <c r="B213" s="52" t="s">
        <v>399</v>
      </c>
      <c r="C213" s="52" t="s">
        <v>377</v>
      </c>
      <c r="D213" s="92">
        <f>(39.55)*(10.764)</f>
        <v>425.71619999999996</v>
      </c>
      <c r="E213" s="52">
        <v>0</v>
      </c>
      <c r="F213" s="52">
        <f>D213+E213</f>
        <v>425.71619999999996</v>
      </c>
      <c r="G213" s="52">
        <v>0</v>
      </c>
      <c r="H213" s="52">
        <f>F213*(($H$158)+1)+(IF(G213&lt;101,G213,IF(G213&lt;201,G213/2,IF(G213&lt;=301,G213/3,G213/4))))</f>
        <v>638.57429999999999</v>
      </c>
      <c r="I213" s="36"/>
      <c r="L213" s="109"/>
      <c r="M213" s="109"/>
      <c r="N213" s="36"/>
      <c r="T213" s="21"/>
    </row>
    <row r="214" spans="1:20" s="37" customFormat="1" x14ac:dyDescent="0.3">
      <c r="A214" s="129" t="s">
        <v>403</v>
      </c>
      <c r="B214" s="129"/>
      <c r="C214" s="129"/>
      <c r="D214" s="129"/>
      <c r="E214" s="129"/>
      <c r="F214" s="129"/>
      <c r="G214" s="129"/>
      <c r="H214" s="129"/>
      <c r="I214" s="94">
        <v>1</v>
      </c>
      <c r="J214" s="36"/>
    </row>
    <row r="215" spans="1:20" s="37" customFormat="1" ht="15.75" customHeight="1" x14ac:dyDescent="0.3">
      <c r="A215" s="52">
        <v>1</v>
      </c>
      <c r="B215" s="52" t="s">
        <v>402</v>
      </c>
      <c r="C215" s="116" t="s">
        <v>401</v>
      </c>
      <c r="D215" s="116"/>
      <c r="E215" s="116"/>
      <c r="F215" s="116"/>
      <c r="G215" s="116"/>
      <c r="H215" s="116"/>
      <c r="I215" s="90"/>
      <c r="L215" s="109"/>
      <c r="M215" s="109"/>
      <c r="N215" s="36"/>
    </row>
    <row r="216" spans="1:20" s="37" customFormat="1" ht="15.75" customHeight="1" x14ac:dyDescent="0.3">
      <c r="A216" s="52">
        <v>2</v>
      </c>
      <c r="B216" s="52" t="s">
        <v>402</v>
      </c>
      <c r="C216" s="116"/>
      <c r="D216" s="116"/>
      <c r="E216" s="116"/>
      <c r="F216" s="116"/>
      <c r="G216" s="116"/>
      <c r="H216" s="116"/>
      <c r="I216" s="90"/>
      <c r="L216" s="109"/>
      <c r="M216" s="109"/>
      <c r="N216" s="36"/>
    </row>
    <row r="217" spans="1:20" s="37" customFormat="1" ht="15.75" customHeight="1" x14ac:dyDescent="0.3">
      <c r="A217" s="52">
        <v>3</v>
      </c>
      <c r="B217" s="87" t="s">
        <v>399</v>
      </c>
      <c r="C217" s="86" t="s">
        <v>377</v>
      </c>
      <c r="D217" s="92">
        <f>(39.87)*(10.764)</f>
        <v>429.16067999999996</v>
      </c>
      <c r="E217" s="87">
        <v>0</v>
      </c>
      <c r="F217" s="52">
        <f>D217+E217</f>
        <v>429.16067999999996</v>
      </c>
      <c r="G217" s="52">
        <v>0</v>
      </c>
      <c r="H217" s="52">
        <f>F217*(($H$158)+1)+(IF(G217&lt;101,G217,IF(G217&lt;201,G217/2,IF(G217&lt;=301,G217/3,G217/4))))</f>
        <v>643.74101999999993</v>
      </c>
      <c r="I217" s="90"/>
      <c r="L217" s="109"/>
      <c r="M217" s="109"/>
      <c r="N217" s="36"/>
    </row>
    <row r="218" spans="1:20" s="37" customFormat="1" ht="15.75" customHeight="1" x14ac:dyDescent="0.3">
      <c r="A218" s="52">
        <v>4</v>
      </c>
      <c r="B218" s="87" t="s">
        <v>399</v>
      </c>
      <c r="C218" s="86" t="s">
        <v>377</v>
      </c>
      <c r="D218" s="92">
        <f>(39.55)*(10.764)</f>
        <v>425.71619999999996</v>
      </c>
      <c r="E218" s="87">
        <v>0</v>
      </c>
      <c r="F218" s="52">
        <f>D218+E218</f>
        <v>425.71619999999996</v>
      </c>
      <c r="G218" s="52">
        <v>0</v>
      </c>
      <c r="H218" s="52">
        <f>F218*(($H$158)+1)+(IF(G218&lt;101,G218,IF(G218&lt;201,G218/2,IF(G218&lt;=301,G218/3,G218/4))))</f>
        <v>638.57429999999999</v>
      </c>
      <c r="I218" s="36"/>
      <c r="L218" s="109"/>
      <c r="M218" s="109"/>
      <c r="N218" s="36"/>
      <c r="T218" s="21"/>
    </row>
    <row r="219" spans="1:20" s="37" customFormat="1" x14ac:dyDescent="0.3">
      <c r="A219" s="110" t="s">
        <v>404</v>
      </c>
      <c r="B219" s="111"/>
      <c r="C219" s="111"/>
      <c r="D219" s="111"/>
      <c r="E219" s="111"/>
      <c r="F219" s="111"/>
      <c r="G219" s="111"/>
      <c r="H219" s="112"/>
      <c r="I219" s="94">
        <v>6</v>
      </c>
      <c r="J219" s="36"/>
    </row>
    <row r="220" spans="1:20" s="37" customFormat="1" ht="15.75" customHeight="1" x14ac:dyDescent="0.3">
      <c r="A220" s="52">
        <v>1</v>
      </c>
      <c r="B220" s="87" t="s">
        <v>399</v>
      </c>
      <c r="C220" s="86" t="s">
        <v>396</v>
      </c>
      <c r="D220" s="92">
        <f>(56.18)*(10.764)</f>
        <v>604.72151999999994</v>
      </c>
      <c r="E220" s="92">
        <f>(2.75*1.2)*(10.764)</f>
        <v>35.521199999999993</v>
      </c>
      <c r="F220" s="87">
        <f>D220+E220</f>
        <v>640.24271999999996</v>
      </c>
      <c r="G220" s="52">
        <v>0</v>
      </c>
      <c r="H220" s="52">
        <f>F220*(($H$158)+1)+(IF(G220&lt;101,G220,IF(G220&lt;201,G220/2,IF(G220&lt;=301,G220/3,G220/4))))</f>
        <v>960.36407999999994</v>
      </c>
      <c r="I220" s="90">
        <f>4.9*2.75+3.35*2.05+2.3*1.2+3.4*2.05+1.38*2.25+4.4*2.75+1.38*2.25+3.5*0.9</f>
        <v>51.532499999999992</v>
      </c>
      <c r="L220" s="109"/>
      <c r="M220" s="109"/>
      <c r="N220" s="36"/>
    </row>
    <row r="221" spans="1:20" s="37" customFormat="1" ht="15.75" customHeight="1" x14ac:dyDescent="0.3">
      <c r="A221" s="52">
        <v>2</v>
      </c>
      <c r="B221" s="87" t="s">
        <v>399</v>
      </c>
      <c r="C221" s="86" t="s">
        <v>377</v>
      </c>
      <c r="D221" s="92">
        <f>(40.19)*(10.764)</f>
        <v>432.60515999999996</v>
      </c>
      <c r="E221" s="92">
        <f>(2.75*1.2)*(10.764)</f>
        <v>35.521199999999993</v>
      </c>
      <c r="F221" s="87">
        <f>D221+E221</f>
        <v>468.12635999999998</v>
      </c>
      <c r="G221" s="52">
        <v>0</v>
      </c>
      <c r="H221" s="52">
        <f>F221*(($H$158)+1)+(IF(G221&lt;101,G221,IF(G221&lt;201,G221/2,IF(G221&lt;=301,G221/3,G221/4))))</f>
        <v>702.18953999999997</v>
      </c>
      <c r="I221" s="90">
        <f>4.82*2.75+2.5*2.05+3.55*2.79+2.2*1.3+0.7*1.34+0.7*0.73+2.2*1.3+2.5*0.9</f>
        <v>37.703500000000005</v>
      </c>
      <c r="L221" s="109"/>
      <c r="M221" s="109"/>
      <c r="N221" s="36"/>
    </row>
    <row r="222" spans="1:20" s="37" customFormat="1" ht="15.75" customHeight="1" x14ac:dyDescent="0.3">
      <c r="A222" s="52">
        <v>3</v>
      </c>
      <c r="B222" s="87" t="s">
        <v>399</v>
      </c>
      <c r="C222" s="86" t="s">
        <v>377</v>
      </c>
      <c r="D222" s="92">
        <f>(39.87)*(10.764)</f>
        <v>429.16067999999996</v>
      </c>
      <c r="E222" s="87">
        <v>0</v>
      </c>
      <c r="F222" s="52">
        <f>D222+E222</f>
        <v>429.16067999999996</v>
      </c>
      <c r="G222" s="52">
        <v>0</v>
      </c>
      <c r="H222" s="52">
        <f>F222*(($H$158)+1)+(IF(G222&lt;101,G222,IF(G222&lt;201,G222/2,IF(G222&lt;=301,G222/3,G222/4))))</f>
        <v>643.74101999999993</v>
      </c>
      <c r="I222" s="90"/>
      <c r="L222" s="109"/>
      <c r="M222" s="109"/>
      <c r="N222" s="36"/>
    </row>
    <row r="223" spans="1:20" s="37" customFormat="1" ht="15.75" customHeight="1" x14ac:dyDescent="0.3">
      <c r="A223" s="52">
        <v>4</v>
      </c>
      <c r="B223" s="87" t="s">
        <v>399</v>
      </c>
      <c r="C223" s="86" t="s">
        <v>377</v>
      </c>
      <c r="D223" s="92">
        <f>(39.55)*(10.764)</f>
        <v>425.71619999999996</v>
      </c>
      <c r="E223" s="87">
        <v>0</v>
      </c>
      <c r="F223" s="52">
        <f>D223+E223</f>
        <v>425.71619999999996</v>
      </c>
      <c r="G223" s="52">
        <v>0</v>
      </c>
      <c r="H223" s="52">
        <f>F223*(($H$158)+1)+(IF(G223&lt;101,G223,IF(G223&lt;201,G223/2,IF(G223&lt;=301,G223/3,G223/4))))</f>
        <v>638.57429999999999</v>
      </c>
      <c r="I223" s="36"/>
      <c r="L223" s="109"/>
      <c r="M223" s="109"/>
      <c r="N223" s="36"/>
      <c r="T223" s="21"/>
    </row>
    <row r="224" spans="1:20" s="37" customFormat="1" x14ac:dyDescent="0.3">
      <c r="A224" s="110" t="s">
        <v>410</v>
      </c>
      <c r="B224" s="111"/>
      <c r="C224" s="111"/>
      <c r="D224" s="111"/>
      <c r="E224" s="111"/>
      <c r="F224" s="111"/>
      <c r="G224" s="111"/>
      <c r="H224" s="112"/>
      <c r="I224" s="94">
        <v>1</v>
      </c>
      <c r="J224" s="36"/>
    </row>
    <row r="225" spans="1:20" s="37" customFormat="1" ht="15.75" customHeight="1" x14ac:dyDescent="0.3">
      <c r="A225" s="52">
        <v>1</v>
      </c>
      <c r="B225" s="87" t="s">
        <v>400</v>
      </c>
      <c r="C225" s="86" t="s">
        <v>396</v>
      </c>
      <c r="D225" s="92">
        <f>(56.18)*(10.764)</f>
        <v>604.72151999999994</v>
      </c>
      <c r="E225" s="92">
        <f>(2.75*1.2)*(10.764)</f>
        <v>35.521199999999993</v>
      </c>
      <c r="F225" s="87">
        <f>D225+E225</f>
        <v>640.24271999999996</v>
      </c>
      <c r="G225" s="52">
        <v>0</v>
      </c>
      <c r="H225" s="52">
        <f>F225*(($H$158)+1)+(IF(G225&lt;101,G225,IF(G225&lt;201,G225/2,IF(G225&lt;=301,G225/3,G225/4))))</f>
        <v>960.36407999999994</v>
      </c>
      <c r="I225" s="90">
        <f>4.9*2.75+3.35*2.05+2.3*1.2+3.4*2.05+1.38*2.25+4.4*2.75+1.38*2.25+3.5*0.9</f>
        <v>51.532499999999992</v>
      </c>
      <c r="L225" s="109"/>
      <c r="M225" s="109"/>
      <c r="N225" s="36"/>
    </row>
    <row r="226" spans="1:20" s="37" customFormat="1" ht="15.75" customHeight="1" x14ac:dyDescent="0.3">
      <c r="A226" s="52">
        <v>2</v>
      </c>
      <c r="B226" s="87" t="s">
        <v>402</v>
      </c>
      <c r="C226" s="113" t="s">
        <v>401</v>
      </c>
      <c r="D226" s="114"/>
      <c r="E226" s="114"/>
      <c r="F226" s="114"/>
      <c r="G226" s="114"/>
      <c r="H226" s="115"/>
      <c r="I226" s="90"/>
      <c r="L226" s="109"/>
      <c r="M226" s="109"/>
      <c r="N226" s="36"/>
    </row>
    <row r="227" spans="1:20" s="37" customFormat="1" ht="15.75" customHeight="1" x14ac:dyDescent="0.3">
      <c r="A227" s="52">
        <v>3</v>
      </c>
      <c r="B227" s="87" t="s">
        <v>400</v>
      </c>
      <c r="C227" s="86" t="s">
        <v>377</v>
      </c>
      <c r="D227" s="92">
        <f>(39.87)*(10.764)</f>
        <v>429.16067999999996</v>
      </c>
      <c r="E227" s="87">
        <v>0</v>
      </c>
      <c r="F227" s="52">
        <f>D227+E227</f>
        <v>429.16067999999996</v>
      </c>
      <c r="G227" s="52">
        <v>0</v>
      </c>
      <c r="H227" s="52">
        <f>F227*(($H$158)+1)+(IF(G227&lt;101,G227,IF(G227&lt;201,G227/2,IF(G227&lt;=301,G227/3,G227/4))))</f>
        <v>643.74101999999993</v>
      </c>
      <c r="I227" s="90"/>
      <c r="J227" s="94"/>
      <c r="L227" s="109"/>
      <c r="M227" s="109"/>
      <c r="N227" s="36"/>
    </row>
    <row r="228" spans="1:20" s="37" customFormat="1" ht="15.75" customHeight="1" x14ac:dyDescent="0.3">
      <c r="A228" s="52">
        <v>4</v>
      </c>
      <c r="B228" s="87" t="s">
        <v>399</v>
      </c>
      <c r="C228" s="86" t="s">
        <v>377</v>
      </c>
      <c r="D228" s="92">
        <f>(39.55)*(10.764)</f>
        <v>425.71619999999996</v>
      </c>
      <c r="E228" s="87">
        <v>0</v>
      </c>
      <c r="F228" s="52">
        <f>D228+E228</f>
        <v>425.71619999999996</v>
      </c>
      <c r="G228" s="52">
        <v>0</v>
      </c>
      <c r="H228" s="52">
        <f>F228*(($H$158)+1)+(IF(G228&lt;101,G228,IF(G228&lt;201,G228/2,IF(G228&lt;=301,G228/3,G228/4))))</f>
        <v>638.57429999999999</v>
      </c>
      <c r="I228" s="36"/>
      <c r="L228" s="109"/>
      <c r="M228" s="109"/>
      <c r="N228" s="36"/>
      <c r="T228" s="21"/>
    </row>
    <row r="229" spans="1:20" s="37" customFormat="1" x14ac:dyDescent="0.3">
      <c r="A229" s="110" t="s">
        <v>406</v>
      </c>
      <c r="B229" s="111"/>
      <c r="C229" s="111"/>
      <c r="D229" s="111"/>
      <c r="E229" s="111"/>
      <c r="F229" s="111"/>
      <c r="G229" s="111"/>
      <c r="H229" s="112"/>
      <c r="I229" s="94">
        <v>3</v>
      </c>
      <c r="J229" s="36"/>
    </row>
    <row r="230" spans="1:20" s="37" customFormat="1" ht="15.75" customHeight="1" x14ac:dyDescent="0.3">
      <c r="A230" s="52">
        <v>1</v>
      </c>
      <c r="B230" s="87" t="s">
        <v>400</v>
      </c>
      <c r="C230" s="86" t="s">
        <v>396</v>
      </c>
      <c r="D230" s="92">
        <f>(56.18)*(10.764)</f>
        <v>604.72151999999994</v>
      </c>
      <c r="E230" s="92">
        <f>(2.75*1.2)*(10.764)</f>
        <v>35.521199999999993</v>
      </c>
      <c r="F230" s="87">
        <f>D230+E230</f>
        <v>640.24271999999996</v>
      </c>
      <c r="G230" s="52">
        <v>0</v>
      </c>
      <c r="H230" s="52">
        <f>F230*(($H$158)+1)+(IF(G230&lt;101,G230,IF(G230&lt;201,G230/2,IF(G230&lt;=301,G230/3,G230/4))))</f>
        <v>960.36407999999994</v>
      </c>
      <c r="I230" s="90">
        <f>4.9*2.75+3.35*2.05+2.3*1.2+3.4*2.05+1.38*2.25+4.4*2.75+1.38*2.25+3.5*0.9</f>
        <v>51.532499999999992</v>
      </c>
      <c r="J230" s="37">
        <f>105+67+69</f>
        <v>241</v>
      </c>
      <c r="L230" s="109"/>
      <c r="M230" s="109"/>
      <c r="N230" s="36"/>
    </row>
    <row r="231" spans="1:20" s="37" customFormat="1" ht="15.75" customHeight="1" x14ac:dyDescent="0.3">
      <c r="A231" s="52">
        <v>2</v>
      </c>
      <c r="B231" s="87" t="s">
        <v>400</v>
      </c>
      <c r="C231" s="86" t="s">
        <v>377</v>
      </c>
      <c r="D231" s="92">
        <f>(40.19)*(10.764)</f>
        <v>432.60515999999996</v>
      </c>
      <c r="E231" s="92">
        <f>(2.75*1.2)*(10.764)</f>
        <v>35.521199999999993</v>
      </c>
      <c r="F231" s="87">
        <f>D231+E231</f>
        <v>468.12635999999998</v>
      </c>
      <c r="G231" s="52">
        <v>0</v>
      </c>
      <c r="H231" s="52">
        <f>F231*(($H$158)+1)+(IF(G231&lt;101,G231,IF(G231&lt;201,G231/2,IF(G231&lt;=301,G231/3,G231/4))))</f>
        <v>702.18953999999997</v>
      </c>
      <c r="I231" s="90">
        <f>4.82*2.75+2.5*2.05+3.55*2.79+2.2*1.3+0.7*1.34+0.7*0.73+2.2*1.3+2.5*0.9</f>
        <v>37.703500000000005</v>
      </c>
      <c r="J231" s="93"/>
      <c r="L231" s="109"/>
      <c r="M231" s="109"/>
      <c r="N231" s="36"/>
    </row>
    <row r="232" spans="1:20" s="37" customFormat="1" ht="15.75" customHeight="1" x14ac:dyDescent="0.3">
      <c r="A232" s="52">
        <v>3</v>
      </c>
      <c r="B232" s="87" t="s">
        <v>399</v>
      </c>
      <c r="C232" s="86" t="s">
        <v>377</v>
      </c>
      <c r="D232" s="92">
        <f>(39.87)*(10.764)</f>
        <v>429.16067999999996</v>
      </c>
      <c r="E232" s="87">
        <v>0</v>
      </c>
      <c r="F232" s="52">
        <f>D232+E232</f>
        <v>429.16067999999996</v>
      </c>
      <c r="G232" s="52">
        <v>0</v>
      </c>
      <c r="H232" s="52">
        <f>F232*(($H$158)+1)+(IF(G232&lt;101,G232,IF(G232&lt;201,G232/2,IF(G232&lt;=301,G232/3,G232/4))))</f>
        <v>643.74101999999993</v>
      </c>
      <c r="I232" s="90"/>
      <c r="L232" s="109"/>
      <c r="M232" s="109"/>
      <c r="N232" s="36"/>
    </row>
    <row r="233" spans="1:20" s="37" customFormat="1" ht="15.75" customHeight="1" x14ac:dyDescent="0.3">
      <c r="A233" s="52">
        <v>4</v>
      </c>
      <c r="B233" s="87" t="s">
        <v>399</v>
      </c>
      <c r="C233" s="86" t="s">
        <v>377</v>
      </c>
      <c r="D233" s="92">
        <f>(39.55)*(10.764)</f>
        <v>425.71619999999996</v>
      </c>
      <c r="E233" s="87">
        <v>0</v>
      </c>
      <c r="F233" s="52">
        <f>D233+E233</f>
        <v>425.71619999999996</v>
      </c>
      <c r="G233" s="52">
        <v>0</v>
      </c>
      <c r="H233" s="52">
        <f>F233*(($H$158)+1)+(IF(G233&lt;101,G233,IF(G233&lt;201,G233/2,IF(G233&lt;=301,G233/3,G233/4))))</f>
        <v>638.57429999999999</v>
      </c>
      <c r="I233" s="36"/>
      <c r="J233" s="37">
        <f>3+24+3+24+3+12</f>
        <v>69</v>
      </c>
      <c r="L233" s="109"/>
      <c r="M233" s="109"/>
      <c r="N233" s="36"/>
      <c r="T233" s="21"/>
    </row>
    <row r="234" spans="1:20" s="37" customFormat="1" x14ac:dyDescent="0.3">
      <c r="A234" s="126" t="s">
        <v>411</v>
      </c>
      <c r="B234" s="127"/>
      <c r="C234" s="127"/>
      <c r="D234" s="127"/>
      <c r="E234" s="127"/>
      <c r="F234" s="127"/>
      <c r="G234" s="127"/>
      <c r="H234" s="128"/>
      <c r="J234" s="36"/>
    </row>
    <row r="235" spans="1:20" s="37" customFormat="1" x14ac:dyDescent="0.3">
      <c r="A235" s="110" t="s">
        <v>412</v>
      </c>
      <c r="B235" s="111"/>
      <c r="C235" s="111"/>
      <c r="D235" s="111"/>
      <c r="E235" s="111"/>
      <c r="F235" s="111"/>
      <c r="G235" s="111"/>
      <c r="H235" s="112"/>
      <c r="J235" s="36"/>
    </row>
    <row r="236" spans="1:20" s="37" customFormat="1" x14ac:dyDescent="0.3">
      <c r="A236" s="110" t="s">
        <v>414</v>
      </c>
      <c r="B236" s="111"/>
      <c r="C236" s="111"/>
      <c r="D236" s="111"/>
      <c r="E236" s="111"/>
      <c r="F236" s="111"/>
      <c r="G236" s="111"/>
      <c r="H236" s="112"/>
      <c r="I236" s="94">
        <v>1</v>
      </c>
      <c r="J236" s="36"/>
    </row>
    <row r="237" spans="1:20" s="37" customFormat="1" ht="15.75" customHeight="1" x14ac:dyDescent="0.3">
      <c r="A237" s="52">
        <v>1</v>
      </c>
      <c r="B237" s="87" t="s">
        <v>399</v>
      </c>
      <c r="C237" s="86" t="s">
        <v>396</v>
      </c>
      <c r="D237" s="92">
        <f>(51.07)*(10.764)</f>
        <v>549.71748000000002</v>
      </c>
      <c r="E237" s="92">
        <f>(2.75*1.2)*(10.764)</f>
        <v>35.521199999999993</v>
      </c>
      <c r="F237" s="87">
        <f>D237+E237</f>
        <v>585.23868000000004</v>
      </c>
      <c r="G237" s="52">
        <v>0</v>
      </c>
      <c r="H237" s="52">
        <f>F237*(($H$158)+1)+(IF(G237&lt;101,G237,IF(G237&lt;201,G237/2,IF(G237&lt;=301,G237/3,G237/4))))</f>
        <v>877.85802000000012</v>
      </c>
      <c r="I237" s="90">
        <f>4.58*2.75+3.1*2.1+2.75*3.12+2.85*4.05+1.25*2.2+2.145*1.25+2.5*0.9+1.8*0.9</f>
        <v>48.528750000000002</v>
      </c>
      <c r="L237" s="109"/>
      <c r="M237" s="109"/>
      <c r="N237" s="36"/>
    </row>
    <row r="238" spans="1:20" s="37" customFormat="1" ht="15.75" customHeight="1" x14ac:dyDescent="0.3">
      <c r="A238" s="52">
        <v>2</v>
      </c>
      <c r="B238" s="87" t="s">
        <v>400</v>
      </c>
      <c r="C238" s="86" t="s">
        <v>396</v>
      </c>
      <c r="D238" s="92">
        <f>(49.14)*(10.764)</f>
        <v>528.94295999999997</v>
      </c>
      <c r="E238" s="92">
        <f>(2.75*1.2)*(10.764)</f>
        <v>35.521199999999993</v>
      </c>
      <c r="F238" s="87">
        <f>D238+E238</f>
        <v>564.46415999999999</v>
      </c>
      <c r="G238" s="52">
        <v>0</v>
      </c>
      <c r="H238" s="52">
        <f>F238*(($H$158)+1)+(IF(G238&lt;101,G238,IF(G238&lt;201,G238/2,IF(G238&lt;=301,G238/3,G238/4))))</f>
        <v>846.69623999999999</v>
      </c>
      <c r="I238" s="90"/>
      <c r="L238" s="109"/>
      <c r="M238" s="109"/>
      <c r="N238" s="36"/>
    </row>
    <row r="239" spans="1:20" s="37" customFormat="1" ht="15.75" customHeight="1" x14ac:dyDescent="0.3">
      <c r="A239" s="52">
        <v>3</v>
      </c>
      <c r="B239" s="87" t="s">
        <v>402</v>
      </c>
      <c r="C239" s="113" t="s">
        <v>413</v>
      </c>
      <c r="D239" s="114"/>
      <c r="E239" s="114"/>
      <c r="F239" s="114"/>
      <c r="G239" s="114"/>
      <c r="H239" s="115"/>
      <c r="I239" s="90"/>
      <c r="L239" s="109"/>
      <c r="M239" s="109"/>
      <c r="N239" s="36"/>
    </row>
    <row r="240" spans="1:20" s="37" customFormat="1" ht="15.75" customHeight="1" x14ac:dyDescent="0.3">
      <c r="A240" s="52">
        <v>4</v>
      </c>
      <c r="B240" s="87" t="s">
        <v>399</v>
      </c>
      <c r="C240" s="86" t="s">
        <v>377</v>
      </c>
      <c r="D240" s="92">
        <f>40.02*(10.764)</f>
        <v>430.77528000000001</v>
      </c>
      <c r="E240" s="87">
        <v>0</v>
      </c>
      <c r="F240" s="52">
        <f>D240+E240</f>
        <v>430.77528000000001</v>
      </c>
      <c r="G240" s="52">
        <v>0</v>
      </c>
      <c r="H240" s="52">
        <f>F240*(($H$158)+1)+(IF(G240&lt;101,G240,IF(G240&lt;201,G240/2,IF(G240&lt;=301,G240/3,G240/4))))</f>
        <v>646.16291999999999</v>
      </c>
      <c r="I240" s="90">
        <f>5.43*2.79+2.1*2.05+3.15*2.83+2.25*1.35+0.75*1.33+0.75*0.65+2.1*1.3+2.4*0.9</f>
        <v>37.781700000000001</v>
      </c>
      <c r="L240" s="109"/>
      <c r="M240" s="109"/>
      <c r="N240" s="36"/>
      <c r="T240" s="21"/>
    </row>
    <row r="241" spans="1:20" s="37" customFormat="1" x14ac:dyDescent="0.3">
      <c r="A241" s="110" t="s">
        <v>398</v>
      </c>
      <c r="B241" s="111"/>
      <c r="C241" s="111"/>
      <c r="D241" s="111"/>
      <c r="E241" s="111"/>
      <c r="F241" s="111"/>
      <c r="G241" s="111"/>
      <c r="H241" s="112"/>
      <c r="I241" s="94">
        <v>6</v>
      </c>
      <c r="J241" s="36"/>
    </row>
    <row r="242" spans="1:20" s="37" customFormat="1" ht="15.75" customHeight="1" x14ac:dyDescent="0.3">
      <c r="A242" s="52">
        <v>1</v>
      </c>
      <c r="B242" s="87" t="s">
        <v>399</v>
      </c>
      <c r="C242" s="86" t="s">
        <v>396</v>
      </c>
      <c r="D242" s="92">
        <f>(51.07)*(10.764)</f>
        <v>549.71748000000002</v>
      </c>
      <c r="E242" s="92">
        <f>(2.75*1.2)*(10.764)</f>
        <v>35.521199999999993</v>
      </c>
      <c r="F242" s="87">
        <f>D242+E242</f>
        <v>585.23868000000004</v>
      </c>
      <c r="G242" s="52">
        <v>0</v>
      </c>
      <c r="H242" s="52">
        <f>F242*(($H$158)+1)+(IF(G242&lt;101,G242,IF(G242&lt;201,G242/2,IF(G242&lt;=301,G242/3,G242/4))))</f>
        <v>877.85802000000012</v>
      </c>
      <c r="I242" s="90">
        <f>4.58*2.75+3.1*2.1+2.75*3.12+2.85*4.05+1.25*2.2+2.145*1.25+2.5*0.9+1.8*0.9</f>
        <v>48.528750000000002</v>
      </c>
      <c r="L242" s="109"/>
      <c r="M242" s="109"/>
      <c r="N242" s="36"/>
    </row>
    <row r="243" spans="1:20" s="37" customFormat="1" ht="15.75" customHeight="1" x14ac:dyDescent="0.3">
      <c r="A243" s="52">
        <v>2</v>
      </c>
      <c r="B243" s="87" t="s">
        <v>399</v>
      </c>
      <c r="C243" s="86" t="s">
        <v>396</v>
      </c>
      <c r="D243" s="92">
        <f>(49.14)*(10.764)</f>
        <v>528.94295999999997</v>
      </c>
      <c r="E243" s="92">
        <f>(2.75*1.2)*(10.764)</f>
        <v>35.521199999999993</v>
      </c>
      <c r="F243" s="87">
        <f>D243+E243</f>
        <v>564.46415999999999</v>
      </c>
      <c r="G243" s="52">
        <v>0</v>
      </c>
      <c r="H243" s="52">
        <f>F243*(($H$158)+1)+(IF(G243&lt;101,G243,IF(G243&lt;201,G243/2,IF(G243&lt;=301,G243/3,G243/4))))</f>
        <v>846.69623999999999</v>
      </c>
      <c r="I243" s="90"/>
      <c r="L243" s="109"/>
      <c r="M243" s="109"/>
      <c r="N243" s="36"/>
    </row>
    <row r="244" spans="1:20" s="37" customFormat="1" ht="15.75" customHeight="1" x14ac:dyDescent="0.3">
      <c r="A244" s="52">
        <v>3</v>
      </c>
      <c r="B244" s="87" t="s">
        <v>399</v>
      </c>
      <c r="C244" s="86" t="s">
        <v>377</v>
      </c>
      <c r="D244" s="92">
        <f>(39.61)*(10.764)</f>
        <v>426.36203999999998</v>
      </c>
      <c r="E244" s="87">
        <v>0</v>
      </c>
      <c r="F244" s="52">
        <f>D244+E244</f>
        <v>426.36203999999998</v>
      </c>
      <c r="G244" s="52">
        <v>0</v>
      </c>
      <c r="H244" s="52">
        <f>F244*(($H$158)+1)+(IF(G244&lt;101,G244,IF(G244&lt;201,G244/2,IF(G244&lt;=301,G244/3,G244/4))))</f>
        <v>639.54305999999997</v>
      </c>
      <c r="I244" s="90"/>
      <c r="L244" s="109"/>
      <c r="M244" s="109"/>
      <c r="N244" s="36"/>
    </row>
    <row r="245" spans="1:20" s="37" customFormat="1" ht="15.75" customHeight="1" x14ac:dyDescent="0.3">
      <c r="A245" s="52">
        <v>4</v>
      </c>
      <c r="B245" s="87" t="s">
        <v>399</v>
      </c>
      <c r="C245" s="86" t="s">
        <v>377</v>
      </c>
      <c r="D245" s="92">
        <f>40.02*(10.764)</f>
        <v>430.77528000000001</v>
      </c>
      <c r="E245" s="87">
        <v>0</v>
      </c>
      <c r="F245" s="52">
        <f>D245+E245</f>
        <v>430.77528000000001</v>
      </c>
      <c r="G245" s="52">
        <v>0</v>
      </c>
      <c r="H245" s="52">
        <f>F245*(($H$158)+1)+(IF(G245&lt;101,G245,IF(G245&lt;201,G245/2,IF(G245&lt;=301,G245/3,G245/4))))</f>
        <v>646.16291999999999</v>
      </c>
      <c r="I245" s="90">
        <f>5.43*2.79+2.1*2.05+3.15*2.83+2.25*1.35+0.75*1.33+0.75*0.65+2.1*1.3+2.4*0.9</f>
        <v>37.781700000000001</v>
      </c>
      <c r="L245" s="109"/>
      <c r="M245" s="109"/>
      <c r="N245" s="36"/>
      <c r="T245" s="21"/>
    </row>
    <row r="246" spans="1:20" s="37" customFormat="1" x14ac:dyDescent="0.3">
      <c r="A246" s="110" t="s">
        <v>403</v>
      </c>
      <c r="B246" s="111"/>
      <c r="C246" s="111"/>
      <c r="D246" s="111"/>
      <c r="E246" s="111"/>
      <c r="F246" s="111"/>
      <c r="G246" s="111"/>
      <c r="H246" s="112"/>
      <c r="I246" s="94">
        <v>1</v>
      </c>
      <c r="J246" s="36"/>
    </row>
    <row r="247" spans="1:20" s="37" customFormat="1" ht="15.75" customHeight="1" x14ac:dyDescent="0.3">
      <c r="A247" s="52">
        <v>1</v>
      </c>
      <c r="B247" s="87" t="s">
        <v>400</v>
      </c>
      <c r="C247" s="86" t="s">
        <v>396</v>
      </c>
      <c r="D247" s="92">
        <f>(51.07)*(10.764)</f>
        <v>549.71748000000002</v>
      </c>
      <c r="E247" s="92">
        <f>((2.75*1.2)*(10.764))*(10.764)</f>
        <v>382.35019679999988</v>
      </c>
      <c r="F247" s="87">
        <f>D247+E247</f>
        <v>932.06767679999984</v>
      </c>
      <c r="G247" s="52">
        <v>0</v>
      </c>
      <c r="H247" s="52">
        <f>F247*(($H$158)+1)+(IF(G247&lt;101,G247,IF(G247&lt;201,G247/2,IF(G247&lt;=301,G247/3,G247/4))))</f>
        <v>1398.1015151999998</v>
      </c>
      <c r="I247" s="90">
        <f>4.58*2.75+3.1*2.1+2.75*3.12+2.85*4.05+1.25*2.2+2.145*1.25+2.5*0.9+1.8*0.9</f>
        <v>48.528750000000002</v>
      </c>
      <c r="L247" s="109"/>
      <c r="M247" s="109"/>
      <c r="N247" s="36"/>
    </row>
    <row r="248" spans="1:20" s="37" customFormat="1" ht="15.75" customHeight="1" x14ac:dyDescent="0.3">
      <c r="A248" s="52">
        <v>2</v>
      </c>
      <c r="B248" s="87" t="s">
        <v>402</v>
      </c>
      <c r="C248" s="113" t="s">
        <v>401</v>
      </c>
      <c r="D248" s="114"/>
      <c r="E248" s="114"/>
      <c r="F248" s="114"/>
      <c r="G248" s="114"/>
      <c r="H248" s="115"/>
      <c r="I248" s="90"/>
      <c r="L248" s="109"/>
      <c r="M248" s="109"/>
      <c r="N248" s="36"/>
    </row>
    <row r="249" spans="1:20" s="37" customFormat="1" ht="15.75" customHeight="1" x14ac:dyDescent="0.3">
      <c r="A249" s="52">
        <v>3</v>
      </c>
      <c r="B249" s="87" t="s">
        <v>399</v>
      </c>
      <c r="C249" s="86" t="s">
        <v>377</v>
      </c>
      <c r="D249" s="92">
        <f>(39.61)*(10.764)</f>
        <v>426.36203999999998</v>
      </c>
      <c r="E249" s="87">
        <v>0</v>
      </c>
      <c r="F249" s="52">
        <f>D249+E249</f>
        <v>426.36203999999998</v>
      </c>
      <c r="G249" s="52">
        <v>0</v>
      </c>
      <c r="H249" s="52">
        <f>F249*(($H$158)+1)+(IF(G249&lt;101,G249,IF(G249&lt;201,G249/2,IF(G249&lt;=301,G249/3,G249/4))))</f>
        <v>639.54305999999997</v>
      </c>
      <c r="I249" s="90"/>
      <c r="L249" s="109"/>
      <c r="M249" s="109"/>
      <c r="N249" s="36"/>
    </row>
    <row r="250" spans="1:20" s="37" customFormat="1" ht="15.75" customHeight="1" x14ac:dyDescent="0.3">
      <c r="A250" s="52">
        <v>4</v>
      </c>
      <c r="B250" s="87" t="s">
        <v>399</v>
      </c>
      <c r="C250" s="86" t="s">
        <v>377</v>
      </c>
      <c r="D250" s="92">
        <f>40.02*(10.764)</f>
        <v>430.77528000000001</v>
      </c>
      <c r="E250" s="87">
        <v>0</v>
      </c>
      <c r="F250" s="52">
        <f>D250+E250</f>
        <v>430.77528000000001</v>
      </c>
      <c r="G250" s="52">
        <v>0</v>
      </c>
      <c r="H250" s="52">
        <f>F250*(($H$158)+1)+(IF(G250&lt;101,G250,IF(G250&lt;201,G250/2,IF(G250&lt;=301,G250/3,G250/4))))</f>
        <v>646.16291999999999</v>
      </c>
      <c r="I250" s="90">
        <f>5.43*2.79+2.1*2.05+3.15*2.83+2.25*1.35+0.75*1.33+0.75*0.65+2.1*1.3+2.4*0.9</f>
        <v>37.781700000000001</v>
      </c>
      <c r="L250" s="109"/>
      <c r="M250" s="109"/>
      <c r="N250" s="36"/>
      <c r="T250" s="21"/>
    </row>
    <row r="251" spans="1:20" s="37" customFormat="1" x14ac:dyDescent="0.3">
      <c r="A251" s="129" t="s">
        <v>404</v>
      </c>
      <c r="B251" s="129"/>
      <c r="C251" s="129"/>
      <c r="D251" s="129"/>
      <c r="E251" s="129"/>
      <c r="F251" s="129"/>
      <c r="G251" s="129"/>
      <c r="H251" s="129"/>
      <c r="I251" s="94">
        <v>6</v>
      </c>
      <c r="J251" s="36"/>
    </row>
    <row r="252" spans="1:20" s="37" customFormat="1" ht="15.75" customHeight="1" x14ac:dyDescent="0.3">
      <c r="A252" s="52">
        <v>1</v>
      </c>
      <c r="B252" s="52" t="s">
        <v>399</v>
      </c>
      <c r="C252" s="52" t="s">
        <v>396</v>
      </c>
      <c r="D252" s="92">
        <f>(51.07)*(10.764)</f>
        <v>549.71748000000002</v>
      </c>
      <c r="E252" s="92">
        <f>(2.75*1.2)*(10.764)</f>
        <v>35.521199999999993</v>
      </c>
      <c r="F252" s="52">
        <f>D252+E252</f>
        <v>585.23868000000004</v>
      </c>
      <c r="G252" s="52">
        <v>0</v>
      </c>
      <c r="H252" s="52">
        <f>F252*(($H$158)+1)+(IF(G252&lt;101,G252,IF(G252&lt;201,G252/2,IF(G252&lt;=301,G252/3,G252/4))))</f>
        <v>877.85802000000012</v>
      </c>
      <c r="I252" s="90">
        <f>4.58*2.75+3.1*2.1+2.75*3.12+2.85*4.05+1.25*2.2+2.145*1.25+2.5*0.9+1.8*0.9</f>
        <v>48.528750000000002</v>
      </c>
      <c r="L252" s="109"/>
      <c r="M252" s="109"/>
      <c r="N252" s="36"/>
    </row>
    <row r="253" spans="1:20" s="37" customFormat="1" ht="15.75" customHeight="1" x14ac:dyDescent="0.3">
      <c r="A253" s="52">
        <v>2</v>
      </c>
      <c r="B253" s="52" t="s">
        <v>399</v>
      </c>
      <c r="C253" s="52" t="s">
        <v>396</v>
      </c>
      <c r="D253" s="92">
        <f>(49.14)*(10.764)</f>
        <v>528.94295999999997</v>
      </c>
      <c r="E253" s="92">
        <f>(2.75*1.2)*(10.764)</f>
        <v>35.521199999999993</v>
      </c>
      <c r="F253" s="52">
        <f>D253+E253</f>
        <v>564.46415999999999</v>
      </c>
      <c r="G253" s="52">
        <v>0</v>
      </c>
      <c r="H253" s="52">
        <f>F253*(($H$158)+1)+(IF(G253&lt;101,G253,IF(G253&lt;201,G253/2,IF(G253&lt;=301,G253/3,G253/4))))</f>
        <v>846.69623999999999</v>
      </c>
      <c r="I253" s="90"/>
      <c r="L253" s="109"/>
      <c r="M253" s="109"/>
      <c r="N253" s="36"/>
    </row>
    <row r="254" spans="1:20" s="37" customFormat="1" ht="15.75" customHeight="1" x14ac:dyDescent="0.3">
      <c r="A254" s="52">
        <v>3</v>
      </c>
      <c r="B254" s="52" t="s">
        <v>399</v>
      </c>
      <c r="C254" s="52" t="s">
        <v>377</v>
      </c>
      <c r="D254" s="92">
        <f>(39.61)*(10.764)</f>
        <v>426.36203999999998</v>
      </c>
      <c r="E254" s="52">
        <v>0</v>
      </c>
      <c r="F254" s="52">
        <f>D254+E254</f>
        <v>426.36203999999998</v>
      </c>
      <c r="G254" s="52">
        <v>0</v>
      </c>
      <c r="H254" s="52">
        <f>F254*(($H$158)+1)+(IF(G254&lt;101,G254,IF(G254&lt;201,G254/2,IF(G254&lt;=301,G254/3,G254/4))))</f>
        <v>639.54305999999997</v>
      </c>
      <c r="I254" s="90"/>
      <c r="L254" s="109"/>
      <c r="M254" s="109"/>
      <c r="N254" s="36"/>
    </row>
    <row r="255" spans="1:20" s="37" customFormat="1" ht="15.75" customHeight="1" x14ac:dyDescent="0.3">
      <c r="A255" s="52">
        <v>4</v>
      </c>
      <c r="B255" s="52" t="s">
        <v>399</v>
      </c>
      <c r="C255" s="52" t="s">
        <v>377</v>
      </c>
      <c r="D255" s="92">
        <f>40.02*(10.764)</f>
        <v>430.77528000000001</v>
      </c>
      <c r="E255" s="52">
        <v>0</v>
      </c>
      <c r="F255" s="52">
        <f>D255+E255</f>
        <v>430.77528000000001</v>
      </c>
      <c r="G255" s="52">
        <v>0</v>
      </c>
      <c r="H255" s="52">
        <f>F255*(($H$158)+1)+(IF(G255&lt;101,G255,IF(G255&lt;201,G255/2,IF(G255&lt;=301,G255/3,G255/4))))</f>
        <v>646.16291999999999</v>
      </c>
      <c r="I255" s="90">
        <f>5.43*2.79+2.1*2.05+3.15*2.83+2.25*1.35+0.75*1.33+0.75*0.65+2.1*1.3+2.4*0.9</f>
        <v>37.781700000000001</v>
      </c>
      <c r="L255" s="109"/>
      <c r="M255" s="109"/>
      <c r="N255" s="36"/>
      <c r="T255" s="21"/>
    </row>
    <row r="256" spans="1:20" s="37" customFormat="1" x14ac:dyDescent="0.3">
      <c r="A256" s="129" t="s">
        <v>410</v>
      </c>
      <c r="B256" s="129"/>
      <c r="C256" s="129"/>
      <c r="D256" s="129"/>
      <c r="E256" s="129"/>
      <c r="F256" s="129"/>
      <c r="G256" s="129"/>
      <c r="H256" s="129"/>
      <c r="I256" s="94">
        <v>1</v>
      </c>
      <c r="J256" s="36"/>
    </row>
    <row r="257" spans="1:20" s="37" customFormat="1" ht="15.75" customHeight="1" x14ac:dyDescent="0.3">
      <c r="A257" s="52">
        <v>1</v>
      </c>
      <c r="B257" s="52" t="s">
        <v>400</v>
      </c>
      <c r="C257" s="52" t="s">
        <v>425</v>
      </c>
      <c r="D257" s="92">
        <f>(68.76)*(10.764)</f>
        <v>740.13264000000004</v>
      </c>
      <c r="E257" s="92">
        <f>(4.78*1.2)*(10.764)</f>
        <v>61.742303999999997</v>
      </c>
      <c r="F257" s="52">
        <f>D257+E257</f>
        <v>801.87494400000003</v>
      </c>
      <c r="G257" s="52">
        <v>0</v>
      </c>
      <c r="H257" s="52">
        <f>F257*(($H$158)+1)+(IF(G257&lt;101,G257,IF(G257&lt;201,G257/2,IF(G257&lt;=301,G257/3,G257/4))))</f>
        <v>1202.812416</v>
      </c>
      <c r="I257" s="90">
        <f>4.58*2.75+3.1*2.1+2.75*3.12+2.85*4.05+1.25*2.2+2.145*1.25+2.5*0.9+1.8*0.9</f>
        <v>48.528750000000002</v>
      </c>
      <c r="L257" s="109"/>
      <c r="M257" s="109"/>
      <c r="N257" s="36"/>
    </row>
    <row r="258" spans="1:20" s="37" customFormat="1" ht="15.75" customHeight="1" x14ac:dyDescent="0.3">
      <c r="A258" s="52">
        <v>2</v>
      </c>
      <c r="B258" s="87" t="s">
        <v>402</v>
      </c>
      <c r="C258" s="113" t="s">
        <v>401</v>
      </c>
      <c r="D258" s="114"/>
      <c r="E258" s="114"/>
      <c r="F258" s="114"/>
      <c r="G258" s="114"/>
      <c r="H258" s="115"/>
      <c r="I258" s="90"/>
      <c r="L258" s="109"/>
      <c r="M258" s="109"/>
      <c r="N258" s="36"/>
    </row>
    <row r="259" spans="1:20" s="37" customFormat="1" ht="15.75" customHeight="1" x14ac:dyDescent="0.3">
      <c r="A259" s="52">
        <v>3</v>
      </c>
      <c r="B259" s="87" t="s">
        <v>400</v>
      </c>
      <c r="C259" s="86" t="s">
        <v>377</v>
      </c>
      <c r="D259" s="92">
        <f>(39.61)*(10.764)</f>
        <v>426.36203999999998</v>
      </c>
      <c r="E259" s="87">
        <v>0</v>
      </c>
      <c r="F259" s="52">
        <f>D259+E259</f>
        <v>426.36203999999998</v>
      </c>
      <c r="G259" s="52">
        <v>0</v>
      </c>
      <c r="H259" s="52">
        <f>F259*(($H$158)+1)+(IF(G259&lt;101,G259,IF(G259&lt;201,G259/2,IF(G259&lt;=301,G259/3,G259/4))))</f>
        <v>639.54305999999997</v>
      </c>
      <c r="I259" s="90"/>
      <c r="L259" s="109"/>
      <c r="M259" s="109"/>
      <c r="N259" s="36"/>
    </row>
    <row r="260" spans="1:20" s="37" customFormat="1" ht="15.75" customHeight="1" x14ac:dyDescent="0.3">
      <c r="A260" s="52">
        <v>4</v>
      </c>
      <c r="B260" s="87" t="s">
        <v>399</v>
      </c>
      <c r="C260" s="86" t="s">
        <v>377</v>
      </c>
      <c r="D260" s="92">
        <f>40.02*(10.764)</f>
        <v>430.77528000000001</v>
      </c>
      <c r="E260" s="87">
        <v>0</v>
      </c>
      <c r="F260" s="52">
        <f>D260+E260</f>
        <v>430.77528000000001</v>
      </c>
      <c r="G260" s="52">
        <v>0</v>
      </c>
      <c r="H260" s="52">
        <f>F260*(($H$158)+1)+(IF(G260&lt;101,G260,IF(G260&lt;201,G260/2,IF(G260&lt;=301,G260/3,G260/4))))</f>
        <v>646.16291999999999</v>
      </c>
      <c r="I260" s="90">
        <f>5.43*2.79+2.1*2.05+3.15*2.83+2.25*1.35+0.75*1.33+0.75*0.65+2.1*1.3+2.4*0.9</f>
        <v>37.781700000000001</v>
      </c>
      <c r="L260" s="109"/>
      <c r="M260" s="109"/>
      <c r="N260" s="36"/>
      <c r="T260" s="21"/>
    </row>
    <row r="261" spans="1:20" s="37" customFormat="1" x14ac:dyDescent="0.3">
      <c r="A261" s="110" t="s">
        <v>406</v>
      </c>
      <c r="B261" s="111"/>
      <c r="C261" s="111"/>
      <c r="D261" s="111"/>
      <c r="E261" s="111"/>
      <c r="F261" s="111"/>
      <c r="G261" s="111"/>
      <c r="H261" s="112"/>
      <c r="I261" s="94">
        <v>3</v>
      </c>
      <c r="J261" s="36"/>
    </row>
    <row r="262" spans="1:20" s="37" customFormat="1" ht="15.75" customHeight="1" x14ac:dyDescent="0.3">
      <c r="A262" s="52">
        <v>1</v>
      </c>
      <c r="B262" s="87" t="s">
        <v>400</v>
      </c>
      <c r="C262" s="86" t="s">
        <v>396</v>
      </c>
      <c r="D262" s="92">
        <f>(51.07)*(10.764)</f>
        <v>549.71748000000002</v>
      </c>
      <c r="E262" s="92">
        <f>(2.75*1.2)*(10.764)</f>
        <v>35.521199999999993</v>
      </c>
      <c r="F262" s="87">
        <f>D262+E262</f>
        <v>585.23868000000004</v>
      </c>
      <c r="G262" s="52">
        <v>0</v>
      </c>
      <c r="H262" s="52">
        <f>F262*(($H$158)+1)+(IF(G262&lt;101,G262,IF(G262&lt;201,G262/2,IF(G262&lt;=301,G262/3,G262/4))))</f>
        <v>877.85802000000012</v>
      </c>
      <c r="I262" s="90">
        <f>4.58*2.75+3.1*2.1+2.75*3.12+2.85*4.05+1.25*2.2+2.145*1.25+2.5*0.9+1.8*0.9</f>
        <v>48.528750000000002</v>
      </c>
      <c r="J262" s="36">
        <f>10.764</f>
        <v>10.763999999999999</v>
      </c>
      <c r="L262" s="109"/>
      <c r="M262" s="109"/>
      <c r="N262" s="36"/>
    </row>
    <row r="263" spans="1:20" s="37" customFormat="1" ht="15.75" customHeight="1" x14ac:dyDescent="0.3">
      <c r="A263" s="52">
        <v>2</v>
      </c>
      <c r="B263" s="87" t="s">
        <v>399</v>
      </c>
      <c r="C263" s="86" t="s">
        <v>396</v>
      </c>
      <c r="D263" s="92">
        <f>(49.14)*(10.764)</f>
        <v>528.94295999999997</v>
      </c>
      <c r="E263" s="92">
        <f>(2.75*1.2)*(10.764)</f>
        <v>35.521199999999993</v>
      </c>
      <c r="F263" s="87">
        <f>D263+E263</f>
        <v>564.46415999999999</v>
      </c>
      <c r="G263" s="52">
        <v>0</v>
      </c>
      <c r="H263" s="52">
        <f>F263*(($H$158)+1)+(IF(G263&lt;101,G263,IF(G263&lt;201,G263/2,IF(G263&lt;=301,G263/3,G263/4))))</f>
        <v>846.69623999999999</v>
      </c>
      <c r="I263" s="90"/>
      <c r="L263" s="109"/>
      <c r="M263" s="109"/>
      <c r="N263" s="36"/>
    </row>
    <row r="264" spans="1:20" s="37" customFormat="1" ht="15.75" customHeight="1" x14ac:dyDescent="0.3">
      <c r="A264" s="52">
        <v>3</v>
      </c>
      <c r="B264" s="87" t="s">
        <v>400</v>
      </c>
      <c r="C264" s="86" t="s">
        <v>377</v>
      </c>
      <c r="D264" s="92">
        <f>(39.61)*(10.764)</f>
        <v>426.36203999999998</v>
      </c>
      <c r="E264" s="87">
        <v>0</v>
      </c>
      <c r="F264" s="52">
        <f>D264+E264</f>
        <v>426.36203999999998</v>
      </c>
      <c r="G264" s="52">
        <v>0</v>
      </c>
      <c r="H264" s="52">
        <f>F264*(($H$158)+1)+(IF(G264&lt;101,G264,IF(G264&lt;201,G264/2,IF(G264&lt;=301,G264/3,G264/4))))</f>
        <v>639.54305999999997</v>
      </c>
      <c r="I264" s="90"/>
      <c r="L264" s="109"/>
      <c r="M264" s="109"/>
      <c r="N264" s="36"/>
    </row>
    <row r="265" spans="1:20" s="37" customFormat="1" ht="15.75" customHeight="1" x14ac:dyDescent="0.3">
      <c r="A265" s="52">
        <v>4</v>
      </c>
      <c r="B265" s="87" t="s">
        <v>399</v>
      </c>
      <c r="C265" s="86" t="s">
        <v>377</v>
      </c>
      <c r="D265" s="92">
        <f>40.02*(10.764)</f>
        <v>430.77528000000001</v>
      </c>
      <c r="E265" s="87">
        <v>0</v>
      </c>
      <c r="F265" s="52">
        <f>D265+E265</f>
        <v>430.77528000000001</v>
      </c>
      <c r="G265" s="52">
        <v>0</v>
      </c>
      <c r="H265" s="52">
        <f>F265*(($H$158)+1)+(IF(G265&lt;101,G265,IF(G265&lt;201,G265/2,IF(G265&lt;=301,G265/3,G265/4))))</f>
        <v>646.16291999999999</v>
      </c>
      <c r="I265" s="90">
        <f>5.43*2.79+2.1*2.05+3.15*2.83+2.25*1.35+0.75*1.33+0.75*0.65+2.1*1.3+2.4*0.9</f>
        <v>37.781700000000001</v>
      </c>
      <c r="L265" s="109"/>
      <c r="M265" s="109"/>
      <c r="N265" s="36"/>
      <c r="T265" s="21"/>
    </row>
    <row r="266" spans="1:20" s="35" customFormat="1" x14ac:dyDescent="0.3">
      <c r="A266" s="280" t="s">
        <v>64</v>
      </c>
      <c r="B266" s="280"/>
      <c r="C266" s="280"/>
      <c r="D266" s="280"/>
      <c r="E266" s="280"/>
      <c r="F266" s="280"/>
      <c r="G266" s="280"/>
      <c r="H266" s="280"/>
      <c r="T266" s="37"/>
    </row>
    <row r="267" spans="1:20" s="35" customFormat="1" x14ac:dyDescent="0.3">
      <c r="A267" s="43" t="s">
        <v>146</v>
      </c>
      <c r="B267" s="120" t="s">
        <v>431</v>
      </c>
      <c r="C267" s="121"/>
      <c r="D267" s="121"/>
      <c r="E267" s="121"/>
      <c r="F267" s="121"/>
      <c r="G267" s="121"/>
      <c r="H267" s="122"/>
      <c r="T267" s="37"/>
    </row>
    <row r="268" spans="1:20" s="35" customFormat="1" x14ac:dyDescent="0.3">
      <c r="A268" s="43" t="s">
        <v>146</v>
      </c>
      <c r="B268" s="120" t="str">
        <f>(IF(H157="Saleable area Loading :","We have considered Saleable area of Flats as per our Calculation.","We considered Saleable area of Flat as per Builder area Sheet."))</f>
        <v>We have considered Saleable area of Flats as per our Calculation.</v>
      </c>
      <c r="C268" s="121"/>
      <c r="D268" s="121"/>
      <c r="E268" s="121"/>
      <c r="F268" s="121"/>
      <c r="G268" s="121"/>
      <c r="H268" s="122"/>
      <c r="T268" s="37"/>
    </row>
    <row r="269" spans="1:20" s="35" customFormat="1" x14ac:dyDescent="0.3">
      <c r="A269" s="43" t="s">
        <v>146</v>
      </c>
      <c r="B269" s="120" t="str">
        <f>(IF(H149="Saleable area Loading :","We have considered Saleable area of Commercial as per our Calculation.","We considered Saleable area of Commercial as per Builder area Sheet."))</f>
        <v>We have considered Saleable area of Commercial as per our Calculation.</v>
      </c>
      <c r="C269" s="121"/>
      <c r="D269" s="121"/>
      <c r="E269" s="121"/>
      <c r="F269" s="121"/>
      <c r="G269" s="121"/>
      <c r="H269" s="122"/>
      <c r="T269" s="37"/>
    </row>
    <row r="270" spans="1:20" s="35" customFormat="1" x14ac:dyDescent="0.3">
      <c r="A270" s="43" t="s">
        <v>146</v>
      </c>
      <c r="B270" s="123" t="s">
        <v>115</v>
      </c>
      <c r="C270" s="124"/>
      <c r="D270" s="124"/>
      <c r="E270" s="124"/>
      <c r="F270" s="124"/>
      <c r="G270" s="124"/>
      <c r="H270" s="125"/>
      <c r="T270" s="37"/>
    </row>
    <row r="271" spans="1:20" s="96" customFormat="1" x14ac:dyDescent="0.3">
      <c r="A271" s="95" t="s">
        <v>146</v>
      </c>
      <c r="B271" s="120" t="s">
        <v>427</v>
      </c>
      <c r="C271" s="121"/>
      <c r="D271" s="121"/>
      <c r="E271" s="121"/>
      <c r="F271" s="121"/>
      <c r="G271" s="121"/>
      <c r="H271" s="122"/>
      <c r="T271" s="97"/>
    </row>
    <row r="272" spans="1:20" s="35" customFormat="1" x14ac:dyDescent="0.3">
      <c r="A272" s="43" t="s">
        <v>146</v>
      </c>
      <c r="B272" s="123" t="s">
        <v>145</v>
      </c>
      <c r="C272" s="124"/>
      <c r="D272" s="124"/>
      <c r="E272" s="124"/>
      <c r="F272" s="124"/>
      <c r="G272" s="124"/>
      <c r="H272" s="125"/>
    </row>
    <row r="273" spans="1:20" s="35" customFormat="1" x14ac:dyDescent="0.3">
      <c r="A273" s="43" t="s">
        <v>146</v>
      </c>
      <c r="B273" s="123" t="s">
        <v>116</v>
      </c>
      <c r="C273" s="124"/>
      <c r="D273" s="124"/>
      <c r="E273" s="124"/>
      <c r="F273" s="124"/>
      <c r="G273" s="124"/>
      <c r="H273" s="125"/>
    </row>
    <row r="274" spans="1:20" s="35" customFormat="1" ht="34.5" customHeight="1" x14ac:dyDescent="0.3">
      <c r="A274" s="43" t="s">
        <v>146</v>
      </c>
      <c r="B274" s="123" t="s">
        <v>147</v>
      </c>
      <c r="C274" s="124"/>
      <c r="D274" s="124"/>
      <c r="E274" s="124"/>
      <c r="F274" s="124"/>
      <c r="G274" s="124"/>
      <c r="H274" s="125"/>
    </row>
    <row r="275" spans="1:20" s="35" customFormat="1" x14ac:dyDescent="0.3">
      <c r="A275" s="43" t="s">
        <v>146</v>
      </c>
      <c r="B275" s="123" t="s">
        <v>117</v>
      </c>
      <c r="C275" s="124"/>
      <c r="D275" s="124"/>
      <c r="E275" s="124"/>
      <c r="F275" s="124"/>
      <c r="G275" s="124"/>
      <c r="H275" s="125"/>
    </row>
    <row r="276" spans="1:20" s="35" customFormat="1" ht="32.25" hidden="1" customHeight="1" x14ac:dyDescent="0.3">
      <c r="A276" s="43" t="s">
        <v>146</v>
      </c>
      <c r="B276" s="170" t="s">
        <v>174</v>
      </c>
      <c r="C276" s="171"/>
      <c r="D276" s="171"/>
      <c r="E276" s="171"/>
      <c r="F276" s="171"/>
      <c r="G276" s="171"/>
      <c r="H276" s="172"/>
    </row>
    <row r="277" spans="1:20" s="35" customFormat="1" hidden="1" x14ac:dyDescent="0.3">
      <c r="A277" s="43" t="s">
        <v>146</v>
      </c>
      <c r="B277" s="170" t="s">
        <v>228</v>
      </c>
      <c r="C277" s="171"/>
      <c r="D277" s="171"/>
      <c r="E277" s="171"/>
      <c r="F277" s="171"/>
      <c r="G277" s="171"/>
      <c r="H277" s="172"/>
    </row>
    <row r="278" spans="1:20" s="35" customFormat="1" ht="33" hidden="1" customHeight="1" x14ac:dyDescent="0.3">
      <c r="A278" s="43" t="s">
        <v>146</v>
      </c>
      <c r="B278" s="123" t="s">
        <v>376</v>
      </c>
      <c r="C278" s="124"/>
      <c r="D278" s="124"/>
      <c r="E278" s="124"/>
      <c r="F278" s="124"/>
      <c r="G278" s="124"/>
      <c r="H278" s="125"/>
    </row>
    <row r="279" spans="1:20" s="35" customFormat="1" ht="33" customHeight="1" x14ac:dyDescent="0.3">
      <c r="A279" s="43" t="s">
        <v>146</v>
      </c>
      <c r="B279" s="123" t="s">
        <v>384</v>
      </c>
      <c r="C279" s="124"/>
      <c r="D279" s="124"/>
      <c r="E279" s="124"/>
      <c r="F279" s="124"/>
      <c r="G279" s="124"/>
      <c r="H279" s="125"/>
    </row>
    <row r="280" spans="1:20" s="35" customFormat="1" ht="33" customHeight="1" x14ac:dyDescent="0.3">
      <c r="A280" s="43" t="s">
        <v>418</v>
      </c>
      <c r="B280" s="123" t="s">
        <v>388</v>
      </c>
      <c r="C280" s="124"/>
      <c r="D280" s="124"/>
      <c r="E280" s="124"/>
      <c r="F280" s="124"/>
      <c r="G280" s="124"/>
      <c r="H280" s="125"/>
    </row>
    <row r="281" spans="1:20" s="96" customFormat="1" x14ac:dyDescent="0.3">
      <c r="A281" s="98" t="s">
        <v>146</v>
      </c>
      <c r="B281" s="120" t="s">
        <v>419</v>
      </c>
      <c r="C281" s="121"/>
      <c r="D281" s="121"/>
      <c r="E281" s="121"/>
      <c r="F281" s="121"/>
      <c r="G281" s="121"/>
      <c r="H281" s="122"/>
    </row>
    <row r="282" spans="1:20" s="96" customFormat="1" x14ac:dyDescent="0.3">
      <c r="A282" s="98" t="s">
        <v>146</v>
      </c>
      <c r="B282" s="120" t="s">
        <v>428</v>
      </c>
      <c r="C282" s="121"/>
      <c r="D282" s="121"/>
      <c r="E282" s="121"/>
      <c r="F282" s="121"/>
      <c r="G282" s="121"/>
      <c r="H282" s="122"/>
    </row>
    <row r="283" spans="1:20" s="96" customFormat="1" ht="33.75" customHeight="1" x14ac:dyDescent="0.3">
      <c r="A283" s="98" t="s">
        <v>146</v>
      </c>
      <c r="B283" s="120" t="s">
        <v>430</v>
      </c>
      <c r="C283" s="121"/>
      <c r="D283" s="121"/>
      <c r="E283" s="121"/>
      <c r="F283" s="121"/>
      <c r="G283" s="121"/>
      <c r="H283" s="122"/>
    </row>
    <row r="284" spans="1:20" x14ac:dyDescent="0.3">
      <c r="A284" s="235" t="s">
        <v>57</v>
      </c>
      <c r="B284" s="235"/>
      <c r="C284" s="235"/>
      <c r="D284" s="235"/>
      <c r="E284" s="235"/>
      <c r="F284" s="235"/>
      <c r="G284" s="235"/>
      <c r="H284" s="235"/>
      <c r="T284" s="35"/>
    </row>
    <row r="285" spans="1:20" x14ac:dyDescent="0.3">
      <c r="A285" s="173" t="s">
        <v>58</v>
      </c>
      <c r="B285" s="173"/>
      <c r="C285" s="173"/>
      <c r="D285" s="173"/>
      <c r="E285" s="173"/>
      <c r="F285" s="173"/>
      <c r="G285" s="173"/>
      <c r="H285" s="173"/>
      <c r="T285" s="35"/>
    </row>
    <row r="286" spans="1:20" ht="15.75" customHeight="1" x14ac:dyDescent="0.3">
      <c r="A286" s="261" t="s">
        <v>59</v>
      </c>
      <c r="B286" s="261"/>
      <c r="C286" s="261"/>
      <c r="D286" s="261"/>
      <c r="E286" s="261"/>
      <c r="F286" s="261"/>
      <c r="G286" s="261"/>
      <c r="H286" s="261"/>
      <c r="T286" s="35"/>
    </row>
    <row r="287" spans="1:20" x14ac:dyDescent="0.3">
      <c r="A287" s="173" t="s">
        <v>60</v>
      </c>
      <c r="B287" s="173"/>
      <c r="C287" s="173"/>
      <c r="D287" s="173"/>
      <c r="E287" s="173"/>
      <c r="F287" s="173"/>
      <c r="G287" s="173"/>
      <c r="H287" s="173"/>
      <c r="T287" s="35"/>
    </row>
    <row r="288" spans="1:20" x14ac:dyDescent="0.3">
      <c r="A288" s="173" t="s">
        <v>61</v>
      </c>
      <c r="B288" s="173"/>
      <c r="C288" s="173"/>
      <c r="D288" s="173"/>
      <c r="E288" s="173"/>
      <c r="F288" s="173"/>
      <c r="G288" s="173"/>
      <c r="H288" s="173"/>
      <c r="T288" s="35"/>
    </row>
    <row r="289" spans="1:20" hidden="1" x14ac:dyDescent="0.3">
      <c r="A289" s="173" t="s">
        <v>118</v>
      </c>
      <c r="B289" s="173"/>
      <c r="C289" s="173"/>
      <c r="D289" s="173"/>
      <c r="E289" s="173"/>
      <c r="F289" s="173"/>
      <c r="G289" s="173"/>
      <c r="H289" s="173"/>
      <c r="T289" s="35"/>
    </row>
    <row r="290" spans="1:20" ht="33.9" hidden="1" customHeight="1" x14ac:dyDescent="0.3">
      <c r="A290" s="236" t="s">
        <v>119</v>
      </c>
      <c r="B290" s="236"/>
      <c r="C290" s="236"/>
      <c r="D290" s="236"/>
      <c r="E290" s="236"/>
      <c r="F290" s="236"/>
      <c r="G290" s="236"/>
      <c r="H290" s="236"/>
    </row>
    <row r="291" spans="1:20" x14ac:dyDescent="0.3">
      <c r="A291" s="253" t="s">
        <v>72</v>
      </c>
      <c r="B291" s="253"/>
      <c r="C291" s="253" t="s">
        <v>433</v>
      </c>
      <c r="D291" s="253"/>
      <c r="E291" s="253" t="s">
        <v>102</v>
      </c>
      <c r="F291" s="253"/>
      <c r="G291" s="253" t="s">
        <v>432</v>
      </c>
      <c r="H291" s="253"/>
    </row>
    <row r="292" spans="1:20" x14ac:dyDescent="0.3">
      <c r="A292" s="252" t="s">
        <v>74</v>
      </c>
      <c r="B292" s="252"/>
      <c r="C292" s="252"/>
      <c r="D292" s="252"/>
      <c r="E292" s="252"/>
      <c r="F292" s="252"/>
      <c r="G292" s="252"/>
      <c r="H292" s="252"/>
    </row>
    <row r="293" spans="1:20" x14ac:dyDescent="0.3">
      <c r="A293" s="252"/>
      <c r="B293" s="252"/>
      <c r="C293" s="252"/>
      <c r="D293" s="252"/>
      <c r="E293" s="252"/>
      <c r="F293" s="252"/>
      <c r="G293" s="252"/>
      <c r="H293" s="252"/>
    </row>
    <row r="294" spans="1:20" x14ac:dyDescent="0.3">
      <c r="A294" s="252"/>
      <c r="B294" s="252"/>
      <c r="C294" s="252"/>
      <c r="D294" s="252"/>
      <c r="E294" s="252"/>
      <c r="F294" s="252"/>
      <c r="G294" s="252"/>
      <c r="H294" s="252"/>
    </row>
    <row r="295" spans="1:20" x14ac:dyDescent="0.3">
      <c r="A295" s="252"/>
      <c r="B295" s="252"/>
      <c r="C295" s="252"/>
      <c r="D295" s="252"/>
      <c r="E295" s="252"/>
      <c r="F295" s="252"/>
      <c r="G295" s="252"/>
      <c r="H295" s="252"/>
    </row>
    <row r="296" spans="1:20" x14ac:dyDescent="0.3">
      <c r="A296" s="38" t="s">
        <v>62</v>
      </c>
      <c r="B296" s="39"/>
      <c r="C296" s="39"/>
      <c r="D296" s="38" t="str">
        <f>E9</f>
        <v>Satra Nexus</v>
      </c>
      <c r="F296" s="39"/>
      <c r="G296" s="39"/>
      <c r="H296" s="39"/>
    </row>
    <row r="297" spans="1:20" x14ac:dyDescent="0.3">
      <c r="A297" s="39"/>
      <c r="B297" s="39"/>
      <c r="C297" s="39"/>
      <c r="D297" s="39"/>
      <c r="E297" s="39"/>
      <c r="F297" s="39"/>
      <c r="G297" s="39"/>
      <c r="H297" s="39"/>
    </row>
    <row r="298" spans="1:20" x14ac:dyDescent="0.3">
      <c r="A298" s="39"/>
      <c r="B298" s="39"/>
      <c r="C298" s="39"/>
      <c r="D298" s="39"/>
      <c r="E298" s="39"/>
      <c r="F298" s="39"/>
      <c r="G298" s="39"/>
      <c r="H298" s="39"/>
    </row>
    <row r="299" spans="1:20" ht="15" customHeight="1" x14ac:dyDescent="0.3"/>
    <row r="338" spans="1:1" x14ac:dyDescent="0.3">
      <c r="A338" s="41" t="s">
        <v>157</v>
      </c>
    </row>
    <row r="381" spans="1:1" x14ac:dyDescent="0.3">
      <c r="A381" s="41" t="s">
        <v>389</v>
      </c>
    </row>
    <row r="422" spans="1:1" x14ac:dyDescent="0.3">
      <c r="A422" s="41" t="s">
        <v>63</v>
      </c>
    </row>
  </sheetData>
  <mergeCells count="470">
    <mergeCell ref="B282:H282"/>
    <mergeCell ref="B279:H279"/>
    <mergeCell ref="B281:H281"/>
    <mergeCell ref="E43:H43"/>
    <mergeCell ref="A43:D43"/>
    <mergeCell ref="A84:B84"/>
    <mergeCell ref="A50:B50"/>
    <mergeCell ref="D67:H67"/>
    <mergeCell ref="C52:E52"/>
    <mergeCell ref="A266:H266"/>
    <mergeCell ref="A72:C72"/>
    <mergeCell ref="D73:H73"/>
    <mergeCell ref="A79:B79"/>
    <mergeCell ref="G78:H78"/>
    <mergeCell ref="A87:B87"/>
    <mergeCell ref="A88:B88"/>
    <mergeCell ref="A83:B83"/>
    <mergeCell ref="A80:B80"/>
    <mergeCell ref="A82:B82"/>
    <mergeCell ref="C57:E57"/>
    <mergeCell ref="G57:H57"/>
    <mergeCell ref="C166:H166"/>
    <mergeCell ref="B276:H276"/>
    <mergeCell ref="C56:E56"/>
    <mergeCell ref="I15:P15"/>
    <mergeCell ref="F127:H127"/>
    <mergeCell ref="F125:H125"/>
    <mergeCell ref="A148:H148"/>
    <mergeCell ref="G131:H131"/>
    <mergeCell ref="A126:E126"/>
    <mergeCell ref="A154:B154"/>
    <mergeCell ref="A60:B60"/>
    <mergeCell ref="C60:E60"/>
    <mergeCell ref="D62:H62"/>
    <mergeCell ref="F126:H126"/>
    <mergeCell ref="E131:F131"/>
    <mergeCell ref="A131:B131"/>
    <mergeCell ref="C141:D141"/>
    <mergeCell ref="D72:H72"/>
    <mergeCell ref="D63:H63"/>
    <mergeCell ref="G60:H60"/>
    <mergeCell ref="A54:B55"/>
    <mergeCell ref="C54:E54"/>
    <mergeCell ref="G54:H54"/>
    <mergeCell ref="A146:B146"/>
    <mergeCell ref="C146:D146"/>
    <mergeCell ref="E146:F146"/>
    <mergeCell ref="A56:B57"/>
    <mergeCell ref="A289:H289"/>
    <mergeCell ref="A286:H286"/>
    <mergeCell ref="A141:B141"/>
    <mergeCell ref="D157:D158"/>
    <mergeCell ref="E157:E158"/>
    <mergeCell ref="A97:B97"/>
    <mergeCell ref="A99:B99"/>
    <mergeCell ref="F118:H118"/>
    <mergeCell ref="G132:H132"/>
    <mergeCell ref="A102:B102"/>
    <mergeCell ref="F124:H124"/>
    <mergeCell ref="C131:D131"/>
    <mergeCell ref="C145:D145"/>
    <mergeCell ref="A160:H160"/>
    <mergeCell ref="B271:H271"/>
    <mergeCell ref="B267:H267"/>
    <mergeCell ref="A156:H156"/>
    <mergeCell ref="B273:H273"/>
    <mergeCell ref="A98:B98"/>
    <mergeCell ref="F149:F150"/>
    <mergeCell ref="C132:D132"/>
    <mergeCell ref="E132:F132"/>
    <mergeCell ref="B149:B150"/>
    <mergeCell ref="A149:A150"/>
    <mergeCell ref="E78:F78"/>
    <mergeCell ref="A85:B85"/>
    <mergeCell ref="F122:H122"/>
    <mergeCell ref="A155:B155"/>
    <mergeCell ref="A123:E123"/>
    <mergeCell ref="F123:H123"/>
    <mergeCell ref="A125:E125"/>
    <mergeCell ref="F120:H120"/>
    <mergeCell ref="A124:E124"/>
    <mergeCell ref="E141:F141"/>
    <mergeCell ref="A147:H147"/>
    <mergeCell ref="A153:B153"/>
    <mergeCell ref="A101:B101"/>
    <mergeCell ref="A120:E120"/>
    <mergeCell ref="A117:E117"/>
    <mergeCell ref="F121:H121"/>
    <mergeCell ref="G92:H92"/>
    <mergeCell ref="F117:H117"/>
    <mergeCell ref="A100:B100"/>
    <mergeCell ref="A96:B96"/>
    <mergeCell ref="F119:H119"/>
    <mergeCell ref="A119:E119"/>
    <mergeCell ref="D149:D150"/>
    <mergeCell ref="A121:E121"/>
    <mergeCell ref="A292:H295"/>
    <mergeCell ref="A291:B291"/>
    <mergeCell ref="E291:F291"/>
    <mergeCell ref="C291:D291"/>
    <mergeCell ref="G291:H291"/>
    <mergeCell ref="A130:H130"/>
    <mergeCell ref="A128:E128"/>
    <mergeCell ref="F128:H128"/>
    <mergeCell ref="A129:E129"/>
    <mergeCell ref="F129:H129"/>
    <mergeCell ref="A181:H181"/>
    <mergeCell ref="A142:B142"/>
    <mergeCell ref="A132:B132"/>
    <mergeCell ref="A287:H287"/>
    <mergeCell ref="A140:H140"/>
    <mergeCell ref="B268:H268"/>
    <mergeCell ref="B270:H270"/>
    <mergeCell ref="A285:H285"/>
    <mergeCell ref="A290:H290"/>
    <mergeCell ref="A288:H288"/>
    <mergeCell ref="A284:H284"/>
    <mergeCell ref="G141:H141"/>
    <mergeCell ref="B272:H272"/>
    <mergeCell ref="B275:H27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A46:D46"/>
    <mergeCell ref="A47:D47"/>
    <mergeCell ref="D69:H69"/>
    <mergeCell ref="A44:D44"/>
    <mergeCell ref="E44:H44"/>
    <mergeCell ref="E45:H45"/>
    <mergeCell ref="E46:H46"/>
    <mergeCell ref="E47:H47"/>
    <mergeCell ref="C59:H59"/>
    <mergeCell ref="A48:H48"/>
    <mergeCell ref="D64:H64"/>
    <mergeCell ref="A64:C64"/>
    <mergeCell ref="A45:D45"/>
    <mergeCell ref="A49:B49"/>
    <mergeCell ref="C49:H49"/>
    <mergeCell ref="A65:C67"/>
    <mergeCell ref="D65:H65"/>
    <mergeCell ref="D66:H66"/>
    <mergeCell ref="C53:E53"/>
    <mergeCell ref="G53:H53"/>
    <mergeCell ref="G52:H52"/>
    <mergeCell ref="A61:H61"/>
    <mergeCell ref="A62:C62"/>
    <mergeCell ref="A63:C6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A40:B40"/>
    <mergeCell ref="C40:H40"/>
    <mergeCell ref="G51:H51"/>
    <mergeCell ref="A52:B53"/>
    <mergeCell ref="A39:B39"/>
    <mergeCell ref="C39:H39"/>
    <mergeCell ref="C157:C158"/>
    <mergeCell ref="G157:G158"/>
    <mergeCell ref="G146:H146"/>
    <mergeCell ref="C55:H55"/>
    <mergeCell ref="A78:B78"/>
    <mergeCell ref="A86:B86"/>
    <mergeCell ref="C142:D142"/>
    <mergeCell ref="E142:F142"/>
    <mergeCell ref="G142:H142"/>
    <mergeCell ref="A118:E118"/>
    <mergeCell ref="A89:B89"/>
    <mergeCell ref="C89:H89"/>
    <mergeCell ref="A152:H152"/>
    <mergeCell ref="E149:E150"/>
    <mergeCell ref="A93:B93"/>
    <mergeCell ref="C91:H91"/>
    <mergeCell ref="A94:B94"/>
    <mergeCell ref="A114:B114"/>
    <mergeCell ref="A115:B115"/>
    <mergeCell ref="A91:B91"/>
    <mergeCell ref="G149:G150"/>
    <mergeCell ref="A81:B81"/>
    <mergeCell ref="E79:F88"/>
    <mergeCell ref="G79:H88"/>
    <mergeCell ref="B277:H277"/>
    <mergeCell ref="A122:E122"/>
    <mergeCell ref="A145:B145"/>
    <mergeCell ref="E145:F145"/>
    <mergeCell ref="A127:E127"/>
    <mergeCell ref="G145:H145"/>
    <mergeCell ref="A133:B133"/>
    <mergeCell ref="C133:D133"/>
    <mergeCell ref="E133:F133"/>
    <mergeCell ref="G133:H133"/>
    <mergeCell ref="A144:B144"/>
    <mergeCell ref="C144:D144"/>
    <mergeCell ref="E144:F144"/>
    <mergeCell ref="G144:H144"/>
    <mergeCell ref="B274:H274"/>
    <mergeCell ref="A174:H174"/>
    <mergeCell ref="C137:D137"/>
    <mergeCell ref="C248:H248"/>
    <mergeCell ref="A241:H241"/>
    <mergeCell ref="E137:F137"/>
    <mergeCell ref="G137:H137"/>
    <mergeCell ref="A143:B143"/>
    <mergeCell ref="C143:D143"/>
    <mergeCell ref="E143:F143"/>
    <mergeCell ref="A95:B95"/>
    <mergeCell ref="G93:H102"/>
    <mergeCell ref="B278:H278"/>
    <mergeCell ref="A116:B116"/>
    <mergeCell ref="C149:C150"/>
    <mergeCell ref="B157:B158"/>
    <mergeCell ref="B269:H269"/>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L169:M169"/>
    <mergeCell ref="L170:M170"/>
    <mergeCell ref="L171:M171"/>
    <mergeCell ref="L173:M173"/>
    <mergeCell ref="L172:M172"/>
    <mergeCell ref="A151:H151"/>
    <mergeCell ref="A159:H159"/>
    <mergeCell ref="L163:M163"/>
    <mergeCell ref="L164:M164"/>
    <mergeCell ref="A167:H167"/>
    <mergeCell ref="L168:M168"/>
    <mergeCell ref="L161:M161"/>
    <mergeCell ref="L162:M162"/>
    <mergeCell ref="L165:M165"/>
    <mergeCell ref="L155:M155"/>
    <mergeCell ref="L154:M154"/>
    <mergeCell ref="L153:M153"/>
    <mergeCell ref="A157:A158"/>
    <mergeCell ref="F157:F158"/>
    <mergeCell ref="L166:M166"/>
    <mergeCell ref="G139:H139"/>
    <mergeCell ref="A137:B137"/>
    <mergeCell ref="L175:M175"/>
    <mergeCell ref="L176:M176"/>
    <mergeCell ref="L177:M177"/>
    <mergeCell ref="L178:M178"/>
    <mergeCell ref="L179:M179"/>
    <mergeCell ref="L180:M180"/>
    <mergeCell ref="C175:H175"/>
    <mergeCell ref="L182:M182"/>
    <mergeCell ref="L183:M183"/>
    <mergeCell ref="L184:M184"/>
    <mergeCell ref="L185:M185"/>
    <mergeCell ref="L186:M186"/>
    <mergeCell ref="L187:M187"/>
    <mergeCell ref="A188:H188"/>
    <mergeCell ref="C189:H189"/>
    <mergeCell ref="L189:M189"/>
    <mergeCell ref="L190:M190"/>
    <mergeCell ref="L191:M191"/>
    <mergeCell ref="L192:M192"/>
    <mergeCell ref="L193:M193"/>
    <mergeCell ref="L194:M194"/>
    <mergeCell ref="A195:H195"/>
    <mergeCell ref="L196:M196"/>
    <mergeCell ref="L197:M197"/>
    <mergeCell ref="L198:M198"/>
    <mergeCell ref="L199:M199"/>
    <mergeCell ref="L200:M200"/>
    <mergeCell ref="L201:M201"/>
    <mergeCell ref="A204:H204"/>
    <mergeCell ref="L205:M205"/>
    <mergeCell ref="L206:M206"/>
    <mergeCell ref="L207:M207"/>
    <mergeCell ref="L208:M208"/>
    <mergeCell ref="A202:H202"/>
    <mergeCell ref="A203:H203"/>
    <mergeCell ref="C207:H208"/>
    <mergeCell ref="L222:M222"/>
    <mergeCell ref="L223:M223"/>
    <mergeCell ref="A209:H209"/>
    <mergeCell ref="L210:M210"/>
    <mergeCell ref="L211:M211"/>
    <mergeCell ref="L212:M212"/>
    <mergeCell ref="L213:M213"/>
    <mergeCell ref="A214:H214"/>
    <mergeCell ref="L215:M215"/>
    <mergeCell ref="L216:M216"/>
    <mergeCell ref="L217:M217"/>
    <mergeCell ref="L253:M253"/>
    <mergeCell ref="L254:M254"/>
    <mergeCell ref="L255:M255"/>
    <mergeCell ref="A256:H256"/>
    <mergeCell ref="L257:M257"/>
    <mergeCell ref="L258:M258"/>
    <mergeCell ref="L259:M259"/>
    <mergeCell ref="L227:M227"/>
    <mergeCell ref="L228:M228"/>
    <mergeCell ref="A229:H229"/>
    <mergeCell ref="L230:M230"/>
    <mergeCell ref="B283:H283"/>
    <mergeCell ref="G143:H143"/>
    <mergeCell ref="B280:H280"/>
    <mergeCell ref="L265:M265"/>
    <mergeCell ref="L244:M244"/>
    <mergeCell ref="L245:M245"/>
    <mergeCell ref="L239:M239"/>
    <mergeCell ref="L240:M240"/>
    <mergeCell ref="A235:H235"/>
    <mergeCell ref="A234:H234"/>
    <mergeCell ref="C239:H239"/>
    <mergeCell ref="L260:M260"/>
    <mergeCell ref="C258:H258"/>
    <mergeCell ref="A261:H261"/>
    <mergeCell ref="A246:H246"/>
    <mergeCell ref="L247:M247"/>
    <mergeCell ref="L248:M248"/>
    <mergeCell ref="L262:M262"/>
    <mergeCell ref="L263:M263"/>
    <mergeCell ref="L264:M264"/>
    <mergeCell ref="L249:M249"/>
    <mergeCell ref="L250:M250"/>
    <mergeCell ref="A251:H251"/>
    <mergeCell ref="L252:M252"/>
    <mergeCell ref="A134:H134"/>
    <mergeCell ref="A135:B135"/>
    <mergeCell ref="C135:D135"/>
    <mergeCell ref="E135:F135"/>
    <mergeCell ref="G135:H135"/>
    <mergeCell ref="A136:B136"/>
    <mergeCell ref="C136:D136"/>
    <mergeCell ref="E136:F136"/>
    <mergeCell ref="G136:H136"/>
    <mergeCell ref="A138:B138"/>
    <mergeCell ref="C138:D138"/>
    <mergeCell ref="E138:F138"/>
    <mergeCell ref="G138:H138"/>
    <mergeCell ref="A139:B139"/>
    <mergeCell ref="C139:D139"/>
    <mergeCell ref="E139:F139"/>
    <mergeCell ref="L242:M242"/>
    <mergeCell ref="L243:M243"/>
    <mergeCell ref="L231:M231"/>
    <mergeCell ref="L232:M232"/>
    <mergeCell ref="L233:M233"/>
    <mergeCell ref="A236:H236"/>
    <mergeCell ref="L237:M237"/>
    <mergeCell ref="L238:M238"/>
    <mergeCell ref="A224:H224"/>
    <mergeCell ref="L225:M225"/>
    <mergeCell ref="L226:M226"/>
    <mergeCell ref="C226:H226"/>
    <mergeCell ref="L218:M218"/>
    <mergeCell ref="C215:H216"/>
    <mergeCell ref="A219:H219"/>
    <mergeCell ref="L220:M220"/>
    <mergeCell ref="L221:M221"/>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9:E150" xr:uid="{00000000-0002-0000-0000-000003000000}">
      <formula1>"Attached Loft area,Attached Otla area,Attached Mezzanine area"</formula1>
    </dataValidation>
    <dataValidation type="list" allowBlank="1" showInputMessage="1" showErrorMessage="1" sqref="G291:H291" xr:uid="{00000000-0002-0000-0000-000004000000}">
      <formula1>"Kunal Kadam,Pranita Mhatre,Diptee Gotawde,Shruti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8:H128" xr:uid="{00000000-0002-0000-0000-000006000000}">
      <formula1>OFFSET($S$117,1,MATCH($G20,$S$117:$W$117,0)-1,15,1)</formula1>
    </dataValidation>
    <dataValidation type="list" allowBlank="1" showInputMessage="1" showErrorMessage="1" sqref="B149:B150" xr:uid="{00000000-0002-0000-0000-000007000000}">
      <formula1>"Shop No. (Sale Plan),Sale / Rehab,Sale / Mhada"</formula1>
    </dataValidation>
    <dataValidation type="list" allowBlank="1" showInputMessage="1" showErrorMessage="1" sqref="B157:B158"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7:E158" xr:uid="{00000000-0002-0000-0000-00000B000000}">
      <formula1>"Fungible area,Balcony Area,Chajja Area,Cornice Area,AP Area,WS Area"</formula1>
    </dataValidation>
    <dataValidation type="list" allowBlank="1" showInputMessage="1" showErrorMessage="1" sqref="H150 H15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9 H157" xr:uid="{00000000-0002-0000-0000-00000F000000}">
      <formula1>"Saleable area Loading :,Builder Saleable Area"</formula1>
    </dataValidation>
    <dataValidation type="list" allowBlank="1" showInputMessage="1" showErrorMessage="1" sqref="D149:D150 D157:D158"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295" max="16383" man="1"/>
    <brk id="337" max="16383" man="1"/>
    <brk id="379" max="16383" man="1"/>
    <brk id="42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G17" sqref="G17"/>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84" t="s">
        <v>103</v>
      </c>
      <c r="C3" s="284"/>
      <c r="D3" s="284"/>
      <c r="E3" s="284"/>
      <c r="F3" s="284"/>
      <c r="G3" s="284"/>
      <c r="H3" s="284"/>
    </row>
    <row r="4" spans="1:9" x14ac:dyDescent="0.3">
      <c r="A4" s="2"/>
      <c r="B4" s="3" t="s">
        <v>104</v>
      </c>
      <c r="C4" s="3" t="s">
        <v>105</v>
      </c>
      <c r="D4" s="3" t="s">
        <v>65</v>
      </c>
      <c r="E4" s="3" t="s">
        <v>106</v>
      </c>
      <c r="F4" s="3" t="s">
        <v>110</v>
      </c>
      <c r="G4" s="3" t="s">
        <v>111</v>
      </c>
      <c r="H4" s="3" t="s">
        <v>107</v>
      </c>
    </row>
    <row r="5" spans="1:9" ht="15" customHeight="1" x14ac:dyDescent="0.3">
      <c r="A5" s="2"/>
      <c r="B5" s="5">
        <v>99</v>
      </c>
      <c r="C5" s="6"/>
      <c r="D5" s="83" t="s">
        <v>377</v>
      </c>
      <c r="E5" s="5">
        <v>430</v>
      </c>
      <c r="F5" s="7">
        <f>E5*1.6</f>
        <v>688</v>
      </c>
      <c r="G5" s="7">
        <f>H5/F5</f>
        <v>13953.488372093023</v>
      </c>
      <c r="H5" s="8">
        <v>9600000</v>
      </c>
    </row>
    <row r="6" spans="1:9" x14ac:dyDescent="0.3">
      <c r="A6" s="2"/>
      <c r="B6" s="5">
        <v>99</v>
      </c>
      <c r="C6" s="9"/>
      <c r="D6" s="83" t="s">
        <v>377</v>
      </c>
      <c r="E6" s="5">
        <v>463</v>
      </c>
      <c r="F6" s="7">
        <f t="shared" ref="F6:F11" si="0">E6*1.6</f>
        <v>740.80000000000007</v>
      </c>
      <c r="G6" s="7">
        <f t="shared" ref="G6:G11" si="1">H6/F6</f>
        <v>13903.88768898488</v>
      </c>
      <c r="H6" s="8">
        <v>10300000</v>
      </c>
    </row>
    <row r="7" spans="1:9" ht="15" customHeight="1" x14ac:dyDescent="0.3">
      <c r="A7" s="2"/>
      <c r="B7" s="5">
        <v>99</v>
      </c>
      <c r="C7" s="6"/>
      <c r="D7" s="83" t="s">
        <v>377</v>
      </c>
      <c r="E7" s="5">
        <v>483</v>
      </c>
      <c r="F7" s="7">
        <f t="shared" si="0"/>
        <v>772.80000000000007</v>
      </c>
      <c r="G7" s="7">
        <f t="shared" si="1"/>
        <v>13975.155279503104</v>
      </c>
      <c r="H7" s="8">
        <v>10800000</v>
      </c>
    </row>
    <row r="8" spans="1:9" x14ac:dyDescent="0.3">
      <c r="A8" s="2"/>
      <c r="B8" s="83" t="s">
        <v>378</v>
      </c>
      <c r="C8" s="9"/>
      <c r="D8" s="83" t="s">
        <v>377</v>
      </c>
      <c r="E8" s="5">
        <v>430</v>
      </c>
      <c r="F8" s="7">
        <f t="shared" si="0"/>
        <v>688</v>
      </c>
      <c r="G8" s="7">
        <f t="shared" si="1"/>
        <v>14389.534883720929</v>
      </c>
      <c r="H8" s="8">
        <v>9900000</v>
      </c>
    </row>
    <row r="9" spans="1:9" ht="15" customHeight="1" x14ac:dyDescent="0.3">
      <c r="A9" s="2"/>
      <c r="B9" s="83" t="s">
        <v>378</v>
      </c>
      <c r="C9" s="9"/>
      <c r="D9" s="83" t="s">
        <v>377</v>
      </c>
      <c r="E9" s="5">
        <v>452</v>
      </c>
      <c r="F9" s="7">
        <f t="shared" si="0"/>
        <v>723.2</v>
      </c>
      <c r="G9" s="7">
        <f t="shared" si="1"/>
        <v>14657.079646017699</v>
      </c>
      <c r="H9" s="8">
        <v>10600000</v>
      </c>
    </row>
    <row r="10" spans="1:9" ht="15" customHeight="1" x14ac:dyDescent="0.3">
      <c r="A10" s="2"/>
      <c r="B10" s="83" t="s">
        <v>378</v>
      </c>
      <c r="C10" s="6"/>
      <c r="D10" s="83" t="s">
        <v>377</v>
      </c>
      <c r="E10" s="5">
        <v>545</v>
      </c>
      <c r="F10" s="7">
        <f t="shared" si="0"/>
        <v>872</v>
      </c>
      <c r="G10" s="7">
        <f t="shared" si="1"/>
        <v>14449.541284403669</v>
      </c>
      <c r="H10" s="8">
        <v>12600000</v>
      </c>
    </row>
    <row r="11" spans="1:9" ht="15" customHeight="1" x14ac:dyDescent="0.3">
      <c r="A11" s="2"/>
      <c r="B11" s="83" t="s">
        <v>378</v>
      </c>
      <c r="C11" s="6"/>
      <c r="D11" s="83" t="s">
        <v>377</v>
      </c>
      <c r="E11" s="5">
        <v>565</v>
      </c>
      <c r="F11" s="7">
        <f t="shared" si="0"/>
        <v>904</v>
      </c>
      <c r="G11" s="7">
        <f t="shared" si="1"/>
        <v>14823.008849557522</v>
      </c>
      <c r="H11" s="8">
        <v>13400000</v>
      </c>
    </row>
    <row r="12" spans="1:9" ht="15" customHeight="1" x14ac:dyDescent="0.3">
      <c r="A12" s="2"/>
      <c r="B12" s="10" t="s">
        <v>108</v>
      </c>
      <c r="C12" s="5"/>
      <c r="D12" s="5"/>
      <c r="E12" s="5"/>
      <c r="F12" s="5"/>
      <c r="G12" s="11">
        <f>AVERAGE(G5:G11)</f>
        <v>14307.385143468689</v>
      </c>
      <c r="H12" s="5"/>
    </row>
    <row r="13" spans="1:9" ht="15" customHeight="1" x14ac:dyDescent="0.3">
      <c r="B13" s="10" t="s">
        <v>109</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0"/>
      <c r="C4" s="50" t="s">
        <v>10</v>
      </c>
      <c r="D4" s="51" t="s">
        <v>175</v>
      </c>
      <c r="E4" s="51" t="s">
        <v>185</v>
      </c>
      <c r="F4" s="51" t="s">
        <v>168</v>
      </c>
      <c r="G4" s="51" t="s">
        <v>190</v>
      </c>
      <c r="H4" s="51" t="s">
        <v>208</v>
      </c>
      <c r="J4" t="s">
        <v>190</v>
      </c>
      <c r="K4" t="s">
        <v>206</v>
      </c>
    </row>
    <row r="5" spans="2:11" x14ac:dyDescent="0.3">
      <c r="B5" s="50"/>
      <c r="C5" s="50"/>
      <c r="D5" s="51" t="s">
        <v>176</v>
      </c>
      <c r="E5" s="51" t="s">
        <v>183</v>
      </c>
      <c r="F5" s="51" t="s">
        <v>205</v>
      </c>
      <c r="G5" s="51" t="s">
        <v>191</v>
      </c>
      <c r="H5" s="51" t="s">
        <v>209</v>
      </c>
    </row>
    <row r="6" spans="2:11" x14ac:dyDescent="0.3">
      <c r="B6" s="50"/>
      <c r="C6" s="50"/>
      <c r="D6" s="51" t="s">
        <v>177</v>
      </c>
      <c r="E6" s="51" t="s">
        <v>184</v>
      </c>
      <c r="F6" s="51" t="s">
        <v>206</v>
      </c>
      <c r="G6" s="51" t="s">
        <v>192</v>
      </c>
      <c r="H6" s="51" t="s">
        <v>222</v>
      </c>
    </row>
    <row r="7" spans="2:11" x14ac:dyDescent="0.3">
      <c r="B7" s="50"/>
      <c r="C7" s="50"/>
      <c r="D7" s="51" t="s">
        <v>178</v>
      </c>
      <c r="E7" s="51" t="s">
        <v>186</v>
      </c>
      <c r="F7" s="51" t="s">
        <v>207</v>
      </c>
      <c r="G7" s="51" t="s">
        <v>193</v>
      </c>
      <c r="H7" s="51" t="s">
        <v>210</v>
      </c>
    </row>
    <row r="8" spans="2:11" x14ac:dyDescent="0.3">
      <c r="B8" s="50"/>
      <c r="C8" s="50"/>
      <c r="D8" s="51" t="s">
        <v>179</v>
      </c>
      <c r="E8" s="51" t="s">
        <v>187</v>
      </c>
      <c r="F8" s="51"/>
      <c r="G8" s="51" t="s">
        <v>194</v>
      </c>
      <c r="H8" s="51" t="s">
        <v>211</v>
      </c>
    </row>
    <row r="9" spans="2:11" x14ac:dyDescent="0.3">
      <c r="B9" s="50"/>
      <c r="C9" s="50"/>
      <c r="D9" s="51" t="s">
        <v>180</v>
      </c>
      <c r="E9" s="51" t="s">
        <v>185</v>
      </c>
      <c r="F9" s="51"/>
      <c r="G9" s="51" t="s">
        <v>195</v>
      </c>
      <c r="H9" s="51" t="s">
        <v>212</v>
      </c>
    </row>
    <row r="10" spans="2:11" x14ac:dyDescent="0.3">
      <c r="B10" s="50"/>
      <c r="C10" s="50"/>
      <c r="D10" s="51" t="s">
        <v>181</v>
      </c>
      <c r="E10" s="51" t="s">
        <v>188</v>
      </c>
      <c r="F10" s="51"/>
      <c r="G10" s="51" t="s">
        <v>196</v>
      </c>
      <c r="H10" s="51" t="s">
        <v>213</v>
      </c>
    </row>
    <row r="11" spans="2:11" x14ac:dyDescent="0.3">
      <c r="B11" s="50"/>
      <c r="C11" s="50"/>
      <c r="D11" s="51" t="s">
        <v>182</v>
      </c>
      <c r="E11" s="51" t="s">
        <v>189</v>
      </c>
      <c r="F11" s="51"/>
      <c r="G11" s="51" t="s">
        <v>197</v>
      </c>
      <c r="H11" s="51" t="s">
        <v>214</v>
      </c>
    </row>
    <row r="12" spans="2:11" x14ac:dyDescent="0.3">
      <c r="B12" s="50"/>
      <c r="C12" s="50"/>
      <c r="D12" s="51"/>
      <c r="E12" s="51"/>
      <c r="F12" s="51"/>
      <c r="G12" s="51" t="s">
        <v>198</v>
      </c>
      <c r="H12" s="51" t="s">
        <v>215</v>
      </c>
    </row>
    <row r="13" spans="2:11" x14ac:dyDescent="0.3">
      <c r="B13" s="50"/>
      <c r="C13" s="50"/>
      <c r="D13" s="51"/>
      <c r="E13" s="51"/>
      <c r="F13" s="51"/>
      <c r="G13" s="51" t="s">
        <v>199</v>
      </c>
      <c r="H13" s="51" t="s">
        <v>216</v>
      </c>
    </row>
    <row r="14" spans="2:11" x14ac:dyDescent="0.3">
      <c r="B14" s="50"/>
      <c r="C14" s="50"/>
      <c r="D14" s="51"/>
      <c r="E14" s="51"/>
      <c r="F14" s="51"/>
      <c r="G14" s="51" t="s">
        <v>200</v>
      </c>
      <c r="H14" s="51" t="s">
        <v>217</v>
      </c>
    </row>
    <row r="15" spans="2:11" x14ac:dyDescent="0.3">
      <c r="B15" s="50"/>
      <c r="C15" s="50"/>
      <c r="D15" s="51"/>
      <c r="E15" s="51"/>
      <c r="F15" s="51"/>
      <c r="G15" s="51" t="s">
        <v>201</v>
      </c>
      <c r="H15" s="51" t="s">
        <v>218</v>
      </c>
    </row>
    <row r="16" spans="2:11" x14ac:dyDescent="0.3">
      <c r="B16" s="50"/>
      <c r="C16" s="50"/>
      <c r="D16" s="51"/>
      <c r="E16" s="51"/>
      <c r="F16" s="51"/>
      <c r="G16" s="51" t="s">
        <v>202</v>
      </c>
      <c r="H16" s="51" t="s">
        <v>219</v>
      </c>
    </row>
    <row r="17" spans="2:8" x14ac:dyDescent="0.3">
      <c r="B17" s="50"/>
      <c r="C17" s="50"/>
      <c r="D17" s="51"/>
      <c r="E17" s="51"/>
      <c r="F17" s="51"/>
      <c r="G17" s="51" t="s">
        <v>203</v>
      </c>
      <c r="H17" s="51" t="s">
        <v>220</v>
      </c>
    </row>
    <row r="18" spans="2:8" x14ac:dyDescent="0.3">
      <c r="B18" s="50"/>
      <c r="C18" s="50"/>
      <c r="D18" s="51"/>
      <c r="E18" s="51"/>
      <c r="F18" s="51"/>
      <c r="G18" s="51" t="s">
        <v>204</v>
      </c>
      <c r="H18" s="51" t="s">
        <v>221</v>
      </c>
    </row>
    <row r="24" spans="2:8" x14ac:dyDescent="0.3">
      <c r="C24" t="s">
        <v>165</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165</v>
      </c>
    </row>
    <row r="33" spans="3:11" x14ac:dyDescent="0.3">
      <c r="J33">
        <v>1</v>
      </c>
      <c r="K33">
        <v>2</v>
      </c>
    </row>
    <row r="34" spans="3:11" x14ac:dyDescent="0.3">
      <c r="C34" s="53" t="s">
        <v>232</v>
      </c>
      <c r="D34" s="51" t="s">
        <v>230</v>
      </c>
      <c r="E34" s="51" t="s">
        <v>235</v>
      </c>
      <c r="F34" s="51" t="s">
        <v>233</v>
      </c>
      <c r="G34" s="51" t="s">
        <v>234</v>
      </c>
      <c r="H34" s="51" t="s">
        <v>236</v>
      </c>
      <c r="J34" t="s">
        <v>190</v>
      </c>
      <c r="K34" t="s">
        <v>206</v>
      </c>
    </row>
    <row r="35" spans="3:11" x14ac:dyDescent="0.3">
      <c r="C35" s="50" t="s">
        <v>231</v>
      </c>
      <c r="D35" s="51" t="s">
        <v>166</v>
      </c>
      <c r="E35" s="51" t="s">
        <v>240</v>
      </c>
      <c r="F35" s="51" t="s">
        <v>242</v>
      </c>
      <c r="G35" s="51" t="s">
        <v>244</v>
      </c>
      <c r="H35" s="51"/>
    </row>
    <row r="36" spans="3:11" x14ac:dyDescent="0.3">
      <c r="C36" s="50"/>
      <c r="D36" s="51" t="s">
        <v>237</v>
      </c>
      <c r="E36" s="51" t="s">
        <v>241</v>
      </c>
      <c r="F36" s="51" t="s">
        <v>243</v>
      </c>
      <c r="G36" s="51" t="s">
        <v>245</v>
      </c>
      <c r="H36" s="51"/>
    </row>
    <row r="37" spans="3:11" x14ac:dyDescent="0.3">
      <c r="C37" s="50"/>
      <c r="D37" s="51" t="s">
        <v>238</v>
      </c>
      <c r="E37" s="51"/>
      <c r="F37" s="51"/>
      <c r="G37" s="51" t="s">
        <v>246</v>
      </c>
      <c r="H37" s="51"/>
    </row>
    <row r="38" spans="3:11" x14ac:dyDescent="0.3">
      <c r="C38" s="50"/>
      <c r="D38" s="51" t="s">
        <v>239</v>
      </c>
      <c r="E38" s="51"/>
      <c r="F38" s="51"/>
      <c r="G38" s="51" t="s">
        <v>246</v>
      </c>
      <c r="H38" s="51"/>
    </row>
    <row r="39" spans="3:11" x14ac:dyDescent="0.3">
      <c r="C39" s="50"/>
      <c r="D39" s="51"/>
      <c r="E39" s="51"/>
      <c r="F39" s="51"/>
      <c r="G39" s="51" t="s">
        <v>247</v>
      </c>
      <c r="H39" s="51"/>
    </row>
    <row r="40" spans="3:11" x14ac:dyDescent="0.3">
      <c r="C40" s="50"/>
      <c r="D40" s="51"/>
      <c r="E40" s="51"/>
      <c r="F40" s="51"/>
      <c r="G40" s="51" t="s">
        <v>248</v>
      </c>
      <c r="H40" s="51"/>
    </row>
    <row r="41" spans="3:11" x14ac:dyDescent="0.3">
      <c r="C41" s="50"/>
      <c r="D41" s="51"/>
      <c r="E41" s="51"/>
      <c r="F41" s="51"/>
      <c r="G41" s="51"/>
      <c r="H41" s="51"/>
    </row>
    <row r="43" spans="3:11" x14ac:dyDescent="0.3">
      <c r="C43" t="s">
        <v>249</v>
      </c>
    </row>
    <row r="44" spans="3:11" x14ac:dyDescent="0.3">
      <c r="C44" t="s">
        <v>168</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4.4" x14ac:dyDescent="0.3"/>
  <cols>
    <col min="2" max="2" width="3" bestFit="1" customWidth="1"/>
    <col min="3" max="3" width="155.33203125" customWidth="1"/>
  </cols>
  <sheetData>
    <row r="2" spans="2:3" ht="15" customHeight="1" x14ac:dyDescent="0.3">
      <c r="B2" s="54">
        <v>1</v>
      </c>
      <c r="C2" s="56" t="s">
        <v>278</v>
      </c>
    </row>
    <row r="3" spans="2:3" x14ac:dyDescent="0.3">
      <c r="B3" s="54">
        <v>2</v>
      </c>
      <c r="C3" s="55" t="s">
        <v>279</v>
      </c>
    </row>
    <row r="4" spans="2:3" x14ac:dyDescent="0.3">
      <c r="B4" s="54">
        <v>3</v>
      </c>
      <c r="C4" s="54" t="s">
        <v>280</v>
      </c>
    </row>
    <row r="5" spans="2:3" x14ac:dyDescent="0.3">
      <c r="B5" s="54">
        <v>4</v>
      </c>
      <c r="C5" s="55" t="s">
        <v>281</v>
      </c>
    </row>
    <row r="6" spans="2:3" x14ac:dyDescent="0.3">
      <c r="B6" s="54">
        <v>5</v>
      </c>
      <c r="C6" s="54" t="s">
        <v>282</v>
      </c>
    </row>
    <row r="7" spans="2:3" x14ac:dyDescent="0.3">
      <c r="B7" s="54">
        <v>6</v>
      </c>
      <c r="C7" s="55" t="s">
        <v>283</v>
      </c>
    </row>
    <row r="8" spans="2:3" ht="72" x14ac:dyDescent="0.3">
      <c r="B8" s="54">
        <v>7</v>
      </c>
      <c r="C8" s="55" t="s">
        <v>284</v>
      </c>
    </row>
    <row r="9" spans="2:3" x14ac:dyDescent="0.3">
      <c r="B9" s="54">
        <v>8</v>
      </c>
      <c r="C9" s="54" t="s">
        <v>285</v>
      </c>
    </row>
    <row r="10" spans="2:3" x14ac:dyDescent="0.3">
      <c r="B10" s="54">
        <v>9</v>
      </c>
      <c r="C10" s="54" t="s">
        <v>286</v>
      </c>
    </row>
    <row r="11" spans="2:3" x14ac:dyDescent="0.3">
      <c r="B11" s="54">
        <v>10</v>
      </c>
      <c r="C11" s="54" t="s">
        <v>287</v>
      </c>
    </row>
    <row r="12" spans="2:3" x14ac:dyDescent="0.3">
      <c r="B12" s="54">
        <v>11</v>
      </c>
      <c r="C12" s="54" t="s">
        <v>288</v>
      </c>
    </row>
    <row r="13" spans="2:3" x14ac:dyDescent="0.3">
      <c r="B13" s="54">
        <v>12</v>
      </c>
      <c r="C13" s="54" t="s">
        <v>289</v>
      </c>
    </row>
    <row r="14" spans="2:3" x14ac:dyDescent="0.3">
      <c r="B14" s="54">
        <v>13</v>
      </c>
      <c r="C14" s="54" t="s">
        <v>290</v>
      </c>
    </row>
    <row r="15" spans="2:3" x14ac:dyDescent="0.3">
      <c r="B15" s="54">
        <v>14</v>
      </c>
      <c r="C15" s="54" t="s">
        <v>280</v>
      </c>
    </row>
    <row r="16" spans="2:3" x14ac:dyDescent="0.3">
      <c r="B16" s="54">
        <v>15</v>
      </c>
      <c r="C16" s="54" t="s">
        <v>293</v>
      </c>
    </row>
    <row r="17" spans="2:3" x14ac:dyDescent="0.3">
      <c r="B17" s="75">
        <v>16</v>
      </c>
      <c r="C17" s="60" t="s">
        <v>294</v>
      </c>
    </row>
    <row r="18" spans="2:3" x14ac:dyDescent="0.3">
      <c r="B18" s="59">
        <v>17</v>
      </c>
      <c r="C18" s="60" t="s">
        <v>295</v>
      </c>
    </row>
    <row r="19" spans="2:3" x14ac:dyDescent="0.3">
      <c r="B19" s="58">
        <v>18</v>
      </c>
      <c r="C19" s="54" t="s">
        <v>296</v>
      </c>
    </row>
    <row r="20" spans="2:3" x14ac:dyDescent="0.3">
      <c r="B20" s="59">
        <v>19</v>
      </c>
      <c r="C20" s="54" t="s">
        <v>332</v>
      </c>
    </row>
    <row r="21" spans="2:3" x14ac:dyDescent="0.3">
      <c r="B21" s="54">
        <v>20</v>
      </c>
      <c r="C21" s="54" t="s">
        <v>297</v>
      </c>
    </row>
    <row r="22" spans="2:3" x14ac:dyDescent="0.3">
      <c r="B22" s="59">
        <v>21</v>
      </c>
      <c r="C22" s="54" t="s">
        <v>296</v>
      </c>
    </row>
    <row r="23" spans="2:3" s="68" customFormat="1" ht="29.25" customHeight="1" x14ac:dyDescent="0.3">
      <c r="B23" s="67">
        <v>22</v>
      </c>
      <c r="C23" s="56" t="s">
        <v>324</v>
      </c>
    </row>
    <row r="24" spans="2:3" s="68" customFormat="1" ht="30.75" customHeight="1" x14ac:dyDescent="0.3">
      <c r="B24" s="69">
        <v>23</v>
      </c>
      <c r="C24" s="56" t="s">
        <v>325</v>
      </c>
    </row>
    <row r="25" spans="2:3" x14ac:dyDescent="0.3">
      <c r="B25" s="54">
        <v>24</v>
      </c>
      <c r="C25" s="54" t="s">
        <v>328</v>
      </c>
    </row>
    <row r="26" spans="2:3" x14ac:dyDescent="0.3">
      <c r="B26" s="59">
        <v>25</v>
      </c>
      <c r="C26" s="54" t="s">
        <v>326</v>
      </c>
    </row>
    <row r="27" spans="2:3" x14ac:dyDescent="0.3">
      <c r="B27" s="69">
        <v>26</v>
      </c>
      <c r="C27" s="54" t="s">
        <v>327</v>
      </c>
    </row>
    <row r="28" spans="2:3" x14ac:dyDescent="0.3">
      <c r="B28" s="59">
        <v>27</v>
      </c>
      <c r="C28" s="54" t="s">
        <v>329</v>
      </c>
    </row>
    <row r="29" spans="2:3" ht="43.2" x14ac:dyDescent="0.3">
      <c r="B29" s="74">
        <v>28</v>
      </c>
      <c r="C29" s="55" t="s">
        <v>330</v>
      </c>
    </row>
    <row r="30" spans="2:3" x14ac:dyDescent="0.3">
      <c r="B30" s="69">
        <v>29</v>
      </c>
      <c r="C30" s="54" t="s">
        <v>331</v>
      </c>
    </row>
    <row r="31" spans="2:3" ht="28.8" x14ac:dyDescent="0.3">
      <c r="B31" s="69">
        <v>30</v>
      </c>
      <c r="C31" s="55" t="s">
        <v>333</v>
      </c>
    </row>
    <row r="32" spans="2:3" x14ac:dyDescent="0.3">
      <c r="B32" s="69">
        <v>31</v>
      </c>
      <c r="C32" s="54" t="s">
        <v>334</v>
      </c>
    </row>
    <row r="33" spans="2:3" x14ac:dyDescent="0.3">
      <c r="B33" s="69">
        <v>32</v>
      </c>
      <c r="C33" s="54" t="s">
        <v>335</v>
      </c>
    </row>
    <row r="34" spans="2:3" ht="36.75" customHeight="1" x14ac:dyDescent="0.3">
      <c r="B34" s="69">
        <v>33</v>
      </c>
      <c r="C34" s="60" t="s">
        <v>336</v>
      </c>
    </row>
    <row r="35" spans="2:3" x14ac:dyDescent="0.3">
      <c r="B35" s="69">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0"/>
    <col min="2" max="2" width="12.33203125" style="50" customWidth="1"/>
    <col min="3" max="16384" width="9.109375" style="50"/>
  </cols>
  <sheetData>
    <row r="2" spans="1:12" x14ac:dyDescent="0.3">
      <c r="B2" s="61" t="s">
        <v>298</v>
      </c>
      <c r="C2" s="285"/>
      <c r="D2" s="285"/>
    </row>
    <row r="3" spans="1:12" x14ac:dyDescent="0.3">
      <c r="D3" s="62"/>
      <c r="E3" s="62"/>
      <c r="F3" s="62"/>
      <c r="G3" s="62"/>
      <c r="H3" s="62"/>
      <c r="I3" s="62"/>
    </row>
    <row r="4" spans="1:12" x14ac:dyDescent="0.3">
      <c r="A4" s="61" t="s">
        <v>65</v>
      </c>
      <c r="B4" s="63" t="s">
        <v>299</v>
      </c>
      <c r="C4" s="286" t="s">
        <v>300</v>
      </c>
      <c r="D4" s="286"/>
      <c r="E4" s="286"/>
      <c r="F4" s="63"/>
      <c r="G4" s="287" t="s">
        <v>301</v>
      </c>
      <c r="H4" s="287"/>
      <c r="I4" s="287"/>
      <c r="J4" s="288" t="s">
        <v>302</v>
      </c>
      <c r="K4" s="288"/>
      <c r="L4" s="288"/>
    </row>
    <row r="5" spans="1:12" x14ac:dyDescent="0.3">
      <c r="A5" s="61"/>
      <c r="B5" s="63"/>
      <c r="C5" s="63" t="s">
        <v>303</v>
      </c>
      <c r="D5" s="63" t="s">
        <v>304</v>
      </c>
      <c r="E5" s="63" t="s">
        <v>305</v>
      </c>
      <c r="F5" s="63"/>
      <c r="G5" s="63" t="s">
        <v>303</v>
      </c>
      <c r="H5" s="63" t="s">
        <v>304</v>
      </c>
      <c r="I5" s="63" t="s">
        <v>305</v>
      </c>
      <c r="J5" s="63" t="s">
        <v>303</v>
      </c>
      <c r="K5" s="63" t="s">
        <v>304</v>
      </c>
      <c r="L5" s="63" t="s">
        <v>305</v>
      </c>
    </row>
    <row r="6" spans="1:12" x14ac:dyDescent="0.3">
      <c r="B6" s="51" t="s">
        <v>306</v>
      </c>
      <c r="C6" s="51"/>
      <c r="D6" s="51"/>
      <c r="E6" s="51">
        <f>C6*D6</f>
        <v>0</v>
      </c>
      <c r="F6" s="51" t="s">
        <v>323</v>
      </c>
      <c r="G6" s="51"/>
      <c r="H6" s="51"/>
      <c r="I6" s="51">
        <f>G6*H6</f>
        <v>0</v>
      </c>
      <c r="J6" s="51"/>
      <c r="K6" s="51"/>
      <c r="L6" s="51">
        <f>J6*K6</f>
        <v>0</v>
      </c>
    </row>
    <row r="7" spans="1:12" x14ac:dyDescent="0.3">
      <c r="B7" s="51"/>
      <c r="C7" s="51"/>
      <c r="D7" s="51"/>
      <c r="E7" s="51">
        <f t="shared" ref="E7:E41" si="0">C7*D7</f>
        <v>0</v>
      </c>
      <c r="F7" s="51" t="s">
        <v>323</v>
      </c>
      <c r="G7" s="51"/>
      <c r="H7" s="51"/>
      <c r="I7" s="51">
        <f t="shared" ref="I7:I35" si="1">G7*H7</f>
        <v>0</v>
      </c>
      <c r="J7" s="51"/>
      <c r="K7" s="51"/>
      <c r="L7" s="51">
        <f t="shared" ref="L7:L35" si="2">J7*K7</f>
        <v>0</v>
      </c>
    </row>
    <row r="8" spans="1:12" x14ac:dyDescent="0.3">
      <c r="B8" s="51"/>
      <c r="C8" s="51"/>
      <c r="D8" s="51"/>
      <c r="E8" s="51">
        <f t="shared" si="0"/>
        <v>0</v>
      </c>
      <c r="F8" s="51"/>
      <c r="G8" s="51"/>
      <c r="H8" s="51"/>
      <c r="I8" s="51">
        <f t="shared" si="1"/>
        <v>0</v>
      </c>
      <c r="J8" s="51"/>
      <c r="K8" s="51"/>
      <c r="L8" s="51">
        <f t="shared" si="2"/>
        <v>0</v>
      </c>
    </row>
    <row r="9" spans="1:12" x14ac:dyDescent="0.3">
      <c r="B9" s="51"/>
      <c r="C9" s="51"/>
      <c r="D9" s="51"/>
      <c r="E9" s="51">
        <f t="shared" si="0"/>
        <v>0</v>
      </c>
      <c r="F9" s="51" t="s">
        <v>307</v>
      </c>
      <c r="G9" s="51"/>
      <c r="H9" s="51"/>
      <c r="I9" s="51">
        <f t="shared" si="1"/>
        <v>0</v>
      </c>
      <c r="J9" s="51"/>
      <c r="K9" s="51"/>
      <c r="L9" s="51">
        <f t="shared" si="2"/>
        <v>0</v>
      </c>
    </row>
    <row r="10" spans="1:12" x14ac:dyDescent="0.3">
      <c r="B10" s="51" t="s">
        <v>308</v>
      </c>
      <c r="C10" s="51"/>
      <c r="D10" s="51"/>
      <c r="E10" s="51">
        <f t="shared" si="0"/>
        <v>0</v>
      </c>
      <c r="F10" s="51" t="s">
        <v>307</v>
      </c>
      <c r="G10" s="51"/>
      <c r="H10" s="51"/>
      <c r="I10" s="51">
        <f t="shared" si="1"/>
        <v>0</v>
      </c>
      <c r="J10" s="51"/>
      <c r="K10" s="51"/>
      <c r="L10" s="51">
        <f t="shared" si="2"/>
        <v>0</v>
      </c>
    </row>
    <row r="11" spans="1:12" x14ac:dyDescent="0.3">
      <c r="B11" s="51"/>
      <c r="C11" s="51"/>
      <c r="D11" s="51"/>
      <c r="E11" s="51">
        <f t="shared" si="0"/>
        <v>0</v>
      </c>
      <c r="F11" s="51" t="s">
        <v>309</v>
      </c>
      <c r="G11" s="51"/>
      <c r="H11" s="51"/>
      <c r="I11" s="51">
        <f t="shared" si="1"/>
        <v>0</v>
      </c>
      <c r="J11" s="51"/>
      <c r="K11" s="51"/>
      <c r="L11" s="51">
        <f t="shared" si="2"/>
        <v>0</v>
      </c>
    </row>
    <row r="12" spans="1:12" x14ac:dyDescent="0.3">
      <c r="B12" s="51"/>
      <c r="C12" s="51"/>
      <c r="D12" s="51"/>
      <c r="E12" s="51">
        <f t="shared" si="0"/>
        <v>0</v>
      </c>
      <c r="F12" s="51"/>
      <c r="G12" s="51"/>
      <c r="H12" s="51"/>
      <c r="I12" s="51">
        <f t="shared" si="1"/>
        <v>0</v>
      </c>
      <c r="J12" s="51"/>
      <c r="K12" s="51"/>
      <c r="L12" s="51">
        <f t="shared" si="2"/>
        <v>0</v>
      </c>
    </row>
    <row r="13" spans="1:12" x14ac:dyDescent="0.3">
      <c r="B13" s="51"/>
      <c r="C13" s="51"/>
      <c r="D13" s="51"/>
      <c r="E13" s="51">
        <f t="shared" si="0"/>
        <v>0</v>
      </c>
      <c r="F13" s="51"/>
      <c r="G13" s="51"/>
      <c r="H13" s="51"/>
      <c r="I13" s="51">
        <f t="shared" si="1"/>
        <v>0</v>
      </c>
      <c r="J13" s="51"/>
      <c r="K13" s="51"/>
      <c r="L13" s="51">
        <f t="shared" si="2"/>
        <v>0</v>
      </c>
    </row>
    <row r="14" spans="1:12" x14ac:dyDescent="0.3">
      <c r="B14" s="51" t="s">
        <v>310</v>
      </c>
      <c r="C14" s="51"/>
      <c r="D14" s="51"/>
      <c r="E14" s="51">
        <f t="shared" si="0"/>
        <v>0</v>
      </c>
      <c r="F14" s="51" t="s">
        <v>307</v>
      </c>
      <c r="G14" s="51"/>
      <c r="H14" s="51"/>
      <c r="I14" s="51">
        <f t="shared" si="1"/>
        <v>0</v>
      </c>
      <c r="J14" s="51"/>
      <c r="K14" s="51"/>
      <c r="L14" s="51">
        <f t="shared" si="2"/>
        <v>0</v>
      </c>
    </row>
    <row r="15" spans="1:12" x14ac:dyDescent="0.3">
      <c r="B15" s="51"/>
      <c r="C15" s="51"/>
      <c r="D15" s="51"/>
      <c r="E15" s="51">
        <f t="shared" si="0"/>
        <v>0</v>
      </c>
      <c r="F15" s="51" t="s">
        <v>309</v>
      </c>
      <c r="G15" s="51"/>
      <c r="H15" s="51"/>
      <c r="I15" s="51">
        <f t="shared" si="1"/>
        <v>0</v>
      </c>
      <c r="J15" s="51"/>
      <c r="K15" s="51"/>
      <c r="L15" s="51">
        <f t="shared" si="2"/>
        <v>0</v>
      </c>
    </row>
    <row r="16" spans="1:12" x14ac:dyDescent="0.3">
      <c r="B16" s="51"/>
      <c r="C16" s="51"/>
      <c r="D16" s="51"/>
      <c r="E16" s="51">
        <f t="shared" si="0"/>
        <v>0</v>
      </c>
      <c r="F16" s="51"/>
      <c r="G16" s="51"/>
      <c r="H16" s="51"/>
      <c r="I16" s="51">
        <f t="shared" si="1"/>
        <v>0</v>
      </c>
      <c r="J16" s="51"/>
      <c r="K16" s="51"/>
      <c r="L16" s="51">
        <f t="shared" si="2"/>
        <v>0</v>
      </c>
    </row>
    <row r="17" spans="2:12" x14ac:dyDescent="0.3">
      <c r="B17" s="51"/>
      <c r="C17" s="51"/>
      <c r="D17" s="51"/>
      <c r="E17" s="51">
        <f t="shared" si="0"/>
        <v>0</v>
      </c>
      <c r="F17" s="51"/>
      <c r="G17" s="51"/>
      <c r="H17" s="51"/>
      <c r="I17" s="51">
        <f t="shared" si="1"/>
        <v>0</v>
      </c>
      <c r="J17" s="51"/>
      <c r="K17" s="51"/>
      <c r="L17" s="51">
        <f t="shared" si="2"/>
        <v>0</v>
      </c>
    </row>
    <row r="18" spans="2:12" x14ac:dyDescent="0.3">
      <c r="B18" s="51" t="s">
        <v>311</v>
      </c>
      <c r="C18" s="51"/>
      <c r="D18" s="51"/>
      <c r="E18" s="51">
        <f t="shared" si="0"/>
        <v>0</v>
      </c>
      <c r="F18" s="51" t="s">
        <v>307</v>
      </c>
      <c r="G18" s="51"/>
      <c r="H18" s="51"/>
      <c r="I18" s="51">
        <f t="shared" si="1"/>
        <v>0</v>
      </c>
      <c r="J18" s="51"/>
      <c r="K18" s="51"/>
      <c r="L18" s="51">
        <f t="shared" si="2"/>
        <v>0</v>
      </c>
    </row>
    <row r="19" spans="2:12" x14ac:dyDescent="0.3">
      <c r="B19" s="51"/>
      <c r="C19" s="51"/>
      <c r="D19" s="51"/>
      <c r="E19" s="51">
        <f t="shared" si="0"/>
        <v>0</v>
      </c>
      <c r="F19" s="51" t="s">
        <v>309</v>
      </c>
      <c r="G19" s="51"/>
      <c r="H19" s="51"/>
      <c r="I19" s="51">
        <f t="shared" si="1"/>
        <v>0</v>
      </c>
      <c r="J19" s="51"/>
      <c r="K19" s="51"/>
      <c r="L19" s="51">
        <f t="shared" si="2"/>
        <v>0</v>
      </c>
    </row>
    <row r="20" spans="2:12" x14ac:dyDescent="0.3">
      <c r="B20" s="51"/>
      <c r="C20" s="51"/>
      <c r="D20" s="51"/>
      <c r="E20" s="51">
        <f t="shared" si="0"/>
        <v>0</v>
      </c>
      <c r="F20" s="51"/>
      <c r="G20" s="51"/>
      <c r="H20" s="51"/>
      <c r="I20" s="51">
        <f t="shared" si="1"/>
        <v>0</v>
      </c>
      <c r="J20" s="51"/>
      <c r="K20" s="51"/>
      <c r="L20" s="51">
        <f t="shared" si="2"/>
        <v>0</v>
      </c>
    </row>
    <row r="21" spans="2:12" x14ac:dyDescent="0.3">
      <c r="B21" s="51" t="s">
        <v>312</v>
      </c>
      <c r="C21" s="51"/>
      <c r="D21" s="51"/>
      <c r="E21" s="51">
        <f t="shared" si="0"/>
        <v>0</v>
      </c>
      <c r="F21" s="51" t="s">
        <v>307</v>
      </c>
      <c r="G21" s="51"/>
      <c r="H21" s="51"/>
      <c r="I21" s="51">
        <f t="shared" si="1"/>
        <v>0</v>
      </c>
      <c r="J21" s="51"/>
      <c r="K21" s="51"/>
      <c r="L21" s="51">
        <f t="shared" si="2"/>
        <v>0</v>
      </c>
    </row>
    <row r="22" spans="2:12" x14ac:dyDescent="0.3">
      <c r="B22" s="51"/>
      <c r="C22" s="51"/>
      <c r="D22" s="51"/>
      <c r="E22" s="51">
        <f t="shared" si="0"/>
        <v>0</v>
      </c>
      <c r="F22" s="51" t="s">
        <v>309</v>
      </c>
      <c r="G22" s="51"/>
      <c r="H22" s="51"/>
      <c r="I22" s="51">
        <f t="shared" si="1"/>
        <v>0</v>
      </c>
      <c r="J22" s="51"/>
      <c r="K22" s="51"/>
      <c r="L22" s="51">
        <f t="shared" si="2"/>
        <v>0</v>
      </c>
    </row>
    <row r="23" spans="2:12" x14ac:dyDescent="0.3">
      <c r="B23" s="51"/>
      <c r="C23" s="51"/>
      <c r="D23" s="51"/>
      <c r="E23" s="51">
        <f t="shared" si="0"/>
        <v>0</v>
      </c>
      <c r="F23" s="51"/>
      <c r="G23" s="51"/>
      <c r="H23" s="51"/>
      <c r="I23" s="51">
        <f t="shared" si="1"/>
        <v>0</v>
      </c>
      <c r="J23" s="51"/>
      <c r="K23" s="51"/>
      <c r="L23" s="51">
        <f t="shared" si="2"/>
        <v>0</v>
      </c>
    </row>
    <row r="24" spans="2:12" x14ac:dyDescent="0.3">
      <c r="B24" s="51" t="s">
        <v>313</v>
      </c>
      <c r="C24" s="51"/>
      <c r="D24" s="51"/>
      <c r="E24" s="51">
        <f t="shared" si="0"/>
        <v>0</v>
      </c>
      <c r="F24" s="51" t="s">
        <v>314</v>
      </c>
      <c r="G24" s="51"/>
      <c r="H24" s="51"/>
      <c r="I24" s="51">
        <f t="shared" si="1"/>
        <v>0</v>
      </c>
      <c r="J24" s="51"/>
      <c r="K24" s="51"/>
      <c r="L24" s="51">
        <f t="shared" si="2"/>
        <v>0</v>
      </c>
    </row>
    <row r="25" spans="2:12" x14ac:dyDescent="0.3">
      <c r="B25" s="51"/>
      <c r="C25" s="51"/>
      <c r="D25" s="51"/>
      <c r="E25" s="51">
        <f t="shared" ref="E25:E27" si="3">C25*D25</f>
        <v>0</v>
      </c>
      <c r="F25" s="51" t="s">
        <v>314</v>
      </c>
      <c r="G25" s="51"/>
      <c r="H25" s="51"/>
      <c r="I25" s="51">
        <f t="shared" ref="I25:I27" si="4">G25*H25</f>
        <v>0</v>
      </c>
      <c r="J25" s="51"/>
      <c r="K25" s="51"/>
      <c r="L25" s="51">
        <f t="shared" ref="L25:L27" si="5">J25*K25</f>
        <v>0</v>
      </c>
    </row>
    <row r="26" spans="2:12" x14ac:dyDescent="0.3">
      <c r="B26" s="51"/>
      <c r="C26" s="51"/>
      <c r="D26" s="51"/>
      <c r="E26" s="51">
        <f t="shared" si="3"/>
        <v>0</v>
      </c>
      <c r="F26" s="51" t="s">
        <v>314</v>
      </c>
      <c r="G26" s="51"/>
      <c r="H26" s="51"/>
      <c r="I26" s="51">
        <f t="shared" si="4"/>
        <v>0</v>
      </c>
      <c r="J26" s="51"/>
      <c r="K26" s="51"/>
      <c r="L26" s="51">
        <f t="shared" si="5"/>
        <v>0</v>
      </c>
    </row>
    <row r="27" spans="2:12" x14ac:dyDescent="0.3">
      <c r="B27" s="51"/>
      <c r="C27" s="51"/>
      <c r="D27" s="51"/>
      <c r="E27" s="51">
        <f t="shared" si="3"/>
        <v>0</v>
      </c>
      <c r="F27" s="51" t="s">
        <v>314</v>
      </c>
      <c r="G27" s="51"/>
      <c r="H27" s="51"/>
      <c r="I27" s="51">
        <f t="shared" si="4"/>
        <v>0</v>
      </c>
      <c r="J27" s="51"/>
      <c r="K27" s="51"/>
      <c r="L27" s="51">
        <f t="shared" si="5"/>
        <v>0</v>
      </c>
    </row>
    <row r="28" spans="2:12" x14ac:dyDescent="0.3">
      <c r="B28" s="51" t="s">
        <v>315</v>
      </c>
      <c r="C28" s="51"/>
      <c r="D28" s="51"/>
      <c r="E28" s="51">
        <f t="shared" si="0"/>
        <v>0</v>
      </c>
      <c r="F28" s="51" t="s">
        <v>314</v>
      </c>
      <c r="G28" s="51"/>
      <c r="H28" s="51"/>
      <c r="I28" s="51">
        <f t="shared" si="1"/>
        <v>0</v>
      </c>
      <c r="J28" s="51"/>
      <c r="K28" s="51"/>
      <c r="L28" s="51">
        <f t="shared" si="2"/>
        <v>0</v>
      </c>
    </row>
    <row r="29" spans="2:12" x14ac:dyDescent="0.3">
      <c r="B29" s="51" t="s">
        <v>316</v>
      </c>
      <c r="C29" s="51"/>
      <c r="D29" s="51"/>
      <c r="E29" s="51">
        <f t="shared" si="0"/>
        <v>0</v>
      </c>
      <c r="F29" s="51" t="s">
        <v>314</v>
      </c>
      <c r="G29" s="51"/>
      <c r="H29" s="51"/>
      <c r="I29" s="51">
        <f t="shared" si="1"/>
        <v>0</v>
      </c>
      <c r="J29" s="51"/>
      <c r="K29" s="51"/>
      <c r="L29" s="51">
        <f t="shared" si="2"/>
        <v>0</v>
      </c>
    </row>
    <row r="30" spans="2:12" x14ac:dyDescent="0.3">
      <c r="B30" s="51" t="s">
        <v>320</v>
      </c>
      <c r="C30" s="51"/>
      <c r="D30" s="51"/>
      <c r="E30" s="51">
        <f t="shared" si="0"/>
        <v>0</v>
      </c>
      <c r="F30" s="51"/>
      <c r="G30" s="51"/>
      <c r="H30" s="51"/>
      <c r="I30" s="51">
        <f t="shared" si="1"/>
        <v>0</v>
      </c>
      <c r="J30" s="51"/>
      <c r="K30" s="51"/>
      <c r="L30" s="51">
        <f t="shared" si="2"/>
        <v>0</v>
      </c>
    </row>
    <row r="31" spans="2:12" x14ac:dyDescent="0.3">
      <c r="B31" s="51"/>
      <c r="C31" s="51"/>
      <c r="D31" s="51"/>
      <c r="E31" s="51">
        <f t="shared" ref="E31:E32" si="6">C31*D31</f>
        <v>0</v>
      </c>
      <c r="F31" s="51"/>
      <c r="G31" s="51"/>
      <c r="H31" s="51"/>
      <c r="I31" s="51">
        <f t="shared" ref="I31:I32" si="7">G31*H31</f>
        <v>0</v>
      </c>
      <c r="J31" s="51"/>
      <c r="K31" s="51"/>
      <c r="L31" s="51">
        <f t="shared" ref="L31:L32" si="8">J31*K31</f>
        <v>0</v>
      </c>
    </row>
    <row r="32" spans="2:12" x14ac:dyDescent="0.3">
      <c r="B32" s="51"/>
      <c r="C32" s="51"/>
      <c r="D32" s="51"/>
      <c r="E32" s="51">
        <f t="shared" si="6"/>
        <v>0</v>
      </c>
      <c r="F32" s="51"/>
      <c r="G32" s="51"/>
      <c r="H32" s="51"/>
      <c r="I32" s="51">
        <f t="shared" si="7"/>
        <v>0</v>
      </c>
      <c r="J32" s="51"/>
      <c r="K32" s="51"/>
      <c r="L32" s="51">
        <f t="shared" si="8"/>
        <v>0</v>
      </c>
    </row>
    <row r="33" spans="2:12" x14ac:dyDescent="0.3">
      <c r="B33" s="51" t="s">
        <v>317</v>
      </c>
      <c r="C33" s="51"/>
      <c r="D33" s="51"/>
      <c r="E33" s="51">
        <f t="shared" si="0"/>
        <v>0</v>
      </c>
      <c r="F33" s="51"/>
      <c r="G33" s="51"/>
      <c r="H33" s="51"/>
      <c r="I33" s="51">
        <f t="shared" si="1"/>
        <v>0</v>
      </c>
      <c r="J33" s="51"/>
      <c r="K33" s="51"/>
      <c r="L33" s="51">
        <f t="shared" si="2"/>
        <v>0</v>
      </c>
    </row>
    <row r="34" spans="2:12" x14ac:dyDescent="0.3">
      <c r="B34" s="51" t="s">
        <v>321</v>
      </c>
      <c r="C34" s="51"/>
      <c r="D34" s="51"/>
      <c r="E34" s="51">
        <f t="shared" si="0"/>
        <v>0</v>
      </c>
      <c r="F34" s="51"/>
      <c r="G34" s="51"/>
      <c r="H34" s="51"/>
      <c r="I34" s="51">
        <f t="shared" si="1"/>
        <v>0</v>
      </c>
      <c r="J34" s="51"/>
      <c r="K34" s="51"/>
      <c r="L34" s="51">
        <f t="shared" si="2"/>
        <v>0</v>
      </c>
    </row>
    <row r="35" spans="2:12" x14ac:dyDescent="0.3">
      <c r="B35" s="51" t="s">
        <v>318</v>
      </c>
      <c r="C35" s="51"/>
      <c r="D35" s="51"/>
      <c r="E35" s="51">
        <f t="shared" si="0"/>
        <v>0</v>
      </c>
      <c r="F35" s="51"/>
      <c r="G35" s="51"/>
      <c r="H35" s="51"/>
      <c r="I35" s="51">
        <f t="shared" si="1"/>
        <v>0</v>
      </c>
      <c r="J35" s="51"/>
      <c r="K35" s="51"/>
      <c r="L35" s="51">
        <f t="shared" si="2"/>
        <v>0</v>
      </c>
    </row>
    <row r="36" spans="2:12" x14ac:dyDescent="0.3">
      <c r="B36" s="51" t="s">
        <v>319</v>
      </c>
      <c r="C36" s="51"/>
      <c r="D36" s="51"/>
      <c r="E36" s="51">
        <f t="shared" si="0"/>
        <v>0</v>
      </c>
      <c r="F36" s="51"/>
      <c r="G36" s="51"/>
      <c r="H36" s="51"/>
      <c r="I36" s="51">
        <f>G36*H36</f>
        <v>0</v>
      </c>
      <c r="J36" s="51"/>
      <c r="K36" s="51"/>
      <c r="L36" s="51">
        <f>J36*K36</f>
        <v>0</v>
      </c>
    </row>
    <row r="37" spans="2:12" x14ac:dyDescent="0.3">
      <c r="B37" s="51"/>
      <c r="C37" s="51"/>
      <c r="D37" s="51"/>
      <c r="E37" s="51">
        <f t="shared" ref="E37:E38" si="9">C37*D37</f>
        <v>0</v>
      </c>
      <c r="F37" s="51"/>
      <c r="G37" s="51"/>
      <c r="H37" s="51"/>
      <c r="I37" s="51">
        <f t="shared" ref="I37:I38" si="10">G37*H37</f>
        <v>0</v>
      </c>
      <c r="J37" s="51"/>
      <c r="K37" s="51"/>
      <c r="L37" s="51">
        <f t="shared" ref="L37:L38" si="11">J37*K37</f>
        <v>0</v>
      </c>
    </row>
    <row r="38" spans="2:12" x14ac:dyDescent="0.3">
      <c r="B38" s="51" t="s">
        <v>322</v>
      </c>
      <c r="C38" s="51"/>
      <c r="D38" s="51"/>
      <c r="E38" s="51">
        <f t="shared" si="9"/>
        <v>0</v>
      </c>
      <c r="F38" s="51"/>
      <c r="G38" s="51"/>
      <c r="H38" s="51"/>
      <c r="I38" s="51">
        <f t="shared" si="10"/>
        <v>0</v>
      </c>
      <c r="J38" s="51"/>
      <c r="K38" s="51"/>
      <c r="L38" s="51">
        <f t="shared" si="11"/>
        <v>0</v>
      </c>
    </row>
    <row r="39" spans="2:12" x14ac:dyDescent="0.3">
      <c r="B39" s="51"/>
      <c r="C39" s="51"/>
      <c r="D39" s="51"/>
      <c r="E39" s="51">
        <f t="shared" si="0"/>
        <v>0</v>
      </c>
      <c r="F39" s="51"/>
      <c r="G39" s="51"/>
      <c r="H39" s="51"/>
      <c r="I39" s="51">
        <f>G39*H39</f>
        <v>0</v>
      </c>
      <c r="J39" s="51"/>
      <c r="K39" s="51"/>
      <c r="L39" s="51">
        <f>J39*K39</f>
        <v>0</v>
      </c>
    </row>
    <row r="40" spans="2:12" x14ac:dyDescent="0.3">
      <c r="B40" s="51"/>
      <c r="C40" s="51"/>
      <c r="D40" s="51"/>
      <c r="E40" s="51">
        <f t="shared" si="0"/>
        <v>0</v>
      </c>
      <c r="F40" s="51"/>
      <c r="G40" s="51"/>
      <c r="H40" s="51"/>
      <c r="I40" s="51">
        <f>G40*H40</f>
        <v>0</v>
      </c>
      <c r="J40" s="51"/>
      <c r="K40" s="51"/>
      <c r="L40" s="51">
        <f>J40*K40</f>
        <v>0</v>
      </c>
    </row>
    <row r="41" spans="2:12" x14ac:dyDescent="0.3">
      <c r="B41" s="51"/>
      <c r="C41" s="51"/>
      <c r="D41" s="51"/>
      <c r="E41" s="51">
        <f t="shared" si="0"/>
        <v>0</v>
      </c>
      <c r="F41" s="51"/>
      <c r="G41" s="51"/>
      <c r="H41" s="51"/>
      <c r="I41" s="51">
        <f>G41*H41</f>
        <v>0</v>
      </c>
      <c r="J41" s="51"/>
      <c r="K41" s="51"/>
      <c r="L41" s="51">
        <f>J41*K41</f>
        <v>0</v>
      </c>
    </row>
    <row r="42" spans="2:12" x14ac:dyDescent="0.3">
      <c r="B42" s="51" t="s">
        <v>143</v>
      </c>
      <c r="C42" s="51"/>
      <c r="D42" s="51">
        <f>E42*10.764</f>
        <v>0</v>
      </c>
      <c r="E42" s="66">
        <f>SUM(E6:E41)</f>
        <v>0</v>
      </c>
      <c r="F42" s="51"/>
      <c r="G42" s="51"/>
      <c r="H42" s="51">
        <f>I42*10.764</f>
        <v>0</v>
      </c>
      <c r="I42" s="65">
        <f>SUM(I6:I41)</f>
        <v>0</v>
      </c>
      <c r="J42" s="51"/>
      <c r="K42" s="51">
        <f>L42*10.764</f>
        <v>0</v>
      </c>
      <c r="L42" s="64">
        <f>SUM(L6:L41)</f>
        <v>0</v>
      </c>
    </row>
    <row r="44" spans="2:12" x14ac:dyDescent="0.3">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2025-09-13T14:07:33Z</cp:lastPrinted>
  <dcterms:created xsi:type="dcterms:W3CDTF">2019-07-16T09:29:46Z</dcterms:created>
  <dcterms:modified xsi:type="dcterms:W3CDTF">2025-09-13T14:08:19Z</dcterms:modified>
</cp:coreProperties>
</file>