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Sept 25\Axis\Dump\"/>
    </mc:Choice>
  </mc:AlternateContent>
  <xr:revisionPtr revIDLastSave="0" documentId="13_ncr:1_{BB2978E9-9D75-439A-A801-38F12AF08776}" xr6:coauthVersionLast="47" xr6:coauthVersionMax="47" xr10:uidLastSave="{00000000-0000-0000-0000-000000000000}"/>
  <bookViews>
    <workbookView xWindow="-108" yWindow="-108" windowWidth="23256" windowHeight="12456" tabRatio="767" xr2:uid="{00000000-000D-0000-FFFF-FFFF00000000}"/>
  </bookViews>
  <sheets>
    <sheet name="Report (2)" sheetId="1" r:id="rId1"/>
    <sheet name="Flat detail" sheetId="3" r:id="rId2"/>
    <sheet name="Note" sheetId="4" r:id="rId3"/>
    <sheet name=" VALUATION" sheetId="7" r:id="rId4"/>
  </sheets>
  <definedNames>
    <definedName name="_xlnm.Print_Area" localSheetId="0">'Report (2)'!$A$1:$J$374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5" i="1" l="1"/>
  <c r="H190" i="1"/>
  <c r="H138" i="1"/>
  <c r="F3" i="1"/>
  <c r="N186" i="1" l="1"/>
  <c r="M187" i="1"/>
  <c r="P228" i="1"/>
  <c r="N224" i="1" l="1"/>
  <c r="N229" i="1"/>
  <c r="D234" i="1" l="1"/>
  <c r="D232" i="1"/>
  <c r="D231" i="1"/>
  <c r="D230" i="1"/>
  <c r="N230" i="1" s="1"/>
  <c r="D228" i="1"/>
  <c r="N228" i="1" s="1"/>
  <c r="D227" i="1"/>
  <c r="N227" i="1" s="1"/>
  <c r="D226" i="1"/>
  <c r="N226" i="1" s="1"/>
  <c r="D225" i="1"/>
  <c r="N225" i="1" s="1"/>
  <c r="F223" i="1"/>
  <c r="D223" i="1"/>
  <c r="N223" i="1" s="1"/>
  <c r="F222" i="1"/>
  <c r="D222" i="1"/>
  <c r="N222" i="1" s="1"/>
  <c r="F221" i="1"/>
  <c r="D221" i="1"/>
  <c r="N221" i="1" s="1"/>
  <c r="M220" i="1"/>
  <c r="D220" i="1"/>
  <c r="N220" i="1" s="1"/>
  <c r="M225" i="1"/>
  <c r="D218" i="1"/>
  <c r="F217" i="1"/>
  <c r="D217" i="1"/>
  <c r="D216" i="1"/>
  <c r="D215" i="1"/>
  <c r="D214" i="1"/>
  <c r="D213" i="1"/>
  <c r="D212" i="1"/>
  <c r="D211" i="1"/>
  <c r="D210" i="1"/>
  <c r="D209" i="1"/>
  <c r="D208" i="1"/>
  <c r="D207" i="1"/>
  <c r="D206" i="1"/>
  <c r="D205" i="1"/>
  <c r="F202" i="1"/>
  <c r="F201" i="1"/>
  <c r="F199" i="1"/>
  <c r="F198" i="1"/>
  <c r="F197" i="1"/>
  <c r="F196" i="1"/>
  <c r="F195" i="1"/>
  <c r="F194" i="1"/>
  <c r="F193" i="1"/>
  <c r="F192" i="1"/>
  <c r="F191" i="1"/>
  <c r="F190" i="1"/>
  <c r="D123" i="1" l="1"/>
  <c r="C123" i="1"/>
  <c r="C130" i="1"/>
  <c r="G217" i="1"/>
  <c r="D130" i="1"/>
  <c r="L221" i="1"/>
  <c r="L222" i="1"/>
  <c r="L223" i="1"/>
  <c r="L220" i="1"/>
  <c r="L228" i="1"/>
  <c r="L227" i="1"/>
  <c r="L226" i="1"/>
  <c r="L225" i="1"/>
  <c r="G234" i="1"/>
  <c r="L234" i="1" s="1"/>
  <c r="L231" i="1"/>
  <c r="L232" i="1"/>
  <c r="L230" i="1"/>
  <c r="D185" i="1"/>
  <c r="G185" i="1" s="1"/>
  <c r="L185" i="1" s="1"/>
  <c r="D187" i="1"/>
  <c r="L187" i="1" s="1"/>
  <c r="D186" i="1"/>
  <c r="L186" i="1" s="1"/>
  <c r="D184" i="1"/>
  <c r="L184" i="1" s="1"/>
  <c r="D182" i="1"/>
  <c r="L182" i="1" s="1"/>
  <c r="D181" i="1"/>
  <c r="L181" i="1" s="1"/>
  <c r="D180" i="1"/>
  <c r="L180" i="1" s="1"/>
  <c r="D179" i="1"/>
  <c r="L179" i="1" s="1"/>
  <c r="F177" i="1"/>
  <c r="F176" i="1"/>
  <c r="F175" i="1"/>
  <c r="F174" i="1"/>
  <c r="D177" i="1"/>
  <c r="D176" i="1"/>
  <c r="D175" i="1"/>
  <c r="D174" i="1"/>
  <c r="D154" i="1"/>
  <c r="G154" i="1" s="1"/>
  <c r="D153" i="1"/>
  <c r="G153" i="1" s="1"/>
  <c r="D152" i="1"/>
  <c r="G152" i="1" s="1"/>
  <c r="D151" i="1"/>
  <c r="D150" i="1"/>
  <c r="G150" i="1" s="1"/>
  <c r="D149" i="1"/>
  <c r="G149" i="1" s="1"/>
  <c r="D148" i="1"/>
  <c r="G148" i="1" s="1"/>
  <c r="D147" i="1"/>
  <c r="G147" i="1" s="1"/>
  <c r="D146" i="1"/>
  <c r="G146" i="1" s="1"/>
  <c r="D145" i="1"/>
  <c r="D144" i="1"/>
  <c r="D143" i="1"/>
  <c r="D142" i="1"/>
  <c r="D141" i="1"/>
  <c r="D140" i="1"/>
  <c r="D139" i="1"/>
  <c r="D138" i="1"/>
  <c r="G151" i="1"/>
  <c r="D277" i="1"/>
  <c r="L277" i="1" s="1"/>
  <c r="D276" i="1"/>
  <c r="L276" i="1" s="1"/>
  <c r="D275" i="1"/>
  <c r="L275" i="1" s="1"/>
  <c r="D273" i="1"/>
  <c r="L273" i="1" s="1"/>
  <c r="D272" i="1"/>
  <c r="L272" i="1" s="1"/>
  <c r="D271" i="1"/>
  <c r="L271" i="1" s="1"/>
  <c r="D270" i="1"/>
  <c r="L270" i="1" s="1"/>
  <c r="D268" i="1"/>
  <c r="L268" i="1" s="1"/>
  <c r="D267" i="1"/>
  <c r="L267" i="1" s="1"/>
  <c r="D266" i="1"/>
  <c r="L266" i="1" s="1"/>
  <c r="F264" i="1"/>
  <c r="D264" i="1"/>
  <c r="D263" i="1"/>
  <c r="F262" i="1"/>
  <c r="D262" i="1"/>
  <c r="D260" i="1"/>
  <c r="D259" i="1"/>
  <c r="D258" i="1"/>
  <c r="D257" i="1"/>
  <c r="D256" i="1"/>
  <c r="D254" i="1"/>
  <c r="D239" i="1"/>
  <c r="D237" i="1"/>
  <c r="G218" i="1"/>
  <c r="G216" i="1"/>
  <c r="G215" i="1"/>
  <c r="G214" i="1"/>
  <c r="D202" i="1"/>
  <c r="G202" i="1" s="1"/>
  <c r="D201" i="1"/>
  <c r="G201" i="1" s="1"/>
  <c r="D200" i="1"/>
  <c r="G200" i="1" s="1"/>
  <c r="D199" i="1"/>
  <c r="G199" i="1" s="1"/>
  <c r="D198" i="1"/>
  <c r="G198" i="1" s="1"/>
  <c r="D196" i="1"/>
  <c r="G196" i="1" s="1"/>
  <c r="D195" i="1"/>
  <c r="G195" i="1" s="1"/>
  <c r="D194" i="1"/>
  <c r="G194" i="1" s="1"/>
  <c r="D192" i="1"/>
  <c r="G192" i="1" s="1"/>
  <c r="D191" i="1"/>
  <c r="G191" i="1" s="1"/>
  <c r="D190" i="1"/>
  <c r="G190" i="1" s="1"/>
  <c r="L176" i="1" l="1"/>
  <c r="D131" i="1"/>
  <c r="C131" i="1"/>
  <c r="D129" i="1"/>
  <c r="C129" i="1"/>
  <c r="L174" i="1"/>
  <c r="L175" i="1"/>
  <c r="L177" i="1"/>
  <c r="D115" i="1"/>
  <c r="C115" i="1"/>
  <c r="D116" i="1"/>
  <c r="C116" i="1"/>
  <c r="D114" i="1"/>
  <c r="C114" i="1"/>
  <c r="G264" i="1"/>
  <c r="L99" i="1"/>
  <c r="L98" i="1"/>
  <c r="L97" i="1"/>
  <c r="L96" i="1"/>
  <c r="L85" i="1"/>
  <c r="L84" i="1"/>
  <c r="L83" i="1"/>
  <c r="L82" i="1"/>
  <c r="L71" i="1"/>
  <c r="L70" i="1"/>
  <c r="D132" i="1" l="1"/>
  <c r="C132" i="1"/>
  <c r="D94" i="1"/>
  <c r="D101" i="1"/>
  <c r="D97" i="1"/>
  <c r="L93" i="1"/>
  <c r="C92" i="1" s="1"/>
  <c r="L91" i="1"/>
  <c r="D100" i="1"/>
  <c r="D96" i="1"/>
  <c r="L92" i="1"/>
  <c r="L94" i="1"/>
  <c r="L95" i="1" s="1"/>
  <c r="L100" i="1" s="1"/>
  <c r="L101" i="1" s="1"/>
  <c r="C93" i="1" s="1"/>
  <c r="D99" i="1"/>
  <c r="D95" i="1"/>
  <c r="D98" i="1"/>
  <c r="D87" i="1"/>
  <c r="D83" i="1"/>
  <c r="L79" i="1"/>
  <c r="C78" i="1" s="1"/>
  <c r="D78" i="1" s="1"/>
  <c r="L77" i="1"/>
  <c r="D86" i="1"/>
  <c r="D82" i="1"/>
  <c r="L80" i="1"/>
  <c r="L81" i="1" s="1"/>
  <c r="L86" i="1" s="1"/>
  <c r="L87" i="1" s="1"/>
  <c r="C79" i="1" s="1"/>
  <c r="D85" i="1"/>
  <c r="D81" i="1"/>
  <c r="D84" i="1"/>
  <c r="D80" i="1"/>
  <c r="L78" i="1"/>
  <c r="D72" i="1"/>
  <c r="D68" i="1"/>
  <c r="D71" i="1"/>
  <c r="D67" i="1"/>
  <c r="L66" i="1"/>
  <c r="L67" i="1" s="1"/>
  <c r="L68" i="1" s="1"/>
  <c r="L69" i="1" s="1"/>
  <c r="D73" i="1"/>
  <c r="L65" i="1"/>
  <c r="C64" i="1" s="1"/>
  <c r="D64" i="1" s="1"/>
  <c r="L64" i="1"/>
  <c r="D70" i="1"/>
  <c r="D66" i="1"/>
  <c r="D69" i="1"/>
  <c r="L63" i="1"/>
  <c r="F92" i="1" l="1"/>
  <c r="D93" i="1"/>
  <c r="H92" i="1"/>
  <c r="D92" i="1"/>
  <c r="F78" i="1"/>
  <c r="K74" i="1" s="1"/>
  <c r="C76" i="1" s="1"/>
  <c r="D79" i="1"/>
  <c r="H78" i="1"/>
  <c r="L72" i="1"/>
  <c r="L73" i="1" s="1"/>
  <c r="C65" i="1" s="1"/>
  <c r="K88" i="1" l="1"/>
  <c r="C90" i="1" s="1"/>
  <c r="F64" i="1"/>
  <c r="K60" i="1" s="1"/>
  <c r="C62" i="1" s="1"/>
  <c r="H64" i="1"/>
  <c r="D65" i="1"/>
  <c r="K185" i="1" l="1"/>
  <c r="F6" i="7"/>
  <c r="G6" i="7" s="1"/>
  <c r="F7" i="7"/>
  <c r="G7" i="7" s="1"/>
  <c r="F8" i="7"/>
  <c r="G8" i="7" s="1"/>
  <c r="F5" i="7"/>
  <c r="G5" i="7" s="1"/>
  <c r="G9" i="7" l="1"/>
  <c r="G213" i="1"/>
  <c r="G212" i="1"/>
  <c r="G211" i="1"/>
  <c r="G210" i="1"/>
  <c r="G209" i="1"/>
  <c r="G208" i="1"/>
  <c r="G207" i="1"/>
  <c r="G206" i="1"/>
  <c r="G205" i="1"/>
  <c r="D197" i="1"/>
  <c r="G197" i="1" s="1"/>
  <c r="D193" i="1"/>
  <c r="G193" i="1" s="1"/>
  <c r="G123" i="1" l="1"/>
  <c r="G116" i="1"/>
  <c r="G117" i="1"/>
  <c r="D117" i="1"/>
  <c r="C117" i="1"/>
  <c r="I156" i="1"/>
  <c r="H256" i="1"/>
  <c r="F41" i="1"/>
  <c r="F38" i="1"/>
  <c r="H275" i="1" l="1"/>
  <c r="H270" i="1"/>
  <c r="H266" i="1"/>
  <c r="H262" i="1"/>
  <c r="H230" i="1"/>
  <c r="H225" i="1"/>
  <c r="H220" i="1"/>
  <c r="H184" i="1"/>
  <c r="H179" i="1"/>
  <c r="H174" i="1"/>
  <c r="G260" i="1"/>
  <c r="G259" i="1"/>
  <c r="G258" i="1"/>
  <c r="G257" i="1"/>
  <c r="G256" i="1"/>
  <c r="G254" i="1"/>
  <c r="D253" i="1"/>
  <c r="G253" i="1" s="1"/>
  <c r="D252" i="1"/>
  <c r="D251" i="1"/>
  <c r="G251" i="1" s="1"/>
  <c r="D250" i="1"/>
  <c r="G250" i="1" s="1"/>
  <c r="D249" i="1"/>
  <c r="G249" i="1" s="1"/>
  <c r="D248" i="1"/>
  <c r="D247" i="1"/>
  <c r="D246" i="1"/>
  <c r="G246" i="1" s="1"/>
  <c r="D245" i="1"/>
  <c r="D244" i="1"/>
  <c r="G244" i="1" s="1"/>
  <c r="D243" i="1"/>
  <c r="G243" i="1" s="1"/>
  <c r="D242" i="1"/>
  <c r="G242" i="1" s="1"/>
  <c r="D241" i="1"/>
  <c r="G239" i="1"/>
  <c r="G237" i="1"/>
  <c r="D172" i="1"/>
  <c r="G172" i="1" s="1"/>
  <c r="D171" i="1"/>
  <c r="G171" i="1" s="1"/>
  <c r="D170" i="1"/>
  <c r="G170" i="1" s="1"/>
  <c r="D169" i="1"/>
  <c r="G169" i="1" s="1"/>
  <c r="D168" i="1"/>
  <c r="G168" i="1" s="1"/>
  <c r="D167" i="1"/>
  <c r="G167" i="1" s="1"/>
  <c r="D166" i="1"/>
  <c r="G166" i="1" s="1"/>
  <c r="D165" i="1"/>
  <c r="G165" i="1" s="1"/>
  <c r="D164" i="1"/>
  <c r="G164" i="1" s="1"/>
  <c r="D163" i="1"/>
  <c r="G163" i="1" s="1"/>
  <c r="D162" i="1"/>
  <c r="G162" i="1" s="1"/>
  <c r="D161" i="1"/>
  <c r="G161" i="1" s="1"/>
  <c r="D160" i="1"/>
  <c r="G160" i="1" s="1"/>
  <c r="D159" i="1"/>
  <c r="G159" i="1" s="1"/>
  <c r="D158" i="1"/>
  <c r="G158" i="1" s="1"/>
  <c r="D157" i="1"/>
  <c r="G157" i="1" s="1"/>
  <c r="D156" i="1"/>
  <c r="G156" i="1" s="1"/>
  <c r="G145" i="1"/>
  <c r="G144" i="1"/>
  <c r="G143" i="1"/>
  <c r="G142" i="1"/>
  <c r="G141" i="1"/>
  <c r="G114" i="1" s="1"/>
  <c r="G140" i="1"/>
  <c r="G139" i="1"/>
  <c r="G138" i="1"/>
  <c r="G129" i="1" l="1"/>
  <c r="G247" i="1"/>
  <c r="D124" i="1"/>
  <c r="C124" i="1"/>
  <c r="G248" i="1"/>
  <c r="G125" i="1" s="1"/>
  <c r="D125" i="1"/>
  <c r="C125" i="1"/>
  <c r="G115" i="1"/>
  <c r="G241" i="1"/>
  <c r="G119" i="1" s="1"/>
  <c r="C119" i="1"/>
  <c r="D119" i="1"/>
  <c r="H263" i="1"/>
  <c r="G131" i="1" s="1"/>
  <c r="G130" i="1"/>
  <c r="G245" i="1"/>
  <c r="G118" i="1" s="1"/>
  <c r="C118" i="1"/>
  <c r="D118" i="1"/>
  <c r="G252" i="1"/>
  <c r="D126" i="1" l="1"/>
  <c r="C126" i="1"/>
  <c r="G132" i="1"/>
  <c r="G120" i="1"/>
  <c r="D120" i="1"/>
  <c r="G124" i="1"/>
  <c r="G126" i="1" s="1"/>
  <c r="C120" i="1"/>
  <c r="D293" i="1"/>
  <c r="G111" i="1"/>
  <c r="D52" i="1"/>
  <c r="C13" i="1"/>
  <c r="F7"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<sst xmlns="http://schemas.openxmlformats.org/spreadsheetml/2006/main" count="649" uniqueCount="272">
  <si>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</si>
  <si>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</si>
  <si>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</si>
  <si>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</si>
  <si>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</si>
  <si>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</si>
  <si>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</si>
  <si>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</si>
  <si>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</si>
  <si>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</si>
  <si>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</si>
  <si>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</si>
  <si>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</si>
  <si>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</si>
  <si>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</si>
  <si>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</si>
  <si>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</si>
  <si>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</si>
  <si>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</si>
  <si>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</si>
  <si>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</si>
  <si>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</si>
  <si>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</si>
  <si>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</si>
  <si>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</si>
  <si>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</si>
  <si>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</si>
  <si>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</si>
  <si>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</si>
  <si>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</si>
  <si>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</si>
  <si>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</si>
  <si>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</si>
  <si>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</si>
  <si>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</si>
  <si>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</si>
  <si>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</si>
  <si>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</si>
  <si>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</si>
  <si>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</si>
  <si>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</si>
  <si>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</si>
  <si>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</si>
  <si>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</si>
  <si>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</si>
  <si>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</si>
  <si>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</si>
  <si>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</si>
  <si>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</si>
  <si>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</si>
  <si>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</si>
  <si>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</si>
  <si>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</si>
  <si>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</si>
  <si>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</si>
  <si>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</si>
  <si>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</si>
  <si>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</si>
  <si>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</si>
  <si>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</si>
  <si>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</si>
  <si>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</si>
  <si>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</si>
  <si>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</si>
  <si>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</si>
  <si>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</si>
  <si>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</si>
  <si>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</si>
  <si>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</si>
  <si>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 xml:space="preserve">Construction details:                                                                  </t>
  </si>
  <si>
    <t>Type of Work</t>
  </si>
  <si>
    <t>Plinth</t>
  </si>
  <si>
    <t>Violations Observed if any : NA</t>
  </si>
  <si>
    <t>Recommended Rates of the Property :</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</si>
  <si>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</si>
  <si>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</si>
  <si>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</si>
  <si>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</si>
  <si>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</si>
  <si>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</si>
  <si>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</si>
  <si>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</si>
  <si>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</si>
  <si>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</si>
  <si>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</si>
  <si>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</si>
  <si>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Saleable area</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</si>
  <si>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</si>
  <si>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</si>
  <si>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</si>
  <si>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</si>
  <si>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</si>
  <si>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</si>
  <si>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</si>
  <si>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</si>
  <si>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</si>
  <si>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</si>
  <si>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</si>
  <si>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</si>
  <si>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</si>
  <si>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</si>
  <si>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</si>
  <si>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</si>
  <si>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</si>
  <si>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</si>
  <si>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</si>
  <si>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</si>
  <si>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</si>
  <si>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</si>
  <si>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</si>
  <si>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</si>
  <si>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</si>
  <si>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</si>
  <si>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</si>
  <si>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</si>
  <si>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</si>
  <si>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</si>
  <si>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</si>
  <si>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</si>
  <si>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</si>
  <si>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</si>
  <si>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</si>
  <si>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</si>
  <si>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</si>
  <si>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</si>
  <si>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</si>
  <si>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</si>
  <si>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</si>
  <si>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</si>
  <si>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</si>
  <si>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</si>
  <si>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</si>
  <si>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</si>
  <si>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</si>
  <si>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</si>
  <si>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</si>
  <si>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Accessibility to the Project from the City: (Proximity to civic amenities like school, hospital, market, etc.)</t>
  </si>
  <si>
    <t>Inspected By :</t>
  </si>
  <si>
    <t>Report Prepared By :</t>
  </si>
  <si>
    <t>No. of Units</t>
  </si>
  <si>
    <t>Authorized Signatory
Name &amp; Seal of the agency</t>
  </si>
  <si>
    <t>Date</t>
  </si>
  <si>
    <t>Axis Sanpada</t>
  </si>
  <si>
    <t>Samrin Heritage</t>
  </si>
  <si>
    <t>0222025811199/2299</t>
  </si>
  <si>
    <t xml:space="preserve">P51700016394
</t>
  </si>
  <si>
    <t>Plot No</t>
  </si>
  <si>
    <t>TPS No</t>
  </si>
  <si>
    <t>Locality</t>
  </si>
  <si>
    <t>Panchpakhadi</t>
  </si>
  <si>
    <t>Thane</t>
  </si>
  <si>
    <t>Almeda Road</t>
  </si>
  <si>
    <t>Shankar Mandir</t>
  </si>
  <si>
    <t>Slum</t>
  </si>
  <si>
    <t xml:space="preserve">Shree Sainath Mandir
</t>
  </si>
  <si>
    <t>The Bullet Station</t>
  </si>
  <si>
    <t>SRA/ENG/016/SEC-2/PVT/AP</t>
  </si>
  <si>
    <t>Ground Floor for Commercial</t>
  </si>
  <si>
    <t>Shop</t>
  </si>
  <si>
    <t>Rehab</t>
  </si>
  <si>
    <t>Office</t>
  </si>
  <si>
    <t>Sale</t>
  </si>
  <si>
    <t>2nd Floor</t>
  </si>
  <si>
    <t>2BHK</t>
  </si>
  <si>
    <t>3BHK</t>
  </si>
  <si>
    <t>Refuge Area</t>
  </si>
  <si>
    <t xml:space="preserve">2nd Floor </t>
  </si>
  <si>
    <t>Building - S3</t>
  </si>
  <si>
    <t>1st Floor for Commercial</t>
  </si>
  <si>
    <t>30A</t>
  </si>
  <si>
    <t xml:space="preserve">3rd Floor </t>
  </si>
  <si>
    <t>1BHK</t>
  </si>
  <si>
    <t>S1</t>
  </si>
  <si>
    <t>S2</t>
  </si>
  <si>
    <t>S3</t>
  </si>
  <si>
    <t>03 Buildings</t>
  </si>
  <si>
    <t>Residential + Commercial</t>
  </si>
  <si>
    <t>Wheather the construction is as per approved Building plan : Under Construction</t>
  </si>
  <si>
    <t xml:space="preserve">Material laying at Site: Bricks, Cement &amp; Steel etc. </t>
  </si>
  <si>
    <t>M/s.Samrin Infra LLP</t>
  </si>
  <si>
    <t>Thane West</t>
  </si>
  <si>
    <t xml:space="preserve">3(Slum) + 1(Non Slum) </t>
  </si>
  <si>
    <t>Ground Floor</t>
  </si>
  <si>
    <t>Ground + 1st Floor</t>
  </si>
  <si>
    <t>Rehab/ Sale</t>
  </si>
  <si>
    <t>-</t>
  </si>
  <si>
    <t>Sale Building - S2</t>
  </si>
  <si>
    <t>Sale Building - S1</t>
  </si>
  <si>
    <t>Sale
(Dupex)</t>
  </si>
  <si>
    <t>Gr. Floor
Shop</t>
  </si>
  <si>
    <t>1st Floor
Office</t>
  </si>
  <si>
    <t>2nd + 3rd Floor</t>
  </si>
  <si>
    <t>Recommended rate of the office Per Sq. Ft. ( on Saleable area)</t>
  </si>
  <si>
    <t>Flat No.</t>
  </si>
  <si>
    <t>Sale Buildings - S1, S2, S3</t>
  </si>
  <si>
    <t>51A</t>
  </si>
  <si>
    <t>36A</t>
  </si>
  <si>
    <t>Market Research Data</t>
  </si>
  <si>
    <t>Source</t>
  </si>
  <si>
    <t>Distance from proposed property</t>
  </si>
  <si>
    <t>Net Carpet</t>
  </si>
  <si>
    <t>Saleable Area</t>
  </si>
  <si>
    <t>Rate on Saleable</t>
  </si>
  <si>
    <t>Market Value</t>
  </si>
  <si>
    <t>Magic Brick</t>
  </si>
  <si>
    <t>Average</t>
  </si>
  <si>
    <t xml:space="preserve">Valuation Adopted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</si>
  <si>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</si>
  <si>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</si>
  <si>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</si>
  <si>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</si>
  <si>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</si>
  <si>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</si>
  <si>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</si>
  <si>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</si>
  <si>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</si>
  <si>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</si>
  <si>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</si>
  <si>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</si>
  <si>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</si>
  <si>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</si>
  <si>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</si>
  <si>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</si>
  <si>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</si>
  <si>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</si>
  <si>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</si>
  <si>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</si>
  <si>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</si>
  <si>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</si>
  <si>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</si>
  <si>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</si>
  <si>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37A</t>
  </si>
  <si>
    <t>28A</t>
  </si>
  <si>
    <t xml:space="preserve">3rd To 6th, 8th To 11th, 13th To 16th, 18th to 21st, 23rd to 26th, 28th to 30th Floor </t>
  </si>
  <si>
    <t xml:space="preserve">7th, 12th, 17th, 22nd, 27th Floor </t>
  </si>
  <si>
    <t>MP Room</t>
  </si>
  <si>
    <t>6BHK
(Duplex Flat)</t>
  </si>
  <si>
    <t xml:space="preserve">4th To 7th, 9th To 12th, 14th To 17th, 19th to 21st Floor </t>
  </si>
  <si>
    <t xml:space="preserve">8th, 13th &amp; 18th Floor </t>
  </si>
  <si>
    <t>32A</t>
  </si>
  <si>
    <t>33A</t>
  </si>
  <si>
    <t>34A</t>
  </si>
  <si>
    <t>Approved Floor plan No</t>
  </si>
  <si>
    <t>7th, 12th, 17th, 22nd, 27th Floor (Part Refuge Area)</t>
  </si>
  <si>
    <t>Sale Residential Area Details : Flat</t>
  </si>
  <si>
    <t>Sale Building - S3</t>
  </si>
  <si>
    <t>Sale Shop</t>
  </si>
  <si>
    <t>Rehab Shop</t>
  </si>
  <si>
    <t xml:space="preserve"> Commercial Area Details : Shop</t>
  </si>
  <si>
    <t xml:space="preserve"> Commercial Area Details : Office</t>
  </si>
  <si>
    <t>Sale Office</t>
  </si>
  <si>
    <t>Rehab Office</t>
  </si>
  <si>
    <t>Attached loft / Terrace area</t>
  </si>
  <si>
    <t>About 1.8 Km from Thane Railway Station</t>
  </si>
  <si>
    <t>Building S3 - Part Basement + G + 1st to 21st Floor</t>
  </si>
  <si>
    <t>5,00,000/-</t>
  </si>
  <si>
    <t xml:space="preserve">Location Link </t>
  </si>
  <si>
    <t>https://goo.gl/maps/nghNrLQEGVSTQL3X7</t>
  </si>
  <si>
    <t>Sale Shop - 17, Rehab Shop - 24, Sale Office - 19, Rehab Office - 1, Sale Flat - 307</t>
  </si>
  <si>
    <t>Building S1 - Part Basement + G + 1st to 37th Floor
Building S2 - Part Basement + G + 1st to 37th Floor
Building S3- Part Basement + G + 1st to 21st Floor</t>
  </si>
  <si>
    <t>Building S2 - Part Basement + G + 1st to 37th Floor</t>
  </si>
  <si>
    <t>Office No. 1031, Wing J, Akshar Business Park, Plot No. 03 Sector 25, Near APMC Market, Vashi, Navi Mumbai, Maharashtra 400703 TEL: 022-46090378/79/80                                                                                                                                                     E mail : vsjcapf@gmail.com. Web site : www.vsjadon.com</t>
  </si>
  <si>
    <t>Ajay Songare</t>
  </si>
  <si>
    <t>Building S1 &amp; S2 - Part Basement + G + 1st to 37th Floor</t>
  </si>
  <si>
    <t>V.P.No.S2T/0018/14
Valid Up to: This CC is further extended from 16th to 29th floor of Sale bldg S1, from 19th to 28th floor of Sale bldg S2 &amp; from 18th to 21st (Pt) floor for Sale bldg S3 as per approved amended plans dtd.12/04/2021.</t>
  </si>
  <si>
    <t>V.P.No.S2T/0018/14
Valid Up to: This CC is further extended for remaining part portion 21st floor including LMR &amp; OHWT of Sale bldg S3 as per approved amended plans dtd.12/04/2021.</t>
  </si>
  <si>
    <t>Proposed no of Floors</t>
  </si>
  <si>
    <t>Building S1 - Part Basement + G + 1st to 30th Floor
Building S2 - Part Basement + G + 1st to 30th Floor
Building S3- Part Basement + G + 1st to 21st Floor</t>
  </si>
  <si>
    <t>Kunal Kadam</t>
  </si>
  <si>
    <t>V.P.No.S2T/0018/14
Valid Up to: This CC is further extended FOR 36th &amp; 37th Floors with OHWT &amp; LMR of Sale Building S1 as per pproved amended plns dtd 19/01/2024 and 36th &amp; 37th Floors with OHWT &amp; LMR of Sale Building S2 as per approved amended plans dtd 16/06/2023.</t>
  </si>
  <si>
    <t>V.P.No.S2T/0018/14
Valid Up to: This Further CC is Re-endorsed upto 29th Floor of Sale Building S1, upto 30th Floor of Sale Building S2 and upto 21st Floor of Sale Building S3 as per approved amended plans dtd 16/06/2023.</t>
  </si>
  <si>
    <t xml:space="preserve">1. S1 &amp; S2 = Construction work is in process at the time of Visit. Internal photographs not allowed.
    S3 = Finishing work is in process at the time of visit. Internal photographs not allowed.
2. We considered Saleable area Flat as per Builder area sheet
    We considered Saleable area of Building No.S3 - Flat No. 203 &amp; Shop as per our calculation.
3. We considered Carpet area as per Approved Plan.
4. We considered Gross carpet area = Net carpet + Enclose balcony + C.B Area+ E.P Area.
5. We have considered rate by verifying it from market inquire.
6. Car parking is subjected to authentic documentation.
7. Recommended rate should be considered as all inclusive rate if other charges are notmentioned.(Excluding GST &amp; other government Taxes)
8. On RERAsite, Building  S1, S2, S3 &amp; S4 are mentioned. S4 is known as Parking Building 
    (only for  parking as per approved plan).
9. On site, we meet Miss. Supriya - 8104374727.
10. We update revised approved plans of S1, S2, S3 (on 27/12/2021)
      Please provide 1st Floor Plan of Building S1
11. We update revised approved plans of S2 (on 14/01/2022).
12. We have updated latest CC from Rera (On 15/06/2024 &amp; 09/09/2025).
13. We have given construction percentage as per proposed no of Floors. Please provide revised Approved Plans &amp; C.C for bldg S1 &amp; S2.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</si>
</sst>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name val="Times New Roman"/>
      <family val="1"/>
    </font>
    <font>
      <sz val="11"/>
      <name val="Times New Roman"/>
      <family val="1"/>
    </font>
    <font>
      <sz val="11"/>
      <color rgb="FFFF0000"/>
      <name val="Calibri"/>
      <family val="2"/>
      <scheme val="minor"/>
    </font>
    <font>
      <sz val="11"/>
      <color rgb="FFFF0000"/>
      <name val="Calibri"/>
      <family val="2"/>
    </font>
    <font>
      <sz val="10"/>
      <name val="Arial"/>
      <family val="2"/>
    </font>
    <font>
      <b/>
      <sz val="12"/>
      <color rgb="FFFF0000"/>
      <name val="Times New Roman"/>
      <family val="1"/>
    </font>
    <font>
      <sz val="12"/>
      <color rgb="FFFF0000"/>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1">
    <xf numFmtId="0" fontId="0" fillId="0" borderId="0"/>
    <xf numFmtId="0" fontId="3" fillId="0" borderId="0"/>
    <xf numFmtId="0" fontId="5" fillId="0" borderId="0"/>
    <xf numFmtId="0" fontId="2" fillId="0" borderId="0"/>
    <xf numFmtId="0" fontId="1" fillId="0" borderId="0"/>
    <xf numFmtId="0" fontId="1" fillId="0" borderId="0"/>
    <xf numFmtId="0" fontId="5" fillId="0" borderId="0"/>
    <xf numFmtId="0" fontId="1" fillId="0" borderId="0"/>
    <xf numFmtId="164" fontId="5" fillId="0" borderId="0" applyFont="0" applyFill="0" applyBorder="0" applyAlignment="0" applyProtection="0"/>
    <xf numFmtId="0" fontId="20" fillId="0" borderId="0"/>
    <xf numFmtId="0" fontId="23" fillId="0" borderId="0" applyNumberFormat="0" applyFill="0" applyBorder="0" applyAlignment="0" applyProtection="0"/>
  </cellStyleXfs>
  <cellXfs count="228">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2"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7" fillId="0" borderId="0" xfId="1" applyFont="1"/>
    <xf numFmtId="0" fontId="6" fillId="0" borderId="0" xfId="2" applyFont="1"/>
    <xf numFmtId="0" fontId="14" fillId="0" borderId="0" xfId="0" applyFont="1"/>
    <xf numFmtId="1" fontId="13" fillId="0" borderId="4" xfId="1" applyNumberFormat="1" applyFont="1" applyBorder="1" applyAlignment="1">
      <alignment horizontal="center" vertical="top" wrapText="1"/>
    </xf>
    <xf numFmtId="1" fontId="16" fillId="0" borderId="4" xfId="1" applyNumberFormat="1" applyFont="1" applyBorder="1" applyAlignment="1">
      <alignment horizontal="center" vertical="top" wrapText="1"/>
    </xf>
    <xf numFmtId="0" fontId="12" fillId="0" borderId="0" xfId="1" applyFont="1"/>
    <xf numFmtId="0" fontId="5" fillId="0" borderId="0" xfId="6"/>
    <xf numFmtId="0" fontId="1" fillId="0" borderId="0" xfId="7"/>
    <xf numFmtId="0" fontId="9" fillId="0" borderId="4" xfId="7" applyFont="1" applyBorder="1" applyAlignment="1">
      <alignment horizontal="center" vertical="top" wrapText="1"/>
    </xf>
    <xf numFmtId="0" fontId="19" fillId="0" borderId="0" xfId="6" applyFont="1"/>
    <xf numFmtId="0" fontId="1" fillId="0" borderId="4" xfId="7" applyBorder="1" applyAlignment="1">
      <alignment horizontal="center" vertical="center"/>
    </xf>
    <xf numFmtId="0" fontId="1" fillId="0" borderId="4" xfId="7" applyBorder="1" applyAlignment="1">
      <alignment horizontal="left" vertical="center"/>
    </xf>
    <xf numFmtId="1" fontId="1" fillId="0" borderId="4" xfId="7" applyNumberFormat="1" applyBorder="1" applyAlignment="1">
      <alignment horizontal="center" vertical="center"/>
    </xf>
    <xf numFmtId="166" fontId="1" fillId="0" borderId="4" xfId="8" applyNumberFormat="1" applyFont="1" applyBorder="1" applyAlignment="1">
      <alignment horizontal="right" vertical="center"/>
    </xf>
    <xf numFmtId="0" fontId="9" fillId="0" borderId="4" xfId="7" applyFont="1" applyBorder="1" applyAlignment="1">
      <alignment horizontal="center" vertical="center"/>
    </xf>
    <xf numFmtId="1" fontId="18" fillId="0" borderId="4" xfId="7" applyNumberFormat="1" applyFont="1" applyBorder="1" applyAlignment="1">
      <alignment horizontal="center" vertical="center"/>
    </xf>
    <xf numFmtId="0" fontId="5" fillId="0" borderId="4" xfId="6" applyBorder="1" applyAlignment="1">
      <alignment horizontal="center" vertical="center"/>
    </xf>
    <xf numFmtId="0" fontId="7" fillId="0" borderId="17" xfId="4" applyFont="1" applyBorder="1" applyProtection="1">
      <protection hidden="1"/>
    </xf>
    <xf numFmtId="0" fontId="7" fillId="0" borderId="18" xfId="4" applyFont="1" applyBorder="1" applyProtection="1">
      <protection hidden="1"/>
    </xf>
    <xf numFmtId="0" fontId="7" fillId="0" borderId="0" xfId="4" applyFont="1" applyProtection="1">
      <protection hidden="1"/>
    </xf>
    <xf numFmtId="0" fontId="7" fillId="0" borderId="21" xfId="4" applyFont="1" applyBorder="1" applyProtection="1">
      <protection hidden="1"/>
    </xf>
    <xf numFmtId="0" fontId="15" fillId="0" borderId="0" xfId="0" applyFont="1" applyProtection="1">
      <protection hidden="1"/>
    </xf>
    <xf numFmtId="0" fontId="7" fillId="0" borderId="21" xfId="4" applyFont="1" applyBorder="1"/>
    <xf numFmtId="0" fontId="15" fillId="0" borderId="21" xfId="0" applyFont="1" applyBorder="1" applyProtection="1">
      <protection hidden="1"/>
    </xf>
    <xf numFmtId="1" fontId="0" fillId="0" borderId="21" xfId="0" applyNumberFormat="1" applyBorder="1"/>
    <xf numFmtId="1" fontId="0" fillId="0" borderId="21" xfId="0" applyNumberFormat="1" applyBorder="1" applyAlignment="1">
      <alignment horizontal="right"/>
    </xf>
    <xf numFmtId="0" fontId="15" fillId="0" borderId="30" xfId="0" applyFont="1" applyBorder="1" applyProtection="1">
      <protection hidden="1"/>
    </xf>
    <xf numFmtId="1" fontId="0" fillId="0" borderId="31" xfId="0" applyNumberFormat="1" applyBorder="1"/>
    <xf numFmtId="1" fontId="12" fillId="0" borderId="4" xfId="1" applyNumberFormat="1" applyFont="1" applyBorder="1" applyAlignment="1">
      <alignment horizontal="center" vertical="center" wrapText="1"/>
    </xf>
    <xf numFmtId="2" fontId="7" fillId="0" borderId="0" xfId="1" applyNumberFormat="1" applyFont="1" applyAlignment="1">
      <alignment horizontal="center" vertical="center"/>
    </xf>
    <xf numFmtId="0" fontId="12" fillId="0" borderId="0" xfId="0" applyFont="1"/>
    <xf numFmtId="1" fontId="6" fillId="0" borderId="4" xfId="1" applyNumberFormat="1" applyFont="1" applyBorder="1" applyAlignment="1">
      <alignment horizontal="center" vertical="center" wrapText="1"/>
    </xf>
    <xf numFmtId="1" fontId="8" fillId="0" borderId="4" xfId="1" applyNumberFormat="1" applyFont="1" applyBorder="1" applyAlignment="1">
      <alignment horizontal="center" vertical="center" wrapText="1"/>
    </xf>
    <xf numFmtId="1" fontId="22" fillId="0" borderId="4" xfId="1" applyNumberFormat="1" applyFont="1" applyBorder="1" applyAlignment="1">
      <alignment horizontal="center" vertical="center" wrapText="1"/>
    </xf>
    <xf numFmtId="1" fontId="21" fillId="0" borderId="4" xfId="1"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6" fillId="0" borderId="32" xfId="0" applyNumberFormat="1" applyFont="1" applyBorder="1" applyAlignment="1">
      <alignment horizontal="center" vertical="center" wrapText="1"/>
    </xf>
    <xf numFmtId="0" fontId="12" fillId="0" borderId="19" xfId="4" applyFont="1" applyBorder="1" applyAlignment="1" applyProtection="1">
      <alignment horizontal="center" vertical="top"/>
      <protection locked="0"/>
    </xf>
    <xf numFmtId="0" fontId="12" fillId="0" borderId="4" xfId="4" applyFont="1" applyBorder="1" applyAlignment="1" applyProtection="1">
      <alignment horizontal="center" vertical="top"/>
      <protection locked="0"/>
    </xf>
    <xf numFmtId="0" fontId="6" fillId="0" borderId="4" xfId="1" applyFont="1" applyBorder="1" applyAlignment="1">
      <alignment horizontal="left" vertical="top"/>
    </xf>
    <xf numFmtId="0" fontId="6" fillId="0" borderId="4" xfId="1" applyFont="1" applyBorder="1" applyAlignment="1">
      <alignment vertical="top"/>
    </xf>
    <xf numFmtId="0" fontId="12" fillId="0" borderId="4" xfId="4" applyFont="1" applyBorder="1" applyAlignment="1" applyProtection="1">
      <alignment horizontal="center" vertical="top" wrapText="1"/>
      <protection locked="0"/>
    </xf>
    <xf numFmtId="0" fontId="12" fillId="0" borderId="4" xfId="4" applyFont="1" applyBorder="1" applyAlignment="1" applyProtection="1">
      <alignment horizontal="center" wrapText="1"/>
      <protection locked="0"/>
    </xf>
    <xf numFmtId="1" fontId="12" fillId="0" borderId="4" xfId="4" applyNumberFormat="1" applyFont="1" applyBorder="1" applyAlignment="1" applyProtection="1">
      <alignment horizontal="center" wrapText="1"/>
      <protection locked="0"/>
    </xf>
    <xf numFmtId="0" fontId="12" fillId="0" borderId="26" xfId="4" applyFont="1" applyBorder="1" applyAlignment="1" applyProtection="1">
      <alignment horizontal="center" wrapText="1"/>
      <protection locked="0"/>
    </xf>
    <xf numFmtId="0" fontId="10" fillId="0" borderId="4" xfId="0" applyFont="1" applyBorder="1" applyAlignment="1">
      <alignment horizontal="center" vertical="center"/>
    </xf>
    <xf numFmtId="1" fontId="7"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7" fillId="0" borderId="4" xfId="0" applyFont="1" applyBorder="1" applyAlignment="1">
      <alignment horizontal="center" vertical="center"/>
    </xf>
    <xf numFmtId="0" fontId="8" fillId="0" borderId="0" xfId="1" applyFont="1" applyAlignment="1">
      <alignment vertical="top"/>
    </xf>
    <xf numFmtId="0" fontId="8" fillId="0" borderId="0" xfId="1" applyFont="1" applyAlignment="1">
      <alignment vertical="top" wrapText="1"/>
    </xf>
    <xf numFmtId="0" fontId="10" fillId="0" borderId="0" xfId="1" applyFont="1"/>
    <xf numFmtId="1" fontId="6" fillId="0" borderId="4" xfId="1"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12" fillId="0" borderId="1" xfId="1" applyFont="1" applyBorder="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1" fontId="13" fillId="0" borderId="1" xfId="1" applyNumberFormat="1" applyFont="1" applyBorder="1" applyAlignment="1">
      <alignment horizontal="center" vertical="top" wrapText="1"/>
    </xf>
    <xf numFmtId="1" fontId="13" fillId="0" borderId="2" xfId="1" applyNumberFormat="1" applyFont="1" applyBorder="1" applyAlignment="1">
      <alignment horizontal="center" vertical="top" wrapText="1"/>
    </xf>
    <xf numFmtId="1" fontId="13" fillId="0" borderId="3" xfId="1" applyNumberFormat="1" applyFont="1" applyBorder="1" applyAlignment="1">
      <alignment horizontal="center" vertical="top" wrapText="1"/>
    </xf>
    <xf numFmtId="1" fontId="22" fillId="0" borderId="4" xfId="1" applyNumberFormat="1" applyFont="1" applyBorder="1" applyAlignment="1">
      <alignment horizontal="center" vertical="center" wrapText="1"/>
    </xf>
    <xf numFmtId="1" fontId="8" fillId="0" borderId="4" xfId="1" applyNumberFormat="1" applyFont="1" applyBorder="1" applyAlignment="1">
      <alignment horizontal="center" vertical="center"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1" fontId="8" fillId="0" borderId="4" xfId="0" applyNumberFormat="1" applyFont="1" applyBorder="1" applyAlignment="1">
      <alignment horizontal="left" vertical="top" wrapText="1"/>
    </xf>
    <xf numFmtId="0" fontId="13" fillId="0" borderId="4" xfId="2" applyFont="1" applyBorder="1" applyAlignment="1">
      <alignment horizontal="left"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65" fontId="6" fillId="0" borderId="1" xfId="1" applyNumberFormat="1" applyFont="1" applyBorder="1" applyAlignment="1">
      <alignment horizontal="left" vertical="top"/>
    </xf>
    <xf numFmtId="165" fontId="6" fillId="0" borderId="2" xfId="1" applyNumberFormat="1" applyFont="1" applyBorder="1" applyAlignment="1">
      <alignment horizontal="left" vertical="top"/>
    </xf>
    <xf numFmtId="165" fontId="6" fillId="0" borderId="3" xfId="1" applyNumberFormat="1" applyFont="1" applyBorder="1" applyAlignment="1">
      <alignment horizontal="left" vertical="top"/>
    </xf>
    <xf numFmtId="0" fontId="12" fillId="0" borderId="1" xfId="1" applyFont="1" applyBorder="1" applyAlignment="1">
      <alignment horizontal="left" vertical="top"/>
    </xf>
    <xf numFmtId="0" fontId="12" fillId="0" borderId="2" xfId="1" applyFont="1" applyBorder="1" applyAlignment="1">
      <alignment horizontal="left" vertical="top"/>
    </xf>
    <xf numFmtId="0" fontId="12" fillId="0" borderId="3" xfId="1" applyFont="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13" fillId="0" borderId="1" xfId="0" applyNumberFormat="1" applyFont="1" applyBorder="1" applyAlignment="1">
      <alignment horizontal="center" vertical="top" wrapText="1"/>
    </xf>
    <xf numFmtId="1" fontId="13" fillId="0" borderId="2" xfId="0" applyNumberFormat="1" applyFont="1" applyBorder="1" applyAlignment="1">
      <alignment horizontal="center" vertical="top" wrapText="1"/>
    </xf>
    <xf numFmtId="1" fontId="13" fillId="0" borderId="3"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 fontId="6" fillId="0" borderId="5" xfId="1" applyNumberFormat="1" applyFont="1" applyBorder="1" applyAlignment="1">
      <alignment horizontal="center" vertical="center" wrapText="1"/>
    </xf>
    <xf numFmtId="1" fontId="6" fillId="0" borderId="6"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0" xfId="1" applyNumberFormat="1" applyFont="1" applyAlignment="1">
      <alignment horizontal="center" vertical="center" wrapText="1"/>
    </xf>
    <xf numFmtId="1" fontId="6" fillId="0" borderId="34"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9"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13" fillId="0" borderId="4" xfId="1"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32" xfId="0" applyNumberFormat="1" applyFont="1" applyBorder="1" applyAlignment="1">
      <alignment horizontal="center" vertical="center" wrapText="1"/>
    </xf>
    <xf numFmtId="1" fontId="6" fillId="0" borderId="33"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6" fillId="0" borderId="4" xfId="1" applyFont="1" applyBorder="1" applyAlignment="1">
      <alignment horizontal="left" vertical="top"/>
    </xf>
    <xf numFmtId="14" fontId="6" fillId="0" borderId="4" xfId="1" applyNumberFormat="1" applyFont="1" applyBorder="1" applyAlignment="1">
      <alignment horizontal="center" vertical="top"/>
    </xf>
    <xf numFmtId="0" fontId="7" fillId="0" borderId="3" xfId="1" applyFont="1" applyBorder="1" applyAlignment="1">
      <alignment horizontal="left"/>
    </xf>
    <xf numFmtId="14" fontId="12" fillId="0" borderId="1" xfId="1" applyNumberFormat="1" applyFont="1" applyBorder="1" applyAlignment="1">
      <alignment horizontal="left" vertical="top"/>
    </xf>
    <xf numFmtId="165" fontId="6" fillId="0" borderId="1" xfId="1" applyNumberFormat="1" applyFont="1" applyBorder="1" applyAlignment="1">
      <alignment horizontal="left" vertical="top" wrapText="1"/>
    </xf>
    <xf numFmtId="165" fontId="6" fillId="0" borderId="2" xfId="1" applyNumberFormat="1" applyFont="1" applyBorder="1" applyAlignment="1">
      <alignment horizontal="left" vertical="top" wrapText="1"/>
    </xf>
    <xf numFmtId="165" fontId="6" fillId="0" borderId="3" xfId="1" applyNumberFormat="1" applyFont="1" applyBorder="1" applyAlignment="1">
      <alignment horizontal="left" vertical="top" wrapText="1"/>
    </xf>
    <xf numFmtId="14" fontId="6" fillId="0" borderId="1" xfId="1" applyNumberFormat="1" applyFont="1" applyBorder="1" applyAlignment="1">
      <alignment horizontal="left" vertical="top" wrapText="1"/>
    </xf>
    <xf numFmtId="0" fontId="12"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4" xfId="1" applyFont="1" applyBorder="1" applyAlignment="1">
      <alignment horizontal="left" vertical="top" wrapText="1"/>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1" fillId="0" borderId="1" xfId="1" applyFont="1" applyBorder="1" applyAlignment="1">
      <alignment horizontal="center" vertical="top" wrapText="1"/>
    </xf>
    <xf numFmtId="0" fontId="11" fillId="0" borderId="2" xfId="1" applyFont="1" applyBorder="1" applyAlignment="1">
      <alignment horizontal="center" vertical="top" wrapText="1"/>
    </xf>
    <xf numFmtId="0" fontId="11" fillId="0" borderId="3" xfId="1" applyFont="1" applyBorder="1" applyAlignment="1">
      <alignment horizontal="center" vertical="top" wrapText="1"/>
    </xf>
    <xf numFmtId="0" fontId="12"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0" fontId="12" fillId="0" borderId="4" xfId="4" applyFont="1" applyBorder="1" applyAlignment="1" applyProtection="1">
      <alignment horizontal="center" vertical="top" wrapText="1"/>
      <protection locked="0"/>
    </xf>
    <xf numFmtId="0" fontId="12" fillId="0" borderId="23" xfId="4" applyFont="1" applyBorder="1" applyAlignment="1" applyProtection="1">
      <alignment horizontal="center" vertical="top" wrapText="1"/>
      <protection locked="0"/>
    </xf>
    <xf numFmtId="9" fontId="12" fillId="0" borderId="5" xfId="4" applyNumberFormat="1" applyFont="1" applyBorder="1" applyAlignment="1" applyProtection="1">
      <alignment horizontal="center" vertical="center" wrapText="1"/>
      <protection hidden="1"/>
    </xf>
    <xf numFmtId="9" fontId="12" fillId="0" borderId="6" xfId="4" applyNumberFormat="1" applyFont="1" applyBorder="1" applyAlignment="1" applyProtection="1">
      <alignment horizontal="center" vertical="center" wrapText="1"/>
      <protection hidden="1"/>
    </xf>
    <xf numFmtId="9" fontId="12" fillId="0" borderId="24" xfId="4" applyNumberFormat="1" applyFont="1" applyBorder="1" applyAlignment="1" applyProtection="1">
      <alignment horizontal="center" vertical="center" wrapText="1"/>
      <protection hidden="1"/>
    </xf>
    <xf numFmtId="9" fontId="12" fillId="0" borderId="11" xfId="4" applyNumberFormat="1" applyFont="1" applyBorder="1" applyAlignment="1" applyProtection="1">
      <alignment horizontal="center" vertical="center" wrapText="1"/>
      <protection hidden="1"/>
    </xf>
    <xf numFmtId="9" fontId="12" fillId="0" borderId="0" xfId="4" applyNumberFormat="1" applyFont="1" applyAlignment="1" applyProtection="1">
      <alignment horizontal="center" vertical="center" wrapText="1"/>
      <protection hidden="1"/>
    </xf>
    <xf numFmtId="9" fontId="12" fillId="0" borderId="21" xfId="4" applyNumberFormat="1" applyFont="1" applyBorder="1" applyAlignment="1" applyProtection="1">
      <alignment horizontal="center" vertical="center" wrapText="1"/>
      <protection hidden="1"/>
    </xf>
    <xf numFmtId="9" fontId="12" fillId="0" borderId="29" xfId="4" applyNumberFormat="1" applyFont="1" applyBorder="1" applyAlignment="1" applyProtection="1">
      <alignment horizontal="center" vertical="center" wrapText="1"/>
      <protection hidden="1"/>
    </xf>
    <xf numFmtId="9" fontId="12" fillId="0" borderId="30" xfId="4" applyNumberFormat="1" applyFont="1" applyBorder="1" applyAlignment="1" applyProtection="1">
      <alignment horizontal="center" vertical="center" wrapText="1"/>
      <protection hidden="1"/>
    </xf>
    <xf numFmtId="9" fontId="12" fillId="0" borderId="31" xfId="4" applyNumberFormat="1" applyFont="1" applyBorder="1" applyAlignment="1" applyProtection="1">
      <alignment horizontal="center" vertical="center" wrapText="1"/>
      <protection hidden="1"/>
    </xf>
    <xf numFmtId="0" fontId="12" fillId="0" borderId="19" xfId="4" applyFont="1" applyBorder="1" applyAlignment="1" applyProtection="1">
      <alignment horizontal="center" vertical="top"/>
      <protection locked="0"/>
    </xf>
    <xf numFmtId="0" fontId="12" fillId="0" borderId="4" xfId="4" applyFont="1" applyBorder="1" applyAlignment="1" applyProtection="1">
      <alignment horizontal="center" vertical="top"/>
      <protection locked="0"/>
    </xf>
    <xf numFmtId="9" fontId="12" fillId="0" borderId="1" xfId="4" applyNumberFormat="1" applyFont="1" applyBorder="1" applyAlignment="1" applyProtection="1">
      <alignment horizontal="center" vertical="center" wrapText="1"/>
      <protection hidden="1"/>
    </xf>
    <xf numFmtId="9" fontId="12" fillId="0" borderId="3" xfId="4" applyNumberFormat="1" applyFont="1" applyBorder="1" applyAlignment="1" applyProtection="1">
      <alignment horizontal="center" vertical="center" wrapText="1"/>
      <protection hidden="1"/>
    </xf>
    <xf numFmtId="0" fontId="12" fillId="0" borderId="25" xfId="4" applyFont="1" applyBorder="1" applyAlignment="1" applyProtection="1">
      <alignment horizontal="center" vertical="top"/>
      <protection locked="0"/>
    </xf>
    <xf numFmtId="0" fontId="12" fillId="0" borderId="26" xfId="4" applyFont="1" applyBorder="1" applyAlignment="1" applyProtection="1">
      <alignment horizontal="center" vertical="top"/>
      <protection locked="0"/>
    </xf>
    <xf numFmtId="9" fontId="12" fillId="0" borderId="4" xfId="4" applyNumberFormat="1" applyFont="1" applyBorder="1" applyAlignment="1" applyProtection="1">
      <alignment horizontal="center" vertical="center" wrapText="1"/>
      <protection hidden="1"/>
    </xf>
    <xf numFmtId="9" fontId="12" fillId="0" borderId="26" xfId="4" applyNumberFormat="1" applyFont="1" applyBorder="1" applyAlignment="1" applyProtection="1">
      <alignment horizontal="center" vertical="center" wrapText="1"/>
      <protection hidden="1"/>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12" fillId="0" borderId="1" xfId="1" applyFont="1" applyBorder="1" applyAlignment="1">
      <alignment horizontal="center" vertical="top"/>
    </xf>
    <xf numFmtId="0" fontId="12" fillId="0" borderId="3" xfId="1" applyFont="1" applyBorder="1" applyAlignment="1">
      <alignment horizontal="center"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13" fillId="0" borderId="1" xfId="1" applyFont="1" applyBorder="1" applyAlignment="1">
      <alignment horizontal="left" vertical="top"/>
    </xf>
    <xf numFmtId="0" fontId="13" fillId="0" borderId="3" xfId="1" applyFont="1" applyBorder="1" applyAlignment="1">
      <alignment horizontal="left" vertical="top"/>
    </xf>
    <xf numFmtId="0" fontId="12" fillId="0" borderId="22" xfId="4" applyFont="1" applyBorder="1" applyAlignment="1" applyProtection="1">
      <alignment horizontal="center" vertical="top"/>
      <protection locked="0"/>
    </xf>
    <xf numFmtId="0" fontId="12" fillId="0" borderId="3" xfId="4" applyFont="1" applyBorder="1" applyAlignment="1" applyProtection="1">
      <alignment horizontal="center" vertical="top"/>
      <protection locked="0"/>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9" fontId="12" fillId="0" borderId="27" xfId="4" applyNumberFormat="1" applyFont="1" applyBorder="1" applyAlignment="1" applyProtection="1">
      <alignment horizontal="center" vertical="center" wrapText="1"/>
      <protection hidden="1"/>
    </xf>
    <xf numFmtId="9" fontId="12" fillId="0" borderId="28" xfId="4" applyNumberFormat="1" applyFont="1" applyBorder="1" applyAlignment="1" applyProtection="1">
      <alignment horizontal="center" vertical="center" wrapText="1"/>
      <protection hidden="1"/>
    </xf>
    <xf numFmtId="0" fontId="13" fillId="0" borderId="12" xfId="4" applyFont="1" applyBorder="1" applyAlignment="1" applyProtection="1">
      <alignment horizontal="center" vertical="top" wrapText="1"/>
      <protection locked="0"/>
    </xf>
    <xf numFmtId="0" fontId="13" fillId="0" borderId="13" xfId="4" applyFont="1" applyBorder="1" applyAlignment="1" applyProtection="1">
      <alignment horizontal="center" vertical="top" wrapText="1"/>
      <protection locked="0"/>
    </xf>
    <xf numFmtId="0" fontId="13" fillId="0" borderId="14" xfId="4" applyFont="1" applyBorder="1" applyAlignment="1" applyProtection="1">
      <alignment horizontal="left" vertical="top" wrapText="1"/>
      <protection locked="0"/>
    </xf>
    <xf numFmtId="0" fontId="13" fillId="0" borderId="15" xfId="4" applyFont="1" applyBorder="1" applyAlignment="1" applyProtection="1">
      <alignment horizontal="left" vertical="top" wrapText="1"/>
      <protection locked="0"/>
    </xf>
    <xf numFmtId="0" fontId="13" fillId="0" borderId="16" xfId="4" applyFont="1" applyBorder="1" applyAlignment="1" applyProtection="1">
      <alignment horizontal="left" vertical="top" wrapText="1"/>
      <protection locked="0"/>
    </xf>
    <xf numFmtId="0" fontId="12" fillId="0" borderId="1" xfId="4" applyFont="1" applyBorder="1" applyAlignment="1" applyProtection="1">
      <alignment horizontal="center" vertical="top"/>
      <protection locked="0"/>
    </xf>
    <xf numFmtId="0" fontId="12" fillId="0" borderId="20" xfId="4" applyFont="1" applyBorder="1" applyAlignment="1" applyProtection="1">
      <alignment horizontal="center" vertical="top"/>
      <protection locked="0"/>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13" fillId="0" borderId="19" xfId="4" applyFont="1" applyBorder="1" applyAlignment="1" applyProtection="1">
      <alignment horizontal="left" vertical="top"/>
      <protection locked="0"/>
    </xf>
    <xf numFmtId="0" fontId="13" fillId="0" borderId="4" xfId="4" applyFont="1" applyBorder="1" applyAlignment="1" applyProtection="1">
      <alignment horizontal="left" vertical="top"/>
      <protection locked="0"/>
    </xf>
    <xf numFmtId="0" fontId="13" fillId="0" borderId="1" xfId="4" applyFont="1" applyBorder="1" applyAlignment="1" applyProtection="1">
      <alignment horizontal="left" vertical="top" wrapText="1"/>
      <protection locked="0"/>
    </xf>
    <xf numFmtId="0" fontId="13" fillId="0" borderId="2" xfId="4" applyFont="1" applyBorder="1" applyAlignment="1" applyProtection="1">
      <alignment horizontal="left" vertical="top" wrapText="1"/>
      <protection locked="0"/>
    </xf>
    <xf numFmtId="0" fontId="13" fillId="0" borderId="20" xfId="4" applyFont="1" applyBorder="1" applyAlignment="1" applyProtection="1">
      <alignment horizontal="left" vertical="top" wrapText="1"/>
      <protection locked="0"/>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8" fillId="0" borderId="4" xfId="1" applyFont="1" applyBorder="1" applyAlignment="1">
      <alignment horizontal="center" vertical="top" wrapText="1"/>
    </xf>
    <xf numFmtId="0" fontId="4" fillId="0" borderId="4" xfId="1" applyFont="1" applyBorder="1" applyAlignment="1">
      <alignment horizontal="center" vertical="top" wrapText="1"/>
    </xf>
    <xf numFmtId="0" fontId="17" fillId="0" borderId="4" xfId="1" applyFont="1" applyBorder="1" applyAlignment="1">
      <alignment horizontal="center" vertical="top" wrapText="1"/>
    </xf>
    <xf numFmtId="0" fontId="13" fillId="0" borderId="2" xfId="1" applyFont="1" applyBorder="1" applyAlignment="1">
      <alignment horizontal="left" vertical="top"/>
    </xf>
    <xf numFmtId="0" fontId="23" fillId="0" borderId="1" xfId="10" applyBorder="1" applyAlignment="1">
      <alignment horizontal="center" vertical="top"/>
    </xf>
    <xf numFmtId="0" fontId="6" fillId="0" borderId="2" xfId="1" applyFont="1" applyBorder="1" applyAlignment="1">
      <alignment horizontal="center" vertical="top"/>
    </xf>
    <xf numFmtId="0" fontId="0" fillId="2" borderId="4" xfId="0" applyFill="1" applyBorder="1" applyAlignment="1">
      <alignment horizontal="center" wrapText="1"/>
    </xf>
    <xf numFmtId="0" fontId="9" fillId="0" borderId="4" xfId="0" applyFont="1" applyBorder="1" applyAlignment="1">
      <alignment horizontal="center"/>
    </xf>
    <xf numFmtId="0" fontId="9" fillId="0" borderId="4" xfId="7" applyFont="1" applyBorder="1" applyAlignment="1">
      <alignment horizontal="left"/>
    </xf>
  </cellXfs>
  <cellStyles count="11">
    <cellStyle name="Comma 2" xfId="8" xr:uid="{00000000-0005-0000-0000-000000000000}"/>
    <cellStyle name="Excel Built-in Normal" xfId="2" xr:uid="{00000000-0005-0000-0000-000001000000}"/>
    <cellStyle name="Excel Built-in Normal 2" xfId="6" xr:uid="{00000000-0005-0000-0000-000002000000}"/>
    <cellStyle name="Hyperlink" xfId="10" builtinId="8"/>
    <cellStyle name="Normal" xfId="0" builtinId="0"/>
    <cellStyle name="Normal 2" xfId="3" xr:uid="{00000000-0005-0000-0000-000005000000}"/>
    <cellStyle name="Normal 2 2" xfId="5" xr:uid="{00000000-0005-0000-0000-000006000000}"/>
    <cellStyle name="Normal 3" xfId="1" xr:uid="{00000000-0005-0000-0000-000007000000}"/>
    <cellStyle name="Normal 3 2" xfId="4" xr:uid="{00000000-0005-0000-0000-000008000000}"/>
    <cellStyle name="Normal 3 3" xfId="9" xr:uid="{00000000-0005-0000-0000-000009000000}"/>
    <cellStyle name="Normal 4"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669129</xdr:colOff>
      <xdr:row>351</xdr:row>
      <xdr:rowOff>83919</xdr:rowOff>
    </xdr:from>
    <xdr:to>
      <xdr:col>9</xdr:col>
      <xdr:colOff>68538</xdr:colOff>
      <xdr:row>369</xdr:row>
      <xdr:rowOff>83467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669129" y="77498357"/>
          <a:ext cx="5447784" cy="3642860"/>
        </a:xfrm>
        <a:prstGeom prst="rect">
          <a:avLst/>
        </a:prstGeom>
        <a:ln>
          <a:solidFill>
            <a:sysClr val="windowText" lastClr="000000"/>
          </a:solidFill>
        </a:ln>
      </xdr:spPr>
    </xdr:pic>
    <xdr:clientData/>
  </xdr:twoCellAnchor>
  <xdr:twoCellAnchor editAs="oneCell">
    <xdr:from>
      <xdr:col>0</xdr:col>
      <xdr:colOff>659715</xdr:colOff>
      <xdr:row>333</xdr:row>
      <xdr:rowOff>5412</xdr:rowOff>
    </xdr:from>
    <xdr:to>
      <xdr:col>9</xdr:col>
      <xdr:colOff>38772</xdr:colOff>
      <xdr:row>351</xdr:row>
      <xdr:rowOff>10752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659715" y="73776537"/>
          <a:ext cx="5427432" cy="3648654"/>
        </a:xfrm>
        <a:prstGeom prst="rect">
          <a:avLst/>
        </a:prstGeom>
        <a:ln>
          <a:solidFill>
            <a:sysClr val="windowText" lastClr="000000"/>
          </a:solidFill>
        </a:ln>
      </xdr:spPr>
    </xdr:pic>
    <xdr:clientData/>
  </xdr:twoCellAnchor>
  <xdr:twoCellAnchor>
    <xdr:from>
      <xdr:col>17</xdr:col>
      <xdr:colOff>586383</xdr:colOff>
      <xdr:row>293</xdr:row>
      <xdr:rowOff>190500</xdr:rowOff>
    </xdr:from>
    <xdr:to>
      <xdr:col>18</xdr:col>
      <xdr:colOff>387473</xdr:colOff>
      <xdr:row>295</xdr:row>
      <xdr:rowOff>159782</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11635383" y="65055750"/>
          <a:ext cx="41069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S3</a:t>
          </a:r>
          <a:endParaRPr lang="en-IN" b="1">
            <a:solidFill>
              <a:srgbClr val="FF0000"/>
            </a:solidFill>
          </a:endParaRPr>
        </a:p>
      </xdr:txBody>
    </xdr:sp>
    <xdr:clientData/>
  </xdr:twoCellAnchor>
  <xdr:twoCellAnchor editAs="oneCell">
    <xdr:from>
      <xdr:col>12</xdr:col>
      <xdr:colOff>479714</xdr:colOff>
      <xdr:row>67</xdr:row>
      <xdr:rowOff>38100</xdr:rowOff>
    </xdr:from>
    <xdr:to>
      <xdr:col>20</xdr:col>
      <xdr:colOff>271897</xdr:colOff>
      <xdr:row>98</xdr:row>
      <xdr:rowOff>127000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671214" y="18716625"/>
          <a:ext cx="4668983" cy="3717925"/>
        </a:xfrm>
        <a:prstGeom prst="rect">
          <a:avLst/>
        </a:prstGeom>
      </xdr:spPr>
    </xdr:pic>
    <xdr:clientData/>
  </xdr:twoCellAnchor>
  <xdr:twoCellAnchor>
    <xdr:from>
      <xdr:col>2</xdr:col>
      <xdr:colOff>781050</xdr:colOff>
      <xdr:row>295</xdr:row>
      <xdr:rowOff>19050</xdr:rowOff>
    </xdr:from>
    <xdr:to>
      <xdr:col>4</xdr:col>
      <xdr:colOff>313865</xdr:colOff>
      <xdr:row>297</xdr:row>
      <xdr:rowOff>2666</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2428875" y="62045850"/>
          <a:ext cx="904415"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b="1">
            <a:solidFill>
              <a:srgbClr val="FF0000"/>
            </a:solidFill>
          </a:endParaRPr>
        </a:p>
      </xdr:txBody>
    </xdr:sp>
    <xdr:clientData/>
  </xdr:twoCellAnchor>
  <xdr:twoCellAnchor>
    <xdr:from>
      <xdr:col>10</xdr:col>
      <xdr:colOff>336550</xdr:colOff>
      <xdr:row>289</xdr:row>
      <xdr:rowOff>142875</xdr:rowOff>
    </xdr:from>
    <xdr:to>
      <xdr:col>12</xdr:col>
      <xdr:colOff>43990</xdr:colOff>
      <xdr:row>291</xdr:row>
      <xdr:rowOff>112157</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7308850" y="62817375"/>
          <a:ext cx="92664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S1 &amp; S2</a:t>
          </a:r>
        </a:p>
      </xdr:txBody>
    </xdr:sp>
    <xdr:clientData/>
  </xdr:twoCellAnchor>
  <xdr:twoCellAnchor>
    <xdr:from>
      <xdr:col>16</xdr:col>
      <xdr:colOff>585509</xdr:colOff>
      <xdr:row>289</xdr:row>
      <xdr:rowOff>180976</xdr:rowOff>
    </xdr:from>
    <xdr:to>
      <xdr:col>17</xdr:col>
      <xdr:colOff>377826</xdr:colOff>
      <xdr:row>291</xdr:row>
      <xdr:rowOff>161417</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11215409" y="62855476"/>
          <a:ext cx="401917" cy="38049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S3</a:t>
          </a:r>
        </a:p>
      </xdr:txBody>
    </xdr:sp>
    <xdr:clientData/>
  </xdr:twoCellAnchor>
  <xdr:twoCellAnchor>
    <xdr:from>
      <xdr:col>11</xdr:col>
      <xdr:colOff>613410</xdr:colOff>
      <xdr:row>294</xdr:row>
      <xdr:rowOff>17145</xdr:rowOff>
    </xdr:from>
    <xdr:to>
      <xdr:col>22</xdr:col>
      <xdr:colOff>289917</xdr:colOff>
      <xdr:row>322</xdr:row>
      <xdr:rowOff>51570</xdr:rowOff>
    </xdr:to>
    <xdr:grpSp>
      <xdr:nvGrpSpPr>
        <xdr:cNvPr id="29" name="Group 28">
          <a:extLst>
            <a:ext uri="{FF2B5EF4-FFF2-40B4-BE49-F238E27FC236}">
              <a16:creationId xmlns:a16="http://schemas.microsoft.com/office/drawing/2014/main" id="{870F99F4-91B6-422B-B170-E5CB4F08B5E7}"/>
            </a:ext>
          </a:extLst>
        </xdr:cNvPr>
        <xdr:cNvGrpSpPr/>
      </xdr:nvGrpSpPr>
      <xdr:grpSpPr>
        <a:xfrm>
          <a:off x="8408670" y="66661665"/>
          <a:ext cx="6549747" cy="5574165"/>
          <a:chOff x="252992" y="438150"/>
          <a:chExt cx="6380202" cy="5625600"/>
        </a:xfrm>
      </xdr:grpSpPr>
      <xdr:grpSp>
        <xdr:nvGrpSpPr>
          <xdr:cNvPr id="30" name="Group 29">
            <a:extLst>
              <a:ext uri="{FF2B5EF4-FFF2-40B4-BE49-F238E27FC236}">
                <a16:creationId xmlns:a16="http://schemas.microsoft.com/office/drawing/2014/main" id="{1891A657-A5DE-4117-A665-D62D6537BD18}"/>
              </a:ext>
            </a:extLst>
          </xdr:cNvPr>
          <xdr:cNvGrpSpPr/>
        </xdr:nvGrpSpPr>
        <xdr:grpSpPr>
          <a:xfrm>
            <a:off x="252992" y="438150"/>
            <a:ext cx="6380202" cy="5569950"/>
            <a:chOff x="367292" y="438150"/>
            <a:chExt cx="6380202" cy="5569950"/>
          </a:xfrm>
        </xdr:grpSpPr>
        <xdr:pic>
          <xdr:nvPicPr>
            <xdr:cNvPr id="34" name="Picture 33">
              <a:extLst>
                <a:ext uri="{FF2B5EF4-FFF2-40B4-BE49-F238E27FC236}">
                  <a16:creationId xmlns:a16="http://schemas.microsoft.com/office/drawing/2014/main" id="{B8931D9E-5C18-422D-88E5-A2FAC38669D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67293" y="438150"/>
              <a:ext cx="3133012" cy="3240000"/>
            </a:xfrm>
            <a:prstGeom prst="rect">
              <a:avLst/>
            </a:prstGeom>
            <a:ln>
              <a:solidFill>
                <a:schemeClr val="tx1"/>
              </a:solidFill>
            </a:ln>
          </xdr:spPr>
        </xdr:pic>
        <xdr:pic>
          <xdr:nvPicPr>
            <xdr:cNvPr id="35" name="Picture 34">
              <a:extLst>
                <a:ext uri="{FF2B5EF4-FFF2-40B4-BE49-F238E27FC236}">
                  <a16:creationId xmlns:a16="http://schemas.microsoft.com/office/drawing/2014/main" id="{4D4B0314-78D6-4713-95E5-45435617959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67292" y="3848100"/>
              <a:ext cx="1618312" cy="2160000"/>
            </a:xfrm>
            <a:prstGeom prst="rect">
              <a:avLst/>
            </a:prstGeom>
            <a:ln>
              <a:solidFill>
                <a:schemeClr val="tx1"/>
              </a:solidFill>
            </a:ln>
          </xdr:spPr>
        </xdr:pic>
        <xdr:pic>
          <xdr:nvPicPr>
            <xdr:cNvPr id="36" name="Picture 35">
              <a:extLst>
                <a:ext uri="{FF2B5EF4-FFF2-40B4-BE49-F238E27FC236}">
                  <a16:creationId xmlns:a16="http://schemas.microsoft.com/office/drawing/2014/main" id="{078EB939-3AB0-4F9A-9DCE-D83CE528244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679112" y="438150"/>
              <a:ext cx="3068382" cy="3240000"/>
            </a:xfrm>
            <a:prstGeom prst="rect">
              <a:avLst/>
            </a:prstGeom>
            <a:ln>
              <a:solidFill>
                <a:schemeClr val="tx1"/>
              </a:solidFill>
            </a:ln>
          </xdr:spPr>
        </xdr:pic>
        <xdr:pic>
          <xdr:nvPicPr>
            <xdr:cNvPr id="37" name="Picture 36">
              <a:extLst>
                <a:ext uri="{FF2B5EF4-FFF2-40B4-BE49-F238E27FC236}">
                  <a16:creationId xmlns:a16="http://schemas.microsoft.com/office/drawing/2014/main" id="{3AA827EF-FAE3-40A6-980A-6228843FC897}"/>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5129182" y="3848100"/>
              <a:ext cx="1618312"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BC5789E4-7E3C-4E9B-B0B2-2E0EC66ADDA5}"/>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110764" y="3848100"/>
              <a:ext cx="2877333" cy="2160000"/>
            </a:xfrm>
            <a:prstGeom prst="rect">
              <a:avLst/>
            </a:prstGeom>
            <a:ln>
              <a:solidFill>
                <a:schemeClr val="tx1"/>
              </a:solidFill>
            </a:ln>
          </xdr:spPr>
        </xdr:pic>
      </xdr:grpSp>
      <xdr:sp macro="" textlink="">
        <xdr:nvSpPr>
          <xdr:cNvPr id="31" name="TextBox 218">
            <a:extLst>
              <a:ext uri="{FF2B5EF4-FFF2-40B4-BE49-F238E27FC236}">
                <a16:creationId xmlns:a16="http://schemas.microsoft.com/office/drawing/2014/main" id="{A08F4DDE-E54D-479B-AEF8-FD3BB9C9DCB2}"/>
              </a:ext>
            </a:extLst>
          </xdr:cNvPr>
          <xdr:cNvSpPr txBox="1"/>
        </xdr:nvSpPr>
        <xdr:spPr>
          <a:xfrm>
            <a:off x="744739" y="2209800"/>
            <a:ext cx="1141659"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S1 &amp; S2</a:t>
            </a:r>
            <a:endParaRPr lang="en-IN" sz="2400" b="1">
              <a:solidFill>
                <a:srgbClr val="FF0000"/>
              </a:solidFill>
            </a:endParaRPr>
          </a:p>
        </xdr:txBody>
      </xdr:sp>
      <xdr:sp macro="" textlink="">
        <xdr:nvSpPr>
          <xdr:cNvPr id="32" name="TextBox 219">
            <a:extLst>
              <a:ext uri="{FF2B5EF4-FFF2-40B4-BE49-F238E27FC236}">
                <a16:creationId xmlns:a16="http://schemas.microsoft.com/office/drawing/2014/main" id="{3A4FA5D9-2CF7-424A-AA6E-1D0F64D0EF08}"/>
              </a:ext>
            </a:extLst>
          </xdr:cNvPr>
          <xdr:cNvSpPr txBox="1"/>
        </xdr:nvSpPr>
        <xdr:spPr>
          <a:xfrm>
            <a:off x="4387767" y="1295400"/>
            <a:ext cx="48603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S3</a:t>
            </a:r>
            <a:endParaRPr lang="en-IN" sz="2400" b="1">
              <a:solidFill>
                <a:srgbClr val="FF0000"/>
              </a:solidFill>
            </a:endParaRPr>
          </a:p>
        </xdr:txBody>
      </xdr:sp>
      <xdr:sp macro="" textlink="">
        <xdr:nvSpPr>
          <xdr:cNvPr id="33" name="TextBox 220">
            <a:extLst>
              <a:ext uri="{FF2B5EF4-FFF2-40B4-BE49-F238E27FC236}">
                <a16:creationId xmlns:a16="http://schemas.microsoft.com/office/drawing/2014/main" id="{731F0D54-B1AF-4C84-B093-7485EC2FA703}"/>
              </a:ext>
            </a:extLst>
          </xdr:cNvPr>
          <xdr:cNvSpPr txBox="1"/>
        </xdr:nvSpPr>
        <xdr:spPr>
          <a:xfrm>
            <a:off x="491318" y="5602085"/>
            <a:ext cx="1141659"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S1 &amp; S2</a:t>
            </a:r>
            <a:endParaRPr lang="en-IN" sz="2400" b="1">
              <a:solidFill>
                <a:srgbClr val="FF0000"/>
              </a:solidFill>
            </a:endParaRPr>
          </a:p>
        </xdr:txBody>
      </xdr:sp>
    </xdr:grpSp>
    <xdr:clientData/>
  </xdr:twoCellAnchor>
  <xdr:twoCellAnchor>
    <xdr:from>
      <xdr:col>0</xdr:col>
      <xdr:colOff>609600</xdr:colOff>
      <xdr:row>294</xdr:row>
      <xdr:rowOff>22861</xdr:rowOff>
    </xdr:from>
    <xdr:to>
      <xdr:col>9</xdr:col>
      <xdr:colOff>311134</xdr:colOff>
      <xdr:row>327</xdr:row>
      <xdr:rowOff>77506</xdr:rowOff>
    </xdr:to>
    <xdr:grpSp>
      <xdr:nvGrpSpPr>
        <xdr:cNvPr id="5" name="Group 4">
          <a:extLst>
            <a:ext uri="{FF2B5EF4-FFF2-40B4-BE49-F238E27FC236}">
              <a16:creationId xmlns:a16="http://schemas.microsoft.com/office/drawing/2014/main" id="{0B1D6E5A-B856-B5F1-AC6F-58EA24631B84}"/>
            </a:ext>
          </a:extLst>
        </xdr:cNvPr>
        <xdr:cNvGrpSpPr/>
      </xdr:nvGrpSpPr>
      <xdr:grpSpPr>
        <a:xfrm>
          <a:off x="609600" y="66667381"/>
          <a:ext cx="5919454" cy="6584985"/>
          <a:chOff x="300443" y="255952"/>
          <a:chExt cx="5919454" cy="6584985"/>
        </a:xfrm>
      </xdr:grpSpPr>
      <xdr:pic>
        <xdr:nvPicPr>
          <xdr:cNvPr id="7" name="Picture 6">
            <a:extLst>
              <a:ext uri="{FF2B5EF4-FFF2-40B4-BE49-F238E27FC236}">
                <a16:creationId xmlns:a16="http://schemas.microsoft.com/office/drawing/2014/main" id="{6DA71118-7CAB-8134-F5DD-BEEB5D211E2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57983" y="4320937"/>
            <a:ext cx="1888031" cy="2520000"/>
          </a:xfrm>
          <a:prstGeom prst="rect">
            <a:avLst/>
          </a:prstGeom>
          <a:ln>
            <a:solidFill>
              <a:schemeClr val="tx1"/>
            </a:solidFill>
          </a:ln>
        </xdr:spPr>
      </xdr:pic>
      <xdr:pic>
        <xdr:nvPicPr>
          <xdr:cNvPr id="8" name="Picture 7">
            <a:extLst>
              <a:ext uri="{FF2B5EF4-FFF2-40B4-BE49-F238E27FC236}">
                <a16:creationId xmlns:a16="http://schemas.microsoft.com/office/drawing/2014/main" id="{C5AD674F-92B6-1093-EDA1-C3712B67AE9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05468" y="4320937"/>
            <a:ext cx="3356889" cy="2520000"/>
          </a:xfrm>
          <a:prstGeom prst="rect">
            <a:avLst/>
          </a:prstGeom>
          <a:ln>
            <a:solidFill>
              <a:schemeClr val="tx1"/>
            </a:solidFill>
          </a:ln>
        </xdr:spPr>
      </xdr:pic>
      <xdr:pic>
        <xdr:nvPicPr>
          <xdr:cNvPr id="9" name="Picture 8">
            <a:extLst>
              <a:ext uri="{FF2B5EF4-FFF2-40B4-BE49-F238E27FC236}">
                <a16:creationId xmlns:a16="http://schemas.microsoft.com/office/drawing/2014/main" id="{A8BAE933-BA52-CB7E-0C69-C3690B414A3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00443" y="255953"/>
            <a:ext cx="2880000" cy="3844005"/>
          </a:xfrm>
          <a:prstGeom prst="rect">
            <a:avLst/>
          </a:prstGeom>
          <a:ln>
            <a:solidFill>
              <a:schemeClr val="tx1"/>
            </a:solidFill>
          </a:ln>
        </xdr:spPr>
      </xdr:pic>
      <xdr:pic>
        <xdr:nvPicPr>
          <xdr:cNvPr id="10" name="Picture 9">
            <a:extLst>
              <a:ext uri="{FF2B5EF4-FFF2-40B4-BE49-F238E27FC236}">
                <a16:creationId xmlns:a16="http://schemas.microsoft.com/office/drawing/2014/main" id="{BC5E2CB5-B440-9D4A-6A59-F3EC1D6E012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339897" y="255952"/>
            <a:ext cx="2880000" cy="3844005"/>
          </a:xfrm>
          <a:prstGeom prst="rect">
            <a:avLst/>
          </a:prstGeom>
          <a:ln>
            <a:solidFill>
              <a:schemeClr val="tx1"/>
            </a:solidFill>
          </a:ln>
        </xdr:spPr>
      </xdr:pic>
      <xdr:sp macro="" textlink="">
        <xdr:nvSpPr>
          <xdr:cNvPr id="12" name="TextBox 13">
            <a:extLst>
              <a:ext uri="{FF2B5EF4-FFF2-40B4-BE49-F238E27FC236}">
                <a16:creationId xmlns:a16="http://schemas.microsoft.com/office/drawing/2014/main" id="{189F2070-BC03-8276-B189-78FA6AF299E2}"/>
              </a:ext>
            </a:extLst>
          </xdr:cNvPr>
          <xdr:cNvSpPr txBox="1"/>
        </xdr:nvSpPr>
        <xdr:spPr>
          <a:xfrm>
            <a:off x="4902967" y="278811"/>
            <a:ext cx="36099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S3</a:t>
            </a:r>
            <a:endParaRPr lang="en-IN" sz="1400" b="1"/>
          </a:p>
        </xdr:txBody>
      </xdr:sp>
      <xdr:sp macro="" textlink="">
        <xdr:nvSpPr>
          <xdr:cNvPr id="13" name="TextBox 14">
            <a:extLst>
              <a:ext uri="{FF2B5EF4-FFF2-40B4-BE49-F238E27FC236}">
                <a16:creationId xmlns:a16="http://schemas.microsoft.com/office/drawing/2014/main" id="{0699C5B6-3C05-044E-3B51-03951E696744}"/>
              </a:ext>
            </a:extLst>
          </xdr:cNvPr>
          <xdr:cNvSpPr txBox="1"/>
        </xdr:nvSpPr>
        <xdr:spPr>
          <a:xfrm>
            <a:off x="557983" y="255952"/>
            <a:ext cx="7441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S1 &amp; S2</a:t>
            </a:r>
            <a:endParaRPr lang="en-IN" sz="1400" b="1"/>
          </a:p>
        </xdr:txBody>
      </xdr:sp>
    </xdr:grpSp>
    <xdr:clientData/>
  </xdr:twoCellAnchor>
  <xdr:twoCellAnchor editAs="oneCell">
    <xdr:from>
      <xdr:col>10</xdr:col>
      <xdr:colOff>320040</xdr:colOff>
      <xdr:row>49</xdr:row>
      <xdr:rowOff>205740</xdr:rowOff>
    </xdr:from>
    <xdr:to>
      <xdr:col>16</xdr:col>
      <xdr:colOff>171000</xdr:colOff>
      <xdr:row>49</xdr:row>
      <xdr:rowOff>1770263</xdr:rowOff>
    </xdr:to>
    <xdr:pic>
      <xdr:nvPicPr>
        <xdr:cNvPr id="14" name="Picture 13">
          <a:extLst>
            <a:ext uri="{FF2B5EF4-FFF2-40B4-BE49-F238E27FC236}">
              <a16:creationId xmlns:a16="http://schemas.microsoft.com/office/drawing/2014/main" id="{31535375-C721-C749-9867-FE1A4EBEE916}"/>
            </a:ext>
          </a:extLst>
        </xdr:cNvPr>
        <xdr:cNvPicPr>
          <a:picLocks noChangeAspect="1"/>
        </xdr:cNvPicPr>
      </xdr:nvPicPr>
      <xdr:blipFill>
        <a:blip xmlns:r="http://schemas.openxmlformats.org/officeDocument/2006/relationships" r:embed="rId13"/>
        <a:stretch>
          <a:fillRect/>
        </a:stretch>
      </xdr:blipFill>
      <xdr:spPr>
        <a:xfrm>
          <a:off x="7490460" y="14157960"/>
          <a:ext cx="3600000" cy="1564523"/>
        </a:xfrm>
        <a:prstGeom prst="rect">
          <a:avLst/>
        </a:prstGeom>
      </xdr:spPr>
    </xdr:pic>
    <xdr:clientData/>
  </xdr:twoCellAnchor>
  <xdr:twoCellAnchor editAs="oneCell">
    <xdr:from>
      <xdr:col>10</xdr:col>
      <xdr:colOff>350520</xdr:colOff>
      <xdr:row>48</xdr:row>
      <xdr:rowOff>30481</xdr:rowOff>
    </xdr:from>
    <xdr:to>
      <xdr:col>16</xdr:col>
      <xdr:colOff>201480</xdr:colOff>
      <xdr:row>49</xdr:row>
      <xdr:rowOff>10780</xdr:rowOff>
    </xdr:to>
    <xdr:pic>
      <xdr:nvPicPr>
        <xdr:cNvPr id="15" name="Picture 14">
          <a:extLst>
            <a:ext uri="{FF2B5EF4-FFF2-40B4-BE49-F238E27FC236}">
              <a16:creationId xmlns:a16="http://schemas.microsoft.com/office/drawing/2014/main" id="{AB4F579C-8712-2CB1-67F8-ADCA538C3F6A}"/>
            </a:ext>
          </a:extLst>
        </xdr:cNvPr>
        <xdr:cNvPicPr>
          <a:picLocks noChangeAspect="1"/>
        </xdr:cNvPicPr>
      </xdr:nvPicPr>
      <xdr:blipFill>
        <a:blip xmlns:r="http://schemas.openxmlformats.org/officeDocument/2006/relationships" r:embed="rId14"/>
        <a:stretch>
          <a:fillRect/>
        </a:stretch>
      </xdr:blipFill>
      <xdr:spPr>
        <a:xfrm>
          <a:off x="7520940" y="12534901"/>
          <a:ext cx="3600000" cy="1428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19080</xdr:colOff>
      <xdr:row>12</xdr:row>
      <xdr:rowOff>0</xdr:rowOff>
    </xdr:from>
    <xdr:to>
      <xdr:col>5</xdr:col>
      <xdr:colOff>1068550</xdr:colOff>
      <xdr:row>30</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28680" y="2286000"/>
          <a:ext cx="6754945" cy="3600000"/>
        </a:xfrm>
        <a:prstGeom prst="rect">
          <a:avLst/>
        </a:prstGeom>
        <a:ln>
          <a:solidFill>
            <a:schemeClr val="tx1"/>
          </a:solidFill>
        </a:ln>
      </xdr:spPr>
    </xdr:pic>
    <xdr:clientData/>
  </xdr:twoCellAnchor>
  <xdr:twoCellAnchor editAs="oneCell">
    <xdr:from>
      <xdr:col>1</xdr:col>
      <xdr:colOff>0</xdr:colOff>
      <xdr:row>31</xdr:row>
      <xdr:rowOff>143163</xdr:rowOff>
    </xdr:from>
    <xdr:to>
      <xdr:col>5</xdr:col>
      <xdr:colOff>1049470</xdr:colOff>
      <xdr:row>50</xdr:row>
      <xdr:rowOff>123663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09600" y="6048663"/>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ghNrLQEGVSTQL3X7"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33"/>
  <sheetViews>
    <sheetView tabSelected="1" view="pageBreakPreview" zoomScaleSheetLayoutView="100" zoomScalePageLayoutView="85" workbookViewId="0">
      <selection activeCell="L7" sqref="L7"/>
    </sheetView>
  </sheetViews>
  <sheetFormatPr defaultRowHeight="15.6" x14ac:dyDescent="0.3"/>
  <cols>
    <col min="1" max="1" width="12" style="8" customWidth="1"/>
    <col min="2" max="2" width="12.6640625" style="8" customWidth="1"/>
    <col min="3" max="3" width="13.33203125" style="8" customWidth="1"/>
    <col min="4" max="4" width="7.33203125" style="8" customWidth="1"/>
    <col min="5" max="5" width="5.5546875" style="8" customWidth="1"/>
    <col min="6" max="6" width="9.88671875" style="8" customWidth="1"/>
    <col min="7" max="7" width="10.109375" style="8" customWidth="1"/>
    <col min="8" max="8" width="8.6640625" style="8" customWidth="1"/>
    <col min="9" max="9" width="11.109375" style="8" customWidth="1"/>
    <col min="10" max="10" width="13.88671875" style="8" customWidth="1"/>
    <col min="11" max="255" width="9.109375" style="8"/>
    <col min="256" max="256" width="8.6640625" style="8" customWidth="1"/>
    <col min="257" max="257" width="9.88671875" style="8" customWidth="1"/>
    <col min="258" max="258" width="14.44140625" style="8" customWidth="1"/>
    <col min="259" max="259" width="7.33203125" style="8" customWidth="1"/>
    <col min="260" max="260" width="5.5546875" style="8" customWidth="1"/>
    <col min="261" max="261" width="9" style="8" customWidth="1"/>
    <col min="262" max="263" width="9.88671875" style="8" customWidth="1"/>
    <col min="264" max="264" width="11.109375" style="8" customWidth="1"/>
    <col min="265" max="265" width="2.88671875" style="8" customWidth="1"/>
    <col min="266" max="266" width="3.5546875" style="8" customWidth="1"/>
    <col min="267" max="511" width="9.109375" style="8"/>
    <col min="512" max="512" width="8.6640625" style="8" customWidth="1"/>
    <col min="513" max="513" width="9.88671875" style="8" customWidth="1"/>
    <col min="514" max="514" width="14.44140625" style="8" customWidth="1"/>
    <col min="515" max="515" width="7.33203125" style="8" customWidth="1"/>
    <col min="516" max="516" width="5.5546875" style="8" customWidth="1"/>
    <col min="517" max="517" width="9" style="8" customWidth="1"/>
    <col min="518" max="519" width="9.88671875" style="8" customWidth="1"/>
    <col min="520" max="520" width="11.109375" style="8" customWidth="1"/>
    <col min="521" max="521" width="2.88671875" style="8" customWidth="1"/>
    <col min="522" max="522" width="3.5546875" style="8" customWidth="1"/>
    <col min="523" max="767" width="9.109375" style="8"/>
    <col min="768" max="768" width="8.6640625" style="8" customWidth="1"/>
    <col min="769" max="769" width="9.88671875" style="8" customWidth="1"/>
    <col min="770" max="770" width="14.44140625" style="8" customWidth="1"/>
    <col min="771" max="771" width="7.33203125" style="8" customWidth="1"/>
    <col min="772" max="772" width="5.5546875" style="8" customWidth="1"/>
    <col min="773" max="773" width="9" style="8" customWidth="1"/>
    <col min="774" max="775" width="9.88671875" style="8" customWidth="1"/>
    <col min="776" max="776" width="11.109375" style="8" customWidth="1"/>
    <col min="777" max="777" width="2.88671875" style="8" customWidth="1"/>
    <col min="778" max="778" width="3.5546875" style="8" customWidth="1"/>
    <col min="779" max="1023" width="9.109375" style="8"/>
    <col min="1024" max="1024" width="8.6640625" style="8" customWidth="1"/>
    <col min="1025" max="1025" width="9.88671875" style="8" customWidth="1"/>
    <col min="1026" max="1026" width="14.44140625" style="8" customWidth="1"/>
    <col min="1027" max="1027" width="7.33203125" style="8" customWidth="1"/>
    <col min="1028" max="1028" width="5.5546875" style="8" customWidth="1"/>
    <col min="1029" max="1029" width="9" style="8" customWidth="1"/>
    <col min="1030" max="1031" width="9.88671875" style="8" customWidth="1"/>
    <col min="1032" max="1032" width="11.109375" style="8" customWidth="1"/>
    <col min="1033" max="1033" width="2.88671875" style="8" customWidth="1"/>
    <col min="1034" max="1034" width="3.5546875" style="8" customWidth="1"/>
    <col min="1035" max="1279" width="9.109375" style="8"/>
    <col min="1280" max="1280" width="8.6640625" style="8" customWidth="1"/>
    <col min="1281" max="1281" width="9.88671875" style="8" customWidth="1"/>
    <col min="1282" max="1282" width="14.44140625" style="8" customWidth="1"/>
    <col min="1283" max="1283" width="7.33203125" style="8" customWidth="1"/>
    <col min="1284" max="1284" width="5.5546875" style="8" customWidth="1"/>
    <col min="1285" max="1285" width="9" style="8" customWidth="1"/>
    <col min="1286" max="1287" width="9.88671875" style="8" customWidth="1"/>
    <col min="1288" max="1288" width="11.109375" style="8" customWidth="1"/>
    <col min="1289" max="1289" width="2.88671875" style="8" customWidth="1"/>
    <col min="1290" max="1290" width="3.5546875" style="8" customWidth="1"/>
    <col min="1291" max="1535" width="9.109375" style="8"/>
    <col min="1536" max="1536" width="8.6640625" style="8" customWidth="1"/>
    <col min="1537" max="1537" width="9.88671875" style="8" customWidth="1"/>
    <col min="1538" max="1538" width="14.44140625" style="8" customWidth="1"/>
    <col min="1539" max="1539" width="7.33203125" style="8" customWidth="1"/>
    <col min="1540" max="1540" width="5.5546875" style="8" customWidth="1"/>
    <col min="1541" max="1541" width="9" style="8" customWidth="1"/>
    <col min="1542" max="1543" width="9.88671875" style="8" customWidth="1"/>
    <col min="1544" max="1544" width="11.109375" style="8" customWidth="1"/>
    <col min="1545" max="1545" width="2.88671875" style="8" customWidth="1"/>
    <col min="1546" max="1546" width="3.5546875" style="8" customWidth="1"/>
    <col min="1547" max="1791" width="9.109375" style="8"/>
    <col min="1792" max="1792" width="8.6640625" style="8" customWidth="1"/>
    <col min="1793" max="1793" width="9.88671875" style="8" customWidth="1"/>
    <col min="1794" max="1794" width="14.44140625" style="8" customWidth="1"/>
    <col min="1795" max="1795" width="7.33203125" style="8" customWidth="1"/>
    <col min="1796" max="1796" width="5.5546875" style="8" customWidth="1"/>
    <col min="1797" max="1797" width="9" style="8" customWidth="1"/>
    <col min="1798" max="1799" width="9.88671875" style="8" customWidth="1"/>
    <col min="1800" max="1800" width="11.109375" style="8" customWidth="1"/>
    <col min="1801" max="1801" width="2.88671875" style="8" customWidth="1"/>
    <col min="1802" max="1802" width="3.5546875" style="8" customWidth="1"/>
    <col min="1803" max="2047" width="9.109375" style="8"/>
    <col min="2048" max="2048" width="8.6640625" style="8" customWidth="1"/>
    <col min="2049" max="2049" width="9.88671875" style="8" customWidth="1"/>
    <col min="2050" max="2050" width="14.44140625" style="8" customWidth="1"/>
    <col min="2051" max="2051" width="7.33203125" style="8" customWidth="1"/>
    <col min="2052" max="2052" width="5.5546875" style="8" customWidth="1"/>
    <col min="2053" max="2053" width="9" style="8" customWidth="1"/>
    <col min="2054" max="2055" width="9.88671875" style="8" customWidth="1"/>
    <col min="2056" max="2056" width="11.109375" style="8" customWidth="1"/>
    <col min="2057" max="2057" width="2.88671875" style="8" customWidth="1"/>
    <col min="2058" max="2058" width="3.5546875" style="8" customWidth="1"/>
    <col min="2059" max="2303" width="9.109375" style="8"/>
    <col min="2304" max="2304" width="8.6640625" style="8" customWidth="1"/>
    <col min="2305" max="2305" width="9.88671875" style="8" customWidth="1"/>
    <col min="2306" max="2306" width="14.44140625" style="8" customWidth="1"/>
    <col min="2307" max="2307" width="7.33203125" style="8" customWidth="1"/>
    <col min="2308" max="2308" width="5.5546875" style="8" customWidth="1"/>
    <col min="2309" max="2309" width="9" style="8" customWidth="1"/>
    <col min="2310" max="2311" width="9.88671875" style="8" customWidth="1"/>
    <col min="2312" max="2312" width="11.109375" style="8" customWidth="1"/>
    <col min="2313" max="2313" width="2.88671875" style="8" customWidth="1"/>
    <col min="2314" max="2314" width="3.5546875" style="8" customWidth="1"/>
    <col min="2315" max="2559" width="9.109375" style="8"/>
    <col min="2560" max="2560" width="8.6640625" style="8" customWidth="1"/>
    <col min="2561" max="2561" width="9.88671875" style="8" customWidth="1"/>
    <col min="2562" max="2562" width="14.44140625" style="8" customWidth="1"/>
    <col min="2563" max="2563" width="7.33203125" style="8" customWidth="1"/>
    <col min="2564" max="2564" width="5.5546875" style="8" customWidth="1"/>
    <col min="2565" max="2565" width="9" style="8" customWidth="1"/>
    <col min="2566" max="2567" width="9.88671875" style="8" customWidth="1"/>
    <col min="2568" max="2568" width="11.109375" style="8" customWidth="1"/>
    <col min="2569" max="2569" width="2.88671875" style="8" customWidth="1"/>
    <col min="2570" max="2570" width="3.5546875" style="8" customWidth="1"/>
    <col min="2571" max="2815" width="9.109375" style="8"/>
    <col min="2816" max="2816" width="8.6640625" style="8" customWidth="1"/>
    <col min="2817" max="2817" width="9.88671875" style="8" customWidth="1"/>
    <col min="2818" max="2818" width="14.44140625" style="8" customWidth="1"/>
    <col min="2819" max="2819" width="7.33203125" style="8" customWidth="1"/>
    <col min="2820" max="2820" width="5.5546875" style="8" customWidth="1"/>
    <col min="2821" max="2821" width="9" style="8" customWidth="1"/>
    <col min="2822" max="2823" width="9.88671875" style="8" customWidth="1"/>
    <col min="2824" max="2824" width="11.109375" style="8" customWidth="1"/>
    <col min="2825" max="2825" width="2.88671875" style="8" customWidth="1"/>
    <col min="2826" max="2826" width="3.5546875" style="8" customWidth="1"/>
    <col min="2827" max="3071" width="9.109375" style="8"/>
    <col min="3072" max="3072" width="8.6640625" style="8" customWidth="1"/>
    <col min="3073" max="3073" width="9.88671875" style="8" customWidth="1"/>
    <col min="3074" max="3074" width="14.44140625" style="8" customWidth="1"/>
    <col min="3075" max="3075" width="7.33203125" style="8" customWidth="1"/>
    <col min="3076" max="3076" width="5.5546875" style="8" customWidth="1"/>
    <col min="3077" max="3077" width="9" style="8" customWidth="1"/>
    <col min="3078" max="3079" width="9.88671875" style="8" customWidth="1"/>
    <col min="3080" max="3080" width="11.109375" style="8" customWidth="1"/>
    <col min="3081" max="3081" width="2.88671875" style="8" customWidth="1"/>
    <col min="3082" max="3082" width="3.5546875" style="8" customWidth="1"/>
    <col min="3083" max="3327" width="9.109375" style="8"/>
    <col min="3328" max="3328" width="8.6640625" style="8" customWidth="1"/>
    <col min="3329" max="3329" width="9.88671875" style="8" customWidth="1"/>
    <col min="3330" max="3330" width="14.44140625" style="8" customWidth="1"/>
    <col min="3331" max="3331" width="7.33203125" style="8" customWidth="1"/>
    <col min="3332" max="3332" width="5.5546875" style="8" customWidth="1"/>
    <col min="3333" max="3333" width="9" style="8" customWidth="1"/>
    <col min="3334" max="3335" width="9.88671875" style="8" customWidth="1"/>
    <col min="3336" max="3336" width="11.109375" style="8" customWidth="1"/>
    <col min="3337" max="3337" width="2.88671875" style="8" customWidth="1"/>
    <col min="3338" max="3338" width="3.5546875" style="8" customWidth="1"/>
    <col min="3339" max="3583" width="9.109375" style="8"/>
    <col min="3584" max="3584" width="8.6640625" style="8" customWidth="1"/>
    <col min="3585" max="3585" width="9.88671875" style="8" customWidth="1"/>
    <col min="3586" max="3586" width="14.44140625" style="8" customWidth="1"/>
    <col min="3587" max="3587" width="7.33203125" style="8" customWidth="1"/>
    <col min="3588" max="3588" width="5.5546875" style="8" customWidth="1"/>
    <col min="3589" max="3589" width="9" style="8" customWidth="1"/>
    <col min="3590" max="3591" width="9.88671875" style="8" customWidth="1"/>
    <col min="3592" max="3592" width="11.109375" style="8" customWidth="1"/>
    <col min="3593" max="3593" width="2.88671875" style="8" customWidth="1"/>
    <col min="3594" max="3594" width="3.5546875" style="8" customWidth="1"/>
    <col min="3595" max="3839" width="9.109375" style="8"/>
    <col min="3840" max="3840" width="8.6640625" style="8" customWidth="1"/>
    <col min="3841" max="3841" width="9.88671875" style="8" customWidth="1"/>
    <col min="3842" max="3842" width="14.44140625" style="8" customWidth="1"/>
    <col min="3843" max="3843" width="7.33203125" style="8" customWidth="1"/>
    <col min="3844" max="3844" width="5.5546875" style="8" customWidth="1"/>
    <col min="3845" max="3845" width="9" style="8" customWidth="1"/>
    <col min="3846" max="3847" width="9.88671875" style="8" customWidth="1"/>
    <col min="3848" max="3848" width="11.109375" style="8" customWidth="1"/>
    <col min="3849" max="3849" width="2.88671875" style="8" customWidth="1"/>
    <col min="3850" max="3850" width="3.5546875" style="8" customWidth="1"/>
    <col min="3851" max="4095" width="9.109375" style="8"/>
    <col min="4096" max="4096" width="8.6640625" style="8" customWidth="1"/>
    <col min="4097" max="4097" width="9.88671875" style="8" customWidth="1"/>
    <col min="4098" max="4098" width="14.44140625" style="8" customWidth="1"/>
    <col min="4099" max="4099" width="7.33203125" style="8" customWidth="1"/>
    <col min="4100" max="4100" width="5.5546875" style="8" customWidth="1"/>
    <col min="4101" max="4101" width="9" style="8" customWidth="1"/>
    <col min="4102" max="4103" width="9.88671875" style="8" customWidth="1"/>
    <col min="4104" max="4104" width="11.109375" style="8" customWidth="1"/>
    <col min="4105" max="4105" width="2.88671875" style="8" customWidth="1"/>
    <col min="4106" max="4106" width="3.5546875" style="8" customWidth="1"/>
    <col min="4107" max="4351" width="9.109375" style="8"/>
    <col min="4352" max="4352" width="8.6640625" style="8" customWidth="1"/>
    <col min="4353" max="4353" width="9.88671875" style="8" customWidth="1"/>
    <col min="4354" max="4354" width="14.44140625" style="8" customWidth="1"/>
    <col min="4355" max="4355" width="7.33203125" style="8" customWidth="1"/>
    <col min="4356" max="4356" width="5.5546875" style="8" customWidth="1"/>
    <col min="4357" max="4357" width="9" style="8" customWidth="1"/>
    <col min="4358" max="4359" width="9.88671875" style="8" customWidth="1"/>
    <col min="4360" max="4360" width="11.109375" style="8" customWidth="1"/>
    <col min="4361" max="4361" width="2.88671875" style="8" customWidth="1"/>
    <col min="4362" max="4362" width="3.5546875" style="8" customWidth="1"/>
    <col min="4363" max="4607" width="9.109375" style="8"/>
    <col min="4608" max="4608" width="8.6640625" style="8" customWidth="1"/>
    <col min="4609" max="4609" width="9.88671875" style="8" customWidth="1"/>
    <col min="4610" max="4610" width="14.44140625" style="8" customWidth="1"/>
    <col min="4611" max="4611" width="7.33203125" style="8" customWidth="1"/>
    <col min="4612" max="4612" width="5.5546875" style="8" customWidth="1"/>
    <col min="4613" max="4613" width="9" style="8" customWidth="1"/>
    <col min="4614" max="4615" width="9.88671875" style="8" customWidth="1"/>
    <col min="4616" max="4616" width="11.109375" style="8" customWidth="1"/>
    <col min="4617" max="4617" width="2.88671875" style="8" customWidth="1"/>
    <col min="4618" max="4618" width="3.5546875" style="8" customWidth="1"/>
    <col min="4619" max="4863" width="9.109375" style="8"/>
    <col min="4864" max="4864" width="8.6640625" style="8" customWidth="1"/>
    <col min="4865" max="4865" width="9.88671875" style="8" customWidth="1"/>
    <col min="4866" max="4866" width="14.44140625" style="8" customWidth="1"/>
    <col min="4867" max="4867" width="7.33203125" style="8" customWidth="1"/>
    <col min="4868" max="4868" width="5.5546875" style="8" customWidth="1"/>
    <col min="4869" max="4869" width="9" style="8" customWidth="1"/>
    <col min="4870" max="4871" width="9.88671875" style="8" customWidth="1"/>
    <col min="4872" max="4872" width="11.109375" style="8" customWidth="1"/>
    <col min="4873" max="4873" width="2.88671875" style="8" customWidth="1"/>
    <col min="4874" max="4874" width="3.5546875" style="8" customWidth="1"/>
    <col min="4875" max="5119" width="9.109375" style="8"/>
    <col min="5120" max="5120" width="8.6640625" style="8" customWidth="1"/>
    <col min="5121" max="5121" width="9.88671875" style="8" customWidth="1"/>
    <col min="5122" max="5122" width="14.44140625" style="8" customWidth="1"/>
    <col min="5123" max="5123" width="7.33203125" style="8" customWidth="1"/>
    <col min="5124" max="5124" width="5.5546875" style="8" customWidth="1"/>
    <col min="5125" max="5125" width="9" style="8" customWidth="1"/>
    <col min="5126" max="5127" width="9.88671875" style="8" customWidth="1"/>
    <col min="5128" max="5128" width="11.109375" style="8" customWidth="1"/>
    <col min="5129" max="5129" width="2.88671875" style="8" customWidth="1"/>
    <col min="5130" max="5130" width="3.5546875" style="8" customWidth="1"/>
    <col min="5131" max="5375" width="9.109375" style="8"/>
    <col min="5376" max="5376" width="8.6640625" style="8" customWidth="1"/>
    <col min="5377" max="5377" width="9.88671875" style="8" customWidth="1"/>
    <col min="5378" max="5378" width="14.44140625" style="8" customWidth="1"/>
    <col min="5379" max="5379" width="7.33203125" style="8" customWidth="1"/>
    <col min="5380" max="5380" width="5.5546875" style="8" customWidth="1"/>
    <col min="5381" max="5381" width="9" style="8" customWidth="1"/>
    <col min="5382" max="5383" width="9.88671875" style="8" customWidth="1"/>
    <col min="5384" max="5384" width="11.109375" style="8" customWidth="1"/>
    <col min="5385" max="5385" width="2.88671875" style="8" customWidth="1"/>
    <col min="5386" max="5386" width="3.5546875" style="8" customWidth="1"/>
    <col min="5387" max="5631" width="9.109375" style="8"/>
    <col min="5632" max="5632" width="8.6640625" style="8" customWidth="1"/>
    <col min="5633" max="5633" width="9.88671875" style="8" customWidth="1"/>
    <col min="5634" max="5634" width="14.44140625" style="8" customWidth="1"/>
    <col min="5635" max="5635" width="7.33203125" style="8" customWidth="1"/>
    <col min="5636" max="5636" width="5.5546875" style="8" customWidth="1"/>
    <col min="5637" max="5637" width="9" style="8" customWidth="1"/>
    <col min="5638" max="5639" width="9.88671875" style="8" customWidth="1"/>
    <col min="5640" max="5640" width="11.109375" style="8" customWidth="1"/>
    <col min="5641" max="5641" width="2.88671875" style="8" customWidth="1"/>
    <col min="5642" max="5642" width="3.5546875" style="8" customWidth="1"/>
    <col min="5643" max="5887" width="9.109375" style="8"/>
    <col min="5888" max="5888" width="8.6640625" style="8" customWidth="1"/>
    <col min="5889" max="5889" width="9.88671875" style="8" customWidth="1"/>
    <col min="5890" max="5890" width="14.44140625" style="8" customWidth="1"/>
    <col min="5891" max="5891" width="7.33203125" style="8" customWidth="1"/>
    <col min="5892" max="5892" width="5.5546875" style="8" customWidth="1"/>
    <col min="5893" max="5893" width="9" style="8" customWidth="1"/>
    <col min="5894" max="5895" width="9.88671875" style="8" customWidth="1"/>
    <col min="5896" max="5896" width="11.109375" style="8" customWidth="1"/>
    <col min="5897" max="5897" width="2.88671875" style="8" customWidth="1"/>
    <col min="5898" max="5898" width="3.5546875" style="8" customWidth="1"/>
    <col min="5899" max="6143" width="9.109375" style="8"/>
    <col min="6144" max="6144" width="8.6640625" style="8" customWidth="1"/>
    <col min="6145" max="6145" width="9.88671875" style="8" customWidth="1"/>
    <col min="6146" max="6146" width="14.44140625" style="8" customWidth="1"/>
    <col min="6147" max="6147" width="7.33203125" style="8" customWidth="1"/>
    <col min="6148" max="6148" width="5.5546875" style="8" customWidth="1"/>
    <col min="6149" max="6149" width="9" style="8" customWidth="1"/>
    <col min="6150" max="6151" width="9.88671875" style="8" customWidth="1"/>
    <col min="6152" max="6152" width="11.109375" style="8" customWidth="1"/>
    <col min="6153" max="6153" width="2.88671875" style="8" customWidth="1"/>
    <col min="6154" max="6154" width="3.5546875" style="8" customWidth="1"/>
    <col min="6155" max="6399" width="9.109375" style="8"/>
    <col min="6400" max="6400" width="8.6640625" style="8" customWidth="1"/>
    <col min="6401" max="6401" width="9.88671875" style="8" customWidth="1"/>
    <col min="6402" max="6402" width="14.44140625" style="8" customWidth="1"/>
    <col min="6403" max="6403" width="7.33203125" style="8" customWidth="1"/>
    <col min="6404" max="6404" width="5.5546875" style="8" customWidth="1"/>
    <col min="6405" max="6405" width="9" style="8" customWidth="1"/>
    <col min="6406" max="6407" width="9.88671875" style="8" customWidth="1"/>
    <col min="6408" max="6408" width="11.109375" style="8" customWidth="1"/>
    <col min="6409" max="6409" width="2.88671875" style="8" customWidth="1"/>
    <col min="6410" max="6410" width="3.5546875" style="8" customWidth="1"/>
    <col min="6411" max="6655" width="9.109375" style="8"/>
    <col min="6656" max="6656" width="8.6640625" style="8" customWidth="1"/>
    <col min="6657" max="6657" width="9.88671875" style="8" customWidth="1"/>
    <col min="6658" max="6658" width="14.44140625" style="8" customWidth="1"/>
    <col min="6659" max="6659" width="7.33203125" style="8" customWidth="1"/>
    <col min="6660" max="6660" width="5.5546875" style="8" customWidth="1"/>
    <col min="6661" max="6661" width="9" style="8" customWidth="1"/>
    <col min="6662" max="6663" width="9.88671875" style="8" customWidth="1"/>
    <col min="6664" max="6664" width="11.109375" style="8" customWidth="1"/>
    <col min="6665" max="6665" width="2.88671875" style="8" customWidth="1"/>
    <col min="6666" max="6666" width="3.5546875" style="8" customWidth="1"/>
    <col min="6667" max="6911" width="9.109375" style="8"/>
    <col min="6912" max="6912" width="8.6640625" style="8" customWidth="1"/>
    <col min="6913" max="6913" width="9.88671875" style="8" customWidth="1"/>
    <col min="6914" max="6914" width="14.44140625" style="8" customWidth="1"/>
    <col min="6915" max="6915" width="7.33203125" style="8" customWidth="1"/>
    <col min="6916" max="6916" width="5.5546875" style="8" customWidth="1"/>
    <col min="6917" max="6917" width="9" style="8" customWidth="1"/>
    <col min="6918" max="6919" width="9.88671875" style="8" customWidth="1"/>
    <col min="6920" max="6920" width="11.109375" style="8" customWidth="1"/>
    <col min="6921" max="6921" width="2.88671875" style="8" customWidth="1"/>
    <col min="6922" max="6922" width="3.5546875" style="8" customWidth="1"/>
    <col min="6923" max="7167" width="9.109375" style="8"/>
    <col min="7168" max="7168" width="8.6640625" style="8" customWidth="1"/>
    <col min="7169" max="7169" width="9.88671875" style="8" customWidth="1"/>
    <col min="7170" max="7170" width="14.44140625" style="8" customWidth="1"/>
    <col min="7171" max="7171" width="7.33203125" style="8" customWidth="1"/>
    <col min="7172" max="7172" width="5.5546875" style="8" customWidth="1"/>
    <col min="7173" max="7173" width="9" style="8" customWidth="1"/>
    <col min="7174" max="7175" width="9.88671875" style="8" customWidth="1"/>
    <col min="7176" max="7176" width="11.109375" style="8" customWidth="1"/>
    <col min="7177" max="7177" width="2.88671875" style="8" customWidth="1"/>
    <col min="7178" max="7178" width="3.5546875" style="8" customWidth="1"/>
    <col min="7179" max="7423" width="9.109375" style="8"/>
    <col min="7424" max="7424" width="8.6640625" style="8" customWidth="1"/>
    <col min="7425" max="7425" width="9.88671875" style="8" customWidth="1"/>
    <col min="7426" max="7426" width="14.44140625" style="8" customWidth="1"/>
    <col min="7427" max="7427" width="7.33203125" style="8" customWidth="1"/>
    <col min="7428" max="7428" width="5.5546875" style="8" customWidth="1"/>
    <col min="7429" max="7429" width="9" style="8" customWidth="1"/>
    <col min="7430" max="7431" width="9.88671875" style="8" customWidth="1"/>
    <col min="7432" max="7432" width="11.109375" style="8" customWidth="1"/>
    <col min="7433" max="7433" width="2.88671875" style="8" customWidth="1"/>
    <col min="7434" max="7434" width="3.5546875" style="8" customWidth="1"/>
    <col min="7435" max="7679" width="9.109375" style="8"/>
    <col min="7680" max="7680" width="8.6640625" style="8" customWidth="1"/>
    <col min="7681" max="7681" width="9.88671875" style="8" customWidth="1"/>
    <col min="7682" max="7682" width="14.44140625" style="8" customWidth="1"/>
    <col min="7683" max="7683" width="7.33203125" style="8" customWidth="1"/>
    <col min="7684" max="7684" width="5.5546875" style="8" customWidth="1"/>
    <col min="7685" max="7685" width="9" style="8" customWidth="1"/>
    <col min="7686" max="7687" width="9.88671875" style="8" customWidth="1"/>
    <col min="7688" max="7688" width="11.109375" style="8" customWidth="1"/>
    <col min="7689" max="7689" width="2.88671875" style="8" customWidth="1"/>
    <col min="7690" max="7690" width="3.5546875" style="8" customWidth="1"/>
    <col min="7691" max="7935" width="9.109375" style="8"/>
    <col min="7936" max="7936" width="8.6640625" style="8" customWidth="1"/>
    <col min="7937" max="7937" width="9.88671875" style="8" customWidth="1"/>
    <col min="7938" max="7938" width="14.44140625" style="8" customWidth="1"/>
    <col min="7939" max="7939" width="7.33203125" style="8" customWidth="1"/>
    <col min="7940" max="7940" width="5.5546875" style="8" customWidth="1"/>
    <col min="7941" max="7941" width="9" style="8" customWidth="1"/>
    <col min="7942" max="7943" width="9.88671875" style="8" customWidth="1"/>
    <col min="7944" max="7944" width="11.109375" style="8" customWidth="1"/>
    <col min="7945" max="7945" width="2.88671875" style="8" customWidth="1"/>
    <col min="7946" max="7946" width="3.5546875" style="8" customWidth="1"/>
    <col min="7947" max="8191" width="9.109375" style="8"/>
    <col min="8192" max="8192" width="8.6640625" style="8" customWidth="1"/>
    <col min="8193" max="8193" width="9.88671875" style="8" customWidth="1"/>
    <col min="8194" max="8194" width="14.44140625" style="8" customWidth="1"/>
    <col min="8195" max="8195" width="7.33203125" style="8" customWidth="1"/>
    <col min="8196" max="8196" width="5.5546875" style="8" customWidth="1"/>
    <col min="8197" max="8197" width="9" style="8" customWidth="1"/>
    <col min="8198" max="8199" width="9.88671875" style="8" customWidth="1"/>
    <col min="8200" max="8200" width="11.109375" style="8" customWidth="1"/>
    <col min="8201" max="8201" width="2.88671875" style="8" customWidth="1"/>
    <col min="8202" max="8202" width="3.5546875" style="8" customWidth="1"/>
    <col min="8203" max="8447" width="9.109375" style="8"/>
    <col min="8448" max="8448" width="8.6640625" style="8" customWidth="1"/>
    <col min="8449" max="8449" width="9.88671875" style="8" customWidth="1"/>
    <col min="8450" max="8450" width="14.44140625" style="8" customWidth="1"/>
    <col min="8451" max="8451" width="7.33203125" style="8" customWidth="1"/>
    <col min="8452" max="8452" width="5.5546875" style="8" customWidth="1"/>
    <col min="8453" max="8453" width="9" style="8" customWidth="1"/>
    <col min="8454" max="8455" width="9.88671875" style="8" customWidth="1"/>
    <col min="8456" max="8456" width="11.109375" style="8" customWidth="1"/>
    <col min="8457" max="8457" width="2.88671875" style="8" customWidth="1"/>
    <col min="8458" max="8458" width="3.5546875" style="8" customWidth="1"/>
    <col min="8459" max="8703" width="9.109375" style="8"/>
    <col min="8704" max="8704" width="8.6640625" style="8" customWidth="1"/>
    <col min="8705" max="8705" width="9.88671875" style="8" customWidth="1"/>
    <col min="8706" max="8706" width="14.44140625" style="8" customWidth="1"/>
    <col min="8707" max="8707" width="7.33203125" style="8" customWidth="1"/>
    <col min="8708" max="8708" width="5.5546875" style="8" customWidth="1"/>
    <col min="8709" max="8709" width="9" style="8" customWidth="1"/>
    <col min="8710" max="8711" width="9.88671875" style="8" customWidth="1"/>
    <col min="8712" max="8712" width="11.109375" style="8" customWidth="1"/>
    <col min="8713" max="8713" width="2.88671875" style="8" customWidth="1"/>
    <col min="8714" max="8714" width="3.5546875" style="8" customWidth="1"/>
    <col min="8715" max="8959" width="9.109375" style="8"/>
    <col min="8960" max="8960" width="8.6640625" style="8" customWidth="1"/>
    <col min="8961" max="8961" width="9.88671875" style="8" customWidth="1"/>
    <col min="8962" max="8962" width="14.44140625" style="8" customWidth="1"/>
    <col min="8963" max="8963" width="7.33203125" style="8" customWidth="1"/>
    <col min="8964" max="8964" width="5.5546875" style="8" customWidth="1"/>
    <col min="8965" max="8965" width="9" style="8" customWidth="1"/>
    <col min="8966" max="8967" width="9.88671875" style="8" customWidth="1"/>
    <col min="8968" max="8968" width="11.109375" style="8" customWidth="1"/>
    <col min="8969" max="8969" width="2.88671875" style="8" customWidth="1"/>
    <col min="8970" max="8970" width="3.5546875" style="8" customWidth="1"/>
    <col min="8971" max="9215" width="9.109375" style="8"/>
    <col min="9216" max="9216" width="8.6640625" style="8" customWidth="1"/>
    <col min="9217" max="9217" width="9.88671875" style="8" customWidth="1"/>
    <col min="9218" max="9218" width="14.44140625" style="8" customWidth="1"/>
    <col min="9219" max="9219" width="7.33203125" style="8" customWidth="1"/>
    <col min="9220" max="9220" width="5.5546875" style="8" customWidth="1"/>
    <col min="9221" max="9221" width="9" style="8" customWidth="1"/>
    <col min="9222" max="9223" width="9.88671875" style="8" customWidth="1"/>
    <col min="9224" max="9224" width="11.109375" style="8" customWidth="1"/>
    <col min="9225" max="9225" width="2.88671875" style="8" customWidth="1"/>
    <col min="9226" max="9226" width="3.5546875" style="8" customWidth="1"/>
    <col min="9227" max="9471" width="9.109375" style="8"/>
    <col min="9472" max="9472" width="8.6640625" style="8" customWidth="1"/>
    <col min="9473" max="9473" width="9.88671875" style="8" customWidth="1"/>
    <col min="9474" max="9474" width="14.44140625" style="8" customWidth="1"/>
    <col min="9475" max="9475" width="7.33203125" style="8" customWidth="1"/>
    <col min="9476" max="9476" width="5.5546875" style="8" customWidth="1"/>
    <col min="9477" max="9477" width="9" style="8" customWidth="1"/>
    <col min="9478" max="9479" width="9.88671875" style="8" customWidth="1"/>
    <col min="9480" max="9480" width="11.109375" style="8" customWidth="1"/>
    <col min="9481" max="9481" width="2.88671875" style="8" customWidth="1"/>
    <col min="9482" max="9482" width="3.5546875" style="8" customWidth="1"/>
    <col min="9483" max="9727" width="9.109375" style="8"/>
    <col min="9728" max="9728" width="8.6640625" style="8" customWidth="1"/>
    <col min="9729" max="9729" width="9.88671875" style="8" customWidth="1"/>
    <col min="9730" max="9730" width="14.44140625" style="8" customWidth="1"/>
    <col min="9731" max="9731" width="7.33203125" style="8" customWidth="1"/>
    <col min="9732" max="9732" width="5.5546875" style="8" customWidth="1"/>
    <col min="9733" max="9733" width="9" style="8" customWidth="1"/>
    <col min="9734" max="9735" width="9.88671875" style="8" customWidth="1"/>
    <col min="9736" max="9736" width="11.109375" style="8" customWidth="1"/>
    <col min="9737" max="9737" width="2.88671875" style="8" customWidth="1"/>
    <col min="9738" max="9738" width="3.5546875" style="8" customWidth="1"/>
    <col min="9739" max="9983" width="9.109375" style="8"/>
    <col min="9984" max="9984" width="8.6640625" style="8" customWidth="1"/>
    <col min="9985" max="9985" width="9.88671875" style="8" customWidth="1"/>
    <col min="9986" max="9986" width="14.44140625" style="8" customWidth="1"/>
    <col min="9987" max="9987" width="7.33203125" style="8" customWidth="1"/>
    <col min="9988" max="9988" width="5.5546875" style="8" customWidth="1"/>
    <col min="9989" max="9989" width="9" style="8" customWidth="1"/>
    <col min="9990" max="9991" width="9.88671875" style="8" customWidth="1"/>
    <col min="9992" max="9992" width="11.109375" style="8" customWidth="1"/>
    <col min="9993" max="9993" width="2.88671875" style="8" customWidth="1"/>
    <col min="9994" max="9994" width="3.5546875" style="8" customWidth="1"/>
    <col min="9995" max="10239" width="9.109375" style="8"/>
    <col min="10240" max="10240" width="8.6640625" style="8" customWidth="1"/>
    <col min="10241" max="10241" width="9.88671875" style="8" customWidth="1"/>
    <col min="10242" max="10242" width="14.44140625" style="8" customWidth="1"/>
    <col min="10243" max="10243" width="7.33203125" style="8" customWidth="1"/>
    <col min="10244" max="10244" width="5.5546875" style="8" customWidth="1"/>
    <col min="10245" max="10245" width="9" style="8" customWidth="1"/>
    <col min="10246" max="10247" width="9.88671875" style="8" customWidth="1"/>
    <col min="10248" max="10248" width="11.109375" style="8" customWidth="1"/>
    <col min="10249" max="10249" width="2.88671875" style="8" customWidth="1"/>
    <col min="10250" max="10250" width="3.5546875" style="8" customWidth="1"/>
    <col min="10251" max="10495" width="9.109375" style="8"/>
    <col min="10496" max="10496" width="8.6640625" style="8" customWidth="1"/>
    <col min="10497" max="10497" width="9.88671875" style="8" customWidth="1"/>
    <col min="10498" max="10498" width="14.44140625" style="8" customWidth="1"/>
    <col min="10499" max="10499" width="7.33203125" style="8" customWidth="1"/>
    <col min="10500" max="10500" width="5.5546875" style="8" customWidth="1"/>
    <col min="10501" max="10501" width="9" style="8" customWidth="1"/>
    <col min="10502" max="10503" width="9.88671875" style="8" customWidth="1"/>
    <col min="10504" max="10504" width="11.109375" style="8" customWidth="1"/>
    <col min="10505" max="10505" width="2.88671875" style="8" customWidth="1"/>
    <col min="10506" max="10506" width="3.5546875" style="8" customWidth="1"/>
    <col min="10507" max="10751" width="9.109375" style="8"/>
    <col min="10752" max="10752" width="8.6640625" style="8" customWidth="1"/>
    <col min="10753" max="10753" width="9.88671875" style="8" customWidth="1"/>
    <col min="10754" max="10754" width="14.44140625" style="8" customWidth="1"/>
    <col min="10755" max="10755" width="7.33203125" style="8" customWidth="1"/>
    <col min="10756" max="10756" width="5.5546875" style="8" customWidth="1"/>
    <col min="10757" max="10757" width="9" style="8" customWidth="1"/>
    <col min="10758" max="10759" width="9.88671875" style="8" customWidth="1"/>
    <col min="10760" max="10760" width="11.109375" style="8" customWidth="1"/>
    <col min="10761" max="10761" width="2.88671875" style="8" customWidth="1"/>
    <col min="10762" max="10762" width="3.5546875" style="8" customWidth="1"/>
    <col min="10763" max="11007" width="9.109375" style="8"/>
    <col min="11008" max="11008" width="8.6640625" style="8" customWidth="1"/>
    <col min="11009" max="11009" width="9.88671875" style="8" customWidth="1"/>
    <col min="11010" max="11010" width="14.44140625" style="8" customWidth="1"/>
    <col min="11011" max="11011" width="7.33203125" style="8" customWidth="1"/>
    <col min="11012" max="11012" width="5.5546875" style="8" customWidth="1"/>
    <col min="11013" max="11013" width="9" style="8" customWidth="1"/>
    <col min="11014" max="11015" width="9.88671875" style="8" customWidth="1"/>
    <col min="11016" max="11016" width="11.109375" style="8" customWidth="1"/>
    <col min="11017" max="11017" width="2.88671875" style="8" customWidth="1"/>
    <col min="11018" max="11018" width="3.5546875" style="8" customWidth="1"/>
    <col min="11019" max="11263" width="9.109375" style="8"/>
    <col min="11264" max="11264" width="8.6640625" style="8" customWidth="1"/>
    <col min="11265" max="11265" width="9.88671875" style="8" customWidth="1"/>
    <col min="11266" max="11266" width="14.44140625" style="8" customWidth="1"/>
    <col min="11267" max="11267" width="7.33203125" style="8" customWidth="1"/>
    <col min="11268" max="11268" width="5.5546875" style="8" customWidth="1"/>
    <col min="11269" max="11269" width="9" style="8" customWidth="1"/>
    <col min="11270" max="11271" width="9.88671875" style="8" customWidth="1"/>
    <col min="11272" max="11272" width="11.109375" style="8" customWidth="1"/>
    <col min="11273" max="11273" width="2.88671875" style="8" customWidth="1"/>
    <col min="11274" max="11274" width="3.5546875" style="8" customWidth="1"/>
    <col min="11275" max="11519" width="9.109375" style="8"/>
    <col min="11520" max="11520" width="8.6640625" style="8" customWidth="1"/>
    <col min="11521" max="11521" width="9.88671875" style="8" customWidth="1"/>
    <col min="11522" max="11522" width="14.44140625" style="8" customWidth="1"/>
    <col min="11523" max="11523" width="7.33203125" style="8" customWidth="1"/>
    <col min="11524" max="11524" width="5.5546875" style="8" customWidth="1"/>
    <col min="11525" max="11525" width="9" style="8" customWidth="1"/>
    <col min="11526" max="11527" width="9.88671875" style="8" customWidth="1"/>
    <col min="11528" max="11528" width="11.109375" style="8" customWidth="1"/>
    <col min="11529" max="11529" width="2.88671875" style="8" customWidth="1"/>
    <col min="11530" max="11530" width="3.5546875" style="8" customWidth="1"/>
    <col min="11531" max="11775" width="9.109375" style="8"/>
    <col min="11776" max="11776" width="8.6640625" style="8" customWidth="1"/>
    <col min="11777" max="11777" width="9.88671875" style="8" customWidth="1"/>
    <col min="11778" max="11778" width="14.44140625" style="8" customWidth="1"/>
    <col min="11779" max="11779" width="7.33203125" style="8" customWidth="1"/>
    <col min="11780" max="11780" width="5.5546875" style="8" customWidth="1"/>
    <col min="11781" max="11781" width="9" style="8" customWidth="1"/>
    <col min="11782" max="11783" width="9.88671875" style="8" customWidth="1"/>
    <col min="11784" max="11784" width="11.109375" style="8" customWidth="1"/>
    <col min="11785" max="11785" width="2.88671875" style="8" customWidth="1"/>
    <col min="11786" max="11786" width="3.5546875" style="8" customWidth="1"/>
    <col min="11787" max="12031" width="9.109375" style="8"/>
    <col min="12032" max="12032" width="8.6640625" style="8" customWidth="1"/>
    <col min="12033" max="12033" width="9.88671875" style="8" customWidth="1"/>
    <col min="12034" max="12034" width="14.44140625" style="8" customWidth="1"/>
    <col min="12035" max="12035" width="7.33203125" style="8" customWidth="1"/>
    <col min="12036" max="12036" width="5.5546875" style="8" customWidth="1"/>
    <col min="12037" max="12037" width="9" style="8" customWidth="1"/>
    <col min="12038" max="12039" width="9.88671875" style="8" customWidth="1"/>
    <col min="12040" max="12040" width="11.109375" style="8" customWidth="1"/>
    <col min="12041" max="12041" width="2.88671875" style="8" customWidth="1"/>
    <col min="12042" max="12042" width="3.5546875" style="8" customWidth="1"/>
    <col min="12043" max="12287" width="9.109375" style="8"/>
    <col min="12288" max="12288" width="8.6640625" style="8" customWidth="1"/>
    <col min="12289" max="12289" width="9.88671875" style="8" customWidth="1"/>
    <col min="12290" max="12290" width="14.44140625" style="8" customWidth="1"/>
    <col min="12291" max="12291" width="7.33203125" style="8" customWidth="1"/>
    <col min="12292" max="12292" width="5.5546875" style="8" customWidth="1"/>
    <col min="12293" max="12293" width="9" style="8" customWidth="1"/>
    <col min="12294" max="12295" width="9.88671875" style="8" customWidth="1"/>
    <col min="12296" max="12296" width="11.109375" style="8" customWidth="1"/>
    <col min="12297" max="12297" width="2.88671875" style="8" customWidth="1"/>
    <col min="12298" max="12298" width="3.5546875" style="8" customWidth="1"/>
    <col min="12299" max="12543" width="9.109375" style="8"/>
    <col min="12544" max="12544" width="8.6640625" style="8" customWidth="1"/>
    <col min="12545" max="12545" width="9.88671875" style="8" customWidth="1"/>
    <col min="12546" max="12546" width="14.44140625" style="8" customWidth="1"/>
    <col min="12547" max="12547" width="7.33203125" style="8" customWidth="1"/>
    <col min="12548" max="12548" width="5.5546875" style="8" customWidth="1"/>
    <col min="12549" max="12549" width="9" style="8" customWidth="1"/>
    <col min="12550" max="12551" width="9.88671875" style="8" customWidth="1"/>
    <col min="12552" max="12552" width="11.109375" style="8" customWidth="1"/>
    <col min="12553" max="12553" width="2.88671875" style="8" customWidth="1"/>
    <col min="12554" max="12554" width="3.5546875" style="8" customWidth="1"/>
    <col min="12555" max="12799" width="9.109375" style="8"/>
    <col min="12800" max="12800" width="8.6640625" style="8" customWidth="1"/>
    <col min="12801" max="12801" width="9.88671875" style="8" customWidth="1"/>
    <col min="12802" max="12802" width="14.44140625" style="8" customWidth="1"/>
    <col min="12803" max="12803" width="7.33203125" style="8" customWidth="1"/>
    <col min="12804" max="12804" width="5.5546875" style="8" customWidth="1"/>
    <col min="12805" max="12805" width="9" style="8" customWidth="1"/>
    <col min="12806" max="12807" width="9.88671875" style="8" customWidth="1"/>
    <col min="12808" max="12808" width="11.109375" style="8" customWidth="1"/>
    <col min="12809" max="12809" width="2.88671875" style="8" customWidth="1"/>
    <col min="12810" max="12810" width="3.5546875" style="8" customWidth="1"/>
    <col min="12811" max="13055" width="9.109375" style="8"/>
    <col min="13056" max="13056" width="8.6640625" style="8" customWidth="1"/>
    <col min="13057" max="13057" width="9.88671875" style="8" customWidth="1"/>
    <col min="13058" max="13058" width="14.44140625" style="8" customWidth="1"/>
    <col min="13059" max="13059" width="7.33203125" style="8" customWidth="1"/>
    <col min="13060" max="13060" width="5.5546875" style="8" customWidth="1"/>
    <col min="13061" max="13061" width="9" style="8" customWidth="1"/>
    <col min="13062" max="13063" width="9.88671875" style="8" customWidth="1"/>
    <col min="13064" max="13064" width="11.109375" style="8" customWidth="1"/>
    <col min="13065" max="13065" width="2.88671875" style="8" customWidth="1"/>
    <col min="13066" max="13066" width="3.5546875" style="8" customWidth="1"/>
    <col min="13067" max="13311" width="9.109375" style="8"/>
    <col min="13312" max="13312" width="8.6640625" style="8" customWidth="1"/>
    <col min="13313" max="13313" width="9.88671875" style="8" customWidth="1"/>
    <col min="13314" max="13314" width="14.44140625" style="8" customWidth="1"/>
    <col min="13315" max="13315" width="7.33203125" style="8" customWidth="1"/>
    <col min="13316" max="13316" width="5.5546875" style="8" customWidth="1"/>
    <col min="13317" max="13317" width="9" style="8" customWidth="1"/>
    <col min="13318" max="13319" width="9.88671875" style="8" customWidth="1"/>
    <col min="13320" max="13320" width="11.109375" style="8" customWidth="1"/>
    <col min="13321" max="13321" width="2.88671875" style="8" customWidth="1"/>
    <col min="13322" max="13322" width="3.5546875" style="8" customWidth="1"/>
    <col min="13323" max="13567" width="9.109375" style="8"/>
    <col min="13568" max="13568" width="8.6640625" style="8" customWidth="1"/>
    <col min="13569" max="13569" width="9.88671875" style="8" customWidth="1"/>
    <col min="13570" max="13570" width="14.44140625" style="8" customWidth="1"/>
    <col min="13571" max="13571" width="7.33203125" style="8" customWidth="1"/>
    <col min="13572" max="13572" width="5.5546875" style="8" customWidth="1"/>
    <col min="13573" max="13573" width="9" style="8" customWidth="1"/>
    <col min="13574" max="13575" width="9.88671875" style="8" customWidth="1"/>
    <col min="13576" max="13576" width="11.109375" style="8" customWidth="1"/>
    <col min="13577" max="13577" width="2.88671875" style="8" customWidth="1"/>
    <col min="13578" max="13578" width="3.5546875" style="8" customWidth="1"/>
    <col min="13579" max="13823" width="9.109375" style="8"/>
    <col min="13824" max="13824" width="8.6640625" style="8" customWidth="1"/>
    <col min="13825" max="13825" width="9.88671875" style="8" customWidth="1"/>
    <col min="13826" max="13826" width="14.44140625" style="8" customWidth="1"/>
    <col min="13827" max="13827" width="7.33203125" style="8" customWidth="1"/>
    <col min="13828" max="13828" width="5.5546875" style="8" customWidth="1"/>
    <col min="13829" max="13829" width="9" style="8" customWidth="1"/>
    <col min="13830" max="13831" width="9.88671875" style="8" customWidth="1"/>
    <col min="13832" max="13832" width="11.109375" style="8" customWidth="1"/>
    <col min="13833" max="13833" width="2.88671875" style="8" customWidth="1"/>
    <col min="13834" max="13834" width="3.5546875" style="8" customWidth="1"/>
    <col min="13835" max="14079" width="9.109375" style="8"/>
    <col min="14080" max="14080" width="8.6640625" style="8" customWidth="1"/>
    <col min="14081" max="14081" width="9.88671875" style="8" customWidth="1"/>
    <col min="14082" max="14082" width="14.44140625" style="8" customWidth="1"/>
    <col min="14083" max="14083" width="7.33203125" style="8" customWidth="1"/>
    <col min="14084" max="14084" width="5.5546875" style="8" customWidth="1"/>
    <col min="14085" max="14085" width="9" style="8" customWidth="1"/>
    <col min="14086" max="14087" width="9.88671875" style="8" customWidth="1"/>
    <col min="14088" max="14088" width="11.109375" style="8" customWidth="1"/>
    <col min="14089" max="14089" width="2.88671875" style="8" customWidth="1"/>
    <col min="14090" max="14090" width="3.5546875" style="8" customWidth="1"/>
    <col min="14091" max="14335" width="9.109375" style="8"/>
    <col min="14336" max="14336" width="8.6640625" style="8" customWidth="1"/>
    <col min="14337" max="14337" width="9.88671875" style="8" customWidth="1"/>
    <col min="14338" max="14338" width="14.44140625" style="8" customWidth="1"/>
    <col min="14339" max="14339" width="7.33203125" style="8" customWidth="1"/>
    <col min="14340" max="14340" width="5.5546875" style="8" customWidth="1"/>
    <col min="14341" max="14341" width="9" style="8" customWidth="1"/>
    <col min="14342" max="14343" width="9.88671875" style="8" customWidth="1"/>
    <col min="14344" max="14344" width="11.109375" style="8" customWidth="1"/>
    <col min="14345" max="14345" width="2.88671875" style="8" customWidth="1"/>
    <col min="14346" max="14346" width="3.5546875" style="8" customWidth="1"/>
    <col min="14347" max="14591" width="9.109375" style="8"/>
    <col min="14592" max="14592" width="8.6640625" style="8" customWidth="1"/>
    <col min="14593" max="14593" width="9.88671875" style="8" customWidth="1"/>
    <col min="14594" max="14594" width="14.44140625" style="8" customWidth="1"/>
    <col min="14595" max="14595" width="7.33203125" style="8" customWidth="1"/>
    <col min="14596" max="14596" width="5.5546875" style="8" customWidth="1"/>
    <col min="14597" max="14597" width="9" style="8" customWidth="1"/>
    <col min="14598" max="14599" width="9.88671875" style="8" customWidth="1"/>
    <col min="14600" max="14600" width="11.109375" style="8" customWidth="1"/>
    <col min="14601" max="14601" width="2.88671875" style="8" customWidth="1"/>
    <col min="14602" max="14602" width="3.5546875" style="8" customWidth="1"/>
    <col min="14603" max="14847" width="9.109375" style="8"/>
    <col min="14848" max="14848" width="8.6640625" style="8" customWidth="1"/>
    <col min="14849" max="14849" width="9.88671875" style="8" customWidth="1"/>
    <col min="14850" max="14850" width="14.44140625" style="8" customWidth="1"/>
    <col min="14851" max="14851" width="7.33203125" style="8" customWidth="1"/>
    <col min="14852" max="14852" width="5.5546875" style="8" customWidth="1"/>
    <col min="14853" max="14853" width="9" style="8" customWidth="1"/>
    <col min="14854" max="14855" width="9.88671875" style="8" customWidth="1"/>
    <col min="14856" max="14856" width="11.109375" style="8" customWidth="1"/>
    <col min="14857" max="14857" width="2.88671875" style="8" customWidth="1"/>
    <col min="14858" max="14858" width="3.5546875" style="8" customWidth="1"/>
    <col min="14859" max="15103" width="9.109375" style="8"/>
    <col min="15104" max="15104" width="8.6640625" style="8" customWidth="1"/>
    <col min="15105" max="15105" width="9.88671875" style="8" customWidth="1"/>
    <col min="15106" max="15106" width="14.44140625" style="8" customWidth="1"/>
    <col min="15107" max="15107" width="7.33203125" style="8" customWidth="1"/>
    <col min="15108" max="15108" width="5.5546875" style="8" customWidth="1"/>
    <col min="15109" max="15109" width="9" style="8" customWidth="1"/>
    <col min="15110" max="15111" width="9.88671875" style="8" customWidth="1"/>
    <col min="15112" max="15112" width="11.109375" style="8" customWidth="1"/>
    <col min="15113" max="15113" width="2.88671875" style="8" customWidth="1"/>
    <col min="15114" max="15114" width="3.5546875" style="8" customWidth="1"/>
    <col min="15115" max="15359" width="9.109375" style="8"/>
    <col min="15360" max="15360" width="8.6640625" style="8" customWidth="1"/>
    <col min="15361" max="15361" width="9.88671875" style="8" customWidth="1"/>
    <col min="15362" max="15362" width="14.44140625" style="8" customWidth="1"/>
    <col min="15363" max="15363" width="7.33203125" style="8" customWidth="1"/>
    <col min="15364" max="15364" width="5.5546875" style="8" customWidth="1"/>
    <col min="15365" max="15365" width="9" style="8" customWidth="1"/>
    <col min="15366" max="15367" width="9.88671875" style="8" customWidth="1"/>
    <col min="15368" max="15368" width="11.109375" style="8" customWidth="1"/>
    <col min="15369" max="15369" width="2.88671875" style="8" customWidth="1"/>
    <col min="15370" max="15370" width="3.5546875" style="8" customWidth="1"/>
    <col min="15371" max="15615" width="9.109375" style="8"/>
    <col min="15616" max="15616" width="8.6640625" style="8" customWidth="1"/>
    <col min="15617" max="15617" width="9.88671875" style="8" customWidth="1"/>
    <col min="15618" max="15618" width="14.44140625" style="8" customWidth="1"/>
    <col min="15619" max="15619" width="7.33203125" style="8" customWidth="1"/>
    <col min="15620" max="15620" width="5.5546875" style="8" customWidth="1"/>
    <col min="15621" max="15621" width="9" style="8" customWidth="1"/>
    <col min="15622" max="15623" width="9.88671875" style="8" customWidth="1"/>
    <col min="15624" max="15624" width="11.109375" style="8" customWidth="1"/>
    <col min="15625" max="15625" width="2.88671875" style="8" customWidth="1"/>
    <col min="15626" max="15626" width="3.5546875" style="8" customWidth="1"/>
    <col min="15627" max="15871" width="9.109375" style="8"/>
    <col min="15872" max="15872" width="8.6640625" style="8" customWidth="1"/>
    <col min="15873" max="15873" width="9.88671875" style="8" customWidth="1"/>
    <col min="15874" max="15874" width="14.44140625" style="8" customWidth="1"/>
    <col min="15875" max="15875" width="7.33203125" style="8" customWidth="1"/>
    <col min="15876" max="15876" width="5.5546875" style="8" customWidth="1"/>
    <col min="15877" max="15877" width="9" style="8" customWidth="1"/>
    <col min="15878" max="15879" width="9.88671875" style="8" customWidth="1"/>
    <col min="15880" max="15880" width="11.109375" style="8" customWidth="1"/>
    <col min="15881" max="15881" width="2.88671875" style="8" customWidth="1"/>
    <col min="15882" max="15882" width="3.5546875" style="8" customWidth="1"/>
    <col min="15883" max="16127" width="9.109375" style="8"/>
    <col min="16128" max="16128" width="8.6640625" style="8" customWidth="1"/>
    <col min="16129" max="16129" width="9.88671875" style="8" customWidth="1"/>
    <col min="16130" max="16130" width="14.44140625" style="8" customWidth="1"/>
    <col min="16131" max="16131" width="7.33203125" style="8" customWidth="1"/>
    <col min="16132" max="16132" width="5.5546875" style="8" customWidth="1"/>
    <col min="16133" max="16133" width="9" style="8" customWidth="1"/>
    <col min="16134" max="16135" width="9.88671875" style="8" customWidth="1"/>
    <col min="16136" max="16136" width="11.109375" style="8" customWidth="1"/>
    <col min="16137" max="16137" width="2.88671875" style="8" customWidth="1"/>
    <col min="16138" max="16138" width="3.5546875" style="8" customWidth="1"/>
    <col min="16139" max="16384" width="9.109375" style="8"/>
  </cols>
  <sheetData>
    <row r="1" spans="1:10" ht="46.5" customHeight="1" x14ac:dyDescent="0.3">
      <c r="A1" s="152" t="s">
        <v>261</v>
      </c>
      <c r="B1" s="153"/>
      <c r="C1" s="153"/>
      <c r="D1" s="153"/>
      <c r="E1" s="153"/>
      <c r="F1" s="153"/>
      <c r="G1" s="153"/>
      <c r="H1" s="153"/>
      <c r="I1" s="153"/>
      <c r="J1" s="154"/>
    </row>
    <row r="2" spans="1:10" ht="16.5" customHeight="1" x14ac:dyDescent="0.3">
      <c r="A2" s="100" t="s">
        <v>0</v>
      </c>
      <c r="B2" s="101"/>
      <c r="C2" s="101"/>
      <c r="D2" s="101"/>
      <c r="E2" s="101"/>
      <c r="F2" s="101"/>
      <c r="G2" s="101"/>
      <c r="H2" s="101"/>
      <c r="I2" s="101"/>
      <c r="J2" s="102"/>
    </row>
    <row r="3" spans="1:10" x14ac:dyDescent="0.3">
      <c r="A3" s="72" t="s">
        <v>1</v>
      </c>
      <c r="B3" s="73"/>
      <c r="C3" s="73"/>
      <c r="D3" s="73"/>
      <c r="E3" s="74"/>
      <c r="F3" s="149" t="str">
        <f ca="1">TEXT(TODAY(),"DD/MM/YYYY")</f>
        <v>09/09/2025</v>
      </c>
      <c r="G3" s="150"/>
      <c r="H3" s="150"/>
      <c r="I3" s="150"/>
      <c r="J3" s="151"/>
    </row>
    <row r="4" spans="1:10" ht="15" customHeight="1" x14ac:dyDescent="0.3">
      <c r="A4" s="72" t="s">
        <v>2</v>
      </c>
      <c r="B4" s="73"/>
      <c r="C4" s="73"/>
      <c r="D4" s="73"/>
      <c r="E4" s="74"/>
      <c r="F4" s="135" t="s">
        <v>142</v>
      </c>
      <c r="G4" s="136"/>
      <c r="H4" s="136"/>
      <c r="I4" s="136"/>
      <c r="J4" s="137"/>
    </row>
    <row r="5" spans="1:10" x14ac:dyDescent="0.3">
      <c r="A5" s="72" t="s">
        <v>3</v>
      </c>
      <c r="B5" s="73"/>
      <c r="C5" s="73"/>
      <c r="D5" s="73"/>
      <c r="E5" s="74"/>
      <c r="F5" s="149">
        <v>45908</v>
      </c>
      <c r="G5" s="150"/>
      <c r="H5" s="150"/>
      <c r="I5" s="150"/>
      <c r="J5" s="151"/>
    </row>
    <row r="6" spans="1:10" ht="16.5" customHeight="1" x14ac:dyDescent="0.3">
      <c r="A6" s="72" t="s">
        <v>4</v>
      </c>
      <c r="B6" s="73"/>
      <c r="C6" s="73"/>
      <c r="D6" s="73"/>
      <c r="E6" s="74"/>
      <c r="F6" s="75" t="s">
        <v>179</v>
      </c>
      <c r="G6" s="76"/>
      <c r="H6" s="76"/>
      <c r="I6" s="76"/>
      <c r="J6" s="77"/>
    </row>
    <row r="7" spans="1:10" ht="15" customHeight="1" x14ac:dyDescent="0.3">
      <c r="A7" s="72" t="s">
        <v>5</v>
      </c>
      <c r="B7" s="73"/>
      <c r="C7" s="73"/>
      <c r="D7" s="73"/>
      <c r="E7" s="74"/>
      <c r="F7" s="75" t="str">
        <f>F6</f>
        <v>M/s.Samrin Infra LLP</v>
      </c>
      <c r="G7" s="76"/>
      <c r="H7" s="76"/>
      <c r="I7" s="76"/>
      <c r="J7" s="77"/>
    </row>
    <row r="8" spans="1:10" x14ac:dyDescent="0.3">
      <c r="A8" s="72" t="s">
        <v>6</v>
      </c>
      <c r="B8" s="73"/>
      <c r="C8" s="73"/>
      <c r="D8" s="73"/>
      <c r="E8" s="74"/>
      <c r="F8" s="89" t="s">
        <v>143</v>
      </c>
      <c r="G8" s="90"/>
      <c r="H8" s="90"/>
      <c r="I8" s="90"/>
      <c r="J8" s="91"/>
    </row>
    <row r="9" spans="1:10" x14ac:dyDescent="0.3">
      <c r="A9" s="72" t="s">
        <v>7</v>
      </c>
      <c r="B9" s="73"/>
      <c r="C9" s="73"/>
      <c r="D9" s="73"/>
      <c r="E9" s="74"/>
      <c r="F9" s="72" t="s">
        <v>144</v>
      </c>
      <c r="G9" s="73"/>
      <c r="H9" s="73"/>
      <c r="I9" s="73"/>
      <c r="J9" s="74"/>
    </row>
    <row r="10" spans="1:10" x14ac:dyDescent="0.3">
      <c r="A10" s="72" t="s">
        <v>8</v>
      </c>
      <c r="B10" s="73"/>
      <c r="C10" s="73"/>
      <c r="D10" s="73"/>
      <c r="E10" s="74"/>
      <c r="F10" s="86" t="s">
        <v>194</v>
      </c>
      <c r="G10" s="87"/>
      <c r="H10" s="87"/>
      <c r="I10" s="87"/>
      <c r="J10" s="88"/>
    </row>
    <row r="11" spans="1:10" x14ac:dyDescent="0.3">
      <c r="A11" s="72" t="s">
        <v>9</v>
      </c>
      <c r="B11" s="73"/>
      <c r="C11" s="73"/>
      <c r="D11" s="73"/>
      <c r="E11" s="74"/>
      <c r="F11" s="64" t="s">
        <v>10</v>
      </c>
      <c r="G11" s="65"/>
      <c r="H11" s="65"/>
      <c r="I11" s="65"/>
      <c r="J11" s="66"/>
    </row>
    <row r="12" spans="1:10" x14ac:dyDescent="0.3">
      <c r="A12" s="72" t="s">
        <v>11</v>
      </c>
      <c r="B12" s="73"/>
      <c r="C12" s="73"/>
      <c r="D12" s="73"/>
      <c r="E12" s="74"/>
      <c r="F12" s="75" t="s">
        <v>145</v>
      </c>
      <c r="G12" s="73"/>
      <c r="H12" s="73"/>
      <c r="I12" s="73"/>
      <c r="J12" s="74"/>
    </row>
    <row r="13" spans="1:10" ht="31.5" customHeight="1" x14ac:dyDescent="0.3">
      <c r="A13" s="138" t="s">
        <v>12</v>
      </c>
      <c r="B13" s="138"/>
      <c r="C13" s="75" t="str">
        <f>CONCATENATE((IF(OR(F8="",F8="NA"),"",F8)),", ",(IF(OR(A14="",A14="NA"),"",A14)),".",(IF(OR(C14="",C14="NA"),"",C14)),", ",(IF(OR(F14="",F14="NA"),"",F14)),".",(IF(OR(H14="",H14="NA"),"",H14)),", ",(IF(OR(C15="",C15="NA"),"",C15)),", ",(IF(OR(H15="",H15="NA"),"",H15)),", ",(IF(OR(C16="",C16="NA"),"",C16)),", ",(IF(OR(C17="",C17="NA"),"",C17)),", ",(IF(OR(H16="",H16="NA"),"",H16)),".")</f>
        <v>Samrin Heritage, Plot No.377, TPS No.1, Almeda Road, Panchpakhadi, Thane West, Thane, Thane.</v>
      </c>
      <c r="D13" s="76"/>
      <c r="E13" s="76"/>
      <c r="F13" s="76"/>
      <c r="G13" s="76"/>
      <c r="H13" s="76"/>
      <c r="I13" s="76"/>
      <c r="J13" s="77"/>
    </row>
    <row r="14" spans="1:10" ht="15.75" customHeight="1" x14ac:dyDescent="0.3">
      <c r="A14" s="75" t="s">
        <v>146</v>
      </c>
      <c r="B14" s="77"/>
      <c r="C14" s="64">
        <v>377</v>
      </c>
      <c r="D14" s="65"/>
      <c r="E14" s="65"/>
      <c r="F14" s="133" t="s">
        <v>147</v>
      </c>
      <c r="G14" s="134"/>
      <c r="H14" s="64">
        <v>1</v>
      </c>
      <c r="I14" s="65"/>
      <c r="J14" s="66"/>
    </row>
    <row r="15" spans="1:10" ht="15.75" customHeight="1" x14ac:dyDescent="0.3">
      <c r="A15" s="75" t="s">
        <v>13</v>
      </c>
      <c r="B15" s="77"/>
      <c r="C15" s="132" t="s">
        <v>151</v>
      </c>
      <c r="D15" s="132"/>
      <c r="E15" s="132"/>
      <c r="F15" s="133" t="s">
        <v>148</v>
      </c>
      <c r="G15" s="134"/>
      <c r="H15" s="64" t="s">
        <v>149</v>
      </c>
      <c r="I15" s="65"/>
      <c r="J15" s="66"/>
    </row>
    <row r="16" spans="1:10" x14ac:dyDescent="0.3">
      <c r="A16" s="124" t="s">
        <v>15</v>
      </c>
      <c r="B16" s="124"/>
      <c r="C16" s="64" t="s">
        <v>180</v>
      </c>
      <c r="D16" s="65"/>
      <c r="E16" s="66"/>
      <c r="F16" s="133" t="s">
        <v>14</v>
      </c>
      <c r="G16" s="134"/>
      <c r="H16" s="155" t="s">
        <v>150</v>
      </c>
      <c r="I16" s="155"/>
      <c r="J16" s="155"/>
    </row>
    <row r="17" spans="1:10" x14ac:dyDescent="0.3">
      <c r="A17" s="124" t="s">
        <v>124</v>
      </c>
      <c r="B17" s="124"/>
      <c r="C17" s="64" t="s">
        <v>150</v>
      </c>
      <c r="D17" s="65"/>
      <c r="E17" s="66"/>
      <c r="F17" s="133" t="s">
        <v>16</v>
      </c>
      <c r="G17" s="134"/>
      <c r="H17" s="64">
        <v>400602</v>
      </c>
      <c r="I17" s="65"/>
      <c r="J17" s="66"/>
    </row>
    <row r="18" spans="1:10" ht="32.25" customHeight="1" x14ac:dyDescent="0.3">
      <c r="A18" s="124" t="s">
        <v>17</v>
      </c>
      <c r="B18" s="124"/>
      <c r="C18" s="124" t="s">
        <v>155</v>
      </c>
      <c r="D18" s="124"/>
      <c r="E18" s="124"/>
      <c r="F18" s="138" t="s">
        <v>18</v>
      </c>
      <c r="G18" s="138"/>
      <c r="H18" s="65" t="s">
        <v>253</v>
      </c>
      <c r="I18" s="65"/>
      <c r="J18" s="66"/>
    </row>
    <row r="19" spans="1:10" ht="15" customHeight="1" x14ac:dyDescent="0.3">
      <c r="A19" s="133" t="s">
        <v>136</v>
      </c>
      <c r="B19" s="139"/>
      <c r="C19" s="139"/>
      <c r="D19" s="139"/>
      <c r="E19" s="134"/>
      <c r="F19" s="143" t="s">
        <v>19</v>
      </c>
      <c r="G19" s="144"/>
      <c r="H19" s="144"/>
      <c r="I19" s="144"/>
      <c r="J19" s="145"/>
    </row>
    <row r="20" spans="1:10" ht="18.75" customHeight="1" x14ac:dyDescent="0.3">
      <c r="A20" s="140"/>
      <c r="B20" s="141"/>
      <c r="C20" s="141"/>
      <c r="D20" s="141"/>
      <c r="E20" s="142"/>
      <c r="F20" s="146"/>
      <c r="G20" s="147"/>
      <c r="H20" s="147"/>
      <c r="I20" s="147"/>
      <c r="J20" s="148"/>
    </row>
    <row r="21" spans="1:10" ht="15" customHeight="1" x14ac:dyDescent="0.3">
      <c r="A21" s="133" t="s">
        <v>20</v>
      </c>
      <c r="B21" s="139"/>
      <c r="C21" s="139"/>
      <c r="D21" s="139"/>
      <c r="E21" s="134"/>
      <c r="F21" s="133" t="s">
        <v>21</v>
      </c>
      <c r="G21" s="139"/>
      <c r="H21" s="139"/>
      <c r="I21" s="139"/>
      <c r="J21" s="134"/>
    </row>
    <row r="22" spans="1:10" x14ac:dyDescent="0.3">
      <c r="A22" s="140"/>
      <c r="B22" s="141"/>
      <c r="C22" s="141"/>
      <c r="D22" s="141"/>
      <c r="E22" s="142"/>
      <c r="F22" s="140"/>
      <c r="G22" s="141"/>
      <c r="H22" s="141"/>
      <c r="I22" s="141"/>
      <c r="J22" s="142"/>
    </row>
    <row r="23" spans="1:10" ht="15" customHeight="1" x14ac:dyDescent="0.3">
      <c r="A23" s="72" t="s">
        <v>22</v>
      </c>
      <c r="B23" s="73"/>
      <c r="C23" s="73"/>
      <c r="D23" s="73"/>
      <c r="E23" s="74"/>
      <c r="F23" s="135" t="s">
        <v>23</v>
      </c>
      <c r="G23" s="136"/>
      <c r="H23" s="136"/>
      <c r="I23" s="136"/>
      <c r="J23" s="137"/>
    </row>
    <row r="24" spans="1:10" x14ac:dyDescent="0.3">
      <c r="A24" s="72" t="s">
        <v>24</v>
      </c>
      <c r="B24" s="73"/>
      <c r="C24" s="73"/>
      <c r="D24" s="73"/>
      <c r="E24" s="74"/>
      <c r="F24" s="135" t="s">
        <v>25</v>
      </c>
      <c r="G24" s="136"/>
      <c r="H24" s="136"/>
      <c r="I24" s="136"/>
      <c r="J24" s="137"/>
    </row>
    <row r="25" spans="1:10" ht="15" customHeight="1" x14ac:dyDescent="0.3">
      <c r="A25" s="72" t="s">
        <v>26</v>
      </c>
      <c r="B25" s="73"/>
      <c r="C25" s="73"/>
      <c r="D25" s="73"/>
      <c r="E25" s="74"/>
      <c r="F25" s="135" t="s">
        <v>27</v>
      </c>
      <c r="G25" s="136"/>
      <c r="H25" s="136"/>
      <c r="I25" s="136"/>
      <c r="J25" s="137"/>
    </row>
    <row r="26" spans="1:10" x14ac:dyDescent="0.3">
      <c r="A26" s="72" t="s">
        <v>28</v>
      </c>
      <c r="B26" s="73"/>
      <c r="C26" s="73"/>
      <c r="D26" s="73"/>
      <c r="E26" s="74"/>
      <c r="F26" s="135" t="s">
        <v>29</v>
      </c>
      <c r="G26" s="136"/>
      <c r="H26" s="136"/>
      <c r="I26" s="136"/>
      <c r="J26" s="137"/>
    </row>
    <row r="27" spans="1:10" x14ac:dyDescent="0.3">
      <c r="A27" s="156" t="s">
        <v>30</v>
      </c>
      <c r="B27" s="157"/>
      <c r="C27" s="156" t="s">
        <v>31</v>
      </c>
      <c r="D27" s="157"/>
      <c r="E27" s="156" t="s">
        <v>32</v>
      </c>
      <c r="F27" s="157"/>
      <c r="G27" s="156" t="s">
        <v>34</v>
      </c>
      <c r="H27" s="157"/>
      <c r="I27" s="156" t="s">
        <v>33</v>
      </c>
      <c r="J27" s="157"/>
    </row>
    <row r="28" spans="1:10" x14ac:dyDescent="0.3">
      <c r="A28" s="158" t="s">
        <v>35</v>
      </c>
      <c r="B28" s="159"/>
      <c r="C28" s="158" t="s">
        <v>36</v>
      </c>
      <c r="D28" s="159"/>
      <c r="E28" s="158" t="s">
        <v>36</v>
      </c>
      <c r="F28" s="159"/>
      <c r="G28" s="158" t="s">
        <v>36</v>
      </c>
      <c r="H28" s="159"/>
      <c r="I28" s="158" t="s">
        <v>36</v>
      </c>
      <c r="J28" s="159"/>
    </row>
    <row r="29" spans="1:10" x14ac:dyDescent="0.3">
      <c r="A29" s="158" t="s">
        <v>37</v>
      </c>
      <c r="B29" s="159"/>
      <c r="C29" s="163" t="s">
        <v>152</v>
      </c>
      <c r="D29" s="164"/>
      <c r="E29" s="163" t="s">
        <v>153</v>
      </c>
      <c r="F29" s="164"/>
      <c r="G29" s="163" t="s">
        <v>153</v>
      </c>
      <c r="H29" s="164"/>
      <c r="I29" s="163" t="s">
        <v>154</v>
      </c>
      <c r="J29" s="164"/>
    </row>
    <row r="30" spans="1:10" x14ac:dyDescent="0.3">
      <c r="A30" s="72" t="s">
        <v>38</v>
      </c>
      <c r="B30" s="73"/>
      <c r="C30" s="73"/>
      <c r="D30" s="73"/>
      <c r="E30" s="73"/>
      <c r="F30" s="73"/>
      <c r="G30" s="73"/>
      <c r="H30" s="73"/>
      <c r="I30" s="73"/>
      <c r="J30" s="74"/>
    </row>
    <row r="31" spans="1:10" x14ac:dyDescent="0.3">
      <c r="A31" s="72" t="s">
        <v>39</v>
      </c>
      <c r="B31" s="73"/>
      <c r="C31" s="73"/>
      <c r="D31" s="73"/>
      <c r="E31" s="73"/>
      <c r="F31" s="73"/>
      <c r="G31" s="73"/>
      <c r="H31" s="73"/>
      <c r="I31" s="73"/>
      <c r="J31" s="74"/>
    </row>
    <row r="32" spans="1:10" x14ac:dyDescent="0.3">
      <c r="A32" s="72" t="s">
        <v>40</v>
      </c>
      <c r="B32" s="74"/>
      <c r="C32" s="158" t="s">
        <v>41</v>
      </c>
      <c r="D32" s="159"/>
      <c r="E32" s="158">
        <v>19.1976038</v>
      </c>
      <c r="F32" s="159"/>
      <c r="G32" s="158" t="s">
        <v>42</v>
      </c>
      <c r="H32" s="159"/>
      <c r="I32" s="158">
        <v>72.969416499999994</v>
      </c>
      <c r="J32" s="159"/>
    </row>
    <row r="33" spans="1:10" x14ac:dyDescent="0.3">
      <c r="A33" s="72" t="s">
        <v>256</v>
      </c>
      <c r="B33" s="74"/>
      <c r="C33" s="223" t="s">
        <v>257</v>
      </c>
      <c r="D33" s="224"/>
      <c r="E33" s="224"/>
      <c r="F33" s="224"/>
      <c r="G33" s="224"/>
      <c r="H33" s="224"/>
      <c r="I33" s="224"/>
      <c r="J33" s="159"/>
    </row>
    <row r="34" spans="1:10" x14ac:dyDescent="0.3">
      <c r="A34" s="89" t="s">
        <v>43</v>
      </c>
      <c r="B34" s="90"/>
      <c r="C34" s="90"/>
      <c r="D34" s="90"/>
      <c r="E34" s="90"/>
      <c r="F34" s="90"/>
      <c r="G34" s="90"/>
      <c r="H34" s="90"/>
      <c r="I34" s="90"/>
      <c r="J34" s="91"/>
    </row>
    <row r="35" spans="1:10" ht="15" customHeight="1" x14ac:dyDescent="0.3">
      <c r="A35" s="75" t="s">
        <v>44</v>
      </c>
      <c r="B35" s="76"/>
      <c r="C35" s="76"/>
      <c r="D35" s="76"/>
      <c r="E35" s="77"/>
      <c r="F35" s="160" t="s">
        <v>176</v>
      </c>
      <c r="G35" s="161"/>
      <c r="H35" s="161"/>
      <c r="I35" s="161"/>
      <c r="J35" s="162"/>
    </row>
    <row r="36" spans="1:10" ht="15" customHeight="1" x14ac:dyDescent="0.3">
      <c r="A36" s="140" t="s">
        <v>45</v>
      </c>
      <c r="B36" s="141"/>
      <c r="C36" s="141"/>
      <c r="D36" s="141"/>
      <c r="E36" s="141"/>
      <c r="F36" s="75" t="s">
        <v>46</v>
      </c>
      <c r="G36" s="76"/>
      <c r="H36" s="76"/>
      <c r="I36" s="76"/>
      <c r="J36" s="77"/>
    </row>
    <row r="37" spans="1:10" x14ac:dyDescent="0.3">
      <c r="A37" s="89" t="s">
        <v>47</v>
      </c>
      <c r="B37" s="90"/>
      <c r="C37" s="90"/>
      <c r="D37" s="90"/>
      <c r="E37" s="90"/>
      <c r="F37" s="90"/>
      <c r="G37" s="90"/>
      <c r="H37" s="90"/>
      <c r="I37" s="90"/>
      <c r="J37" s="91"/>
    </row>
    <row r="38" spans="1:10" x14ac:dyDescent="0.3">
      <c r="A38" s="72" t="s">
        <v>48</v>
      </c>
      <c r="B38" s="73"/>
      <c r="C38" s="73"/>
      <c r="D38" s="73"/>
      <c r="E38" s="74"/>
      <c r="F38" s="128">
        <f>7220.18+1202.92</f>
        <v>8423.1</v>
      </c>
      <c r="G38" s="129"/>
      <c r="H38" s="129"/>
      <c r="I38" s="129"/>
      <c r="J38" s="130"/>
    </row>
    <row r="39" spans="1:10" x14ac:dyDescent="0.3">
      <c r="A39" s="72" t="s">
        <v>49</v>
      </c>
      <c r="B39" s="73"/>
      <c r="C39" s="73"/>
      <c r="D39" s="73"/>
      <c r="E39" s="74"/>
      <c r="F39" s="83" t="s">
        <v>181</v>
      </c>
      <c r="G39" s="84"/>
      <c r="H39" s="84"/>
      <c r="I39" s="84"/>
      <c r="J39" s="85"/>
    </row>
    <row r="40" spans="1:10" x14ac:dyDescent="0.3">
      <c r="A40" s="72" t="s">
        <v>50</v>
      </c>
      <c r="B40" s="73"/>
      <c r="C40" s="73"/>
      <c r="D40" s="73"/>
      <c r="E40" s="74"/>
      <c r="F40" s="83">
        <v>0</v>
      </c>
      <c r="G40" s="84"/>
      <c r="H40" s="84"/>
      <c r="I40" s="84"/>
      <c r="J40" s="85"/>
    </row>
    <row r="41" spans="1:10" x14ac:dyDescent="0.3">
      <c r="A41" s="72" t="s">
        <v>51</v>
      </c>
      <c r="B41" s="73"/>
      <c r="C41" s="73"/>
      <c r="D41" s="73"/>
      <c r="E41" s="74"/>
      <c r="F41" s="83" t="str">
        <f>F39</f>
        <v xml:space="preserve">3(Slum) + 1(Non Slum) </v>
      </c>
      <c r="G41" s="84"/>
      <c r="H41" s="84"/>
      <c r="I41" s="84"/>
      <c r="J41" s="85"/>
    </row>
    <row r="42" spans="1:10" x14ac:dyDescent="0.3">
      <c r="A42" s="72" t="s">
        <v>52</v>
      </c>
      <c r="B42" s="73"/>
      <c r="C42" s="73"/>
      <c r="D42" s="73"/>
      <c r="E42" s="74"/>
      <c r="F42" s="83">
        <v>22863.46</v>
      </c>
      <c r="G42" s="84"/>
      <c r="H42" s="84"/>
      <c r="I42" s="84"/>
      <c r="J42" s="85"/>
    </row>
    <row r="43" spans="1:10" x14ac:dyDescent="0.3">
      <c r="A43" s="72" t="s">
        <v>53</v>
      </c>
      <c r="B43" s="73"/>
      <c r="C43" s="73"/>
      <c r="D43" s="73"/>
      <c r="E43" s="74"/>
      <c r="F43" s="86" t="s">
        <v>175</v>
      </c>
      <c r="G43" s="87"/>
      <c r="H43" s="87"/>
      <c r="I43" s="87"/>
      <c r="J43" s="88"/>
    </row>
    <row r="44" spans="1:10" x14ac:dyDescent="0.3">
      <c r="A44" s="89" t="s">
        <v>54</v>
      </c>
      <c r="B44" s="90"/>
      <c r="C44" s="90"/>
      <c r="D44" s="90"/>
      <c r="E44" s="90"/>
      <c r="F44" s="90"/>
      <c r="G44" s="90"/>
      <c r="H44" s="90"/>
      <c r="I44" s="90"/>
      <c r="J44" s="91"/>
    </row>
    <row r="45" spans="1:10" ht="15.75" customHeight="1" x14ac:dyDescent="0.3">
      <c r="A45" s="75" t="s">
        <v>55</v>
      </c>
      <c r="B45" s="77"/>
      <c r="C45" s="75" t="s">
        <v>156</v>
      </c>
      <c r="D45" s="76"/>
      <c r="E45" s="76"/>
      <c r="F45" s="77"/>
      <c r="G45" s="47" t="s">
        <v>56</v>
      </c>
      <c r="H45" s="131">
        <v>44298</v>
      </c>
      <c r="I45" s="76"/>
      <c r="J45" s="77"/>
    </row>
    <row r="46" spans="1:10" x14ac:dyDescent="0.3">
      <c r="A46" s="75" t="s">
        <v>242</v>
      </c>
      <c r="B46" s="77"/>
      <c r="C46" s="75" t="s">
        <v>156</v>
      </c>
      <c r="D46" s="76"/>
      <c r="E46" s="76"/>
      <c r="F46" s="77"/>
      <c r="G46" s="47" t="s">
        <v>56</v>
      </c>
      <c r="H46" s="131">
        <v>44298</v>
      </c>
      <c r="I46" s="76"/>
      <c r="J46" s="77"/>
    </row>
    <row r="47" spans="1:10" ht="109.5" customHeight="1" x14ac:dyDescent="0.3">
      <c r="A47" s="75" t="s">
        <v>57</v>
      </c>
      <c r="B47" s="77"/>
      <c r="C47" s="75" t="s">
        <v>264</v>
      </c>
      <c r="D47" s="73"/>
      <c r="E47" s="73"/>
      <c r="F47" s="74"/>
      <c r="G47" s="48" t="s">
        <v>56</v>
      </c>
      <c r="H47" s="131">
        <v>44678</v>
      </c>
      <c r="I47" s="76" t="s">
        <v>58</v>
      </c>
      <c r="J47" s="77"/>
    </row>
    <row r="48" spans="1:10" ht="96" customHeight="1" x14ac:dyDescent="0.3">
      <c r="A48" s="75"/>
      <c r="B48" s="77"/>
      <c r="C48" s="75" t="s">
        <v>265</v>
      </c>
      <c r="D48" s="73"/>
      <c r="E48" s="73"/>
      <c r="F48" s="74"/>
      <c r="G48" s="48" t="s">
        <v>56</v>
      </c>
      <c r="H48" s="131">
        <v>44774</v>
      </c>
      <c r="I48" s="76" t="s">
        <v>58</v>
      </c>
      <c r="J48" s="77"/>
    </row>
    <row r="49" spans="1:12" ht="114" customHeight="1" x14ac:dyDescent="0.3">
      <c r="A49" s="75"/>
      <c r="B49" s="77"/>
      <c r="C49" s="75" t="s">
        <v>270</v>
      </c>
      <c r="D49" s="73"/>
      <c r="E49" s="73"/>
      <c r="F49" s="74"/>
      <c r="G49" s="48" t="s">
        <v>56</v>
      </c>
      <c r="H49" s="131">
        <v>45093</v>
      </c>
      <c r="I49" s="76" t="s">
        <v>58</v>
      </c>
      <c r="J49" s="77"/>
    </row>
    <row r="50" spans="1:12" ht="144" customHeight="1" x14ac:dyDescent="0.3">
      <c r="A50" s="75"/>
      <c r="B50" s="77"/>
      <c r="C50" s="75" t="s">
        <v>269</v>
      </c>
      <c r="D50" s="73"/>
      <c r="E50" s="73"/>
      <c r="F50" s="74"/>
      <c r="G50" s="48" t="s">
        <v>56</v>
      </c>
      <c r="H50" s="131">
        <v>45594</v>
      </c>
      <c r="I50" s="76" t="s">
        <v>58</v>
      </c>
      <c r="J50" s="77"/>
    </row>
    <row r="51" spans="1:12" ht="15" customHeight="1" x14ac:dyDescent="0.3">
      <c r="A51" s="75" t="s">
        <v>59</v>
      </c>
      <c r="B51" s="77"/>
      <c r="C51" s="75" t="s">
        <v>133</v>
      </c>
      <c r="D51" s="73"/>
      <c r="E51" s="73"/>
      <c r="F51" s="74" t="s">
        <v>60</v>
      </c>
      <c r="G51" s="47" t="s">
        <v>56</v>
      </c>
      <c r="H51" s="75" t="s">
        <v>36</v>
      </c>
      <c r="I51" s="76" t="s">
        <v>36</v>
      </c>
      <c r="J51" s="77"/>
    </row>
    <row r="52" spans="1:12" x14ac:dyDescent="0.3">
      <c r="A52" s="124" t="s">
        <v>61</v>
      </c>
      <c r="B52" s="124"/>
      <c r="C52" s="124"/>
      <c r="D52" s="125">
        <f>H48</f>
        <v>44774</v>
      </c>
      <c r="E52" s="125"/>
      <c r="F52" s="72" t="s">
        <v>62</v>
      </c>
      <c r="G52" s="126"/>
      <c r="H52" s="127">
        <v>46022</v>
      </c>
      <c r="I52" s="87"/>
      <c r="J52" s="88"/>
    </row>
    <row r="53" spans="1:12" x14ac:dyDescent="0.3">
      <c r="A53" s="184" t="s">
        <v>63</v>
      </c>
      <c r="B53" s="185"/>
      <c r="C53" s="185"/>
      <c r="D53" s="185"/>
      <c r="E53" s="185"/>
      <c r="F53" s="185"/>
      <c r="G53" s="185"/>
      <c r="H53" s="185"/>
      <c r="I53" s="185"/>
      <c r="J53" s="186"/>
    </row>
    <row r="54" spans="1:12" ht="49.5" customHeight="1" x14ac:dyDescent="0.3">
      <c r="A54" s="72" t="s">
        <v>64</v>
      </c>
      <c r="B54" s="73"/>
      <c r="C54" s="74"/>
      <c r="D54" s="158">
        <v>12246.48</v>
      </c>
      <c r="E54" s="159"/>
      <c r="F54" s="187" t="s">
        <v>65</v>
      </c>
      <c r="G54" s="188"/>
      <c r="H54" s="189" t="s">
        <v>258</v>
      </c>
      <c r="I54" s="190"/>
      <c r="J54" s="191"/>
    </row>
    <row r="55" spans="1:12" ht="49.5" customHeight="1" x14ac:dyDescent="0.3">
      <c r="A55" s="64" t="s">
        <v>66</v>
      </c>
      <c r="B55" s="65"/>
      <c r="C55" s="64" t="s">
        <v>267</v>
      </c>
      <c r="D55" s="65"/>
      <c r="E55" s="65"/>
      <c r="F55" s="65"/>
      <c r="G55" s="65"/>
      <c r="H55" s="65"/>
      <c r="I55" s="65"/>
      <c r="J55" s="66"/>
    </row>
    <row r="56" spans="1:12" ht="49.5" customHeight="1" x14ac:dyDescent="0.3">
      <c r="A56" s="64" t="s">
        <v>266</v>
      </c>
      <c r="B56" s="65"/>
      <c r="C56" s="64" t="s">
        <v>259</v>
      </c>
      <c r="D56" s="65"/>
      <c r="E56" s="65"/>
      <c r="F56" s="65"/>
      <c r="G56" s="65"/>
      <c r="H56" s="65"/>
      <c r="I56" s="65"/>
      <c r="J56" s="66"/>
    </row>
    <row r="57" spans="1:12" ht="15.75" customHeight="1" x14ac:dyDescent="0.3">
      <c r="A57" s="72" t="s">
        <v>67</v>
      </c>
      <c r="B57" s="73"/>
      <c r="C57" s="73"/>
      <c r="D57" s="75" t="s">
        <v>68</v>
      </c>
      <c r="E57" s="76"/>
      <c r="F57" s="76"/>
      <c r="G57" s="76"/>
      <c r="H57" s="76"/>
      <c r="I57" s="76"/>
      <c r="J57" s="77"/>
    </row>
    <row r="58" spans="1:12" x14ac:dyDescent="0.3">
      <c r="A58" s="86" t="s">
        <v>178</v>
      </c>
      <c r="B58" s="87"/>
      <c r="C58" s="87"/>
      <c r="D58" s="87"/>
      <c r="E58" s="87"/>
      <c r="F58" s="87"/>
      <c r="G58" s="87"/>
      <c r="H58" s="87"/>
      <c r="I58" s="87"/>
      <c r="J58" s="88"/>
    </row>
    <row r="59" spans="1:12" ht="15" customHeight="1" thickBot="1" x14ac:dyDescent="0.35">
      <c r="A59" s="208" t="s">
        <v>69</v>
      </c>
      <c r="B59" s="209"/>
      <c r="C59" s="209"/>
      <c r="D59" s="209"/>
      <c r="E59" s="209"/>
      <c r="F59" s="209"/>
      <c r="G59" s="209"/>
      <c r="H59" s="209"/>
      <c r="I59" s="209"/>
      <c r="J59" s="210"/>
    </row>
    <row r="60" spans="1:12" customFormat="1" ht="15.75" customHeight="1" x14ac:dyDescent="0.3">
      <c r="A60" s="201" t="s">
        <v>207</v>
      </c>
      <c r="B60" s="202"/>
      <c r="C60" s="203" t="s">
        <v>263</v>
      </c>
      <c r="D60" s="204"/>
      <c r="E60" s="204"/>
      <c r="F60" s="204"/>
      <c r="G60" s="204"/>
      <c r="H60" s="204"/>
      <c r="I60" s="204"/>
      <c r="J60" s="205"/>
      <c r="K60" s="25" t="str">
        <f>(IF(F64&gt;99%,"All work completed. Please provide OC.",IF(F64&gt;89.8%,"Plinth, RCC, Brick, Plaster, Flooring, Painting work Completed. Finishing work is in process.",IF(F64&lt;94%,(IF(C64=0,"Work not yet Started.",IF(D64=25%,"Piling work in process",IF(D64=50%,"Excavation work in process",IF(D64=100%,"Excavation work Completed. ","0")))&amp;(IF(C65=0%,"",IF(C65=L66,"Footing work is process",IF(C65=L67,"Footing work Completed",IF(C65=L68,"1st Basement Completed",IF(C65=L69,"1st &amp; 2nd Basement Completed",IF(C65=L70,"1st to 3rd Basement Completed",IF(C65=L71,"1st to 4th Basement Completed",IF(C65=L72,"Plinth work is process",IF(C65=L73,"Plinth work completed","0")))))))))))&amp;(IF(C66=(D61+G61+I61),", RCC Slab",IF(C66&gt;0,", RCC upto "&amp;C66&amp;" Slab",""))&amp;(IF(C67=I61,", Brickwork",IF(C67&gt;0,", Brickwork upto "&amp;C67&amp;" Floor",""))&amp;(IF(C68=I61,", Internal Plaster",IF(C68&gt;0,", Internal Plaster upto "&amp;C68&amp;" Floor",""))&amp;(IF(C69=I61,", External Plaster",IF(C69&gt;0,", External Plaster upto "&amp;C69&amp;" Floor",""))&amp;(IF(C70=I61,", Flooring",IF(C70&gt;0,", Flooring upto "&amp;C70&amp;" Floor",""))&amp;(IF(C71=I61,", Painting",IF(C71&gt;0,", Painting upto "&amp;C71&amp;" Floor",""))&amp;(IF(C72&gt;0,", Finishing upto "&amp;C72&amp;" Floor","")&amp;(IF(C66&gt;0.5," Completed",""))))))))))))))</f>
        <v>Excavation work Completed. Plinth work completed, RCC Slab, Brickwork, Internal Plaster upto 35 Floor, External Plaster upto 34 Floor, Flooring upto 30 Floor, Painting upto 25 Floor Completed</v>
      </c>
      <c r="L60" s="26"/>
    </row>
    <row r="61" spans="1:12" customFormat="1" x14ac:dyDescent="0.3">
      <c r="A61" s="45" t="s">
        <v>121</v>
      </c>
      <c r="B61" s="46">
        <v>1</v>
      </c>
      <c r="C61" s="46" t="s">
        <v>123</v>
      </c>
      <c r="D61" s="46">
        <v>1</v>
      </c>
      <c r="E61" s="206" t="s">
        <v>122</v>
      </c>
      <c r="F61" s="195"/>
      <c r="G61" s="46">
        <v>0</v>
      </c>
      <c r="H61" s="46" t="s">
        <v>208</v>
      </c>
      <c r="I61" s="206">
        <v>37</v>
      </c>
      <c r="J61" s="207"/>
      <c r="K61" s="27"/>
      <c r="L61" s="28"/>
    </row>
    <row r="62" spans="1:12" customFormat="1" ht="48" customHeight="1" x14ac:dyDescent="0.3">
      <c r="A62" s="211" t="s">
        <v>209</v>
      </c>
      <c r="B62" s="212"/>
      <c r="C62" s="213" t="str">
        <f>K60</f>
        <v>Excavation work Completed. Plinth work completed, RCC Slab, Brickwork, Internal Plaster upto 35 Floor, External Plaster upto 34 Floor, Flooring upto 30 Floor, Painting upto 25 Floor Completed</v>
      </c>
      <c r="D62" s="214"/>
      <c r="E62" s="214"/>
      <c r="F62" s="214"/>
      <c r="G62" s="214"/>
      <c r="H62" s="214"/>
      <c r="I62" s="214"/>
      <c r="J62" s="215"/>
      <c r="K62" s="27" t="s">
        <v>210</v>
      </c>
      <c r="L62" s="28"/>
    </row>
    <row r="63" spans="1:12" customFormat="1" ht="15.75" customHeight="1" x14ac:dyDescent="0.3">
      <c r="A63" s="194" t="s">
        <v>70</v>
      </c>
      <c r="B63" s="195"/>
      <c r="C63" s="49" t="s">
        <v>211</v>
      </c>
      <c r="D63" s="165" t="s">
        <v>212</v>
      </c>
      <c r="E63" s="165"/>
      <c r="F63" s="165" t="s">
        <v>213</v>
      </c>
      <c r="G63" s="165"/>
      <c r="H63" s="165" t="s">
        <v>214</v>
      </c>
      <c r="I63" s="165"/>
      <c r="J63" s="166"/>
      <c r="K63" s="29" t="s">
        <v>215</v>
      </c>
      <c r="L63" s="30">
        <f>I61*25%</f>
        <v>9.25</v>
      </c>
    </row>
    <row r="64" spans="1:12" customFormat="1" ht="15.75" customHeight="1" x14ac:dyDescent="0.3">
      <c r="A64" s="176" t="s">
        <v>216</v>
      </c>
      <c r="B64" s="177"/>
      <c r="C64" s="50">
        <f>L65</f>
        <v>37</v>
      </c>
      <c r="D64" s="178">
        <f>((100/I61)*C64)/100</f>
        <v>1</v>
      </c>
      <c r="E64" s="179"/>
      <c r="F64" s="182">
        <f>(((C65/I61*10)+(40/(D61+G61+I61)*C66)+(7.5/(I61)*C67)+(7.5/(I61)*C68)+(10/I61*C69)+(10/I61*C70)+(5/I61*C71)+(5/I61*C72)+(5/I61*C73))/100)</f>
        <v>0.85270270270270276</v>
      </c>
      <c r="G64" s="182"/>
      <c r="H64" s="167">
        <f>((((C64/I61)*20)+((C65/I61)*25)+(30/(I61+G61+D61)*C66)+(5/I61*C67)+(5/I61*C68)+(5/I61*C69)+(5/I61*C70)+(0/I61*C71)+(0/I61*C72)+(5/I61*C73))/100)</f>
        <v>0.93378378378378368</v>
      </c>
      <c r="I64" s="168"/>
      <c r="J64" s="169"/>
      <c r="K64" s="29" t="s">
        <v>127</v>
      </c>
      <c r="L64" s="31">
        <f>I61*50%</f>
        <v>18.5</v>
      </c>
    </row>
    <row r="65" spans="1:12" customFormat="1" x14ac:dyDescent="0.3">
      <c r="A65" s="176" t="s">
        <v>71</v>
      </c>
      <c r="B65" s="177"/>
      <c r="C65" s="51">
        <f>L73</f>
        <v>37</v>
      </c>
      <c r="D65" s="178">
        <f>((100/I61)*C65)/100</f>
        <v>1</v>
      </c>
      <c r="E65" s="179"/>
      <c r="F65" s="182"/>
      <c r="G65" s="182"/>
      <c r="H65" s="170"/>
      <c r="I65" s="171"/>
      <c r="J65" s="172"/>
      <c r="K65" s="29" t="s">
        <v>128</v>
      </c>
      <c r="L65" s="31">
        <f>I61</f>
        <v>37</v>
      </c>
    </row>
    <row r="66" spans="1:12" customFormat="1" ht="15.75" customHeight="1" x14ac:dyDescent="0.3">
      <c r="A66" s="176" t="s">
        <v>217</v>
      </c>
      <c r="B66" s="177"/>
      <c r="C66" s="51">
        <v>38</v>
      </c>
      <c r="D66" s="178">
        <f>((100/(D61+G61+I61))*C66)/100</f>
        <v>1</v>
      </c>
      <c r="E66" s="179"/>
      <c r="F66" s="182"/>
      <c r="G66" s="182"/>
      <c r="H66" s="170"/>
      <c r="I66" s="171"/>
      <c r="J66" s="172"/>
      <c r="K66" s="29" t="s">
        <v>129</v>
      </c>
      <c r="L66" s="32">
        <f>(IF(B61&gt;1,(I61/(B61+2)),I61/4))</f>
        <v>9.25</v>
      </c>
    </row>
    <row r="67" spans="1:12" customFormat="1" ht="15.75" customHeight="1" x14ac:dyDescent="0.3">
      <c r="A67" s="176" t="s">
        <v>218</v>
      </c>
      <c r="B67" s="177" t="s">
        <v>219</v>
      </c>
      <c r="C67" s="50">
        <v>37</v>
      </c>
      <c r="D67" s="178">
        <f>((100/I61)*C67)/100</f>
        <v>1</v>
      </c>
      <c r="E67" s="179"/>
      <c r="F67" s="182"/>
      <c r="G67" s="182"/>
      <c r="H67" s="170"/>
      <c r="I67" s="171"/>
      <c r="J67" s="172"/>
      <c r="K67" s="29" t="s">
        <v>130</v>
      </c>
      <c r="L67" s="32">
        <f>(IF(B61&gt;1,(I61/(B61+2)+L66),I61/4+L66))</f>
        <v>18.5</v>
      </c>
    </row>
    <row r="68" spans="1:12" customFormat="1" ht="15.75" customHeight="1" x14ac:dyDescent="0.3">
      <c r="A68" s="176" t="s">
        <v>220</v>
      </c>
      <c r="B68" s="177" t="s">
        <v>219</v>
      </c>
      <c r="C68" s="51">
        <v>35</v>
      </c>
      <c r="D68" s="178">
        <f>((100/I61)*C68)/100</f>
        <v>0.94594594594594594</v>
      </c>
      <c r="E68" s="179"/>
      <c r="F68" s="182"/>
      <c r="G68" s="182"/>
      <c r="H68" s="170"/>
      <c r="I68" s="171"/>
      <c r="J68" s="172"/>
      <c r="K68" s="29" t="s">
        <v>221</v>
      </c>
      <c r="L68" s="32">
        <f>(IF(B61&gt;1,(I61/(B61+2)+L67),0))</f>
        <v>0</v>
      </c>
    </row>
    <row r="69" spans="1:12" customFormat="1" ht="15.75" customHeight="1" x14ac:dyDescent="0.3">
      <c r="A69" s="176" t="s">
        <v>222</v>
      </c>
      <c r="B69" s="177" t="s">
        <v>223</v>
      </c>
      <c r="C69" s="50">
        <v>34</v>
      </c>
      <c r="D69" s="178">
        <f>((100/(I61))*C69)/100</f>
        <v>0.91891891891891886</v>
      </c>
      <c r="E69" s="179"/>
      <c r="F69" s="182"/>
      <c r="G69" s="182"/>
      <c r="H69" s="170"/>
      <c r="I69" s="171"/>
      <c r="J69" s="172"/>
      <c r="K69" s="29" t="s">
        <v>224</v>
      </c>
      <c r="L69" s="32">
        <f>(IF(B61&gt;2,(I61/(B61+2)+L68),0))</f>
        <v>0</v>
      </c>
    </row>
    <row r="70" spans="1:12" customFormat="1" ht="15.75" customHeight="1" x14ac:dyDescent="0.3">
      <c r="A70" s="176" t="s">
        <v>225</v>
      </c>
      <c r="B70" s="177" t="s">
        <v>225</v>
      </c>
      <c r="C70" s="50">
        <v>30</v>
      </c>
      <c r="D70" s="178">
        <f>((100/I61)*C70)/100</f>
        <v>0.81081081081081086</v>
      </c>
      <c r="E70" s="179"/>
      <c r="F70" s="182"/>
      <c r="G70" s="182"/>
      <c r="H70" s="170"/>
      <c r="I70" s="171"/>
      <c r="J70" s="172"/>
      <c r="K70" s="29" t="s">
        <v>226</v>
      </c>
      <c r="L70" s="33">
        <f>(IF(B61&gt;3,(I61/(B61+2)+L69),0))</f>
        <v>0</v>
      </c>
    </row>
    <row r="71" spans="1:12" customFormat="1" ht="15.75" customHeight="1" x14ac:dyDescent="0.3">
      <c r="A71" s="176" t="s">
        <v>227</v>
      </c>
      <c r="B71" s="177"/>
      <c r="C71" s="50">
        <v>25</v>
      </c>
      <c r="D71" s="178">
        <f>((100/I61)*C71)/100</f>
        <v>0.67567567567567566</v>
      </c>
      <c r="E71" s="179"/>
      <c r="F71" s="182"/>
      <c r="G71" s="182"/>
      <c r="H71" s="170"/>
      <c r="I71" s="171"/>
      <c r="J71" s="172"/>
      <c r="K71" s="29" t="s">
        <v>228</v>
      </c>
      <c r="L71" s="32">
        <f>(IF(B61&gt;4,(I61/(B61+2)+L70),0))</f>
        <v>0</v>
      </c>
    </row>
    <row r="72" spans="1:12" customFormat="1" ht="15.75" customHeight="1" x14ac:dyDescent="0.3">
      <c r="A72" s="176" t="s">
        <v>229</v>
      </c>
      <c r="B72" s="177" t="s">
        <v>229</v>
      </c>
      <c r="C72" s="50">
        <v>0</v>
      </c>
      <c r="D72" s="178">
        <f>((100/(I61))*C72)/100</f>
        <v>0</v>
      </c>
      <c r="E72" s="179"/>
      <c r="F72" s="182"/>
      <c r="G72" s="182"/>
      <c r="H72" s="170"/>
      <c r="I72" s="171"/>
      <c r="J72" s="172"/>
      <c r="K72" s="29" t="s">
        <v>131</v>
      </c>
      <c r="L72" s="32">
        <f>(IF(B61=1,(I61/(B61+3)+L67),IF(B61=0,(I61/4+L67),IF(B61&gt;1,0))))</f>
        <v>27.75</v>
      </c>
    </row>
    <row r="73" spans="1:12" customFormat="1" ht="16.5" customHeight="1" thickBot="1" x14ac:dyDescent="0.35">
      <c r="A73" s="180" t="s">
        <v>230</v>
      </c>
      <c r="B73" s="181"/>
      <c r="C73" s="52">
        <v>0</v>
      </c>
      <c r="D73" s="199">
        <f>((100/(I61))*C73)/100</f>
        <v>0</v>
      </c>
      <c r="E73" s="200"/>
      <c r="F73" s="183"/>
      <c r="G73" s="183"/>
      <c r="H73" s="173"/>
      <c r="I73" s="174"/>
      <c r="J73" s="175"/>
      <c r="K73" s="34" t="s">
        <v>132</v>
      </c>
      <c r="L73" s="35">
        <f>(IF(B61&gt;1.5,(I61/(B61+2)+L67+MAX(0,L68-L67)+MAX(0,L69-L68)+MAX(0,L70-L69)+MAX(0,L71-L70)+MAX(0,L72-L71)),IF(B61=1,(I61/(B61+3)+L72),IF(B61=0,I61/4+L72))))</f>
        <v>37</v>
      </c>
    </row>
    <row r="74" spans="1:12" customFormat="1" ht="15.75" hidden="1" customHeight="1" x14ac:dyDescent="0.3">
      <c r="A74" s="201" t="s">
        <v>207</v>
      </c>
      <c r="B74" s="202"/>
      <c r="C74" s="203" t="s">
        <v>260</v>
      </c>
      <c r="D74" s="204"/>
      <c r="E74" s="204"/>
      <c r="F74" s="204"/>
      <c r="G74" s="204"/>
      <c r="H74" s="204"/>
      <c r="I74" s="204"/>
      <c r="J74" s="205"/>
      <c r="K74" s="25" t="str">
        <f>(IF(F78&gt;99%,"All work completed. Please provide OC.",IF(F78&gt;89.8%,"Plinth, RCC, Brick, Plaster, Flooring, Painting work Completed. Finishing work is in process.",IF(F78&lt;94%,(IF(C78=0,"Work not yet Started.",IF(D78=25%,"Piling work in process",IF(D78=50%,"Excavation work in process",IF(D78=100%,"Excavation work Completed. ","0")))&amp;(IF(C79=0%,"",IF(C79=L80,"Footing work is process",IF(C79=L81,"Footing work Completed",IF(C79=L82,"1st Basement Completed",IF(C79=L83,"1st &amp; 2nd Basement Completed",IF(C79=L84,"1st to 3rd Basement Completed",IF(C79=L85,"1st to 4th Basement Completed",IF(C79=L86,"Plinth work is process",IF(C79=L87,"Plinth work completed","0")))))))))))&amp;(IF(C80=(D75+G75+I75),", RCC Slab",IF(C80&gt;0,", RCC upto "&amp;C80&amp;" Slab",""))&amp;(IF(C81=I75,", Brickwork",IF(C81&gt;0,", Brickwork upto "&amp;C81&amp;" Floor",""))&amp;(IF(C82=I75,", Internal Plaster",IF(C82&gt;0,", Internal Plaster upto "&amp;C82&amp;" Floor",""))&amp;(IF(C83=I75,", External Plaster",IF(C83&gt;0,", External Plaster upto "&amp;C83&amp;" Floor",""))&amp;(IF(C84=I75,", Flooring",IF(C84&gt;0,", Flooring upto "&amp;C84&amp;" Floor",""))&amp;(IF(C85=I75,", Painting",IF(C85&gt;0,", Painting upto "&amp;C85&amp;" Floor",""))&amp;(IF(C86&gt;0,", Finishing upto "&amp;C86&amp;" Floor","")&amp;(IF(C80&gt;0.5," Completed",""))))))))))))))</f>
        <v>Excavation work Completed. Plinth work completed, RCC upto 32 Slab, Brickwork upto 28 Floor, Internal Plaster upto 23 Floor, External Plaster upto 21 Floor, Flooring upto 12 Floor, Painting upto 10 Floor Completed</v>
      </c>
      <c r="L74" s="26"/>
    </row>
    <row r="75" spans="1:12" customFormat="1" hidden="1" x14ac:dyDescent="0.3">
      <c r="A75" s="45" t="s">
        <v>121</v>
      </c>
      <c r="B75" s="46">
        <v>0</v>
      </c>
      <c r="C75" s="46" t="s">
        <v>123</v>
      </c>
      <c r="D75" s="46">
        <v>1</v>
      </c>
      <c r="E75" s="206" t="s">
        <v>122</v>
      </c>
      <c r="F75" s="195"/>
      <c r="G75" s="46">
        <v>0</v>
      </c>
      <c r="H75" s="46" t="s">
        <v>208</v>
      </c>
      <c r="I75" s="206">
        <v>37</v>
      </c>
      <c r="J75" s="207"/>
      <c r="K75" s="27"/>
      <c r="L75" s="28"/>
    </row>
    <row r="76" spans="1:12" customFormat="1" ht="49.5" hidden="1" customHeight="1" x14ac:dyDescent="0.3">
      <c r="A76" s="211" t="s">
        <v>209</v>
      </c>
      <c r="B76" s="212"/>
      <c r="C76" s="213" t="str">
        <f>K74</f>
        <v>Excavation work Completed. Plinth work completed, RCC upto 32 Slab, Brickwork upto 28 Floor, Internal Plaster upto 23 Floor, External Plaster upto 21 Floor, Flooring upto 12 Floor, Painting upto 10 Floor Completed</v>
      </c>
      <c r="D76" s="214"/>
      <c r="E76" s="214"/>
      <c r="F76" s="214"/>
      <c r="G76" s="214"/>
      <c r="H76" s="214"/>
      <c r="I76" s="214"/>
      <c r="J76" s="215"/>
      <c r="K76" s="27" t="s">
        <v>210</v>
      </c>
      <c r="L76" s="28"/>
    </row>
    <row r="77" spans="1:12" customFormat="1" ht="15.75" hidden="1" customHeight="1" x14ac:dyDescent="0.3">
      <c r="A77" s="194" t="s">
        <v>70</v>
      </c>
      <c r="B77" s="195"/>
      <c r="C77" s="49" t="s">
        <v>211</v>
      </c>
      <c r="D77" s="165" t="s">
        <v>212</v>
      </c>
      <c r="E77" s="165"/>
      <c r="F77" s="165" t="s">
        <v>213</v>
      </c>
      <c r="G77" s="165"/>
      <c r="H77" s="165" t="s">
        <v>214</v>
      </c>
      <c r="I77" s="165"/>
      <c r="J77" s="166"/>
      <c r="K77" s="29" t="s">
        <v>215</v>
      </c>
      <c r="L77" s="30">
        <f>I75*25%</f>
        <v>9.25</v>
      </c>
    </row>
    <row r="78" spans="1:12" customFormat="1" ht="15.75" hidden="1" customHeight="1" x14ac:dyDescent="0.3">
      <c r="A78" s="176" t="s">
        <v>216</v>
      </c>
      <c r="B78" s="177"/>
      <c r="C78" s="50">
        <f>L79</f>
        <v>37</v>
      </c>
      <c r="D78" s="178">
        <f>((100/I75)*C78)/100</f>
        <v>1</v>
      </c>
      <c r="E78" s="179"/>
      <c r="F78" s="182">
        <f>(((C79/I75*10)+(40/(D75+G75+I75)*C80)+(7.5/(I75)*C81)+(7.5/(I75)*C82)+(10/I75*C83)+(10/I75*C84)+(5/I75*C85)+(5/I75*C86)+(5/I75*C87))/100)</f>
        <v>0.64292318634423895</v>
      </c>
      <c r="G78" s="182"/>
      <c r="H78" s="167">
        <f>((((C78/I75)*20)+((C79/I75)*25)+(30/(I75+G75+D75)*C80)+(5/I75*C81)+(5/I75*C82)+(5/I75*C83)+(5/I75*C84)+(0/I75*C85)+(0/I75*C86)+(5/I75*C87))/100)</f>
        <v>0.81614509246088218</v>
      </c>
      <c r="I78" s="168"/>
      <c r="J78" s="169"/>
      <c r="K78" s="29" t="s">
        <v>127</v>
      </c>
      <c r="L78" s="31">
        <f>I75*50%</f>
        <v>18.5</v>
      </c>
    </row>
    <row r="79" spans="1:12" customFormat="1" hidden="1" x14ac:dyDescent="0.3">
      <c r="A79" s="176" t="s">
        <v>71</v>
      </c>
      <c r="B79" s="177"/>
      <c r="C79" s="51">
        <f>L87</f>
        <v>37</v>
      </c>
      <c r="D79" s="178">
        <f>((100/I75)*C79)/100</f>
        <v>1</v>
      </c>
      <c r="E79" s="179"/>
      <c r="F79" s="182"/>
      <c r="G79" s="182"/>
      <c r="H79" s="170"/>
      <c r="I79" s="171"/>
      <c r="J79" s="172"/>
      <c r="K79" s="29" t="s">
        <v>128</v>
      </c>
      <c r="L79" s="31">
        <f>I75</f>
        <v>37</v>
      </c>
    </row>
    <row r="80" spans="1:12" customFormat="1" ht="15.75" hidden="1" customHeight="1" x14ac:dyDescent="0.3">
      <c r="A80" s="176" t="s">
        <v>217</v>
      </c>
      <c r="B80" s="177"/>
      <c r="C80" s="51">
        <v>32</v>
      </c>
      <c r="D80" s="178">
        <f>((100/(D75+G75+I75))*C80)/100</f>
        <v>0.8421052631578948</v>
      </c>
      <c r="E80" s="179"/>
      <c r="F80" s="182"/>
      <c r="G80" s="182"/>
      <c r="H80" s="170"/>
      <c r="I80" s="171"/>
      <c r="J80" s="172"/>
      <c r="K80" s="29" t="s">
        <v>129</v>
      </c>
      <c r="L80" s="32">
        <f>(IF(B75&gt;1,(I75/(B75+2)),I75/4))</f>
        <v>9.25</v>
      </c>
    </row>
    <row r="81" spans="1:12" customFormat="1" ht="15.75" hidden="1" customHeight="1" x14ac:dyDescent="0.3">
      <c r="A81" s="176" t="s">
        <v>218</v>
      </c>
      <c r="B81" s="177" t="s">
        <v>219</v>
      </c>
      <c r="C81" s="50">
        <v>28</v>
      </c>
      <c r="D81" s="178">
        <f>((100/I75)*C81)/100</f>
        <v>0.7567567567567568</v>
      </c>
      <c r="E81" s="179"/>
      <c r="F81" s="182"/>
      <c r="G81" s="182"/>
      <c r="H81" s="170"/>
      <c r="I81" s="171"/>
      <c r="J81" s="172"/>
      <c r="K81" s="29" t="s">
        <v>130</v>
      </c>
      <c r="L81" s="32">
        <f>(IF(B75&gt;1,(I75/(B75+2)+L80),I75/4+L80))</f>
        <v>18.5</v>
      </c>
    </row>
    <row r="82" spans="1:12" customFormat="1" ht="15.75" hidden="1" customHeight="1" x14ac:dyDescent="0.3">
      <c r="A82" s="176" t="s">
        <v>220</v>
      </c>
      <c r="B82" s="177" t="s">
        <v>219</v>
      </c>
      <c r="C82" s="50">
        <v>23</v>
      </c>
      <c r="D82" s="178">
        <f>((100/I75)*C82)/100</f>
        <v>0.6216216216216216</v>
      </c>
      <c r="E82" s="179"/>
      <c r="F82" s="182"/>
      <c r="G82" s="182"/>
      <c r="H82" s="170"/>
      <c r="I82" s="171"/>
      <c r="J82" s="172"/>
      <c r="K82" s="29" t="s">
        <v>221</v>
      </c>
      <c r="L82" s="32">
        <f>(IF(B75&gt;1,(I75/(B75+2)+L81),0))</f>
        <v>0</v>
      </c>
    </row>
    <row r="83" spans="1:12" customFormat="1" ht="15.75" hidden="1" customHeight="1" x14ac:dyDescent="0.3">
      <c r="A83" s="176" t="s">
        <v>222</v>
      </c>
      <c r="B83" s="177" t="s">
        <v>223</v>
      </c>
      <c r="C83" s="50">
        <v>21</v>
      </c>
      <c r="D83" s="178">
        <f>((100/(I75))*C83)/100</f>
        <v>0.56756756756756754</v>
      </c>
      <c r="E83" s="179"/>
      <c r="F83" s="182"/>
      <c r="G83" s="182"/>
      <c r="H83" s="170"/>
      <c r="I83" s="171"/>
      <c r="J83" s="172"/>
      <c r="K83" s="29" t="s">
        <v>224</v>
      </c>
      <c r="L83" s="32">
        <f>(IF(B75&gt;2,(I75/(B75+2)+L82),0))</f>
        <v>0</v>
      </c>
    </row>
    <row r="84" spans="1:12" customFormat="1" ht="15.75" hidden="1" customHeight="1" x14ac:dyDescent="0.3">
      <c r="A84" s="176" t="s">
        <v>225</v>
      </c>
      <c r="B84" s="177" t="s">
        <v>225</v>
      </c>
      <c r="C84" s="50">
        <v>12</v>
      </c>
      <c r="D84" s="178">
        <f>((100/I75)*C84)/100</f>
        <v>0.32432432432432434</v>
      </c>
      <c r="E84" s="179"/>
      <c r="F84" s="182"/>
      <c r="G84" s="182"/>
      <c r="H84" s="170"/>
      <c r="I84" s="171"/>
      <c r="J84" s="172"/>
      <c r="K84" s="29" t="s">
        <v>226</v>
      </c>
      <c r="L84" s="33">
        <f>(IF(B75&gt;3,(I75/(B75+2)+L83),0))</f>
        <v>0</v>
      </c>
    </row>
    <row r="85" spans="1:12" customFormat="1" ht="15.75" hidden="1" customHeight="1" x14ac:dyDescent="0.3">
      <c r="A85" s="176" t="s">
        <v>227</v>
      </c>
      <c r="B85" s="177"/>
      <c r="C85" s="50">
        <v>10</v>
      </c>
      <c r="D85" s="178">
        <f>((100/I75)*C85)/100</f>
        <v>0.27027027027027023</v>
      </c>
      <c r="E85" s="179"/>
      <c r="F85" s="182"/>
      <c r="G85" s="182"/>
      <c r="H85" s="170"/>
      <c r="I85" s="171"/>
      <c r="J85" s="172"/>
      <c r="K85" s="29" t="s">
        <v>228</v>
      </c>
      <c r="L85" s="32">
        <f>(IF(B75&gt;4,(I75/(B75+2)+L84),0))</f>
        <v>0</v>
      </c>
    </row>
    <row r="86" spans="1:12" customFormat="1" ht="15.75" hidden="1" customHeight="1" x14ac:dyDescent="0.3">
      <c r="A86" s="176" t="s">
        <v>229</v>
      </c>
      <c r="B86" s="177" t="s">
        <v>229</v>
      </c>
      <c r="C86" s="50">
        <v>0</v>
      </c>
      <c r="D86" s="178">
        <f>((100/(I75))*C86)/100</f>
        <v>0</v>
      </c>
      <c r="E86" s="179"/>
      <c r="F86" s="182"/>
      <c r="G86" s="182"/>
      <c r="H86" s="170"/>
      <c r="I86" s="171"/>
      <c r="J86" s="172"/>
      <c r="K86" s="29" t="s">
        <v>131</v>
      </c>
      <c r="L86" s="32">
        <f>(IF(B75=1,(I75/(B75+3)+L81),IF(B75=0,(I75/4+L81),IF(B75&gt;1,0))))</f>
        <v>27.75</v>
      </c>
    </row>
    <row r="87" spans="1:12" customFormat="1" ht="16.5" hidden="1" customHeight="1" thickBot="1" x14ac:dyDescent="0.35">
      <c r="A87" s="180" t="s">
        <v>230</v>
      </c>
      <c r="B87" s="181"/>
      <c r="C87" s="52">
        <v>0</v>
      </c>
      <c r="D87" s="199">
        <f>((100/(I75))*C87)/100</f>
        <v>0</v>
      </c>
      <c r="E87" s="200"/>
      <c r="F87" s="183"/>
      <c r="G87" s="183"/>
      <c r="H87" s="173"/>
      <c r="I87" s="174"/>
      <c r="J87" s="175"/>
      <c r="K87" s="34" t="s">
        <v>132</v>
      </c>
      <c r="L87" s="35">
        <f>(IF(B75&gt;1.5,(I75/(B75+2)+L81+MAX(0,L82-L81)+MAX(0,L83-L82)+MAX(0,L84-L83)+MAX(0,L85-L84)+MAX(0,L86-L85)),IF(B75=1,(I75/(B75+3)+L86),IF(B75=0,I75/4+L86))))</f>
        <v>37</v>
      </c>
    </row>
    <row r="88" spans="1:12" customFormat="1" ht="15.75" customHeight="1" x14ac:dyDescent="0.3">
      <c r="A88" s="201" t="s">
        <v>207</v>
      </c>
      <c r="B88" s="202"/>
      <c r="C88" s="203" t="s">
        <v>254</v>
      </c>
      <c r="D88" s="204"/>
      <c r="E88" s="204"/>
      <c r="F88" s="204"/>
      <c r="G88" s="204"/>
      <c r="H88" s="204"/>
      <c r="I88" s="204"/>
      <c r="J88" s="205"/>
      <c r="K88" s="25" t="str">
        <f>(IF(F92&gt;99%,"All work completed. Please provide OC.",IF(F92&gt;89.8%,"Plinth, RCC, Brick, Plaster, Flooring, Painting work Completed. Finishing work is in process.",IF(F92&lt;94%,(IF(C92=0,"Work not yet Started.",IF(D92=25%,"Piling work in process",IF(D92=50%,"Excavation work in process",IF(D92=100%,"Excavation work Completed. ","0")))&amp;(IF(C93=0%,"",IF(C93=L94,"Footing work is process",IF(C93=L95,"Footing work Completed",IF(C93=L96,"1st Basement Completed",IF(C93=L97,"1st &amp; 2nd Basement Completed",IF(C93=L98,"1st to 3rd Basement Completed",IF(C93=L99,"1st to 4th Basement Completed",IF(C93=L100,"Plinth work is process",IF(C93=L101,"Plinth work completed","0")))))))))))&amp;(IF(C94=(D89+G89+I89),", RCC Slab",IF(C94&gt;0,", RCC upto "&amp;C94&amp;" Slab",""))&amp;(IF(C95=I89,", Brickwork",IF(C95&gt;0,", Brickwork upto "&amp;C95&amp;" Floor",""))&amp;(IF(C96=I89,", Internal Plaster",IF(C96&gt;0,", Internal Plaster upto "&amp;C96&amp;" Floor",""))&amp;(IF(C97=I89,", External Plaster",IF(C97&gt;0,", External Plaster upto "&amp;C97&amp;" Floor",""))&amp;(IF(C98=I89,", Flooring",IF(C98&gt;0,", Flooring upto "&amp;C98&amp;" Floor",""))&amp;(IF(C99=I89,", Painting",IF(C99&gt;0,", Painting upto "&amp;C99&amp;" Floor",""))&amp;(IF(C100&gt;0,", Finishing upto "&amp;C100&amp;" Floor","")&amp;(IF(C94&gt;0.5," Completed",""))))))))))))))</f>
        <v>Plinth, RCC, Brick, Plaster, Flooring, Painting work Completed. Finishing work is in process.</v>
      </c>
      <c r="L88" s="26"/>
    </row>
    <row r="89" spans="1:12" customFormat="1" x14ac:dyDescent="0.3">
      <c r="A89" s="45" t="s">
        <v>121</v>
      </c>
      <c r="B89" s="46">
        <v>1</v>
      </c>
      <c r="C89" s="46" t="s">
        <v>123</v>
      </c>
      <c r="D89" s="46">
        <v>1</v>
      </c>
      <c r="E89" s="206" t="s">
        <v>122</v>
      </c>
      <c r="F89" s="195"/>
      <c r="G89" s="46">
        <v>0</v>
      </c>
      <c r="H89" s="46" t="s">
        <v>208</v>
      </c>
      <c r="I89" s="206">
        <v>21</v>
      </c>
      <c r="J89" s="207"/>
      <c r="K89" s="27"/>
      <c r="L89" s="28"/>
    </row>
    <row r="90" spans="1:12" customFormat="1" ht="33.6" customHeight="1" x14ac:dyDescent="0.3">
      <c r="A90" s="211" t="s">
        <v>209</v>
      </c>
      <c r="B90" s="212"/>
      <c r="C90" s="213" t="str">
        <f>K88</f>
        <v>Plinth, RCC, Brick, Plaster, Flooring, Painting work Completed. Finishing work is in process.</v>
      </c>
      <c r="D90" s="214"/>
      <c r="E90" s="214"/>
      <c r="F90" s="214"/>
      <c r="G90" s="214"/>
      <c r="H90" s="214"/>
      <c r="I90" s="214"/>
      <c r="J90" s="215"/>
      <c r="K90" s="27" t="s">
        <v>210</v>
      </c>
      <c r="L90" s="28"/>
    </row>
    <row r="91" spans="1:12" customFormat="1" ht="15.75" customHeight="1" x14ac:dyDescent="0.3">
      <c r="A91" s="194" t="s">
        <v>70</v>
      </c>
      <c r="B91" s="195"/>
      <c r="C91" s="49" t="s">
        <v>211</v>
      </c>
      <c r="D91" s="165" t="s">
        <v>212</v>
      </c>
      <c r="E91" s="165"/>
      <c r="F91" s="165" t="s">
        <v>213</v>
      </c>
      <c r="G91" s="165"/>
      <c r="H91" s="165" t="s">
        <v>214</v>
      </c>
      <c r="I91" s="165"/>
      <c r="J91" s="166"/>
      <c r="K91" s="29" t="s">
        <v>215</v>
      </c>
      <c r="L91" s="30">
        <f>I89*25%</f>
        <v>5.25</v>
      </c>
    </row>
    <row r="92" spans="1:12" customFormat="1" ht="15.75" customHeight="1" x14ac:dyDescent="0.3">
      <c r="A92" s="176" t="s">
        <v>216</v>
      </c>
      <c r="B92" s="177"/>
      <c r="C92" s="50">
        <f>L93</f>
        <v>21</v>
      </c>
      <c r="D92" s="178">
        <f>((100/I89)*C92)/100</f>
        <v>1</v>
      </c>
      <c r="E92" s="179"/>
      <c r="F92" s="182">
        <f>(((C93/I89*10)+(40/(D89+G89+I89)*C94)+(7.5/(I89)*C95)+(7.5/(I89)*C96)+(10/I89*C97)+(10/I89*C98)+(5/I89*C99)+(5/I89*C100)+(5/I89*C101))/100)</f>
        <v>0.94285714285714295</v>
      </c>
      <c r="G92" s="182"/>
      <c r="H92" s="167">
        <f>((((C92/I89)*20)+((C93/I89)*25)+(30/(I89+G89+D89)*C94)+(5/I89*C95)+(5/I89*C96)+(5/I89*C97)+(5/I89*C98)+(0/I89*C99)+(0/I89*C100)+(5/I89*C101))/100)</f>
        <v>0.95</v>
      </c>
      <c r="I92" s="168"/>
      <c r="J92" s="169"/>
      <c r="K92" s="29" t="s">
        <v>127</v>
      </c>
      <c r="L92" s="31">
        <f>I89*50%</f>
        <v>10.5</v>
      </c>
    </row>
    <row r="93" spans="1:12" customFormat="1" x14ac:dyDescent="0.3">
      <c r="A93" s="176" t="s">
        <v>71</v>
      </c>
      <c r="B93" s="177"/>
      <c r="C93" s="51">
        <f>L101</f>
        <v>21</v>
      </c>
      <c r="D93" s="178">
        <f>((100/I89)*C93)/100</f>
        <v>1</v>
      </c>
      <c r="E93" s="179"/>
      <c r="F93" s="182"/>
      <c r="G93" s="182"/>
      <c r="H93" s="170"/>
      <c r="I93" s="171"/>
      <c r="J93" s="172"/>
      <c r="K93" s="29" t="s">
        <v>128</v>
      </c>
      <c r="L93" s="31">
        <f>I89</f>
        <v>21</v>
      </c>
    </row>
    <row r="94" spans="1:12" customFormat="1" ht="15.75" customHeight="1" x14ac:dyDescent="0.3">
      <c r="A94" s="176" t="s">
        <v>217</v>
      </c>
      <c r="B94" s="177"/>
      <c r="C94" s="51">
        <v>22</v>
      </c>
      <c r="D94" s="178">
        <f>((100/(D89+G89+I89))*C94)/100</f>
        <v>1.0000000000000002</v>
      </c>
      <c r="E94" s="179"/>
      <c r="F94" s="182"/>
      <c r="G94" s="182"/>
      <c r="H94" s="170"/>
      <c r="I94" s="171"/>
      <c r="J94" s="172"/>
      <c r="K94" s="29" t="s">
        <v>129</v>
      </c>
      <c r="L94" s="32">
        <f>(IF(B89&gt;1,(I89/(B89+2)),I89/4))</f>
        <v>5.25</v>
      </c>
    </row>
    <row r="95" spans="1:12" customFormat="1" ht="15.75" customHeight="1" x14ac:dyDescent="0.3">
      <c r="A95" s="176" t="s">
        <v>218</v>
      </c>
      <c r="B95" s="177" t="s">
        <v>219</v>
      </c>
      <c r="C95" s="50">
        <v>21</v>
      </c>
      <c r="D95" s="178">
        <f>((100/I89)*C95)/100</f>
        <v>1</v>
      </c>
      <c r="E95" s="179"/>
      <c r="F95" s="182"/>
      <c r="G95" s="182"/>
      <c r="H95" s="170"/>
      <c r="I95" s="171"/>
      <c r="J95" s="172"/>
      <c r="K95" s="29" t="s">
        <v>130</v>
      </c>
      <c r="L95" s="32">
        <f>(IF(B89&gt;1,(I89/(B89+2)+L94),I89/4+L94))</f>
        <v>10.5</v>
      </c>
    </row>
    <row r="96" spans="1:12" customFormat="1" ht="15.75" customHeight="1" x14ac:dyDescent="0.3">
      <c r="A96" s="176" t="s">
        <v>220</v>
      </c>
      <c r="B96" s="177" t="s">
        <v>219</v>
      </c>
      <c r="C96" s="50">
        <v>21</v>
      </c>
      <c r="D96" s="178">
        <f>((100/I89)*C96)/100</f>
        <v>1</v>
      </c>
      <c r="E96" s="179"/>
      <c r="F96" s="182"/>
      <c r="G96" s="182"/>
      <c r="H96" s="170"/>
      <c r="I96" s="171"/>
      <c r="J96" s="172"/>
      <c r="K96" s="29" t="s">
        <v>221</v>
      </c>
      <c r="L96" s="32">
        <f>(IF(B89&gt;1,(I89/(B89+2)+L95),0))</f>
        <v>0</v>
      </c>
    </row>
    <row r="97" spans="1:12" customFormat="1" ht="15.75" customHeight="1" x14ac:dyDescent="0.3">
      <c r="A97" s="176" t="s">
        <v>222</v>
      </c>
      <c r="B97" s="177" t="s">
        <v>223</v>
      </c>
      <c r="C97" s="50">
        <v>21</v>
      </c>
      <c r="D97" s="178">
        <f>((100/(I89))*C97)/100</f>
        <v>1</v>
      </c>
      <c r="E97" s="179"/>
      <c r="F97" s="182"/>
      <c r="G97" s="182"/>
      <c r="H97" s="170"/>
      <c r="I97" s="171"/>
      <c r="J97" s="172"/>
      <c r="K97" s="29" t="s">
        <v>224</v>
      </c>
      <c r="L97" s="32">
        <f>(IF(B89&gt;2,(I89/(B89+2)+L96),0))</f>
        <v>0</v>
      </c>
    </row>
    <row r="98" spans="1:12" customFormat="1" ht="15.75" customHeight="1" x14ac:dyDescent="0.3">
      <c r="A98" s="176" t="s">
        <v>225</v>
      </c>
      <c r="B98" s="177" t="s">
        <v>225</v>
      </c>
      <c r="C98" s="50">
        <v>21</v>
      </c>
      <c r="D98" s="178">
        <f>((100/I89)*C98)/100</f>
        <v>1</v>
      </c>
      <c r="E98" s="179"/>
      <c r="F98" s="182"/>
      <c r="G98" s="182"/>
      <c r="H98" s="170"/>
      <c r="I98" s="171"/>
      <c r="J98" s="172"/>
      <c r="K98" s="29" t="s">
        <v>226</v>
      </c>
      <c r="L98" s="33">
        <f>(IF(B89&gt;3,(I89/(B89+2)+L97),0))</f>
        <v>0</v>
      </c>
    </row>
    <row r="99" spans="1:12" customFormat="1" ht="15.75" customHeight="1" x14ac:dyDescent="0.3">
      <c r="A99" s="176" t="s">
        <v>227</v>
      </c>
      <c r="B99" s="177"/>
      <c r="C99" s="50">
        <v>21</v>
      </c>
      <c r="D99" s="178">
        <f>((100/I89)*C99)/100</f>
        <v>1</v>
      </c>
      <c r="E99" s="179"/>
      <c r="F99" s="182"/>
      <c r="G99" s="182"/>
      <c r="H99" s="170"/>
      <c r="I99" s="171"/>
      <c r="J99" s="172"/>
      <c r="K99" s="29" t="s">
        <v>228</v>
      </c>
      <c r="L99" s="32">
        <f>(IF(B89&gt;4,(I89/(B89+2)+L98),0))</f>
        <v>0</v>
      </c>
    </row>
    <row r="100" spans="1:12" customFormat="1" ht="15.75" customHeight="1" x14ac:dyDescent="0.3">
      <c r="A100" s="176" t="s">
        <v>229</v>
      </c>
      <c r="B100" s="177" t="s">
        <v>229</v>
      </c>
      <c r="C100" s="50">
        <v>18</v>
      </c>
      <c r="D100" s="178">
        <f>((100/(I89))*C100)/100</f>
        <v>0.8571428571428571</v>
      </c>
      <c r="E100" s="179"/>
      <c r="F100" s="182"/>
      <c r="G100" s="182"/>
      <c r="H100" s="170"/>
      <c r="I100" s="171"/>
      <c r="J100" s="172"/>
      <c r="K100" s="29" t="s">
        <v>131</v>
      </c>
      <c r="L100" s="32">
        <f>(IF(B89=1,(I89/(B89+3)+L95),IF(B89=0,(I89/4+L95),IF(B89&gt;1,0))))</f>
        <v>15.75</v>
      </c>
    </row>
    <row r="101" spans="1:12" customFormat="1" ht="16.5" customHeight="1" thickBot="1" x14ac:dyDescent="0.35">
      <c r="A101" s="180" t="s">
        <v>230</v>
      </c>
      <c r="B101" s="181"/>
      <c r="C101" s="52">
        <v>0</v>
      </c>
      <c r="D101" s="199">
        <f>((100/(I89))*C101)/100</f>
        <v>0</v>
      </c>
      <c r="E101" s="200"/>
      <c r="F101" s="183"/>
      <c r="G101" s="183"/>
      <c r="H101" s="173"/>
      <c r="I101" s="174"/>
      <c r="J101" s="175"/>
      <c r="K101" s="34" t="s">
        <v>132</v>
      </c>
      <c r="L101" s="35">
        <f>(IF(B89&gt;1.5,(I89/(B89+2)+L95+MAX(0,L96-L95)+MAX(0,L97-L96)+MAX(0,L98-L97)+MAX(0,L99-L98)+MAX(0,L100-L99)),IF(B89=1,(I89/(B89+3)+L100),IF(B89=0,I89/4+L100))))</f>
        <v>21</v>
      </c>
    </row>
    <row r="102" spans="1:12" x14ac:dyDescent="0.3">
      <c r="A102" s="86" t="s">
        <v>177</v>
      </c>
      <c r="B102" s="87"/>
      <c r="C102" s="87"/>
      <c r="D102" s="87"/>
      <c r="E102" s="87"/>
      <c r="F102" s="87"/>
      <c r="G102" s="87"/>
      <c r="H102" s="87"/>
      <c r="I102" s="87"/>
      <c r="J102" s="88"/>
    </row>
    <row r="103" spans="1:12" x14ac:dyDescent="0.3">
      <c r="A103" s="86" t="s">
        <v>72</v>
      </c>
      <c r="B103" s="87"/>
      <c r="C103" s="87"/>
      <c r="D103" s="87"/>
      <c r="E103" s="87"/>
      <c r="F103" s="87"/>
      <c r="G103" s="87"/>
      <c r="H103" s="87"/>
      <c r="I103" s="87"/>
      <c r="J103" s="88"/>
    </row>
    <row r="104" spans="1:12" ht="15" customHeight="1" x14ac:dyDescent="0.3">
      <c r="A104" s="192" t="s">
        <v>125</v>
      </c>
      <c r="B104" s="193"/>
      <c r="C104" s="196" t="s">
        <v>126</v>
      </c>
      <c r="D104" s="197"/>
      <c r="E104" s="197"/>
      <c r="F104" s="197"/>
      <c r="G104" s="197"/>
      <c r="H104" s="197"/>
      <c r="I104" s="197"/>
      <c r="J104" s="198"/>
    </row>
    <row r="105" spans="1:12" x14ac:dyDescent="0.3">
      <c r="A105" s="89" t="s">
        <v>73</v>
      </c>
      <c r="B105" s="90"/>
      <c r="C105" s="90"/>
      <c r="D105" s="90"/>
      <c r="E105" s="90"/>
      <c r="F105" s="90"/>
      <c r="G105" s="90"/>
      <c r="H105" s="90"/>
      <c r="I105" s="90"/>
      <c r="J105" s="91"/>
    </row>
    <row r="106" spans="1:12" x14ac:dyDescent="0.3">
      <c r="A106" s="72" t="s">
        <v>134</v>
      </c>
      <c r="B106" s="73"/>
      <c r="C106" s="73"/>
      <c r="D106" s="73"/>
      <c r="E106" s="73"/>
      <c r="F106" s="74"/>
      <c r="G106" s="192">
        <v>14000</v>
      </c>
      <c r="H106" s="222"/>
      <c r="I106" s="222"/>
      <c r="J106" s="193"/>
    </row>
    <row r="107" spans="1:12" x14ac:dyDescent="0.3">
      <c r="A107" s="86" t="s">
        <v>192</v>
      </c>
      <c r="B107" s="87"/>
      <c r="C107" s="87"/>
      <c r="D107" s="87"/>
      <c r="E107" s="87"/>
      <c r="F107" s="88"/>
      <c r="G107" s="86">
        <v>20000</v>
      </c>
      <c r="H107" s="87"/>
      <c r="I107" s="87"/>
      <c r="J107" s="88"/>
    </row>
    <row r="108" spans="1:12" x14ac:dyDescent="0.3">
      <c r="A108" s="86" t="s">
        <v>135</v>
      </c>
      <c r="B108" s="87"/>
      <c r="C108" s="87"/>
      <c r="D108" s="87"/>
      <c r="E108" s="87"/>
      <c r="F108" s="88"/>
      <c r="G108" s="86">
        <v>22000</v>
      </c>
      <c r="H108" s="87"/>
      <c r="I108" s="87"/>
      <c r="J108" s="88"/>
    </row>
    <row r="109" spans="1:12" x14ac:dyDescent="0.3">
      <c r="A109" s="72" t="s">
        <v>74</v>
      </c>
      <c r="B109" s="73"/>
      <c r="C109" s="73"/>
      <c r="D109" s="73"/>
      <c r="E109" s="73"/>
      <c r="F109" s="74"/>
      <c r="G109" s="64" t="s">
        <v>255</v>
      </c>
      <c r="H109" s="65"/>
      <c r="I109" s="65"/>
      <c r="J109" s="66"/>
    </row>
    <row r="110" spans="1:12" hidden="1" x14ac:dyDescent="0.3">
      <c r="A110" s="72" t="s">
        <v>75</v>
      </c>
      <c r="B110" s="73"/>
      <c r="C110" s="73"/>
      <c r="D110" s="73"/>
      <c r="E110" s="73"/>
      <c r="F110" s="74"/>
      <c r="G110" s="75" t="s">
        <v>36</v>
      </c>
      <c r="H110" s="76"/>
      <c r="I110" s="76"/>
      <c r="J110" s="77"/>
    </row>
    <row r="111" spans="1:12" s="9" customFormat="1" ht="14.4" customHeight="1" x14ac:dyDescent="0.3">
      <c r="A111" s="89" t="s">
        <v>76</v>
      </c>
      <c r="B111" s="90"/>
      <c r="C111" s="90"/>
      <c r="D111" s="90"/>
      <c r="E111" s="90"/>
      <c r="F111" s="91"/>
      <c r="G111" s="72">
        <f>G106*0.8</f>
        <v>11200</v>
      </c>
      <c r="H111" s="73"/>
      <c r="I111" s="73"/>
      <c r="J111" s="74"/>
    </row>
    <row r="112" spans="1:12" s="1" customFormat="1" ht="15.75" customHeight="1" x14ac:dyDescent="0.3">
      <c r="A112" s="92" t="s">
        <v>248</v>
      </c>
      <c r="B112" s="93"/>
      <c r="C112" s="93"/>
      <c r="D112" s="93"/>
      <c r="E112" s="93"/>
      <c r="F112" s="93"/>
      <c r="G112" s="93"/>
      <c r="H112" s="93"/>
      <c r="I112" s="93"/>
      <c r="J112" s="123"/>
    </row>
    <row r="113" spans="1:10" s="1" customFormat="1" ht="15.75" customHeight="1" x14ac:dyDescent="0.3">
      <c r="A113" s="97" t="s">
        <v>77</v>
      </c>
      <c r="B113" s="99"/>
      <c r="C113" s="53" t="s">
        <v>139</v>
      </c>
      <c r="D113" s="216" t="s">
        <v>78</v>
      </c>
      <c r="E113" s="217"/>
      <c r="F113" s="218"/>
      <c r="G113" s="97" t="s">
        <v>79</v>
      </c>
      <c r="H113" s="98"/>
      <c r="I113" s="98"/>
      <c r="J113" s="99"/>
    </row>
    <row r="114" spans="1:10" s="1" customFormat="1" x14ac:dyDescent="0.3">
      <c r="A114" s="118" t="s">
        <v>187</v>
      </c>
      <c r="B114" s="43" t="s">
        <v>246</v>
      </c>
      <c r="C114" s="54">
        <f>COUNT(D141,D146:E147,D149:E154)</f>
        <v>9</v>
      </c>
      <c r="D114" s="61">
        <f>SUM(D141,D146:E147,D149:E154)</f>
        <v>3074.09076</v>
      </c>
      <c r="E114" s="62"/>
      <c r="F114" s="63"/>
      <c r="G114" s="61">
        <f>SUM(G141,G146:H147,G149:H154)</f>
        <v>4918.5452160000004</v>
      </c>
      <c r="H114" s="62"/>
      <c r="I114" s="62"/>
      <c r="J114" s="63"/>
    </row>
    <row r="115" spans="1:10" s="1" customFormat="1" ht="32.25" customHeight="1" x14ac:dyDescent="0.3">
      <c r="A115" s="119"/>
      <c r="B115" s="43" t="s">
        <v>247</v>
      </c>
      <c r="C115" s="54">
        <f>COUNT(D138:E140,D142:E145,D148)</f>
        <v>8</v>
      </c>
      <c r="D115" s="61">
        <f>SUM(D138:E140,D142:E145,D148)</f>
        <v>1241.1968399999998</v>
      </c>
      <c r="E115" s="62"/>
      <c r="F115" s="63"/>
      <c r="G115" s="61">
        <f>SUM(G138:H140,G142:H145,G148)</f>
        <v>1985.9149439999999</v>
      </c>
      <c r="H115" s="62"/>
      <c r="I115" s="62"/>
      <c r="J115" s="63"/>
    </row>
    <row r="116" spans="1:10" s="1" customFormat="1" ht="27.75" customHeight="1" x14ac:dyDescent="0.3">
      <c r="A116" s="118" t="s">
        <v>186</v>
      </c>
      <c r="B116" s="43" t="s">
        <v>246</v>
      </c>
      <c r="C116" s="54">
        <f>COUNT(D190:E191,D196,D200)</f>
        <v>4</v>
      </c>
      <c r="D116" s="61">
        <f>SUM(D190:E191,D196,D200)</f>
        <v>629.26343999999995</v>
      </c>
      <c r="E116" s="62"/>
      <c r="F116" s="63"/>
      <c r="G116" s="61">
        <f>SUM(G190:H191,G196,G200)</f>
        <v>1290.474432</v>
      </c>
      <c r="H116" s="62"/>
      <c r="I116" s="62"/>
      <c r="J116" s="63"/>
    </row>
    <row r="117" spans="1:10" s="1" customFormat="1" ht="27.75" customHeight="1" x14ac:dyDescent="0.3">
      <c r="A117" s="119"/>
      <c r="B117" s="43" t="s">
        <v>247</v>
      </c>
      <c r="C117" s="54">
        <f>COUNT(D192:E195,D197:E199,D201:E203)</f>
        <v>9</v>
      </c>
      <c r="D117" s="61">
        <f>SUM(D192:E195,D197:E199,D201:E203)</f>
        <v>2013.6214799999998</v>
      </c>
      <c r="E117" s="62"/>
      <c r="F117" s="63"/>
      <c r="G117" s="61">
        <f>SUM(G192:H195,G197:H199,G201:H203)</f>
        <v>4536.4972723199999</v>
      </c>
      <c r="H117" s="62"/>
      <c r="I117" s="62"/>
      <c r="J117" s="63"/>
    </row>
    <row r="118" spans="1:10" s="1" customFormat="1" ht="30.75" customHeight="1" x14ac:dyDescent="0.3">
      <c r="A118" s="118" t="s">
        <v>245</v>
      </c>
      <c r="B118" s="43" t="s">
        <v>246</v>
      </c>
      <c r="C118" s="54">
        <f>COUNT(D237:E240,D245:E246)</f>
        <v>4</v>
      </c>
      <c r="D118" s="61">
        <f>SUM(D237:E240,D245:E246)</f>
        <v>2913.49188</v>
      </c>
      <c r="E118" s="62"/>
      <c r="F118" s="63"/>
      <c r="G118" s="61">
        <f>SUM(G237:H240,G245:H246)</f>
        <v>4661.5870079999995</v>
      </c>
      <c r="H118" s="62"/>
      <c r="I118" s="62"/>
      <c r="J118" s="63"/>
    </row>
    <row r="119" spans="1:10" s="1" customFormat="1" ht="30.75" customHeight="1" x14ac:dyDescent="0.3">
      <c r="A119" s="119"/>
      <c r="B119" s="43" t="s">
        <v>247</v>
      </c>
      <c r="C119" s="54">
        <f>COUNT(D241:E244,D250:E251,D253)</f>
        <v>7</v>
      </c>
      <c r="D119" s="61">
        <f>SUM(D241:E244,D250:E251,D253)</f>
        <v>1367.88912</v>
      </c>
      <c r="E119" s="62"/>
      <c r="F119" s="63"/>
      <c r="G119" s="61">
        <f>SUM(G241:H244,G250:H251,G253)</f>
        <v>2188.6225919999997</v>
      </c>
      <c r="H119" s="62"/>
      <c r="I119" s="62"/>
      <c r="J119" s="63"/>
    </row>
    <row r="120" spans="1:10" s="1" customFormat="1" x14ac:dyDescent="0.3">
      <c r="A120" s="92" t="s">
        <v>81</v>
      </c>
      <c r="B120" s="93"/>
      <c r="C120" s="55">
        <f>SUM(C114:C119)</f>
        <v>41</v>
      </c>
      <c r="D120" s="94">
        <f>SUM(D114:F119)</f>
        <v>11239.553519999999</v>
      </c>
      <c r="E120" s="95"/>
      <c r="F120" s="96"/>
      <c r="G120" s="97">
        <f>SUM(G114:J119)</f>
        <v>19581.641464320001</v>
      </c>
      <c r="H120" s="98"/>
      <c r="I120" s="98"/>
      <c r="J120" s="99"/>
    </row>
    <row r="121" spans="1:10" s="1" customFormat="1" ht="15.75" customHeight="1" x14ac:dyDescent="0.3">
      <c r="A121" s="92" t="s">
        <v>249</v>
      </c>
      <c r="B121" s="93"/>
      <c r="C121" s="93"/>
      <c r="D121" s="93"/>
      <c r="E121" s="93"/>
      <c r="F121" s="93"/>
      <c r="G121" s="93"/>
      <c r="H121" s="93"/>
      <c r="I121" s="93"/>
      <c r="J121" s="123"/>
    </row>
    <row r="122" spans="1:10" s="1" customFormat="1" ht="15.75" customHeight="1" x14ac:dyDescent="0.3">
      <c r="A122" s="97" t="s">
        <v>77</v>
      </c>
      <c r="B122" s="99"/>
      <c r="C122" s="53" t="s">
        <v>139</v>
      </c>
      <c r="D122" s="216" t="s">
        <v>78</v>
      </c>
      <c r="E122" s="217"/>
      <c r="F122" s="218"/>
      <c r="G122" s="97" t="s">
        <v>79</v>
      </c>
      <c r="H122" s="98"/>
      <c r="I122" s="98"/>
      <c r="J122" s="99"/>
    </row>
    <row r="123" spans="1:10" s="1" customFormat="1" ht="47.25" customHeight="1" x14ac:dyDescent="0.3">
      <c r="A123" s="44" t="s">
        <v>186</v>
      </c>
      <c r="B123" s="43" t="s">
        <v>250</v>
      </c>
      <c r="C123" s="54">
        <f>COUNT(D205:E218)</f>
        <v>14</v>
      </c>
      <c r="D123" s="61">
        <f>SUM(D205:E218)</f>
        <v>3028.1822999999999</v>
      </c>
      <c r="E123" s="62"/>
      <c r="F123" s="63"/>
      <c r="G123" s="61">
        <f>SUM(G205:H218)</f>
        <v>4958.966188800001</v>
      </c>
      <c r="H123" s="62"/>
      <c r="I123" s="62"/>
      <c r="J123" s="63"/>
    </row>
    <row r="124" spans="1:10" s="1" customFormat="1" ht="27" customHeight="1" x14ac:dyDescent="0.3">
      <c r="A124" s="118" t="s">
        <v>245</v>
      </c>
      <c r="B124" s="43" t="s">
        <v>250</v>
      </c>
      <c r="C124" s="54">
        <f>COUNT(D247,D249,D252)+COUNT(D256,D260)</f>
        <v>5</v>
      </c>
      <c r="D124" s="61">
        <f>SUM(D247,D249,D252)+SUM(D256,D260)</f>
        <v>1838.2759199999998</v>
      </c>
      <c r="E124" s="62"/>
      <c r="F124" s="63"/>
      <c r="G124" s="61">
        <f>SUM(G247,G249,G252)+SUM(G256,G260)</f>
        <v>2941.2414719999997</v>
      </c>
      <c r="H124" s="62"/>
      <c r="I124" s="62"/>
      <c r="J124" s="63"/>
    </row>
    <row r="125" spans="1:10" s="1" customFormat="1" ht="27" customHeight="1" x14ac:dyDescent="0.3">
      <c r="A125" s="119"/>
      <c r="B125" s="43" t="s">
        <v>251</v>
      </c>
      <c r="C125" s="54">
        <f>COUNT(D248)</f>
        <v>1</v>
      </c>
      <c r="D125" s="61">
        <f>SUM(D248)</f>
        <v>79.330680000000001</v>
      </c>
      <c r="E125" s="62"/>
      <c r="F125" s="63"/>
      <c r="G125" s="61">
        <f>SUM(G248)</f>
        <v>126.92908800000001</v>
      </c>
      <c r="H125" s="62"/>
      <c r="I125" s="62"/>
      <c r="J125" s="63"/>
    </row>
    <row r="126" spans="1:10" s="1" customFormat="1" x14ac:dyDescent="0.3">
      <c r="A126" s="92" t="s">
        <v>81</v>
      </c>
      <c r="B126" s="93"/>
      <c r="C126" s="55">
        <f>SUM(C123:C125)</f>
        <v>20</v>
      </c>
      <c r="D126" s="120">
        <f>SUM(D123:F125)</f>
        <v>4945.7888999999996</v>
      </c>
      <c r="E126" s="121"/>
      <c r="F126" s="122"/>
      <c r="G126" s="92">
        <f>SUM(G123:I125)</f>
        <v>8027.1367488000005</v>
      </c>
      <c r="H126" s="93"/>
      <c r="I126" s="93"/>
      <c r="J126" s="123"/>
    </row>
    <row r="127" spans="1:10" s="1" customFormat="1" x14ac:dyDescent="0.3">
      <c r="A127" s="92" t="s">
        <v>244</v>
      </c>
      <c r="B127" s="93"/>
      <c r="C127" s="93"/>
      <c r="D127" s="93"/>
      <c r="E127" s="93"/>
      <c r="F127" s="93"/>
      <c r="G127" s="93"/>
      <c r="H127" s="93"/>
      <c r="I127" s="93"/>
      <c r="J127" s="123"/>
    </row>
    <row r="128" spans="1:10" s="1" customFormat="1" x14ac:dyDescent="0.3">
      <c r="A128" s="97" t="s">
        <v>77</v>
      </c>
      <c r="B128" s="99"/>
      <c r="C128" s="53" t="s">
        <v>139</v>
      </c>
      <c r="D128" s="216" t="s">
        <v>78</v>
      </c>
      <c r="E128" s="217"/>
      <c r="F128" s="218"/>
      <c r="G128" s="97" t="s">
        <v>79</v>
      </c>
      <c r="H128" s="98"/>
      <c r="I128" s="98"/>
      <c r="J128" s="99"/>
    </row>
    <row r="129" spans="1:10" s="1" customFormat="1" x14ac:dyDescent="0.3">
      <c r="A129" s="113" t="s">
        <v>172</v>
      </c>
      <c r="B129" s="114"/>
      <c r="C129" s="56">
        <f>COUNT(D174:E177)+COUNT(D179:E182)*23+COUNT(D184:E187)*5</f>
        <v>116</v>
      </c>
      <c r="D129" s="115">
        <f>SUM(D174:E177)+SUM(D179:E182)*23+SUM(D184:E187)*5</f>
        <v>103498.76628000001</v>
      </c>
      <c r="E129" s="116"/>
      <c r="F129" s="117"/>
      <c r="G129" s="115">
        <f>SUM(G174:H177)+SUM(G179:H182)*23+SUM(G184:H187)*5</f>
        <v>169157.36405999999</v>
      </c>
      <c r="H129" s="116"/>
      <c r="I129" s="116"/>
      <c r="J129" s="117"/>
    </row>
    <row r="130" spans="1:10" s="1" customFormat="1" x14ac:dyDescent="0.3">
      <c r="A130" s="113" t="s">
        <v>173</v>
      </c>
      <c r="B130" s="114"/>
      <c r="C130" s="56">
        <f>COUNT(D220:E223)+COUNT(D225:E228)*23+COUNT(D230:E232,D234)*5</f>
        <v>116</v>
      </c>
      <c r="D130" s="115">
        <f>SUM(D220:E223)+SUM(D225:E228)*23+SUM(D230:E232,D234)*5</f>
        <v>90014.434379999992</v>
      </c>
      <c r="E130" s="116"/>
      <c r="F130" s="117"/>
      <c r="G130" s="115">
        <f>SUM(G220:H223)+SUM(G225:H228)*23+SUM(G230:H232,G234)*5</f>
        <v>134476.2654</v>
      </c>
      <c r="H130" s="116"/>
      <c r="I130" s="116"/>
      <c r="J130" s="117"/>
    </row>
    <row r="131" spans="1:10" s="1" customFormat="1" x14ac:dyDescent="0.3">
      <c r="A131" s="113" t="s">
        <v>174</v>
      </c>
      <c r="B131" s="114"/>
      <c r="C131" s="56">
        <f>COUNT(D262:E264)+COUNT(D266:E268)+COUNT(D270:E273)*15+COUNT(D275:E277)*3</f>
        <v>75</v>
      </c>
      <c r="D131" s="115">
        <f>SUM(D262:E264)+SUM(D266:E268)+SUM(D270:E273)*15+SUM(D275:E277)*3</f>
        <v>32444.041499999999</v>
      </c>
      <c r="E131" s="116"/>
      <c r="F131" s="117"/>
      <c r="G131" s="115">
        <f>SUM(G262:H264)+SUM(G266:H268)+SUM(G270:H273)*15+SUM(G275:H277)*3</f>
        <v>49177.594339999996</v>
      </c>
      <c r="H131" s="116"/>
      <c r="I131" s="116"/>
      <c r="J131" s="117"/>
    </row>
    <row r="132" spans="1:10" s="1" customFormat="1" x14ac:dyDescent="0.3">
      <c r="A132" s="92" t="s">
        <v>81</v>
      </c>
      <c r="B132" s="93"/>
      <c r="C132" s="53">
        <f>SUM(C129:C131)</f>
        <v>307</v>
      </c>
      <c r="D132" s="94">
        <f>SUM(D129:F131)</f>
        <v>225957.24215999999</v>
      </c>
      <c r="E132" s="95"/>
      <c r="F132" s="96"/>
      <c r="G132" s="97">
        <f>SUM(G129:J131)</f>
        <v>352811.22379999998</v>
      </c>
      <c r="H132" s="98"/>
      <c r="I132" s="98"/>
      <c r="J132" s="99"/>
    </row>
    <row r="133" spans="1:10" s="9" customFormat="1" x14ac:dyDescent="0.3">
      <c r="A133" s="100" t="s">
        <v>82</v>
      </c>
      <c r="B133" s="101"/>
      <c r="C133" s="101"/>
      <c r="D133" s="101"/>
      <c r="E133" s="101"/>
      <c r="F133" s="101"/>
      <c r="G133" s="101"/>
      <c r="H133" s="101"/>
      <c r="I133" s="101"/>
      <c r="J133" s="102"/>
    </row>
    <row r="134" spans="1:10" x14ac:dyDescent="0.3">
      <c r="A134" s="100" t="s">
        <v>83</v>
      </c>
      <c r="B134" s="101"/>
      <c r="C134" s="101"/>
      <c r="D134" s="101"/>
      <c r="E134" s="101"/>
      <c r="F134" s="101"/>
      <c r="G134" s="101"/>
      <c r="H134" s="101"/>
      <c r="I134" s="101"/>
      <c r="J134" s="102"/>
    </row>
    <row r="135" spans="1:10" s="13" customFormat="1" ht="57" customHeight="1" x14ac:dyDescent="0.3">
      <c r="A135" s="11" t="s">
        <v>193</v>
      </c>
      <c r="B135" s="11" t="s">
        <v>184</v>
      </c>
      <c r="C135" s="11" t="s">
        <v>84</v>
      </c>
      <c r="D135" s="67" t="s">
        <v>85</v>
      </c>
      <c r="E135" s="69"/>
      <c r="F135" s="12" t="s">
        <v>252</v>
      </c>
      <c r="G135" s="11" t="s">
        <v>86</v>
      </c>
      <c r="H135" s="67" t="s">
        <v>87</v>
      </c>
      <c r="I135" s="68"/>
      <c r="J135" s="69"/>
    </row>
    <row r="136" spans="1:10" s="2" customFormat="1" x14ac:dyDescent="0.3">
      <c r="A136" s="71" t="s">
        <v>187</v>
      </c>
      <c r="B136" s="71"/>
      <c r="C136" s="71"/>
      <c r="D136" s="71"/>
      <c r="E136" s="71"/>
      <c r="F136" s="71"/>
      <c r="G136" s="71"/>
      <c r="H136" s="71"/>
      <c r="I136" s="71"/>
      <c r="J136" s="71"/>
    </row>
    <row r="137" spans="1:10" s="2" customFormat="1" x14ac:dyDescent="0.3">
      <c r="A137" s="71" t="s">
        <v>157</v>
      </c>
      <c r="B137" s="71"/>
      <c r="C137" s="71"/>
      <c r="D137" s="71"/>
      <c r="E137" s="71"/>
      <c r="F137" s="71"/>
      <c r="G137" s="71"/>
      <c r="H137" s="71"/>
      <c r="I137" s="71"/>
      <c r="J137" s="71"/>
    </row>
    <row r="138" spans="1:10" s="2" customFormat="1" ht="15.75" customHeight="1" x14ac:dyDescent="0.3">
      <c r="A138" s="39">
        <v>29</v>
      </c>
      <c r="B138" s="36" t="s">
        <v>159</v>
      </c>
      <c r="C138" s="39" t="s">
        <v>158</v>
      </c>
      <c r="D138" s="60">
        <f>20.9*10.764</f>
        <v>224.96759999999998</v>
      </c>
      <c r="E138" s="60"/>
      <c r="F138" s="39">
        <v>0</v>
      </c>
      <c r="G138" s="39">
        <f t="shared" ref="G138" si="0">D138*1.6</f>
        <v>359.94815999999997</v>
      </c>
      <c r="H138" s="103" t="str">
        <f>A137</f>
        <v>Ground Floor for Commercial</v>
      </c>
      <c r="I138" s="104"/>
      <c r="J138" s="105"/>
    </row>
    <row r="139" spans="1:10" s="2" customFormat="1" ht="15.75" customHeight="1" x14ac:dyDescent="0.3">
      <c r="A139" s="39">
        <v>30</v>
      </c>
      <c r="B139" s="36" t="s">
        <v>159</v>
      </c>
      <c r="C139" s="39" t="s">
        <v>158</v>
      </c>
      <c r="D139" s="60">
        <f>23.37*10.764</f>
        <v>251.55467999999999</v>
      </c>
      <c r="E139" s="60"/>
      <c r="F139" s="39">
        <v>0</v>
      </c>
      <c r="G139" s="39">
        <f>D139*1.6</f>
        <v>402.48748799999998</v>
      </c>
      <c r="H139" s="106"/>
      <c r="I139" s="107"/>
      <c r="J139" s="108"/>
    </row>
    <row r="140" spans="1:10" s="2" customFormat="1" ht="15.75" customHeight="1" x14ac:dyDescent="0.3">
      <c r="A140" s="39" t="s">
        <v>169</v>
      </c>
      <c r="B140" s="36" t="s">
        <v>159</v>
      </c>
      <c r="C140" s="39" t="s">
        <v>158</v>
      </c>
      <c r="D140" s="60">
        <f>18.33*10.764</f>
        <v>197.30411999999998</v>
      </c>
      <c r="E140" s="60"/>
      <c r="F140" s="39">
        <v>0</v>
      </c>
      <c r="G140" s="39">
        <f t="shared" ref="G140:G145" si="1">D140*1.6</f>
        <v>315.68659200000002</v>
      </c>
      <c r="H140" s="106"/>
      <c r="I140" s="107"/>
      <c r="J140" s="108"/>
    </row>
    <row r="141" spans="1:10" s="2" customFormat="1" ht="15.75" customHeight="1" x14ac:dyDescent="0.3">
      <c r="A141" s="39">
        <v>31</v>
      </c>
      <c r="B141" s="40" t="s">
        <v>161</v>
      </c>
      <c r="C141" s="39" t="s">
        <v>158</v>
      </c>
      <c r="D141" s="60">
        <f>86.83*10.764</f>
        <v>934.63811999999996</v>
      </c>
      <c r="E141" s="60"/>
      <c r="F141" s="39">
        <v>0</v>
      </c>
      <c r="G141" s="39">
        <f t="shared" si="1"/>
        <v>1495.4209920000001</v>
      </c>
      <c r="H141" s="106"/>
      <c r="I141" s="107"/>
      <c r="J141" s="108"/>
    </row>
    <row r="142" spans="1:10" s="2" customFormat="1" ht="15.75" customHeight="1" x14ac:dyDescent="0.3">
      <c r="A142" s="39">
        <v>32</v>
      </c>
      <c r="B142" s="36" t="s">
        <v>159</v>
      </c>
      <c r="C142" s="39" t="s">
        <v>158</v>
      </c>
      <c r="D142" s="60">
        <f>14.09*10.764</f>
        <v>151.66476</v>
      </c>
      <c r="E142" s="60"/>
      <c r="F142" s="39">
        <v>0</v>
      </c>
      <c r="G142" s="39">
        <f t="shared" si="1"/>
        <v>242.66361600000002</v>
      </c>
      <c r="H142" s="106"/>
      <c r="I142" s="107"/>
      <c r="J142" s="108"/>
    </row>
    <row r="143" spans="1:10" s="2" customFormat="1" ht="15.75" customHeight="1" x14ac:dyDescent="0.3">
      <c r="A143" s="39" t="s">
        <v>239</v>
      </c>
      <c r="B143" s="36" t="s">
        <v>159</v>
      </c>
      <c r="C143" s="39" t="s">
        <v>158</v>
      </c>
      <c r="D143" s="60">
        <f>9.17*10.764</f>
        <v>98.705879999999993</v>
      </c>
      <c r="E143" s="60"/>
      <c r="F143" s="39">
        <v>0</v>
      </c>
      <c r="G143" s="39">
        <f t="shared" si="1"/>
        <v>157.929408</v>
      </c>
      <c r="H143" s="106"/>
      <c r="I143" s="107"/>
      <c r="J143" s="108"/>
    </row>
    <row r="144" spans="1:10" s="2" customFormat="1" ht="15.75" customHeight="1" x14ac:dyDescent="0.3">
      <c r="A144" s="39">
        <v>33</v>
      </c>
      <c r="B144" s="36" t="s">
        <v>159</v>
      </c>
      <c r="C144" s="39" t="s">
        <v>158</v>
      </c>
      <c r="D144" s="60">
        <f>8.8*10.764</f>
        <v>94.723200000000006</v>
      </c>
      <c r="E144" s="60"/>
      <c r="F144" s="39">
        <v>0</v>
      </c>
      <c r="G144" s="39">
        <f t="shared" si="1"/>
        <v>151.55712000000003</v>
      </c>
      <c r="H144" s="106"/>
      <c r="I144" s="107"/>
      <c r="J144" s="108"/>
    </row>
    <row r="145" spans="1:10" s="2" customFormat="1" ht="15.75" customHeight="1" x14ac:dyDescent="0.3">
      <c r="A145" s="39" t="s">
        <v>240</v>
      </c>
      <c r="B145" s="36" t="s">
        <v>159</v>
      </c>
      <c r="C145" s="39" t="s">
        <v>158</v>
      </c>
      <c r="D145" s="60">
        <f>3.68*10.764</f>
        <v>39.611519999999999</v>
      </c>
      <c r="E145" s="60"/>
      <c r="F145" s="39">
        <v>0</v>
      </c>
      <c r="G145" s="39">
        <f t="shared" si="1"/>
        <v>63.378432000000004</v>
      </c>
      <c r="H145" s="106"/>
      <c r="I145" s="107"/>
      <c r="J145" s="108"/>
    </row>
    <row r="146" spans="1:10" s="2" customFormat="1" ht="15.75" customHeight="1" x14ac:dyDescent="0.3">
      <c r="A146" s="39">
        <v>34</v>
      </c>
      <c r="B146" s="40" t="s">
        <v>161</v>
      </c>
      <c r="C146" s="39" t="s">
        <v>158</v>
      </c>
      <c r="D146" s="60">
        <f>44.26*10.764</f>
        <v>476.41463999999996</v>
      </c>
      <c r="E146" s="60"/>
      <c r="F146" s="39">
        <v>0</v>
      </c>
      <c r="G146" s="39">
        <f t="shared" ref="G146:G149" si="2">D146*1.6</f>
        <v>762.26342399999999</v>
      </c>
      <c r="H146" s="106"/>
      <c r="I146" s="107"/>
      <c r="J146" s="108"/>
    </row>
    <row r="147" spans="1:10" s="2" customFormat="1" ht="15.75" customHeight="1" x14ac:dyDescent="0.3">
      <c r="A147" s="39" t="s">
        <v>241</v>
      </c>
      <c r="B147" s="40" t="s">
        <v>161</v>
      </c>
      <c r="C147" s="39" t="s">
        <v>158</v>
      </c>
      <c r="D147" s="60">
        <f>45.57*10.764</f>
        <v>490.51547999999997</v>
      </c>
      <c r="E147" s="60"/>
      <c r="F147" s="39">
        <v>0</v>
      </c>
      <c r="G147" s="39">
        <f t="shared" si="2"/>
        <v>784.82476799999995</v>
      </c>
      <c r="H147" s="106"/>
      <c r="I147" s="107"/>
      <c r="J147" s="108"/>
    </row>
    <row r="148" spans="1:10" s="2" customFormat="1" ht="15.75" customHeight="1" x14ac:dyDescent="0.3">
      <c r="A148" s="39">
        <v>35</v>
      </c>
      <c r="B148" s="36" t="s">
        <v>159</v>
      </c>
      <c r="C148" s="39" t="s">
        <v>158</v>
      </c>
      <c r="D148" s="60">
        <f>16.97*10.764</f>
        <v>182.66507999999999</v>
      </c>
      <c r="E148" s="60"/>
      <c r="F148" s="39">
        <v>0</v>
      </c>
      <c r="G148" s="39">
        <f t="shared" si="2"/>
        <v>292.26412799999997</v>
      </c>
      <c r="H148" s="106"/>
      <c r="I148" s="107"/>
      <c r="J148" s="108"/>
    </row>
    <row r="149" spans="1:10" s="2" customFormat="1" ht="15.75" customHeight="1" x14ac:dyDescent="0.3">
      <c r="A149" s="39">
        <v>36</v>
      </c>
      <c r="B149" s="40" t="s">
        <v>161</v>
      </c>
      <c r="C149" s="39" t="s">
        <v>158</v>
      </c>
      <c r="D149" s="60">
        <f>18.12*10.764</f>
        <v>195.04367999999999</v>
      </c>
      <c r="E149" s="60"/>
      <c r="F149" s="39">
        <v>0</v>
      </c>
      <c r="G149" s="39">
        <f t="shared" si="2"/>
        <v>312.06988799999999</v>
      </c>
      <c r="H149" s="106"/>
      <c r="I149" s="107"/>
      <c r="J149" s="108"/>
    </row>
    <row r="150" spans="1:10" s="2" customFormat="1" ht="15.75" customHeight="1" x14ac:dyDescent="0.3">
      <c r="A150" s="39">
        <v>37</v>
      </c>
      <c r="B150" s="40" t="s">
        <v>161</v>
      </c>
      <c r="C150" s="39" t="s">
        <v>158</v>
      </c>
      <c r="D150" s="60">
        <f>16.95*10.764</f>
        <v>182.44979999999998</v>
      </c>
      <c r="E150" s="60"/>
      <c r="F150" s="39">
        <v>0</v>
      </c>
      <c r="G150" s="39">
        <f t="shared" ref="G150:G153" si="3">D150*1.6</f>
        <v>291.91967999999997</v>
      </c>
      <c r="H150" s="106"/>
      <c r="I150" s="107"/>
      <c r="J150" s="108"/>
    </row>
    <row r="151" spans="1:10" s="2" customFormat="1" ht="15.75" customHeight="1" x14ac:dyDescent="0.3">
      <c r="A151" s="39">
        <v>38</v>
      </c>
      <c r="B151" s="40" t="s">
        <v>161</v>
      </c>
      <c r="C151" s="39" t="s">
        <v>158</v>
      </c>
      <c r="D151" s="60">
        <f>18.02*10.764</f>
        <v>193.96727999999999</v>
      </c>
      <c r="E151" s="60"/>
      <c r="F151" s="39">
        <v>0</v>
      </c>
      <c r="G151" s="39">
        <f t="shared" si="3"/>
        <v>310.34764799999999</v>
      </c>
      <c r="H151" s="106"/>
      <c r="I151" s="107"/>
      <c r="J151" s="108"/>
    </row>
    <row r="152" spans="1:10" s="2" customFormat="1" ht="15.75" customHeight="1" x14ac:dyDescent="0.3">
      <c r="A152" s="39">
        <v>39</v>
      </c>
      <c r="B152" s="40" t="s">
        <v>161</v>
      </c>
      <c r="C152" s="39" t="s">
        <v>158</v>
      </c>
      <c r="D152" s="60">
        <f>16.66*10.764</f>
        <v>179.32823999999999</v>
      </c>
      <c r="E152" s="60"/>
      <c r="F152" s="39">
        <v>0</v>
      </c>
      <c r="G152" s="39">
        <f t="shared" si="3"/>
        <v>286.925184</v>
      </c>
      <c r="H152" s="106"/>
      <c r="I152" s="107"/>
      <c r="J152" s="108"/>
    </row>
    <row r="153" spans="1:10" s="2" customFormat="1" ht="15.75" customHeight="1" x14ac:dyDescent="0.3">
      <c r="A153" s="39">
        <v>40</v>
      </c>
      <c r="B153" s="40" t="s">
        <v>161</v>
      </c>
      <c r="C153" s="39" t="s">
        <v>158</v>
      </c>
      <c r="D153" s="60">
        <f>20.36*10.764</f>
        <v>219.15503999999999</v>
      </c>
      <c r="E153" s="60"/>
      <c r="F153" s="39">
        <v>0</v>
      </c>
      <c r="G153" s="39">
        <f t="shared" si="3"/>
        <v>350.64806399999998</v>
      </c>
      <c r="H153" s="106"/>
      <c r="I153" s="107"/>
      <c r="J153" s="108"/>
    </row>
    <row r="154" spans="1:10" s="2" customFormat="1" ht="15.75" customHeight="1" x14ac:dyDescent="0.3">
      <c r="A154" s="39">
        <v>41</v>
      </c>
      <c r="B154" s="40" t="s">
        <v>161</v>
      </c>
      <c r="C154" s="39" t="s">
        <v>158</v>
      </c>
      <c r="D154" s="60">
        <f>18.82*10.764</f>
        <v>202.57847999999998</v>
      </c>
      <c r="E154" s="60"/>
      <c r="F154" s="39">
        <v>0</v>
      </c>
      <c r="G154" s="39">
        <f t="shared" ref="G154" si="4">D154*1.6</f>
        <v>324.12556799999999</v>
      </c>
      <c r="H154" s="109"/>
      <c r="I154" s="110"/>
      <c r="J154" s="111"/>
    </row>
    <row r="155" spans="1:10" s="2" customFormat="1" x14ac:dyDescent="0.3">
      <c r="A155" s="112" t="s">
        <v>168</v>
      </c>
      <c r="B155" s="112"/>
      <c r="C155" s="112"/>
      <c r="D155" s="112"/>
      <c r="E155" s="112"/>
      <c r="F155" s="112"/>
      <c r="G155" s="112"/>
      <c r="H155" s="112"/>
      <c r="I155" s="112"/>
      <c r="J155" s="112"/>
    </row>
    <row r="156" spans="1:10" s="2" customFormat="1" hidden="1" x14ac:dyDescent="0.3">
      <c r="A156" s="41">
        <v>3</v>
      </c>
      <c r="B156" s="42" t="s">
        <v>161</v>
      </c>
      <c r="C156" s="41" t="s">
        <v>160</v>
      </c>
      <c r="D156" s="70">
        <f>19.08*10.764</f>
        <v>205.37711999999996</v>
      </c>
      <c r="E156" s="70"/>
      <c r="F156" s="41">
        <v>0</v>
      </c>
      <c r="G156" s="41">
        <f t="shared" ref="G156:G172" si="5">D156*1.6</f>
        <v>328.60339199999999</v>
      </c>
      <c r="H156" s="41" t="s">
        <v>88</v>
      </c>
      <c r="I156" s="70" t="str">
        <f>A155</f>
        <v>1st Floor for Commercial</v>
      </c>
      <c r="J156" s="70"/>
    </row>
    <row r="157" spans="1:10" s="2" customFormat="1" hidden="1" x14ac:dyDescent="0.3">
      <c r="A157" s="41">
        <v>4</v>
      </c>
      <c r="B157" s="42" t="s">
        <v>161</v>
      </c>
      <c r="C157" s="41" t="s">
        <v>160</v>
      </c>
      <c r="D157" s="70">
        <f>19.86*10.764</f>
        <v>213.77303999999998</v>
      </c>
      <c r="E157" s="70"/>
      <c r="F157" s="41">
        <v>0</v>
      </c>
      <c r="G157" s="41">
        <f t="shared" si="5"/>
        <v>342.03686399999998</v>
      </c>
      <c r="H157" s="41" t="s">
        <v>88</v>
      </c>
      <c r="I157" s="70"/>
      <c r="J157" s="70"/>
    </row>
    <row r="158" spans="1:10" s="2" customFormat="1" hidden="1" x14ac:dyDescent="0.3">
      <c r="A158" s="41">
        <v>5</v>
      </c>
      <c r="B158" s="42" t="s">
        <v>161</v>
      </c>
      <c r="C158" s="41" t="s">
        <v>160</v>
      </c>
      <c r="D158" s="70">
        <f>24.15*10.764</f>
        <v>259.95059999999995</v>
      </c>
      <c r="E158" s="70"/>
      <c r="F158" s="41">
        <v>0</v>
      </c>
      <c r="G158" s="41">
        <f t="shared" si="5"/>
        <v>415.92095999999992</v>
      </c>
      <c r="H158" s="41" t="s">
        <v>88</v>
      </c>
      <c r="I158" s="70"/>
      <c r="J158" s="70"/>
    </row>
    <row r="159" spans="1:10" s="2" customFormat="1" hidden="1" x14ac:dyDescent="0.3">
      <c r="A159" s="41">
        <v>6</v>
      </c>
      <c r="B159" s="42" t="s">
        <v>161</v>
      </c>
      <c r="C159" s="41" t="s">
        <v>160</v>
      </c>
      <c r="D159" s="70">
        <f>19.35*10.764</f>
        <v>208.2834</v>
      </c>
      <c r="E159" s="70"/>
      <c r="F159" s="41">
        <v>0</v>
      </c>
      <c r="G159" s="41">
        <f t="shared" si="5"/>
        <v>333.25344000000001</v>
      </c>
      <c r="H159" s="41" t="s">
        <v>88</v>
      </c>
      <c r="I159" s="70"/>
      <c r="J159" s="70"/>
    </row>
    <row r="160" spans="1:10" s="2" customFormat="1" hidden="1" x14ac:dyDescent="0.3">
      <c r="A160" s="41">
        <v>7</v>
      </c>
      <c r="B160" s="42" t="s">
        <v>161</v>
      </c>
      <c r="C160" s="41" t="s">
        <v>160</v>
      </c>
      <c r="D160" s="70">
        <f>20.26*10.764</f>
        <v>218.07864000000001</v>
      </c>
      <c r="E160" s="70"/>
      <c r="F160" s="41">
        <v>0</v>
      </c>
      <c r="G160" s="41">
        <f t="shared" si="5"/>
        <v>348.92582400000003</v>
      </c>
      <c r="H160" s="41" t="s">
        <v>88</v>
      </c>
      <c r="I160" s="70"/>
      <c r="J160" s="70"/>
    </row>
    <row r="161" spans="1:12" s="2" customFormat="1" hidden="1" x14ac:dyDescent="0.3">
      <c r="A161" s="41">
        <v>8</v>
      </c>
      <c r="B161" s="42" t="s">
        <v>161</v>
      </c>
      <c r="C161" s="41" t="s">
        <v>160</v>
      </c>
      <c r="D161" s="70">
        <f>17.33*10.764</f>
        <v>186.54011999999997</v>
      </c>
      <c r="E161" s="70"/>
      <c r="F161" s="41">
        <v>0</v>
      </c>
      <c r="G161" s="41">
        <f t="shared" si="5"/>
        <v>298.46419199999997</v>
      </c>
      <c r="H161" s="41" t="s">
        <v>88</v>
      </c>
      <c r="I161" s="70"/>
      <c r="J161" s="70"/>
    </row>
    <row r="162" spans="1:12" s="2" customFormat="1" hidden="1" x14ac:dyDescent="0.3">
      <c r="A162" s="41">
        <v>9</v>
      </c>
      <c r="B162" s="41" t="s">
        <v>159</v>
      </c>
      <c r="C162" s="41" t="s">
        <v>160</v>
      </c>
      <c r="D162" s="70">
        <f>10.04*10.764</f>
        <v>108.07055999999999</v>
      </c>
      <c r="E162" s="70"/>
      <c r="F162" s="41">
        <v>0</v>
      </c>
      <c r="G162" s="41">
        <f t="shared" si="5"/>
        <v>172.91289599999999</v>
      </c>
      <c r="H162" s="41" t="s">
        <v>88</v>
      </c>
      <c r="I162" s="70"/>
      <c r="J162" s="70"/>
    </row>
    <row r="163" spans="1:12" s="2" customFormat="1" hidden="1" x14ac:dyDescent="0.3">
      <c r="A163" s="41">
        <v>10</v>
      </c>
      <c r="B163" s="42" t="s">
        <v>161</v>
      </c>
      <c r="C163" s="41" t="s">
        <v>160</v>
      </c>
      <c r="D163" s="70">
        <f>19.41*10.764</f>
        <v>208.92923999999999</v>
      </c>
      <c r="E163" s="70"/>
      <c r="F163" s="41">
        <v>0</v>
      </c>
      <c r="G163" s="41">
        <f t="shared" si="5"/>
        <v>334.28678400000001</v>
      </c>
      <c r="H163" s="41" t="s">
        <v>88</v>
      </c>
      <c r="I163" s="70"/>
      <c r="J163" s="70"/>
    </row>
    <row r="164" spans="1:12" s="2" customFormat="1" hidden="1" x14ac:dyDescent="0.3">
      <c r="A164" s="41">
        <v>11</v>
      </c>
      <c r="B164" s="41" t="s">
        <v>159</v>
      </c>
      <c r="C164" s="41" t="s">
        <v>160</v>
      </c>
      <c r="D164" s="70">
        <f>14.64*10.764</f>
        <v>157.58496</v>
      </c>
      <c r="E164" s="70"/>
      <c r="F164" s="41">
        <v>0</v>
      </c>
      <c r="G164" s="41">
        <f t="shared" si="5"/>
        <v>252.13593600000002</v>
      </c>
      <c r="H164" s="41" t="s">
        <v>88</v>
      </c>
      <c r="I164" s="70"/>
      <c r="J164" s="70"/>
    </row>
    <row r="165" spans="1:12" s="2" customFormat="1" hidden="1" x14ac:dyDescent="0.3">
      <c r="A165" s="41">
        <v>12</v>
      </c>
      <c r="B165" s="42" t="s">
        <v>161</v>
      </c>
      <c r="C165" s="41" t="s">
        <v>160</v>
      </c>
      <c r="D165" s="70">
        <f>21.16*10.764</f>
        <v>227.76623999999998</v>
      </c>
      <c r="E165" s="70"/>
      <c r="F165" s="41">
        <v>0</v>
      </c>
      <c r="G165" s="41">
        <f t="shared" si="5"/>
        <v>364.42598399999997</v>
      </c>
      <c r="H165" s="41" t="s">
        <v>88</v>
      </c>
      <c r="I165" s="70"/>
      <c r="J165" s="70"/>
    </row>
    <row r="166" spans="1:12" s="2" customFormat="1" hidden="1" x14ac:dyDescent="0.3">
      <c r="A166" s="41">
        <v>13</v>
      </c>
      <c r="B166" s="42" t="s">
        <v>161</v>
      </c>
      <c r="C166" s="41" t="s">
        <v>160</v>
      </c>
      <c r="D166" s="70">
        <f>24.1*10.764</f>
        <v>259.41239999999999</v>
      </c>
      <c r="E166" s="70"/>
      <c r="F166" s="41">
        <v>0</v>
      </c>
      <c r="G166" s="41">
        <f t="shared" si="5"/>
        <v>415.05984000000001</v>
      </c>
      <c r="H166" s="41" t="s">
        <v>88</v>
      </c>
      <c r="I166" s="70"/>
      <c r="J166" s="70"/>
    </row>
    <row r="167" spans="1:12" s="2" customFormat="1" hidden="1" x14ac:dyDescent="0.3">
      <c r="A167" s="41">
        <v>15</v>
      </c>
      <c r="B167" s="42" t="s">
        <v>161</v>
      </c>
      <c r="C167" s="41" t="s">
        <v>160</v>
      </c>
      <c r="D167" s="70">
        <f>15.76*10.764</f>
        <v>169.64063999999999</v>
      </c>
      <c r="E167" s="70"/>
      <c r="F167" s="41">
        <v>0</v>
      </c>
      <c r="G167" s="41">
        <f t="shared" si="5"/>
        <v>271.42502400000001</v>
      </c>
      <c r="H167" s="41" t="s">
        <v>88</v>
      </c>
      <c r="I167" s="70"/>
      <c r="J167" s="70"/>
    </row>
    <row r="168" spans="1:12" s="2" customFormat="1" hidden="1" x14ac:dyDescent="0.3">
      <c r="A168" s="41">
        <v>16</v>
      </c>
      <c r="B168" s="42" t="s">
        <v>161</v>
      </c>
      <c r="C168" s="41" t="s">
        <v>160</v>
      </c>
      <c r="D168" s="70">
        <f>15.76*10.764</f>
        <v>169.64063999999999</v>
      </c>
      <c r="E168" s="70"/>
      <c r="F168" s="41">
        <v>0</v>
      </c>
      <c r="G168" s="41">
        <f t="shared" si="5"/>
        <v>271.42502400000001</v>
      </c>
      <c r="H168" s="41" t="s">
        <v>88</v>
      </c>
      <c r="I168" s="70"/>
      <c r="J168" s="70"/>
    </row>
    <row r="169" spans="1:12" s="2" customFormat="1" hidden="1" x14ac:dyDescent="0.3">
      <c r="A169" s="41">
        <v>17</v>
      </c>
      <c r="B169" s="42" t="s">
        <v>161</v>
      </c>
      <c r="C169" s="41" t="s">
        <v>160</v>
      </c>
      <c r="D169" s="70">
        <f>15.46*10.764</f>
        <v>166.41144</v>
      </c>
      <c r="E169" s="70"/>
      <c r="F169" s="41">
        <v>0</v>
      </c>
      <c r="G169" s="41">
        <f t="shared" si="5"/>
        <v>266.25830400000001</v>
      </c>
      <c r="H169" s="41" t="s">
        <v>88</v>
      </c>
      <c r="I169" s="70"/>
      <c r="J169" s="70"/>
    </row>
    <row r="170" spans="1:12" s="2" customFormat="1" hidden="1" x14ac:dyDescent="0.3">
      <c r="A170" s="41">
        <v>18</v>
      </c>
      <c r="B170" s="42" t="s">
        <v>161</v>
      </c>
      <c r="C170" s="41" t="s">
        <v>160</v>
      </c>
      <c r="D170" s="70">
        <f>19.8*10.764</f>
        <v>213.12719999999999</v>
      </c>
      <c r="E170" s="70"/>
      <c r="F170" s="41">
        <v>0</v>
      </c>
      <c r="G170" s="41">
        <f t="shared" si="5"/>
        <v>341.00351999999998</v>
      </c>
      <c r="H170" s="41" t="s">
        <v>88</v>
      </c>
      <c r="I170" s="70"/>
      <c r="J170" s="70"/>
    </row>
    <row r="171" spans="1:12" s="2" customFormat="1" hidden="1" x14ac:dyDescent="0.3">
      <c r="A171" s="41">
        <v>19</v>
      </c>
      <c r="B171" s="42" t="s">
        <v>161</v>
      </c>
      <c r="C171" s="41" t="s">
        <v>160</v>
      </c>
      <c r="D171" s="70">
        <f>19.8*10.764</f>
        <v>213.12719999999999</v>
      </c>
      <c r="E171" s="70"/>
      <c r="F171" s="41">
        <v>0</v>
      </c>
      <c r="G171" s="41">
        <f t="shared" si="5"/>
        <v>341.00351999999998</v>
      </c>
      <c r="H171" s="41" t="s">
        <v>88</v>
      </c>
      <c r="I171" s="70"/>
      <c r="J171" s="70"/>
    </row>
    <row r="172" spans="1:12" s="2" customFormat="1" hidden="1" x14ac:dyDescent="0.3">
      <c r="A172" s="41">
        <v>20</v>
      </c>
      <c r="B172" s="42" t="s">
        <v>161</v>
      </c>
      <c r="C172" s="41" t="s">
        <v>160</v>
      </c>
      <c r="D172" s="70">
        <f>18.93*10.764</f>
        <v>203.76251999999999</v>
      </c>
      <c r="E172" s="70"/>
      <c r="F172" s="41">
        <v>0</v>
      </c>
      <c r="G172" s="41">
        <f t="shared" si="5"/>
        <v>326.02003200000001</v>
      </c>
      <c r="H172" s="41" t="s">
        <v>88</v>
      </c>
      <c r="I172" s="70"/>
      <c r="J172" s="70"/>
    </row>
    <row r="173" spans="1:12" s="2" customFormat="1" x14ac:dyDescent="0.3">
      <c r="A173" s="71" t="s">
        <v>162</v>
      </c>
      <c r="B173" s="71"/>
      <c r="C173" s="71"/>
      <c r="D173" s="71"/>
      <c r="E173" s="71"/>
      <c r="F173" s="71"/>
      <c r="G173" s="71"/>
      <c r="H173" s="71"/>
      <c r="I173" s="71"/>
      <c r="J173" s="71"/>
    </row>
    <row r="174" spans="1:12" s="2" customFormat="1" x14ac:dyDescent="0.3">
      <c r="A174" s="60">
        <v>1</v>
      </c>
      <c r="B174" s="60"/>
      <c r="C174" s="39" t="s">
        <v>163</v>
      </c>
      <c r="D174" s="60">
        <f>(63.42+2*0.75)*10.764</f>
        <v>698.79887999999994</v>
      </c>
      <c r="E174" s="60"/>
      <c r="F174" s="39">
        <f>(10.32*2.95)*10.764</f>
        <v>327.69921600000004</v>
      </c>
      <c r="G174" s="39">
        <v>1307</v>
      </c>
      <c r="H174" s="60" t="str">
        <f>A173</f>
        <v>2nd Floor</v>
      </c>
      <c r="I174" s="60"/>
      <c r="J174" s="60"/>
      <c r="L174" s="37">
        <f t="shared" ref="L174:L177" si="6">(G174-F174)/D174</f>
        <v>1.4014057721443403</v>
      </c>
    </row>
    <row r="175" spans="1:12" s="2" customFormat="1" x14ac:dyDescent="0.3">
      <c r="A175" s="60">
        <v>2</v>
      </c>
      <c r="B175" s="60"/>
      <c r="C175" s="39" t="s">
        <v>164</v>
      </c>
      <c r="D175" s="60">
        <f>(94+(1.8+2)*0.75)*10.764</f>
        <v>1042.4933999999998</v>
      </c>
      <c r="E175" s="60"/>
      <c r="F175" s="39">
        <f>(5.21+4.22)*10.764</f>
        <v>101.50451999999999</v>
      </c>
      <c r="G175" s="39">
        <v>1775</v>
      </c>
      <c r="H175" s="60"/>
      <c r="I175" s="60"/>
      <c r="J175" s="60"/>
      <c r="L175" s="37">
        <f t="shared" si="6"/>
        <v>1.6052816065789963</v>
      </c>
    </row>
    <row r="176" spans="1:12" s="2" customFormat="1" x14ac:dyDescent="0.3">
      <c r="A176" s="60">
        <v>3</v>
      </c>
      <c r="B176" s="60"/>
      <c r="C176" s="39" t="s">
        <v>164</v>
      </c>
      <c r="D176" s="60">
        <f>(94+(1.8+2)*0.75)*10.764</f>
        <v>1042.4933999999998</v>
      </c>
      <c r="E176" s="60"/>
      <c r="F176" s="39">
        <f>(5.21+55.83)*10.764</f>
        <v>657.03455999999994</v>
      </c>
      <c r="G176" s="39">
        <v>2158</v>
      </c>
      <c r="H176" s="60"/>
      <c r="I176" s="60"/>
      <c r="J176" s="60"/>
      <c r="L176" s="37">
        <f t="shared" si="6"/>
        <v>1.4397841175781068</v>
      </c>
    </row>
    <row r="177" spans="1:14" s="2" customFormat="1" x14ac:dyDescent="0.3">
      <c r="A177" s="60">
        <v>4</v>
      </c>
      <c r="B177" s="60"/>
      <c r="C177" s="39" t="s">
        <v>163</v>
      </c>
      <c r="D177" s="60">
        <f>(63.46+2*0.75)*10.764</f>
        <v>699.22944000000007</v>
      </c>
      <c r="E177" s="60"/>
      <c r="F177" s="39">
        <f>(22.91+10.41)*10.764</f>
        <v>358.65647999999999</v>
      </c>
      <c r="G177" s="39">
        <v>1598</v>
      </c>
      <c r="H177" s="60"/>
      <c r="I177" s="60"/>
      <c r="J177" s="60"/>
      <c r="L177" s="37">
        <f t="shared" si="6"/>
        <v>1.7724418468421463</v>
      </c>
    </row>
    <row r="178" spans="1:14" s="2" customFormat="1" x14ac:dyDescent="0.3">
      <c r="A178" s="71" t="s">
        <v>233</v>
      </c>
      <c r="B178" s="71"/>
      <c r="C178" s="71"/>
      <c r="D178" s="71"/>
      <c r="E178" s="71"/>
      <c r="F178" s="71"/>
      <c r="G178" s="71"/>
      <c r="H178" s="71"/>
      <c r="I178" s="71"/>
      <c r="J178" s="71"/>
    </row>
    <row r="179" spans="1:14" s="2" customFormat="1" ht="15.75" customHeight="1" x14ac:dyDescent="0.3">
      <c r="A179" s="60">
        <v>1</v>
      </c>
      <c r="B179" s="60"/>
      <c r="C179" s="39" t="s">
        <v>163</v>
      </c>
      <c r="D179" s="60">
        <f>(63.42+(1.8+1.5+1.5+1.8)*0.75)*10.764</f>
        <v>735.93467999999996</v>
      </c>
      <c r="E179" s="60"/>
      <c r="F179" s="39">
        <v>0</v>
      </c>
      <c r="G179" s="39">
        <v>1264</v>
      </c>
      <c r="H179" s="60" t="str">
        <f>A178</f>
        <v xml:space="preserve">3rd To 6th, 8th To 11th, 13th To 16th, 18th to 21st, 23rd to 26th, 28th to 30th Floor </v>
      </c>
      <c r="I179" s="60"/>
      <c r="J179" s="60"/>
      <c r="L179" s="37">
        <f t="shared" ref="L179:L182" si="7">(G179-F179)/D179</f>
        <v>1.7175437363544277</v>
      </c>
    </row>
    <row r="180" spans="1:14" s="2" customFormat="1" x14ac:dyDescent="0.3">
      <c r="A180" s="60">
        <v>2</v>
      </c>
      <c r="B180" s="60"/>
      <c r="C180" s="39" t="s">
        <v>164</v>
      </c>
      <c r="D180" s="60">
        <f>(94+(1.8+1.8+1.8+1.8)*0.75)*10.764</f>
        <v>1069.9416000000001</v>
      </c>
      <c r="E180" s="60"/>
      <c r="F180" s="39">
        <v>0</v>
      </c>
      <c r="G180" s="39">
        <v>1654</v>
      </c>
      <c r="H180" s="60"/>
      <c r="I180" s="60"/>
      <c r="J180" s="60"/>
      <c r="L180" s="37">
        <f t="shared" si="7"/>
        <v>1.5458787657195494</v>
      </c>
    </row>
    <row r="181" spans="1:14" s="2" customFormat="1" x14ac:dyDescent="0.3">
      <c r="A181" s="60">
        <v>3</v>
      </c>
      <c r="B181" s="60"/>
      <c r="C181" s="39" t="s">
        <v>164</v>
      </c>
      <c r="D181" s="60">
        <f>(94+(1.8+1.8+1.8+1.8)*0.75)*10.764</f>
        <v>1069.9416000000001</v>
      </c>
      <c r="E181" s="60"/>
      <c r="F181" s="39">
        <v>0</v>
      </c>
      <c r="G181" s="39">
        <v>1654</v>
      </c>
      <c r="H181" s="60"/>
      <c r="I181" s="60"/>
      <c r="J181" s="60"/>
      <c r="L181" s="37">
        <f t="shared" si="7"/>
        <v>1.5458787657195494</v>
      </c>
    </row>
    <row r="182" spans="1:14" s="2" customFormat="1" x14ac:dyDescent="0.3">
      <c r="A182" s="60">
        <v>4</v>
      </c>
      <c r="B182" s="60"/>
      <c r="C182" s="39" t="s">
        <v>163</v>
      </c>
      <c r="D182" s="60">
        <f>(63.46+(1.8+1.5+1.5+1.8)*0.75)*10.764</f>
        <v>736.36523999999997</v>
      </c>
      <c r="E182" s="60"/>
      <c r="F182" s="39">
        <v>0</v>
      </c>
      <c r="G182" s="39">
        <v>1264</v>
      </c>
      <c r="H182" s="60"/>
      <c r="I182" s="60"/>
      <c r="J182" s="60"/>
      <c r="L182" s="37">
        <f t="shared" si="7"/>
        <v>1.7165394716350273</v>
      </c>
    </row>
    <row r="183" spans="1:14" s="2" customFormat="1" ht="15.75" customHeight="1" x14ac:dyDescent="0.3">
      <c r="A183" s="71" t="s">
        <v>234</v>
      </c>
      <c r="B183" s="71"/>
      <c r="C183" s="71"/>
      <c r="D183" s="71"/>
      <c r="E183" s="71"/>
      <c r="F183" s="71"/>
      <c r="G183" s="71"/>
      <c r="H183" s="71"/>
      <c r="I183" s="71"/>
      <c r="J183" s="71"/>
    </row>
    <row r="184" spans="1:14" s="2" customFormat="1" ht="15.75" customHeight="1" x14ac:dyDescent="0.3">
      <c r="A184" s="60">
        <v>1</v>
      </c>
      <c r="B184" s="60"/>
      <c r="C184" s="39" t="s">
        <v>163</v>
      </c>
      <c r="D184" s="60">
        <f>(63.42+(1.8+1.5+1.5+1.8)*0.75)*10.764</f>
        <v>735.93467999999996</v>
      </c>
      <c r="E184" s="60"/>
      <c r="F184" s="39">
        <v>0</v>
      </c>
      <c r="G184" s="39">
        <v>1264</v>
      </c>
      <c r="H184" s="60" t="str">
        <f>A183</f>
        <v xml:space="preserve">7th, 12th, 17th, 22nd, 27th Floor </v>
      </c>
      <c r="I184" s="60"/>
      <c r="J184" s="60"/>
      <c r="L184" s="37">
        <f t="shared" ref="L184:L187" si="8">(G184-F184)/D184</f>
        <v>1.7175437363544277</v>
      </c>
    </row>
    <row r="185" spans="1:14" s="2" customFormat="1" x14ac:dyDescent="0.3">
      <c r="A185" s="60">
        <v>2</v>
      </c>
      <c r="B185" s="60"/>
      <c r="C185" s="39" t="s">
        <v>163</v>
      </c>
      <c r="D185" s="60">
        <f>(74.44+(1.8+1.8+1.8)*0.75)*10.764</f>
        <v>844.86635999999987</v>
      </c>
      <c r="E185" s="60"/>
      <c r="F185" s="39">
        <v>0</v>
      </c>
      <c r="G185" s="39">
        <f>D185*1.7</f>
        <v>1436.2728119999997</v>
      </c>
      <c r="H185" s="60"/>
      <c r="I185" s="60"/>
      <c r="J185" s="60"/>
      <c r="K185" s="2">
        <f>18900000/G184</f>
        <v>14952.531645569621</v>
      </c>
      <c r="L185" s="37">
        <f t="shared" si="8"/>
        <v>1.7</v>
      </c>
    </row>
    <row r="186" spans="1:14" s="2" customFormat="1" x14ac:dyDescent="0.3">
      <c r="A186" s="60">
        <v>3</v>
      </c>
      <c r="B186" s="60"/>
      <c r="C186" s="39" t="s">
        <v>164</v>
      </c>
      <c r="D186" s="60">
        <f>(94+(1.8+1.8+1.8+1.8)*0.75)*10.764</f>
        <v>1069.9416000000001</v>
      </c>
      <c r="E186" s="60"/>
      <c r="F186" s="39">
        <v>0</v>
      </c>
      <c r="G186" s="39">
        <v>1654</v>
      </c>
      <c r="H186" s="60"/>
      <c r="I186" s="60"/>
      <c r="J186" s="60"/>
      <c r="L186" s="37">
        <f t="shared" si="8"/>
        <v>1.5458787657195494</v>
      </c>
      <c r="N186" s="2">
        <f>20500000/G186</f>
        <v>12394.195888754535</v>
      </c>
    </row>
    <row r="187" spans="1:14" s="2" customFormat="1" x14ac:dyDescent="0.3">
      <c r="A187" s="60">
        <v>4</v>
      </c>
      <c r="B187" s="60"/>
      <c r="C187" s="39" t="s">
        <v>163</v>
      </c>
      <c r="D187" s="60">
        <f>(63.46+(1.8+1.5+1.5+1.8)*0.75)*10.764</f>
        <v>736.36523999999997</v>
      </c>
      <c r="E187" s="60"/>
      <c r="F187" s="39">
        <v>0</v>
      </c>
      <c r="G187" s="39">
        <v>1264</v>
      </c>
      <c r="H187" s="60"/>
      <c r="I187" s="60"/>
      <c r="J187" s="60"/>
      <c r="L187" s="37">
        <f t="shared" si="8"/>
        <v>1.7165394716350273</v>
      </c>
      <c r="M187" s="2">
        <f>17400000/G187</f>
        <v>13765.822784810127</v>
      </c>
    </row>
    <row r="188" spans="1:14" s="2" customFormat="1" x14ac:dyDescent="0.3">
      <c r="A188" s="71" t="s">
        <v>186</v>
      </c>
      <c r="B188" s="71"/>
      <c r="C188" s="71"/>
      <c r="D188" s="71"/>
      <c r="E188" s="71"/>
      <c r="F188" s="71"/>
      <c r="G188" s="71"/>
      <c r="H188" s="71"/>
      <c r="I188" s="71"/>
      <c r="J188" s="71"/>
    </row>
    <row r="189" spans="1:14" s="2" customFormat="1" x14ac:dyDescent="0.3">
      <c r="A189" s="71" t="s">
        <v>157</v>
      </c>
      <c r="B189" s="71"/>
      <c r="C189" s="71"/>
      <c r="D189" s="71"/>
      <c r="E189" s="71"/>
      <c r="F189" s="71"/>
      <c r="G189" s="71"/>
      <c r="H189" s="71"/>
      <c r="I189" s="71"/>
      <c r="J189" s="71"/>
    </row>
    <row r="190" spans="1:14" s="2" customFormat="1" ht="15.75" customHeight="1" x14ac:dyDescent="0.3">
      <c r="A190" s="39">
        <v>42</v>
      </c>
      <c r="B190" s="40" t="s">
        <v>161</v>
      </c>
      <c r="C190" s="39" t="s">
        <v>158</v>
      </c>
      <c r="D190" s="60">
        <f>17.82*10.764</f>
        <v>191.81448</v>
      </c>
      <c r="E190" s="60"/>
      <c r="F190" s="39">
        <f>(2.5*2.14)*10.764</f>
        <v>57.587400000000002</v>
      </c>
      <c r="G190" s="39">
        <f t="shared" ref="G190:G202" si="9">(D190+F190)*1.6</f>
        <v>399.04300800000004</v>
      </c>
      <c r="H190" s="103" t="str">
        <f>A189</f>
        <v>Ground Floor for Commercial</v>
      </c>
      <c r="I190" s="104"/>
      <c r="J190" s="105"/>
    </row>
    <row r="191" spans="1:14" s="2" customFormat="1" ht="15.75" customHeight="1" x14ac:dyDescent="0.3">
      <c r="A191" s="39">
        <v>43</v>
      </c>
      <c r="B191" s="40" t="s">
        <v>161</v>
      </c>
      <c r="C191" s="39" t="s">
        <v>158</v>
      </c>
      <c r="D191" s="60">
        <f>17.16*10.764</f>
        <v>184.71024</v>
      </c>
      <c r="E191" s="60"/>
      <c r="F191" s="39">
        <f>(2.16*2.5)*10.764</f>
        <v>58.125599999999999</v>
      </c>
      <c r="G191" s="39">
        <f t="shared" si="9"/>
        <v>388.53734400000002</v>
      </c>
      <c r="H191" s="106"/>
      <c r="I191" s="107"/>
      <c r="J191" s="108"/>
    </row>
    <row r="192" spans="1:14" s="2" customFormat="1" ht="15.75" customHeight="1" x14ac:dyDescent="0.3">
      <c r="A192" s="39">
        <v>44</v>
      </c>
      <c r="B192" s="39" t="s">
        <v>159</v>
      </c>
      <c r="C192" s="39" t="s">
        <v>158</v>
      </c>
      <c r="D192" s="60">
        <f>21.39*10.764</f>
        <v>230.24196000000001</v>
      </c>
      <c r="E192" s="60"/>
      <c r="F192" s="39">
        <f>(1.6*2.7+1.8*0.9)*10.764</f>
        <v>63.938160000000003</v>
      </c>
      <c r="G192" s="39">
        <f t="shared" si="9"/>
        <v>470.68819200000002</v>
      </c>
      <c r="H192" s="106"/>
      <c r="I192" s="107"/>
      <c r="J192" s="108"/>
    </row>
    <row r="193" spans="1:10" s="2" customFormat="1" ht="15.75" customHeight="1" x14ac:dyDescent="0.3">
      <c r="A193" s="39">
        <v>45</v>
      </c>
      <c r="B193" s="39" t="s">
        <v>159</v>
      </c>
      <c r="C193" s="39" t="s">
        <v>158</v>
      </c>
      <c r="D193" s="60">
        <f>20.9*10.764</f>
        <v>224.96759999999998</v>
      </c>
      <c r="E193" s="60"/>
      <c r="F193" s="39">
        <f>(3.1*2.6)*10.764</f>
        <v>86.757840000000002</v>
      </c>
      <c r="G193" s="39">
        <f t="shared" si="9"/>
        <v>498.76070400000003</v>
      </c>
      <c r="H193" s="106"/>
      <c r="I193" s="107"/>
      <c r="J193" s="108"/>
    </row>
    <row r="194" spans="1:10" s="2" customFormat="1" ht="15.75" customHeight="1" x14ac:dyDescent="0.3">
      <c r="A194" s="39">
        <v>46</v>
      </c>
      <c r="B194" s="39" t="s">
        <v>159</v>
      </c>
      <c r="C194" s="39" t="s">
        <v>158</v>
      </c>
      <c r="D194" s="60">
        <f>21.36*10.764</f>
        <v>229.91903999999997</v>
      </c>
      <c r="E194" s="60"/>
      <c r="F194" s="39">
        <f>(2.6*2.6)*10.764</f>
        <v>72.76464</v>
      </c>
      <c r="G194" s="39">
        <f t="shared" si="9"/>
        <v>484.29388799999998</v>
      </c>
      <c r="H194" s="106"/>
      <c r="I194" s="107"/>
      <c r="J194" s="108"/>
    </row>
    <row r="195" spans="1:10" s="2" customFormat="1" ht="15.75" customHeight="1" x14ac:dyDescent="0.3">
      <c r="A195" s="39">
        <v>47</v>
      </c>
      <c r="B195" s="39" t="s">
        <v>159</v>
      </c>
      <c r="C195" s="39" t="s">
        <v>158</v>
      </c>
      <c r="D195" s="60">
        <f>21.15*10.764</f>
        <v>227.65859999999998</v>
      </c>
      <c r="E195" s="60"/>
      <c r="F195" s="39">
        <f>(3.1*2.6)*10.764</f>
        <v>86.757840000000002</v>
      </c>
      <c r="G195" s="39">
        <f t="shared" si="9"/>
        <v>503.06630399999995</v>
      </c>
      <c r="H195" s="106"/>
      <c r="I195" s="107"/>
      <c r="J195" s="108"/>
    </row>
    <row r="196" spans="1:10" s="2" customFormat="1" ht="15.75" customHeight="1" x14ac:dyDescent="0.3">
      <c r="A196" s="39">
        <v>48</v>
      </c>
      <c r="B196" s="40" t="s">
        <v>161</v>
      </c>
      <c r="C196" s="39" t="s">
        <v>158</v>
      </c>
      <c r="D196" s="60">
        <f>16.61*10.764</f>
        <v>178.79003999999998</v>
      </c>
      <c r="E196" s="60"/>
      <c r="F196" s="39">
        <f>(2.2*2.6)*10.764</f>
        <v>61.570080000000004</v>
      </c>
      <c r="G196" s="39">
        <f t="shared" si="9"/>
        <v>384.57619199999999</v>
      </c>
      <c r="H196" s="106"/>
      <c r="I196" s="107"/>
      <c r="J196" s="108"/>
    </row>
    <row r="197" spans="1:10" s="2" customFormat="1" ht="15.75" customHeight="1" x14ac:dyDescent="0.3">
      <c r="A197" s="39">
        <v>49</v>
      </c>
      <c r="B197" s="39" t="s">
        <v>159</v>
      </c>
      <c r="C197" s="39" t="s">
        <v>158</v>
      </c>
      <c r="D197" s="60">
        <f t="shared" ref="D197" si="10">20.9*10.764</f>
        <v>224.96759999999998</v>
      </c>
      <c r="E197" s="60"/>
      <c r="F197" s="39">
        <f>(2.6*4.2)*10.764</f>
        <v>117.54288000000001</v>
      </c>
      <c r="G197" s="39">
        <f t="shared" si="9"/>
        <v>548.01676799999996</v>
      </c>
      <c r="H197" s="106"/>
      <c r="I197" s="107"/>
      <c r="J197" s="108"/>
    </row>
    <row r="198" spans="1:10" s="2" customFormat="1" ht="15.75" customHeight="1" x14ac:dyDescent="0.3">
      <c r="A198" s="39">
        <v>50</v>
      </c>
      <c r="B198" s="39" t="s">
        <v>159</v>
      </c>
      <c r="C198" s="39" t="s">
        <v>158</v>
      </c>
      <c r="D198" s="60">
        <f>20.9*10.764</f>
        <v>224.96759999999998</v>
      </c>
      <c r="E198" s="60"/>
      <c r="F198" s="39">
        <f>(2.4*3.2+0.6*2)*10.764</f>
        <v>95.584319999999977</v>
      </c>
      <c r="G198" s="39">
        <f t="shared" si="9"/>
        <v>512.88307199999997</v>
      </c>
      <c r="H198" s="106"/>
      <c r="I198" s="107"/>
      <c r="J198" s="108"/>
    </row>
    <row r="199" spans="1:10" s="2" customFormat="1" ht="15.75" customHeight="1" x14ac:dyDescent="0.3">
      <c r="A199" s="39">
        <v>51</v>
      </c>
      <c r="B199" s="39" t="s">
        <v>159</v>
      </c>
      <c r="C199" s="39" t="s">
        <v>158</v>
      </c>
      <c r="D199" s="60">
        <f>20.9*10.764</f>
        <v>224.96759999999998</v>
      </c>
      <c r="E199" s="60"/>
      <c r="F199" s="39">
        <f>(3.2*2.8)*10.764</f>
        <v>96.445439999999991</v>
      </c>
      <c r="G199" s="39">
        <f t="shared" si="9"/>
        <v>514.26086399999997</v>
      </c>
      <c r="H199" s="106"/>
      <c r="I199" s="107"/>
      <c r="J199" s="108"/>
    </row>
    <row r="200" spans="1:10" s="2" customFormat="1" ht="15.75" customHeight="1" x14ac:dyDescent="0.3">
      <c r="A200" s="39" t="s">
        <v>195</v>
      </c>
      <c r="B200" s="40" t="s">
        <v>161</v>
      </c>
      <c r="C200" s="39" t="s">
        <v>158</v>
      </c>
      <c r="D200" s="60">
        <f>6.87*10.764</f>
        <v>73.948679999999996</v>
      </c>
      <c r="E200" s="60"/>
      <c r="F200" s="39">
        <v>0</v>
      </c>
      <c r="G200" s="39">
        <f t="shared" si="9"/>
        <v>118.317888</v>
      </c>
      <c r="H200" s="106"/>
      <c r="I200" s="107"/>
      <c r="J200" s="108"/>
    </row>
    <row r="201" spans="1:10" s="2" customFormat="1" ht="15.75" customHeight="1" x14ac:dyDescent="0.3">
      <c r="A201" s="39">
        <v>52</v>
      </c>
      <c r="B201" s="39" t="s">
        <v>159</v>
      </c>
      <c r="C201" s="39" t="s">
        <v>158</v>
      </c>
      <c r="D201" s="60">
        <f>15.17*10.764</f>
        <v>163.28987999999998</v>
      </c>
      <c r="E201" s="60"/>
      <c r="F201" s="39">
        <f>(1.18*0.95+0.93*0.95+2.64*2.6)*10.764</f>
        <v>95.46053400000001</v>
      </c>
      <c r="G201" s="39">
        <f t="shared" si="9"/>
        <v>414.00066240000001</v>
      </c>
      <c r="H201" s="106"/>
      <c r="I201" s="107"/>
      <c r="J201" s="108"/>
    </row>
    <row r="202" spans="1:10" s="2" customFormat="1" ht="15.75" customHeight="1" x14ac:dyDescent="0.3">
      <c r="A202" s="39">
        <v>53</v>
      </c>
      <c r="B202" s="60" t="s">
        <v>159</v>
      </c>
      <c r="C202" s="60" t="s">
        <v>158</v>
      </c>
      <c r="D202" s="60">
        <f>24.4*10.764</f>
        <v>262.64159999999998</v>
      </c>
      <c r="E202" s="60"/>
      <c r="F202" s="60">
        <f>(2.11*1.78+2.23*2.75)*10.764</f>
        <v>106.43766120000001</v>
      </c>
      <c r="G202" s="60">
        <f t="shared" si="9"/>
        <v>590.5268179200001</v>
      </c>
      <c r="H202" s="106"/>
      <c r="I202" s="107"/>
      <c r="J202" s="108"/>
    </row>
    <row r="203" spans="1:10" s="2" customFormat="1" ht="15.75" customHeight="1" x14ac:dyDescent="0.3">
      <c r="A203" s="39">
        <v>54</v>
      </c>
      <c r="B203" s="60" t="s">
        <v>159</v>
      </c>
      <c r="C203" s="60" t="s">
        <v>158</v>
      </c>
      <c r="D203" s="60"/>
      <c r="E203" s="60"/>
      <c r="F203" s="60"/>
      <c r="G203" s="60"/>
      <c r="H203" s="109"/>
      <c r="I203" s="110"/>
      <c r="J203" s="111"/>
    </row>
    <row r="204" spans="1:10" s="2" customFormat="1" x14ac:dyDescent="0.3">
      <c r="A204" s="71" t="s">
        <v>168</v>
      </c>
      <c r="B204" s="71"/>
      <c r="C204" s="71"/>
      <c r="D204" s="71"/>
      <c r="E204" s="71"/>
      <c r="F204" s="71"/>
      <c r="G204" s="71"/>
      <c r="H204" s="71"/>
      <c r="I204" s="71"/>
      <c r="J204" s="71"/>
    </row>
    <row r="205" spans="1:10" s="2" customFormat="1" ht="15.75" customHeight="1" x14ac:dyDescent="0.3">
      <c r="A205" s="39">
        <v>21</v>
      </c>
      <c r="B205" s="40" t="s">
        <v>161</v>
      </c>
      <c r="C205" s="39" t="s">
        <v>160</v>
      </c>
      <c r="D205" s="60">
        <f>(17.7+0.75*3.13)*10.764</f>
        <v>215.79128999999998</v>
      </c>
      <c r="E205" s="60"/>
      <c r="F205" s="39">
        <v>0</v>
      </c>
      <c r="G205" s="39">
        <f t="shared" ref="G205:G206" si="11">D205*1.6</f>
        <v>345.26606399999997</v>
      </c>
      <c r="H205" s="103" t="str">
        <f>A204</f>
        <v>1st Floor for Commercial</v>
      </c>
      <c r="I205" s="104"/>
      <c r="J205" s="105"/>
    </row>
    <row r="206" spans="1:10" s="2" customFormat="1" ht="15.75" customHeight="1" x14ac:dyDescent="0.3">
      <c r="A206" s="39">
        <v>22</v>
      </c>
      <c r="B206" s="40" t="s">
        <v>161</v>
      </c>
      <c r="C206" s="39" t="s">
        <v>160</v>
      </c>
      <c r="D206" s="60">
        <f>(19.86+0.75*2.4)*10.764</f>
        <v>233.14823999999999</v>
      </c>
      <c r="E206" s="60"/>
      <c r="F206" s="39">
        <v>0</v>
      </c>
      <c r="G206" s="39">
        <f t="shared" si="11"/>
        <v>373.03718400000002</v>
      </c>
      <c r="H206" s="106"/>
      <c r="I206" s="107"/>
      <c r="J206" s="108"/>
    </row>
    <row r="207" spans="1:10" s="2" customFormat="1" ht="15.75" customHeight="1" x14ac:dyDescent="0.3">
      <c r="A207" s="39">
        <v>23</v>
      </c>
      <c r="B207" s="40" t="s">
        <v>161</v>
      </c>
      <c r="C207" s="39" t="s">
        <v>160</v>
      </c>
      <c r="D207" s="60">
        <f>(16.78+0.75*3)*10.764</f>
        <v>204.83892</v>
      </c>
      <c r="E207" s="60"/>
      <c r="F207" s="39">
        <v>0</v>
      </c>
      <c r="G207" s="39">
        <f t="shared" ref="G207:G213" si="12">D207*1.6</f>
        <v>327.74227200000001</v>
      </c>
      <c r="H207" s="106"/>
      <c r="I207" s="107"/>
      <c r="J207" s="108"/>
    </row>
    <row r="208" spans="1:10" s="2" customFormat="1" ht="15.75" customHeight="1" x14ac:dyDescent="0.3">
      <c r="A208" s="39">
        <v>24</v>
      </c>
      <c r="B208" s="40" t="s">
        <v>161</v>
      </c>
      <c r="C208" s="39" t="s">
        <v>160</v>
      </c>
      <c r="D208" s="60">
        <f>(16.78+0.75*2.77)*10.764</f>
        <v>202.98213000000001</v>
      </c>
      <c r="E208" s="60"/>
      <c r="F208" s="39">
        <v>0</v>
      </c>
      <c r="G208" s="39">
        <f t="shared" si="12"/>
        <v>324.77140800000006</v>
      </c>
      <c r="H208" s="106"/>
      <c r="I208" s="107"/>
      <c r="J208" s="108"/>
    </row>
    <row r="209" spans="1:14" s="2" customFormat="1" ht="15.75" customHeight="1" x14ac:dyDescent="0.3">
      <c r="A209" s="39">
        <v>25</v>
      </c>
      <c r="B209" s="40" t="s">
        <v>161</v>
      </c>
      <c r="C209" s="39" t="s">
        <v>160</v>
      </c>
      <c r="D209" s="60">
        <f>(19.35+0.75*(1.8+0.7))*10.764</f>
        <v>228.4659</v>
      </c>
      <c r="E209" s="60"/>
      <c r="F209" s="39">
        <v>0</v>
      </c>
      <c r="G209" s="39">
        <f t="shared" si="12"/>
        <v>365.54544000000004</v>
      </c>
      <c r="H209" s="106"/>
      <c r="I209" s="107"/>
      <c r="J209" s="108"/>
    </row>
    <row r="210" spans="1:14" s="2" customFormat="1" ht="15.75" customHeight="1" x14ac:dyDescent="0.3">
      <c r="A210" s="39">
        <v>26</v>
      </c>
      <c r="B210" s="40" t="s">
        <v>161</v>
      </c>
      <c r="C210" s="39" t="s">
        <v>160</v>
      </c>
      <c r="D210" s="60">
        <f>(19.35+0.75*3.2)*10.764</f>
        <v>234.11699999999999</v>
      </c>
      <c r="E210" s="60"/>
      <c r="F210" s="39">
        <v>0</v>
      </c>
      <c r="G210" s="39">
        <f t="shared" si="12"/>
        <v>374.5872</v>
      </c>
      <c r="H210" s="106"/>
      <c r="I210" s="107"/>
      <c r="J210" s="108"/>
    </row>
    <row r="211" spans="1:14" s="2" customFormat="1" ht="15.75" customHeight="1" x14ac:dyDescent="0.3">
      <c r="A211" s="39">
        <v>27</v>
      </c>
      <c r="B211" s="40" t="s">
        <v>161</v>
      </c>
      <c r="C211" s="39" t="s">
        <v>160</v>
      </c>
      <c r="D211" s="60">
        <f>(17.23+0.75*2.7)*10.764</f>
        <v>207.26082000000002</v>
      </c>
      <c r="E211" s="60"/>
      <c r="F211" s="39">
        <v>0</v>
      </c>
      <c r="G211" s="39">
        <f t="shared" si="12"/>
        <v>331.61731200000008</v>
      </c>
      <c r="H211" s="106"/>
      <c r="I211" s="107"/>
      <c r="J211" s="108"/>
    </row>
    <row r="212" spans="1:14" s="2" customFormat="1" ht="15.75" customHeight="1" x14ac:dyDescent="0.3">
      <c r="A212" s="39">
        <v>28</v>
      </c>
      <c r="B212" s="40" t="s">
        <v>161</v>
      </c>
      <c r="C212" s="39" t="s">
        <v>160</v>
      </c>
      <c r="D212" s="60">
        <f>(14.21+0.75*2.5)*10.764</f>
        <v>173.13893999999999</v>
      </c>
      <c r="E212" s="60"/>
      <c r="F212" s="39">
        <v>0</v>
      </c>
      <c r="G212" s="39">
        <f t="shared" si="12"/>
        <v>277.02230400000002</v>
      </c>
      <c r="H212" s="106"/>
      <c r="I212" s="107"/>
      <c r="J212" s="108"/>
    </row>
    <row r="213" spans="1:14" s="2" customFormat="1" ht="15.75" customHeight="1" x14ac:dyDescent="0.3">
      <c r="A213" s="39" t="s">
        <v>232</v>
      </c>
      <c r="B213" s="40" t="s">
        <v>161</v>
      </c>
      <c r="C213" s="39" t="s">
        <v>160</v>
      </c>
      <c r="D213" s="60">
        <f>(14.09+0.75*2.81)*10.764</f>
        <v>174.34988999999996</v>
      </c>
      <c r="E213" s="60"/>
      <c r="F213" s="39">
        <v>0</v>
      </c>
      <c r="G213" s="39">
        <f t="shared" si="12"/>
        <v>278.95982399999997</v>
      </c>
      <c r="H213" s="106"/>
      <c r="I213" s="107"/>
      <c r="J213" s="108"/>
    </row>
    <row r="214" spans="1:14" s="2" customFormat="1" ht="15.75" customHeight="1" x14ac:dyDescent="0.3">
      <c r="A214" s="39">
        <v>29</v>
      </c>
      <c r="B214" s="40" t="s">
        <v>161</v>
      </c>
      <c r="C214" s="39" t="s">
        <v>160</v>
      </c>
      <c r="D214" s="60">
        <f>(17.16+3.21*0.75)*10.764</f>
        <v>210.62456999999998</v>
      </c>
      <c r="E214" s="60"/>
      <c r="F214" s="39">
        <v>0</v>
      </c>
      <c r="G214" s="39">
        <f t="shared" ref="G214:G215" si="13">D214*1.6</f>
        <v>336.99931199999997</v>
      </c>
      <c r="H214" s="106"/>
      <c r="I214" s="107"/>
      <c r="J214" s="108"/>
    </row>
    <row r="215" spans="1:14" s="2" customFormat="1" ht="15.75" customHeight="1" x14ac:dyDescent="0.3">
      <c r="A215" s="39">
        <v>36</v>
      </c>
      <c r="B215" s="40" t="s">
        <v>161</v>
      </c>
      <c r="C215" s="39" t="s">
        <v>160</v>
      </c>
      <c r="D215" s="60">
        <f>(14.99+0.75*1.4)*10.764</f>
        <v>172.65455999999998</v>
      </c>
      <c r="E215" s="60"/>
      <c r="F215" s="39">
        <v>0</v>
      </c>
      <c r="G215" s="39">
        <f t="shared" si="13"/>
        <v>276.24729599999995</v>
      </c>
      <c r="H215" s="106"/>
      <c r="I215" s="107"/>
      <c r="J215" s="108"/>
    </row>
    <row r="216" spans="1:14" s="2" customFormat="1" ht="15.75" customHeight="1" x14ac:dyDescent="0.3">
      <c r="A216" s="39" t="s">
        <v>196</v>
      </c>
      <c r="B216" s="40" t="s">
        <v>161</v>
      </c>
      <c r="C216" s="39" t="s">
        <v>160</v>
      </c>
      <c r="D216" s="60">
        <f>(18.09+1.8*0.75)*10.764</f>
        <v>209.25216</v>
      </c>
      <c r="E216" s="60"/>
      <c r="F216" s="39">
        <v>0</v>
      </c>
      <c r="G216" s="39">
        <f t="shared" ref="G216" si="14">D216*1.6</f>
        <v>334.80345600000004</v>
      </c>
      <c r="H216" s="106"/>
      <c r="I216" s="107"/>
      <c r="J216" s="108"/>
    </row>
    <row r="217" spans="1:14" s="2" customFormat="1" ht="15.75" customHeight="1" x14ac:dyDescent="0.3">
      <c r="A217" s="39">
        <v>37</v>
      </c>
      <c r="B217" s="40" t="s">
        <v>161</v>
      </c>
      <c r="C217" s="39" t="s">
        <v>160</v>
      </c>
      <c r="D217" s="60">
        <f>(19.83+0.75*1.8)*10.764</f>
        <v>227.98151999999999</v>
      </c>
      <c r="E217" s="60"/>
      <c r="F217" s="39">
        <f>(3.48*1.9)*10.764</f>
        <v>71.171567999999994</v>
      </c>
      <c r="G217" s="39">
        <f>(D217+F217)*1.6</f>
        <v>478.64494079999997</v>
      </c>
      <c r="H217" s="106"/>
      <c r="I217" s="107"/>
      <c r="J217" s="108"/>
    </row>
    <row r="218" spans="1:14" s="2" customFormat="1" ht="15.75" customHeight="1" x14ac:dyDescent="0.3">
      <c r="A218" s="39" t="s">
        <v>231</v>
      </c>
      <c r="B218" s="40" t="s">
        <v>161</v>
      </c>
      <c r="C218" s="39" t="s">
        <v>160</v>
      </c>
      <c r="D218" s="60">
        <f>(27.69+0.75*(2.5+1.9))*10.764</f>
        <v>333.57636000000002</v>
      </c>
      <c r="E218" s="60"/>
      <c r="F218" s="39">
        <v>0</v>
      </c>
      <c r="G218" s="39">
        <f t="shared" ref="G218" si="15">D218*1.6</f>
        <v>533.7221760000001</v>
      </c>
      <c r="H218" s="109"/>
      <c r="I218" s="110"/>
      <c r="J218" s="111"/>
    </row>
    <row r="219" spans="1:14" s="2" customFormat="1" x14ac:dyDescent="0.3">
      <c r="A219" s="71" t="s">
        <v>166</v>
      </c>
      <c r="B219" s="71"/>
      <c r="C219" s="71"/>
      <c r="D219" s="71"/>
      <c r="E219" s="71"/>
      <c r="F219" s="71"/>
      <c r="G219" s="71"/>
      <c r="H219" s="71"/>
      <c r="I219" s="71"/>
      <c r="J219" s="71"/>
    </row>
    <row r="220" spans="1:14" s="2" customFormat="1" x14ac:dyDescent="0.3">
      <c r="A220" s="60">
        <v>1</v>
      </c>
      <c r="B220" s="60"/>
      <c r="C220" s="39" t="s">
        <v>163</v>
      </c>
      <c r="D220" s="60">
        <f>(61.59+0.75*(2+1.2+1.4+2)+1.5*0.6+2.02*0.6)*10.764</f>
        <v>738.97012800000016</v>
      </c>
      <c r="E220" s="60"/>
      <c r="F220" s="39">
        <v>0</v>
      </c>
      <c r="G220" s="39">
        <v>1080</v>
      </c>
      <c r="H220" s="60" t="str">
        <f>A219</f>
        <v xml:space="preserve">2nd Floor </v>
      </c>
      <c r="I220" s="60"/>
      <c r="J220" s="60"/>
      <c r="L220" s="37">
        <f>(G220-F220)/D220</f>
        <v>1.461493447540277</v>
      </c>
      <c r="M220" s="2">
        <f>(4.26*4.62+1.13*3.5+2.38*2.9+2.98*2.6+3.01*3.65+2.18*1.35+1.56*2.37+1.43*2.45+0.9*4.4)*10.764</f>
        <v>682.18356959999994</v>
      </c>
      <c r="N220" s="2">
        <f>G220/D220</f>
        <v>1.461493447540277</v>
      </c>
    </row>
    <row r="221" spans="1:14" s="2" customFormat="1" x14ac:dyDescent="0.3">
      <c r="A221" s="60">
        <v>2</v>
      </c>
      <c r="B221" s="60"/>
      <c r="C221" s="39" t="s">
        <v>163</v>
      </c>
      <c r="D221" s="60">
        <f>(62.35+2.08*0.6)*10.764</f>
        <v>684.56887199999994</v>
      </c>
      <c r="E221" s="60"/>
      <c r="F221" s="39">
        <f>(34.23+22.21)*10.764</f>
        <v>607.52015999999992</v>
      </c>
      <c r="G221" s="39">
        <v>1374</v>
      </c>
      <c r="H221" s="60"/>
      <c r="I221" s="60"/>
      <c r="J221" s="60"/>
      <c r="L221" s="37">
        <f t="shared" ref="L221:L223" si="16">(G221-F221)/D221</f>
        <v>1.1196533633799233</v>
      </c>
      <c r="N221" s="2">
        <f t="shared" ref="N221:N230" si="17">G221/D221</f>
        <v>2.0071026542381261</v>
      </c>
    </row>
    <row r="222" spans="1:14" s="2" customFormat="1" x14ac:dyDescent="0.3">
      <c r="A222" s="60">
        <v>3</v>
      </c>
      <c r="B222" s="60"/>
      <c r="C222" s="39" t="s">
        <v>163</v>
      </c>
      <c r="D222" s="60">
        <f>(70.36+2.25*0.6)*10.764</f>
        <v>771.88643999999988</v>
      </c>
      <c r="E222" s="60"/>
      <c r="F222" s="39">
        <f>(25.69)*10.764</f>
        <v>276.52715999999998</v>
      </c>
      <c r="G222" s="39">
        <v>1368</v>
      </c>
      <c r="H222" s="60"/>
      <c r="I222" s="60"/>
      <c r="J222" s="60"/>
      <c r="L222" s="37">
        <f t="shared" si="16"/>
        <v>1.4140329243249825</v>
      </c>
      <c r="N222" s="2">
        <f t="shared" si="17"/>
        <v>1.7722814252314112</v>
      </c>
    </row>
    <row r="223" spans="1:14" s="2" customFormat="1" x14ac:dyDescent="0.3">
      <c r="A223" s="60">
        <v>4</v>
      </c>
      <c r="B223" s="60"/>
      <c r="C223" s="39" t="s">
        <v>163</v>
      </c>
      <c r="D223" s="60">
        <f>(70.57+1.95*0.6)*10.764</f>
        <v>772.20935999999995</v>
      </c>
      <c r="E223" s="60"/>
      <c r="F223" s="39">
        <f>(24.51)*10.764</f>
        <v>263.82564000000002</v>
      </c>
      <c r="G223" s="39">
        <v>1371</v>
      </c>
      <c r="H223" s="60"/>
      <c r="I223" s="60"/>
      <c r="J223" s="60"/>
      <c r="L223" s="37">
        <f t="shared" si="16"/>
        <v>1.4337748509031283</v>
      </c>
      <c r="N223" s="2">
        <f t="shared" si="17"/>
        <v>1.7754252551406526</v>
      </c>
    </row>
    <row r="224" spans="1:14" s="2" customFormat="1" x14ac:dyDescent="0.3">
      <c r="A224" s="71" t="s">
        <v>233</v>
      </c>
      <c r="B224" s="71"/>
      <c r="C224" s="71"/>
      <c r="D224" s="71"/>
      <c r="E224" s="71"/>
      <c r="F224" s="71"/>
      <c r="G224" s="71"/>
      <c r="H224" s="71"/>
      <c r="I224" s="71"/>
      <c r="J224" s="71"/>
      <c r="N224" s="2" t="e">
        <f t="shared" si="17"/>
        <v>#DIV/0!</v>
      </c>
    </row>
    <row r="225" spans="1:16" s="2" customFormat="1" ht="15.75" customHeight="1" x14ac:dyDescent="0.3">
      <c r="A225" s="60">
        <v>1</v>
      </c>
      <c r="B225" s="60"/>
      <c r="C225" s="39" t="s">
        <v>163</v>
      </c>
      <c r="D225" s="60">
        <f>(61.58+0.75*(2+1.2+1.2+2)+1.5*0.6+2.02*0.6)*10.764</f>
        <v>737.24788799999999</v>
      </c>
      <c r="E225" s="60"/>
      <c r="F225" s="39">
        <v>0</v>
      </c>
      <c r="G225" s="39">
        <v>1080</v>
      </c>
      <c r="H225" s="60" t="str">
        <f>A224</f>
        <v xml:space="preserve">3rd To 6th, 8th To 11th, 13th To 16th, 18th to 21st, 23rd to 26th, 28th to 30th Floor </v>
      </c>
      <c r="I225" s="60"/>
      <c r="J225" s="60"/>
      <c r="L225" s="37">
        <f t="shared" ref="L225:L228" si="18">G225/D225</f>
        <v>1.464907553590713</v>
      </c>
      <c r="M225" s="2">
        <f>(61.59)*10.764</f>
        <v>662.95475999999996</v>
      </c>
      <c r="N225" s="2">
        <f t="shared" si="17"/>
        <v>1.464907553590713</v>
      </c>
    </row>
    <row r="226" spans="1:16" s="2" customFormat="1" x14ac:dyDescent="0.3">
      <c r="A226" s="60">
        <v>2</v>
      </c>
      <c r="B226" s="60"/>
      <c r="C226" s="39" t="s">
        <v>163</v>
      </c>
      <c r="D226" s="60">
        <f>(62.35+0.75*(1.7+2+2+2)+2.08*0.6)*10.764</f>
        <v>746.73097199999995</v>
      </c>
      <c r="E226" s="60"/>
      <c r="F226" s="39">
        <v>0</v>
      </c>
      <c r="G226" s="39">
        <v>1113</v>
      </c>
      <c r="H226" s="60"/>
      <c r="I226" s="60"/>
      <c r="J226" s="60"/>
      <c r="L226" s="37">
        <f t="shared" si="18"/>
        <v>1.4904966336390291</v>
      </c>
      <c r="N226" s="2">
        <f t="shared" si="17"/>
        <v>1.4904966336390291</v>
      </c>
    </row>
    <row r="227" spans="1:16" s="2" customFormat="1" x14ac:dyDescent="0.3">
      <c r="A227" s="60">
        <v>3</v>
      </c>
      <c r="B227" s="60"/>
      <c r="C227" s="39" t="s">
        <v>163</v>
      </c>
      <c r="D227" s="60">
        <f>(70.36+0.75*(2.3+1.2+2.1+2)+2.25*0.6)*10.764</f>
        <v>833.24123999999995</v>
      </c>
      <c r="E227" s="60"/>
      <c r="F227" s="39">
        <v>0</v>
      </c>
      <c r="G227" s="39">
        <v>1241</v>
      </c>
      <c r="H227" s="60"/>
      <c r="I227" s="60"/>
      <c r="J227" s="60"/>
      <c r="L227" s="37">
        <f t="shared" si="18"/>
        <v>1.4893645926598642</v>
      </c>
      <c r="N227" s="2">
        <f t="shared" si="17"/>
        <v>1.4893645926598642</v>
      </c>
    </row>
    <row r="228" spans="1:16" s="2" customFormat="1" x14ac:dyDescent="0.3">
      <c r="A228" s="60">
        <v>4</v>
      </c>
      <c r="B228" s="60"/>
      <c r="C228" s="39" t="s">
        <v>163</v>
      </c>
      <c r="D228" s="60">
        <f>(70.57+0.75*(2.2+1.4+2+2)+1.95*0.6)*10.764</f>
        <v>833.5641599999999</v>
      </c>
      <c r="E228" s="60"/>
      <c r="F228" s="39">
        <v>0</v>
      </c>
      <c r="G228" s="39">
        <v>1244</v>
      </c>
      <c r="H228" s="60"/>
      <c r="I228" s="60"/>
      <c r="J228" s="60"/>
      <c r="L228" s="37">
        <f t="shared" si="18"/>
        <v>1.4923866208451191</v>
      </c>
      <c r="N228" s="2">
        <f t="shared" si="17"/>
        <v>1.4923866208451191</v>
      </c>
      <c r="P228" s="2">
        <f>17690000/G228</f>
        <v>14220.257234726689</v>
      </c>
    </row>
    <row r="229" spans="1:16" s="2" customFormat="1" x14ac:dyDescent="0.3">
      <c r="A229" s="71" t="s">
        <v>243</v>
      </c>
      <c r="B229" s="71"/>
      <c r="C229" s="71"/>
      <c r="D229" s="71"/>
      <c r="E229" s="71"/>
      <c r="F229" s="71"/>
      <c r="G229" s="71"/>
      <c r="H229" s="71"/>
      <c r="I229" s="71"/>
      <c r="J229" s="71"/>
      <c r="N229" s="2" t="e">
        <f t="shared" si="17"/>
        <v>#DIV/0!</v>
      </c>
    </row>
    <row r="230" spans="1:16" s="2" customFormat="1" ht="15.75" customHeight="1" x14ac:dyDescent="0.3">
      <c r="A230" s="60">
        <v>1</v>
      </c>
      <c r="B230" s="60"/>
      <c r="C230" s="39" t="s">
        <v>163</v>
      </c>
      <c r="D230" s="60">
        <f>(61.58+0.75*(1.8+1.2+1.2+2)+1.5*0.6+2.02*0.6)*10.764</f>
        <v>735.63328800000011</v>
      </c>
      <c r="E230" s="60"/>
      <c r="F230" s="39">
        <v>0</v>
      </c>
      <c r="G230" s="39">
        <v>1080</v>
      </c>
      <c r="H230" s="60" t="str">
        <f>A229</f>
        <v>7th, 12th, 17th, 22nd, 27th Floor (Part Refuge Area)</v>
      </c>
      <c r="I230" s="60"/>
      <c r="J230" s="60"/>
      <c r="L230" s="37">
        <f>G230/D230</f>
        <v>1.4681227965311976</v>
      </c>
      <c r="N230" s="2">
        <f t="shared" si="17"/>
        <v>1.4681227965311976</v>
      </c>
    </row>
    <row r="231" spans="1:16" s="2" customFormat="1" x14ac:dyDescent="0.3">
      <c r="A231" s="60">
        <v>2</v>
      </c>
      <c r="B231" s="60"/>
      <c r="C231" s="39" t="s">
        <v>163</v>
      </c>
      <c r="D231" s="60">
        <f>(62.35+0.75*(1.8+2+1.9+1.9)+2.08*0.6)*10.764</f>
        <v>745.92367200000001</v>
      </c>
      <c r="E231" s="60"/>
      <c r="F231" s="39">
        <v>0</v>
      </c>
      <c r="G231" s="39">
        <v>1113</v>
      </c>
      <c r="H231" s="60"/>
      <c r="I231" s="60"/>
      <c r="J231" s="60"/>
      <c r="L231" s="37">
        <f t="shared" ref="L231:L234" si="19">G231/D231</f>
        <v>1.4921097717890899</v>
      </c>
    </row>
    <row r="232" spans="1:16" s="2" customFormat="1" x14ac:dyDescent="0.3">
      <c r="A232" s="60">
        <v>3</v>
      </c>
      <c r="B232" s="60"/>
      <c r="C232" s="39" t="s">
        <v>163</v>
      </c>
      <c r="D232" s="60">
        <f>(70.36+0.75*(2.2+1.2+2+2)+2.25*0.6)*10.764</f>
        <v>831.62663999999984</v>
      </c>
      <c r="E232" s="60"/>
      <c r="F232" s="39">
        <v>0</v>
      </c>
      <c r="G232" s="39">
        <v>1241</v>
      </c>
      <c r="H232" s="60"/>
      <c r="I232" s="60"/>
      <c r="J232" s="60"/>
      <c r="L232" s="37">
        <f t="shared" si="19"/>
        <v>1.492256188426095</v>
      </c>
    </row>
    <row r="233" spans="1:16" s="2" customFormat="1" x14ac:dyDescent="0.3">
      <c r="A233" s="60">
        <v>4</v>
      </c>
      <c r="B233" s="60"/>
      <c r="C233" s="60" t="s">
        <v>165</v>
      </c>
      <c r="D233" s="60"/>
      <c r="E233" s="60"/>
      <c r="F233" s="60"/>
      <c r="G233" s="60"/>
      <c r="H233" s="60"/>
      <c r="I233" s="60"/>
      <c r="J233" s="60"/>
      <c r="L233" s="37"/>
    </row>
    <row r="234" spans="1:16" s="2" customFormat="1" x14ac:dyDescent="0.3">
      <c r="A234" s="60">
        <v>5</v>
      </c>
      <c r="B234" s="60"/>
      <c r="C234" s="39" t="s">
        <v>163</v>
      </c>
      <c r="D234" s="60">
        <f>(52.08+0.75*(1.2+2+2))*10.764</f>
        <v>602.56871999999998</v>
      </c>
      <c r="E234" s="60"/>
      <c r="F234" s="39">
        <v>0</v>
      </c>
      <c r="G234" s="39">
        <f>D234*1.5</f>
        <v>903.85307999999998</v>
      </c>
      <c r="H234" s="60"/>
      <c r="I234" s="60"/>
      <c r="J234" s="60"/>
      <c r="L234" s="37">
        <f t="shared" si="19"/>
        <v>1.5</v>
      </c>
    </row>
    <row r="235" spans="1:16" s="2" customFormat="1" x14ac:dyDescent="0.3">
      <c r="A235" s="71" t="s">
        <v>167</v>
      </c>
      <c r="B235" s="71"/>
      <c r="C235" s="71"/>
      <c r="D235" s="71"/>
      <c r="E235" s="71"/>
      <c r="F235" s="71"/>
      <c r="G235" s="71"/>
      <c r="H235" s="71"/>
      <c r="I235" s="71"/>
      <c r="J235" s="71"/>
    </row>
    <row r="236" spans="1:16" s="2" customFormat="1" x14ac:dyDescent="0.3">
      <c r="A236" s="71" t="s">
        <v>157</v>
      </c>
      <c r="B236" s="71"/>
      <c r="C236" s="71"/>
      <c r="D236" s="71"/>
      <c r="E236" s="71"/>
      <c r="F236" s="71"/>
      <c r="G236" s="71"/>
      <c r="H236" s="71"/>
      <c r="I236" s="71"/>
      <c r="J236" s="71"/>
    </row>
    <row r="237" spans="1:16" s="2" customFormat="1" ht="32.25" customHeight="1" x14ac:dyDescent="0.3">
      <c r="A237" s="39">
        <v>55</v>
      </c>
      <c r="B237" s="71" t="s">
        <v>188</v>
      </c>
      <c r="C237" s="39" t="s">
        <v>189</v>
      </c>
      <c r="D237" s="60">
        <f>(72.15+42.73)*10.764</f>
        <v>1236.5683199999999</v>
      </c>
      <c r="E237" s="60"/>
      <c r="F237" s="60">
        <v>0</v>
      </c>
      <c r="G237" s="60">
        <f>D237*1.6</f>
        <v>1978.5093119999999</v>
      </c>
      <c r="H237" s="60" t="s">
        <v>183</v>
      </c>
      <c r="I237" s="60"/>
      <c r="J237" s="60"/>
    </row>
    <row r="238" spans="1:16" s="2" customFormat="1" ht="32.25" customHeight="1" x14ac:dyDescent="0.3">
      <c r="A238" s="39">
        <v>30</v>
      </c>
      <c r="B238" s="71"/>
      <c r="C238" s="39" t="s">
        <v>190</v>
      </c>
      <c r="D238" s="60"/>
      <c r="E238" s="60"/>
      <c r="F238" s="60"/>
      <c r="G238" s="60"/>
      <c r="H238" s="60"/>
      <c r="I238" s="60"/>
      <c r="J238" s="60"/>
    </row>
    <row r="239" spans="1:16" s="2" customFormat="1" ht="32.25" customHeight="1" x14ac:dyDescent="0.3">
      <c r="A239" s="39">
        <v>56</v>
      </c>
      <c r="B239" s="71" t="s">
        <v>188</v>
      </c>
      <c r="C239" s="39" t="s">
        <v>189</v>
      </c>
      <c r="D239" s="60">
        <f>(72.03+51.59)*10.764</f>
        <v>1330.6456799999999</v>
      </c>
      <c r="E239" s="60"/>
      <c r="F239" s="60">
        <v>0</v>
      </c>
      <c r="G239" s="60">
        <f>D239*1.6</f>
        <v>2129.0330879999997</v>
      </c>
      <c r="H239" s="60" t="s">
        <v>183</v>
      </c>
      <c r="I239" s="60"/>
      <c r="J239" s="60"/>
    </row>
    <row r="240" spans="1:16" s="2" customFormat="1" ht="32.25" customHeight="1" x14ac:dyDescent="0.3">
      <c r="A240" s="39" t="s">
        <v>169</v>
      </c>
      <c r="B240" s="71"/>
      <c r="C240" s="39" t="s">
        <v>190</v>
      </c>
      <c r="D240" s="60"/>
      <c r="E240" s="60"/>
      <c r="F240" s="60"/>
      <c r="G240" s="60"/>
      <c r="H240" s="60"/>
      <c r="I240" s="60"/>
      <c r="J240" s="60"/>
    </row>
    <row r="241" spans="1:10" s="2" customFormat="1" ht="15.75" customHeight="1" x14ac:dyDescent="0.3">
      <c r="A241" s="39">
        <v>57</v>
      </c>
      <c r="B241" s="39" t="s">
        <v>159</v>
      </c>
      <c r="C241" s="39" t="s">
        <v>158</v>
      </c>
      <c r="D241" s="60">
        <f>20.9*10.764</f>
        <v>224.96759999999998</v>
      </c>
      <c r="E241" s="60"/>
      <c r="F241" s="39">
        <v>0</v>
      </c>
      <c r="G241" s="39">
        <f>D241*1.6</f>
        <v>359.94815999999997</v>
      </c>
      <c r="H241" s="60" t="s">
        <v>182</v>
      </c>
      <c r="I241" s="60"/>
      <c r="J241" s="60"/>
    </row>
    <row r="242" spans="1:10" s="2" customFormat="1" ht="15.75" customHeight="1" x14ac:dyDescent="0.3">
      <c r="A242" s="39">
        <v>58</v>
      </c>
      <c r="B242" s="39" t="s">
        <v>159</v>
      </c>
      <c r="C242" s="39" t="s">
        <v>158</v>
      </c>
      <c r="D242" s="60">
        <f>27.4*10.764</f>
        <v>294.93359999999996</v>
      </c>
      <c r="E242" s="60"/>
      <c r="F242" s="39">
        <v>0</v>
      </c>
      <c r="G242" s="39">
        <f t="shared" ref="G242:G254" si="20">D242*1.6</f>
        <v>471.89375999999993</v>
      </c>
      <c r="H242" s="60" t="s">
        <v>182</v>
      </c>
      <c r="I242" s="60"/>
      <c r="J242" s="60"/>
    </row>
    <row r="243" spans="1:10" s="2" customFormat="1" ht="15.75" customHeight="1" x14ac:dyDescent="0.3">
      <c r="A243" s="39">
        <v>59</v>
      </c>
      <c r="B243" s="39" t="s">
        <v>159</v>
      </c>
      <c r="C243" s="39" t="s">
        <v>158</v>
      </c>
      <c r="D243" s="60">
        <f>16.98*10.764</f>
        <v>182.77271999999999</v>
      </c>
      <c r="E243" s="60"/>
      <c r="F243" s="39">
        <v>0</v>
      </c>
      <c r="G243" s="39">
        <f t="shared" si="20"/>
        <v>292.436352</v>
      </c>
      <c r="H243" s="60" t="s">
        <v>182</v>
      </c>
      <c r="I243" s="60"/>
      <c r="J243" s="60"/>
    </row>
    <row r="244" spans="1:10" s="2" customFormat="1" ht="15.75" customHeight="1" x14ac:dyDescent="0.3">
      <c r="A244" s="39">
        <v>60</v>
      </c>
      <c r="B244" s="39" t="s">
        <v>159</v>
      </c>
      <c r="C244" s="39" t="s">
        <v>158</v>
      </c>
      <c r="D244" s="60">
        <f>17.82*10.764</f>
        <v>191.81448</v>
      </c>
      <c r="E244" s="60"/>
      <c r="F244" s="39">
        <v>0</v>
      </c>
      <c r="G244" s="39">
        <f t="shared" si="20"/>
        <v>306.90316799999999</v>
      </c>
      <c r="H244" s="60" t="s">
        <v>182</v>
      </c>
      <c r="I244" s="60"/>
      <c r="J244" s="60"/>
    </row>
    <row r="245" spans="1:10" s="2" customFormat="1" ht="15.75" customHeight="1" x14ac:dyDescent="0.3">
      <c r="A245" s="39">
        <v>61</v>
      </c>
      <c r="B245" s="40" t="s">
        <v>161</v>
      </c>
      <c r="C245" s="39" t="s">
        <v>158</v>
      </c>
      <c r="D245" s="60">
        <f>16.7*10.764</f>
        <v>179.75879999999998</v>
      </c>
      <c r="E245" s="60"/>
      <c r="F245" s="39">
        <v>0</v>
      </c>
      <c r="G245" s="39">
        <f t="shared" si="20"/>
        <v>287.61408</v>
      </c>
      <c r="H245" s="60" t="s">
        <v>182</v>
      </c>
      <c r="I245" s="60"/>
      <c r="J245" s="60"/>
    </row>
    <row r="246" spans="1:10" s="2" customFormat="1" ht="15.75" customHeight="1" x14ac:dyDescent="0.3">
      <c r="A246" s="39">
        <v>62</v>
      </c>
      <c r="B246" s="40" t="s">
        <v>161</v>
      </c>
      <c r="C246" s="39" t="s">
        <v>158</v>
      </c>
      <c r="D246" s="60">
        <f>15.47*10.764</f>
        <v>166.51908</v>
      </c>
      <c r="E246" s="60"/>
      <c r="F246" s="39">
        <v>0</v>
      </c>
      <c r="G246" s="39">
        <f t="shared" si="20"/>
        <v>266.43052800000004</v>
      </c>
      <c r="H246" s="60" t="s">
        <v>182</v>
      </c>
      <c r="I246" s="60"/>
      <c r="J246" s="60"/>
    </row>
    <row r="247" spans="1:10" s="2" customFormat="1" ht="15.75" customHeight="1" x14ac:dyDescent="0.3">
      <c r="A247" s="39">
        <v>63</v>
      </c>
      <c r="B247" s="40" t="s">
        <v>161</v>
      </c>
      <c r="C247" s="39" t="s">
        <v>160</v>
      </c>
      <c r="D247" s="60">
        <f>7.92*10.764</f>
        <v>85.250879999999995</v>
      </c>
      <c r="E247" s="60"/>
      <c r="F247" s="39">
        <v>0</v>
      </c>
      <c r="G247" s="39">
        <f t="shared" si="20"/>
        <v>136.401408</v>
      </c>
      <c r="H247" s="60" t="s">
        <v>182</v>
      </c>
      <c r="I247" s="60"/>
      <c r="J247" s="60"/>
    </row>
    <row r="248" spans="1:10" s="2" customFormat="1" ht="15.75" customHeight="1" x14ac:dyDescent="0.3">
      <c r="A248" s="39">
        <v>64</v>
      </c>
      <c r="B248" s="39" t="s">
        <v>159</v>
      </c>
      <c r="C248" s="39" t="s">
        <v>160</v>
      </c>
      <c r="D248" s="60">
        <f>7.37*10.764</f>
        <v>79.330680000000001</v>
      </c>
      <c r="E248" s="60"/>
      <c r="F248" s="39">
        <v>0</v>
      </c>
      <c r="G248" s="39">
        <f t="shared" si="20"/>
        <v>126.92908800000001</v>
      </c>
      <c r="H248" s="60" t="s">
        <v>182</v>
      </c>
      <c r="I248" s="60"/>
      <c r="J248" s="60"/>
    </row>
    <row r="249" spans="1:10" s="2" customFormat="1" ht="15.75" customHeight="1" x14ac:dyDescent="0.3">
      <c r="A249" s="39">
        <v>65</v>
      </c>
      <c r="B249" s="40" t="s">
        <v>161</v>
      </c>
      <c r="C249" s="39" t="s">
        <v>160</v>
      </c>
      <c r="D249" s="60">
        <f>21.27*10.764</f>
        <v>228.95027999999999</v>
      </c>
      <c r="E249" s="60"/>
      <c r="F249" s="39">
        <v>0</v>
      </c>
      <c r="G249" s="39">
        <f t="shared" si="20"/>
        <v>366.320448</v>
      </c>
      <c r="H249" s="60" t="s">
        <v>182</v>
      </c>
      <c r="I249" s="60"/>
      <c r="J249" s="60"/>
    </row>
    <row r="250" spans="1:10" s="2" customFormat="1" ht="15.75" customHeight="1" x14ac:dyDescent="0.3">
      <c r="A250" s="39">
        <v>66</v>
      </c>
      <c r="B250" s="39" t="s">
        <v>159</v>
      </c>
      <c r="C250" s="39" t="s">
        <v>158</v>
      </c>
      <c r="D250" s="60">
        <f>21*10.764</f>
        <v>226.04399999999998</v>
      </c>
      <c r="E250" s="60"/>
      <c r="F250" s="39">
        <v>0</v>
      </c>
      <c r="G250" s="39">
        <f t="shared" si="20"/>
        <v>361.67039999999997</v>
      </c>
      <c r="H250" s="60" t="s">
        <v>182</v>
      </c>
      <c r="I250" s="60"/>
      <c r="J250" s="60"/>
    </row>
    <row r="251" spans="1:10" s="2" customFormat="1" ht="15.75" customHeight="1" x14ac:dyDescent="0.3">
      <c r="A251" s="39">
        <v>67</v>
      </c>
      <c r="B251" s="39" t="s">
        <v>159</v>
      </c>
      <c r="C251" s="39" t="s">
        <v>158</v>
      </c>
      <c r="D251" s="60">
        <f>10.97*10.764</f>
        <v>118.08108</v>
      </c>
      <c r="E251" s="60"/>
      <c r="F251" s="39">
        <v>0</v>
      </c>
      <c r="G251" s="39">
        <f t="shared" si="20"/>
        <v>188.92972800000001</v>
      </c>
      <c r="H251" s="60" t="s">
        <v>182</v>
      </c>
      <c r="I251" s="60"/>
      <c r="J251" s="60"/>
    </row>
    <row r="252" spans="1:10" s="2" customFormat="1" ht="15.75" customHeight="1" x14ac:dyDescent="0.3">
      <c r="A252" s="39">
        <v>68</v>
      </c>
      <c r="B252" s="40" t="s">
        <v>161</v>
      </c>
      <c r="C252" s="39" t="s">
        <v>160</v>
      </c>
      <c r="D252" s="60">
        <f>8.94*10.764</f>
        <v>96.230159999999984</v>
      </c>
      <c r="E252" s="60"/>
      <c r="F252" s="39">
        <v>0</v>
      </c>
      <c r="G252" s="39">
        <f t="shared" si="20"/>
        <v>153.968256</v>
      </c>
      <c r="H252" s="60" t="s">
        <v>182</v>
      </c>
      <c r="I252" s="60"/>
      <c r="J252" s="60"/>
    </row>
    <row r="253" spans="1:10" s="2" customFormat="1" ht="15.75" customHeight="1" x14ac:dyDescent="0.3">
      <c r="A253" s="39">
        <v>69</v>
      </c>
      <c r="B253" s="39" t="s">
        <v>159</v>
      </c>
      <c r="C253" s="39" t="s">
        <v>158</v>
      </c>
      <c r="D253" s="60">
        <f>12.01*10.764</f>
        <v>129.27563999999998</v>
      </c>
      <c r="E253" s="60"/>
      <c r="F253" s="39">
        <v>0</v>
      </c>
      <c r="G253" s="39">
        <f t="shared" si="20"/>
        <v>206.84102399999998</v>
      </c>
      <c r="H253" s="60" t="s">
        <v>182</v>
      </c>
      <c r="I253" s="60"/>
      <c r="J253" s="60"/>
    </row>
    <row r="254" spans="1:10" s="2" customFormat="1" ht="15.75" customHeight="1" x14ac:dyDescent="0.3">
      <c r="A254" s="39">
        <v>70</v>
      </c>
      <c r="B254" s="40" t="s">
        <v>185</v>
      </c>
      <c r="C254" s="39" t="s">
        <v>107</v>
      </c>
      <c r="D254" s="60">
        <f>46.55*10.764</f>
        <v>501.06419999999991</v>
      </c>
      <c r="E254" s="60"/>
      <c r="F254" s="39">
        <v>0</v>
      </c>
      <c r="G254" s="39">
        <f t="shared" si="20"/>
        <v>801.70271999999989</v>
      </c>
      <c r="H254" s="60" t="s">
        <v>182</v>
      </c>
      <c r="I254" s="60"/>
      <c r="J254" s="60"/>
    </row>
    <row r="255" spans="1:10" s="2" customFormat="1" x14ac:dyDescent="0.3">
      <c r="A255" s="71" t="s">
        <v>168</v>
      </c>
      <c r="B255" s="71"/>
      <c r="C255" s="71"/>
      <c r="D255" s="71"/>
      <c r="E255" s="71"/>
      <c r="F255" s="71"/>
      <c r="G255" s="71"/>
      <c r="H255" s="71"/>
      <c r="I255" s="71"/>
      <c r="J255" s="71"/>
    </row>
    <row r="256" spans="1:10" s="2" customFormat="1" ht="15.75" customHeight="1" x14ac:dyDescent="0.3">
      <c r="A256" s="39">
        <v>31</v>
      </c>
      <c r="B256" s="40" t="s">
        <v>161</v>
      </c>
      <c r="C256" s="39" t="s">
        <v>160</v>
      </c>
      <c r="D256" s="60">
        <f>116.71*10.764</f>
        <v>1256.2664399999999</v>
      </c>
      <c r="E256" s="60"/>
      <c r="F256" s="39">
        <v>0</v>
      </c>
      <c r="G256" s="39">
        <f t="shared" ref="G256:G260" si="21">D256*1.6</f>
        <v>2010.026304</v>
      </c>
      <c r="H256" s="60" t="str">
        <f>A255</f>
        <v>1st Floor for Commercial</v>
      </c>
      <c r="I256" s="60"/>
      <c r="J256" s="60"/>
    </row>
    <row r="257" spans="1:12" s="2" customFormat="1" x14ac:dyDescent="0.3">
      <c r="A257" s="39">
        <v>32</v>
      </c>
      <c r="B257" s="40" t="s">
        <v>161</v>
      </c>
      <c r="C257" s="39" t="s">
        <v>235</v>
      </c>
      <c r="D257" s="60">
        <f>33.79*10.764</f>
        <v>363.71555999999998</v>
      </c>
      <c r="E257" s="60"/>
      <c r="F257" s="39">
        <v>0</v>
      </c>
      <c r="G257" s="39">
        <f t="shared" si="21"/>
        <v>581.94489599999997</v>
      </c>
      <c r="H257" s="60"/>
      <c r="I257" s="60"/>
      <c r="J257" s="60"/>
    </row>
    <row r="258" spans="1:12" s="2" customFormat="1" x14ac:dyDescent="0.3">
      <c r="A258" s="39">
        <v>33</v>
      </c>
      <c r="B258" s="40" t="s">
        <v>161</v>
      </c>
      <c r="C258" s="39" t="s">
        <v>235</v>
      </c>
      <c r="D258" s="60">
        <f>21.83*10.764</f>
        <v>234.97811999999996</v>
      </c>
      <c r="E258" s="60"/>
      <c r="F258" s="39">
        <v>0</v>
      </c>
      <c r="G258" s="39">
        <f t="shared" si="21"/>
        <v>375.96499199999994</v>
      </c>
      <c r="H258" s="60"/>
      <c r="I258" s="60"/>
      <c r="J258" s="60"/>
    </row>
    <row r="259" spans="1:12" s="2" customFormat="1" x14ac:dyDescent="0.3">
      <c r="A259" s="39">
        <v>34</v>
      </c>
      <c r="B259" s="40" t="s">
        <v>161</v>
      </c>
      <c r="C259" s="39" t="s">
        <v>235</v>
      </c>
      <c r="D259" s="60">
        <f>32.57*10.764</f>
        <v>350.58348000000001</v>
      </c>
      <c r="E259" s="60"/>
      <c r="F259" s="39">
        <v>0</v>
      </c>
      <c r="G259" s="39">
        <f t="shared" si="21"/>
        <v>560.93356800000004</v>
      </c>
      <c r="H259" s="60"/>
      <c r="I259" s="60"/>
      <c r="J259" s="60"/>
    </row>
    <row r="260" spans="1:12" s="2" customFormat="1" x14ac:dyDescent="0.3">
      <c r="A260" s="39">
        <v>35</v>
      </c>
      <c r="B260" s="40" t="s">
        <v>161</v>
      </c>
      <c r="C260" s="39" t="s">
        <v>160</v>
      </c>
      <c r="D260" s="60">
        <f>15.94*10.764</f>
        <v>171.57816</v>
      </c>
      <c r="E260" s="60"/>
      <c r="F260" s="39">
        <v>0</v>
      </c>
      <c r="G260" s="39">
        <f t="shared" si="21"/>
        <v>274.52505600000001</v>
      </c>
      <c r="H260" s="60"/>
      <c r="I260" s="60"/>
      <c r="J260" s="60"/>
    </row>
    <row r="261" spans="1:12" s="2" customFormat="1" x14ac:dyDescent="0.3">
      <c r="A261" s="71" t="s">
        <v>166</v>
      </c>
      <c r="B261" s="71"/>
      <c r="C261" s="71"/>
      <c r="D261" s="71"/>
      <c r="E261" s="71"/>
      <c r="F261" s="71"/>
      <c r="G261" s="71"/>
      <c r="H261" s="71"/>
      <c r="I261" s="71"/>
      <c r="J261" s="71"/>
    </row>
    <row r="262" spans="1:12" s="2" customFormat="1" ht="15.75" customHeight="1" x14ac:dyDescent="0.3">
      <c r="A262" s="60">
        <v>1</v>
      </c>
      <c r="B262" s="60"/>
      <c r="C262" s="39" t="s">
        <v>163</v>
      </c>
      <c r="D262" s="60">
        <f>(49.2+2*0.75)*10.764</f>
        <v>545.73479999999995</v>
      </c>
      <c r="E262" s="60"/>
      <c r="F262" s="39">
        <f>(5.81+4.48+5.05*2.37)*10.764</f>
        <v>239.59049399999995</v>
      </c>
      <c r="G262" s="39">
        <v>749</v>
      </c>
      <c r="H262" s="60" t="str">
        <f>A261</f>
        <v xml:space="preserve">2nd Floor </v>
      </c>
      <c r="I262" s="60"/>
      <c r="J262" s="60"/>
    </row>
    <row r="263" spans="1:12" s="2" customFormat="1" x14ac:dyDescent="0.3">
      <c r="A263" s="60">
        <v>2</v>
      </c>
      <c r="B263" s="60"/>
      <c r="C263" s="39" t="s">
        <v>235</v>
      </c>
      <c r="D263" s="60">
        <f>(13.52)*10.764</f>
        <v>145.52928</v>
      </c>
      <c r="E263" s="60"/>
      <c r="F263" s="39">
        <v>0</v>
      </c>
      <c r="G263" s="39">
        <v>705</v>
      </c>
      <c r="H263" s="60" t="str">
        <f>H262</f>
        <v xml:space="preserve">2nd Floor </v>
      </c>
      <c r="I263" s="60"/>
      <c r="J263" s="60"/>
    </row>
    <row r="264" spans="1:12" s="2" customFormat="1" ht="45.75" customHeight="1" x14ac:dyDescent="0.3">
      <c r="A264" s="60">
        <v>3</v>
      </c>
      <c r="B264" s="60"/>
      <c r="C264" s="39" t="s">
        <v>236</v>
      </c>
      <c r="D264" s="60">
        <f>(129.89)*10.764</f>
        <v>1398.1359599999998</v>
      </c>
      <c r="E264" s="60"/>
      <c r="F264" s="39">
        <f>(35.29+9.82+9.29)*10.764</f>
        <v>585.5616</v>
      </c>
      <c r="G264" s="39">
        <f>D264*1.5+F264/4</f>
        <v>2243.5943399999996</v>
      </c>
      <c r="H264" s="60" t="s">
        <v>191</v>
      </c>
      <c r="I264" s="60"/>
      <c r="J264" s="60"/>
    </row>
    <row r="265" spans="1:12" s="2" customFormat="1" x14ac:dyDescent="0.3">
      <c r="A265" s="71" t="s">
        <v>170</v>
      </c>
      <c r="B265" s="71"/>
      <c r="C265" s="71"/>
      <c r="D265" s="71"/>
      <c r="E265" s="71"/>
      <c r="F265" s="71"/>
      <c r="G265" s="71"/>
      <c r="H265" s="71"/>
      <c r="I265" s="71"/>
      <c r="J265" s="71"/>
    </row>
    <row r="266" spans="1:12" s="2" customFormat="1" x14ac:dyDescent="0.3">
      <c r="A266" s="60">
        <v>1</v>
      </c>
      <c r="B266" s="60"/>
      <c r="C266" s="39" t="s">
        <v>171</v>
      </c>
      <c r="D266" s="60">
        <f>(34.85+(1.5+2+1.8)*0.75)*10.764</f>
        <v>417.91230000000002</v>
      </c>
      <c r="E266" s="60"/>
      <c r="F266" s="39">
        <v>0</v>
      </c>
      <c r="G266" s="39">
        <v>612</v>
      </c>
      <c r="H266" s="60" t="str">
        <f>A265</f>
        <v xml:space="preserve">3rd Floor </v>
      </c>
      <c r="I266" s="60"/>
      <c r="J266" s="60"/>
      <c r="L266" s="37">
        <f t="shared" ref="L266:L268" si="22">G266/D266</f>
        <v>1.4644220809007056</v>
      </c>
    </row>
    <row r="267" spans="1:12" s="2" customFormat="1" x14ac:dyDescent="0.3">
      <c r="A267" s="60">
        <v>2</v>
      </c>
      <c r="B267" s="60"/>
      <c r="C267" s="39" t="s">
        <v>171</v>
      </c>
      <c r="D267" s="60">
        <f>(32.61+(1.5+2+1.8)*0.75)*10.764</f>
        <v>393.80093999999997</v>
      </c>
      <c r="E267" s="60"/>
      <c r="F267" s="39">
        <v>0</v>
      </c>
      <c r="G267" s="39">
        <v>600</v>
      </c>
      <c r="H267" s="60"/>
      <c r="I267" s="60"/>
      <c r="J267" s="60"/>
      <c r="L267" s="37">
        <f t="shared" si="22"/>
        <v>1.5236124118952079</v>
      </c>
    </row>
    <row r="268" spans="1:12" s="2" customFormat="1" x14ac:dyDescent="0.3">
      <c r="A268" s="60">
        <v>3</v>
      </c>
      <c r="B268" s="60"/>
      <c r="C268" s="39" t="s">
        <v>171</v>
      </c>
      <c r="D268" s="60">
        <f>(37.3+(1.5+2+1.8)*0.75)*10.764</f>
        <v>444.28409999999997</v>
      </c>
      <c r="E268" s="60"/>
      <c r="F268" s="39">
        <v>0</v>
      </c>
      <c r="G268" s="39">
        <v>663</v>
      </c>
      <c r="H268" s="60"/>
      <c r="I268" s="60"/>
      <c r="J268" s="60"/>
      <c r="L268" s="37">
        <f t="shared" si="22"/>
        <v>1.4922883803404174</v>
      </c>
    </row>
    <row r="269" spans="1:12" s="2" customFormat="1" x14ac:dyDescent="0.3">
      <c r="A269" s="71" t="s">
        <v>237</v>
      </c>
      <c r="B269" s="71"/>
      <c r="C269" s="71"/>
      <c r="D269" s="71"/>
      <c r="E269" s="71"/>
      <c r="F269" s="71"/>
      <c r="G269" s="71"/>
      <c r="H269" s="71"/>
      <c r="I269" s="71"/>
      <c r="J269" s="71"/>
    </row>
    <row r="270" spans="1:12" s="2" customFormat="1" ht="15.75" customHeight="1" x14ac:dyDescent="0.3">
      <c r="A270" s="60">
        <v>1</v>
      </c>
      <c r="B270" s="60"/>
      <c r="C270" s="39" t="s">
        <v>171</v>
      </c>
      <c r="D270" s="60">
        <f>(34.85+(1.5+2+1.8)*0.75)*10.764</f>
        <v>417.91230000000002</v>
      </c>
      <c r="E270" s="60"/>
      <c r="F270" s="39">
        <v>0</v>
      </c>
      <c r="G270" s="39">
        <v>612</v>
      </c>
      <c r="H270" s="60" t="str">
        <f>A269</f>
        <v xml:space="preserve">4th To 7th, 9th To 12th, 14th To 17th, 19th to 21st Floor </v>
      </c>
      <c r="I270" s="60"/>
      <c r="J270" s="60"/>
      <c r="L270" s="37">
        <f t="shared" ref="L270:L273" si="23">G270/D270</f>
        <v>1.4644220809007056</v>
      </c>
    </row>
    <row r="271" spans="1:12" s="2" customFormat="1" x14ac:dyDescent="0.3">
      <c r="A271" s="60">
        <v>2</v>
      </c>
      <c r="B271" s="60"/>
      <c r="C271" s="39" t="s">
        <v>171</v>
      </c>
      <c r="D271" s="60">
        <f>(32.61+(1.5+2+1.8)*0.75)*10.764</f>
        <v>393.80093999999997</v>
      </c>
      <c r="E271" s="60"/>
      <c r="F271" s="39">
        <v>0</v>
      </c>
      <c r="G271" s="39">
        <v>600</v>
      </c>
      <c r="H271" s="60"/>
      <c r="I271" s="60"/>
      <c r="J271" s="60"/>
      <c r="L271" s="37">
        <f t="shared" si="23"/>
        <v>1.5236124118952079</v>
      </c>
    </row>
    <row r="272" spans="1:12" s="2" customFormat="1" x14ac:dyDescent="0.3">
      <c r="A272" s="60">
        <v>3</v>
      </c>
      <c r="B272" s="60"/>
      <c r="C272" s="39" t="s">
        <v>171</v>
      </c>
      <c r="D272" s="60">
        <f>(37.3+(1.5+2+1.8)*0.75)*10.764</f>
        <v>444.28409999999997</v>
      </c>
      <c r="E272" s="60"/>
      <c r="F272" s="39">
        <v>0</v>
      </c>
      <c r="G272" s="39">
        <v>663</v>
      </c>
      <c r="H272" s="60"/>
      <c r="I272" s="60"/>
      <c r="J272" s="60"/>
      <c r="L272" s="37">
        <f t="shared" si="23"/>
        <v>1.4922883803404174</v>
      </c>
    </row>
    <row r="273" spans="1:12" s="2" customFormat="1" x14ac:dyDescent="0.3">
      <c r="A273" s="60">
        <v>4</v>
      </c>
      <c r="B273" s="60"/>
      <c r="C273" s="39" t="s">
        <v>171</v>
      </c>
      <c r="D273" s="60">
        <f>(37.35+(2+1.8)*0.75)*10.764</f>
        <v>432.71280000000002</v>
      </c>
      <c r="E273" s="60"/>
      <c r="F273" s="39">
        <v>0</v>
      </c>
      <c r="G273" s="39">
        <v>657</v>
      </c>
      <c r="H273" s="60"/>
      <c r="I273" s="60"/>
      <c r="J273" s="60"/>
      <c r="L273" s="37">
        <f t="shared" si="23"/>
        <v>1.5183280919815636</v>
      </c>
    </row>
    <row r="274" spans="1:12" s="2" customFormat="1" x14ac:dyDescent="0.3">
      <c r="A274" s="71" t="s">
        <v>238</v>
      </c>
      <c r="B274" s="71"/>
      <c r="C274" s="71"/>
      <c r="D274" s="71"/>
      <c r="E274" s="71"/>
      <c r="F274" s="71"/>
      <c r="G274" s="71"/>
      <c r="H274" s="71"/>
      <c r="I274" s="71"/>
      <c r="J274" s="71"/>
    </row>
    <row r="275" spans="1:12" s="2" customFormat="1" ht="15.75" customHeight="1" x14ac:dyDescent="0.3">
      <c r="A275" s="60">
        <v>1</v>
      </c>
      <c r="B275" s="60"/>
      <c r="C275" s="39" t="s">
        <v>171</v>
      </c>
      <c r="D275" s="60">
        <f>(34.85+(1.5+2+1.8)*0.75)*10.764</f>
        <v>417.91230000000002</v>
      </c>
      <c r="E275" s="60"/>
      <c r="F275" s="39">
        <v>0</v>
      </c>
      <c r="G275" s="39">
        <v>612</v>
      </c>
      <c r="H275" s="60" t="str">
        <f>A274</f>
        <v xml:space="preserve">8th, 13th &amp; 18th Floor </v>
      </c>
      <c r="I275" s="60"/>
      <c r="J275" s="60"/>
      <c r="L275" s="37">
        <f>G275/D275</f>
        <v>1.4644220809007056</v>
      </c>
    </row>
    <row r="276" spans="1:12" s="2" customFormat="1" x14ac:dyDescent="0.3">
      <c r="A276" s="60">
        <v>2</v>
      </c>
      <c r="B276" s="60"/>
      <c r="C276" s="39" t="s">
        <v>171</v>
      </c>
      <c r="D276" s="60">
        <f>(32.61+(1.5+2+1.8)*0.75)*10.764</f>
        <v>393.80093999999997</v>
      </c>
      <c r="E276" s="60"/>
      <c r="F276" s="39">
        <v>0</v>
      </c>
      <c r="G276" s="39">
        <v>600</v>
      </c>
      <c r="H276" s="60"/>
      <c r="I276" s="60"/>
      <c r="J276" s="60"/>
      <c r="L276" s="37">
        <f t="shared" ref="L276:L277" si="24">G276/D276</f>
        <v>1.5236124118952079</v>
      </c>
    </row>
    <row r="277" spans="1:12" s="2" customFormat="1" x14ac:dyDescent="0.3">
      <c r="A277" s="60">
        <v>3</v>
      </c>
      <c r="B277" s="60"/>
      <c r="C277" s="39" t="s">
        <v>171</v>
      </c>
      <c r="D277" s="60">
        <f>(37.3+(1.5+2+1.8)*0.75)*10.764</f>
        <v>444.28409999999997</v>
      </c>
      <c r="E277" s="60"/>
      <c r="F277" s="39">
        <v>0</v>
      </c>
      <c r="G277" s="39">
        <v>663</v>
      </c>
      <c r="H277" s="60"/>
      <c r="I277" s="60"/>
      <c r="J277" s="60"/>
      <c r="L277" s="37">
        <f t="shared" si="24"/>
        <v>1.4922883803404174</v>
      </c>
    </row>
    <row r="278" spans="1:12" s="2" customFormat="1" x14ac:dyDescent="0.3">
      <c r="A278" s="60">
        <v>4</v>
      </c>
      <c r="B278" s="60"/>
      <c r="C278" s="60" t="s">
        <v>165</v>
      </c>
      <c r="D278" s="60"/>
      <c r="E278" s="60"/>
      <c r="F278" s="60"/>
      <c r="G278" s="60"/>
      <c r="H278" s="60"/>
      <c r="I278" s="60"/>
      <c r="J278" s="60"/>
    </row>
    <row r="279" spans="1:12" s="1" customFormat="1" x14ac:dyDescent="0.3">
      <c r="A279" s="78" t="s">
        <v>98</v>
      </c>
      <c r="B279" s="78"/>
      <c r="C279" s="78"/>
      <c r="D279" s="78"/>
      <c r="E279" s="78"/>
      <c r="F279" s="78"/>
      <c r="G279" s="78"/>
      <c r="H279" s="78"/>
      <c r="I279" s="78"/>
      <c r="J279" s="78"/>
    </row>
    <row r="280" spans="1:12" s="38" customFormat="1" ht="300" customHeight="1" x14ac:dyDescent="0.3">
      <c r="A280" s="79" t="s">
        <v>271</v>
      </c>
      <c r="B280" s="79"/>
      <c r="C280" s="79"/>
      <c r="D280" s="79"/>
      <c r="E280" s="79"/>
      <c r="F280" s="79"/>
      <c r="G280" s="79"/>
      <c r="H280" s="79"/>
      <c r="I280" s="79"/>
      <c r="J280" s="79"/>
    </row>
    <row r="281" spans="1:12" x14ac:dyDescent="0.3">
      <c r="A281" s="80" t="s">
        <v>89</v>
      </c>
      <c r="B281" s="81"/>
      <c r="C281" s="81"/>
      <c r="D281" s="81"/>
      <c r="E281" s="81"/>
      <c r="F281" s="81"/>
      <c r="G281" s="81"/>
      <c r="H281" s="81"/>
      <c r="I281" s="81"/>
      <c r="J281" s="82"/>
    </row>
    <row r="282" spans="1:12" x14ac:dyDescent="0.3">
      <c r="A282" s="72" t="s">
        <v>90</v>
      </c>
      <c r="B282" s="73"/>
      <c r="C282" s="73"/>
      <c r="D282" s="73"/>
      <c r="E282" s="73"/>
      <c r="F282" s="73"/>
      <c r="G282" s="73"/>
      <c r="H282" s="73"/>
      <c r="I282" s="73"/>
      <c r="J282" s="74"/>
    </row>
    <row r="283" spans="1:12" ht="15.75" customHeight="1" x14ac:dyDescent="0.3">
      <c r="A283" s="80" t="s">
        <v>91</v>
      </c>
      <c r="B283" s="81"/>
      <c r="C283" s="81"/>
      <c r="D283" s="81"/>
      <c r="E283" s="81"/>
      <c r="F283" s="81"/>
      <c r="G283" s="81"/>
      <c r="H283" s="81"/>
      <c r="I283" s="81"/>
      <c r="J283" s="82"/>
    </row>
    <row r="284" spans="1:12" x14ac:dyDescent="0.3">
      <c r="A284" s="72" t="s">
        <v>92</v>
      </c>
      <c r="B284" s="73"/>
      <c r="C284" s="73"/>
      <c r="D284" s="73"/>
      <c r="E284" s="73"/>
      <c r="F284" s="73"/>
      <c r="G284" s="73"/>
      <c r="H284" s="73"/>
      <c r="I284" s="73"/>
      <c r="J284" s="74"/>
    </row>
    <row r="285" spans="1:12" x14ac:dyDescent="0.3">
      <c r="A285" s="72" t="s">
        <v>93</v>
      </c>
      <c r="B285" s="73"/>
      <c r="C285" s="73"/>
      <c r="D285" s="73"/>
      <c r="E285" s="73"/>
      <c r="F285" s="73"/>
      <c r="G285" s="73"/>
      <c r="H285" s="73"/>
      <c r="I285" s="73"/>
      <c r="J285" s="74"/>
    </row>
    <row r="286" spans="1:12" x14ac:dyDescent="0.3">
      <c r="A286" s="72" t="s">
        <v>94</v>
      </c>
      <c r="B286" s="73"/>
      <c r="C286" s="73"/>
      <c r="D286" s="73"/>
      <c r="E286" s="73"/>
      <c r="F286" s="73"/>
      <c r="G286" s="73"/>
      <c r="H286" s="73"/>
      <c r="I286" s="73"/>
      <c r="J286" s="74"/>
    </row>
    <row r="287" spans="1:12" ht="35.25" customHeight="1" x14ac:dyDescent="0.3">
      <c r="A287" s="75" t="s">
        <v>95</v>
      </c>
      <c r="B287" s="76"/>
      <c r="C287" s="76"/>
      <c r="D287" s="76"/>
      <c r="E287" s="76"/>
      <c r="F287" s="76"/>
      <c r="G287" s="76"/>
      <c r="H287" s="76"/>
      <c r="I287" s="76"/>
      <c r="J287" s="77"/>
    </row>
    <row r="288" spans="1:12" x14ac:dyDescent="0.3">
      <c r="A288" s="220" t="s">
        <v>137</v>
      </c>
      <c r="B288" s="220"/>
      <c r="C288" s="221" t="s">
        <v>262</v>
      </c>
      <c r="D288" s="221"/>
      <c r="E288" s="220" t="s">
        <v>138</v>
      </c>
      <c r="F288" s="220"/>
      <c r="G288" s="220"/>
      <c r="H288" s="220" t="s">
        <v>268</v>
      </c>
      <c r="I288" s="220"/>
      <c r="J288" s="220"/>
    </row>
    <row r="289" spans="1:10" x14ac:dyDescent="0.3">
      <c r="A289" s="219" t="s">
        <v>140</v>
      </c>
      <c r="B289" s="219"/>
      <c r="C289" s="219"/>
      <c r="D289" s="219"/>
      <c r="E289" s="219"/>
      <c r="F289" s="219"/>
      <c r="G289" s="219"/>
      <c r="H289" s="219"/>
      <c r="I289" s="219"/>
      <c r="J289" s="219"/>
    </row>
    <row r="290" spans="1:10" x14ac:dyDescent="0.3">
      <c r="A290" s="219"/>
      <c r="B290" s="219"/>
      <c r="C290" s="219"/>
      <c r="D290" s="219"/>
      <c r="E290" s="219"/>
      <c r="F290" s="219"/>
      <c r="G290" s="219"/>
      <c r="H290" s="219"/>
      <c r="I290" s="219"/>
      <c r="J290" s="219"/>
    </row>
    <row r="291" spans="1:10" x14ac:dyDescent="0.3">
      <c r="A291" s="219"/>
      <c r="B291" s="219"/>
      <c r="C291" s="219"/>
      <c r="D291" s="219"/>
      <c r="E291" s="219"/>
      <c r="F291" s="219"/>
      <c r="G291" s="219"/>
      <c r="H291" s="219"/>
      <c r="I291" s="219"/>
      <c r="J291" s="219"/>
    </row>
    <row r="292" spans="1:10" hidden="1" x14ac:dyDescent="0.3">
      <c r="A292" s="219"/>
      <c r="B292" s="219"/>
      <c r="C292" s="219"/>
      <c r="D292" s="219"/>
      <c r="E292" s="219"/>
      <c r="F292" s="219"/>
      <c r="G292" s="219"/>
      <c r="H292" s="219"/>
      <c r="I292" s="219"/>
      <c r="J292" s="219"/>
    </row>
    <row r="293" spans="1:10" x14ac:dyDescent="0.3">
      <c r="A293" s="57" t="s">
        <v>96</v>
      </c>
      <c r="B293" s="58"/>
      <c r="C293" s="58"/>
      <c r="D293" s="57" t="str">
        <f>F8</f>
        <v>Samrin Heritage</v>
      </c>
      <c r="G293" s="58"/>
      <c r="H293" s="58"/>
      <c r="I293" s="58"/>
      <c r="J293" s="58"/>
    </row>
    <row r="294" spans="1:10" x14ac:dyDescent="0.3">
      <c r="A294" s="58"/>
      <c r="B294" s="58"/>
      <c r="C294" s="58"/>
      <c r="D294" s="58"/>
      <c r="E294" s="58"/>
      <c r="F294" s="58"/>
      <c r="G294" s="58"/>
      <c r="H294" s="58"/>
      <c r="I294" s="58"/>
      <c r="J294" s="58"/>
    </row>
    <row r="295" spans="1:10" x14ac:dyDescent="0.3">
      <c r="A295" s="58"/>
      <c r="B295" s="58"/>
      <c r="C295" s="58"/>
      <c r="D295" s="58"/>
      <c r="E295" s="58"/>
      <c r="F295" s="58"/>
      <c r="G295" s="58"/>
      <c r="H295" s="58"/>
      <c r="I295" s="58"/>
      <c r="J295" s="58"/>
    </row>
    <row r="296" spans="1:10" ht="15" customHeight="1" x14ac:dyDescent="0.3"/>
    <row r="333" spans="1:1" x14ac:dyDescent="0.3">
      <c r="A333" s="59" t="s">
        <v>97</v>
      </c>
    </row>
  </sheetData>
  <mergeCells count="542">
    <mergeCell ref="A49:B49"/>
    <mergeCell ref="C49:F49"/>
    <mergeCell ref="H49:J49"/>
    <mergeCell ref="A55:B55"/>
    <mergeCell ref="C55:J55"/>
    <mergeCell ref="A50:B50"/>
    <mergeCell ref="C50:F50"/>
    <mergeCell ref="H50:J50"/>
    <mergeCell ref="A33:B33"/>
    <mergeCell ref="C33:J33"/>
    <mergeCell ref="G119:J119"/>
    <mergeCell ref="A116:A117"/>
    <mergeCell ref="A118:A119"/>
    <mergeCell ref="A92:B92"/>
    <mergeCell ref="D92:E92"/>
    <mergeCell ref="F92:G101"/>
    <mergeCell ref="H92:J101"/>
    <mergeCell ref="A93:B93"/>
    <mergeCell ref="D93:E93"/>
    <mergeCell ref="A94:B94"/>
    <mergeCell ref="D94:E94"/>
    <mergeCell ref="A95:B95"/>
    <mergeCell ref="D95:E95"/>
    <mergeCell ref="A96:B96"/>
    <mergeCell ref="D96:E96"/>
    <mergeCell ref="A97:B97"/>
    <mergeCell ref="D97:E97"/>
    <mergeCell ref="A98:B98"/>
    <mergeCell ref="D98:E98"/>
    <mergeCell ref="A99:B99"/>
    <mergeCell ref="D99:E99"/>
    <mergeCell ref="A100:B100"/>
    <mergeCell ref="D100:E100"/>
    <mergeCell ref="A101:B101"/>
    <mergeCell ref="D119:F119"/>
    <mergeCell ref="A84:B84"/>
    <mergeCell ref="D84:E84"/>
    <mergeCell ref="A85:B85"/>
    <mergeCell ref="D85:E85"/>
    <mergeCell ref="A86:B86"/>
    <mergeCell ref="D86:E86"/>
    <mergeCell ref="D101:E101"/>
    <mergeCell ref="A87:B87"/>
    <mergeCell ref="D87:E87"/>
    <mergeCell ref="A88:B88"/>
    <mergeCell ref="C88:J88"/>
    <mergeCell ref="E89:F89"/>
    <mergeCell ref="I89:J89"/>
    <mergeCell ref="A90:B90"/>
    <mergeCell ref="C90:J90"/>
    <mergeCell ref="A91:B91"/>
    <mergeCell ref="D91:E91"/>
    <mergeCell ref="F91:G91"/>
    <mergeCell ref="H91:J91"/>
    <mergeCell ref="A113:B113"/>
    <mergeCell ref="D113:F113"/>
    <mergeCell ref="G113:J113"/>
    <mergeCell ref="D114:F114"/>
    <mergeCell ref="D79:E79"/>
    <mergeCell ref="A80:B80"/>
    <mergeCell ref="D80:E80"/>
    <mergeCell ref="A81:B81"/>
    <mergeCell ref="D81:E81"/>
    <mergeCell ref="A82:B82"/>
    <mergeCell ref="D82:E82"/>
    <mergeCell ref="A83:B83"/>
    <mergeCell ref="D83:E83"/>
    <mergeCell ref="G114:J114"/>
    <mergeCell ref="A107:F107"/>
    <mergeCell ref="G107:J107"/>
    <mergeCell ref="A105:J105"/>
    <mergeCell ref="A106:F106"/>
    <mergeCell ref="G106:J106"/>
    <mergeCell ref="A109:F109"/>
    <mergeCell ref="G109:J109"/>
    <mergeCell ref="A111:F111"/>
    <mergeCell ref="G111:J111"/>
    <mergeCell ref="A108:F108"/>
    <mergeCell ref="G108:J108"/>
    <mergeCell ref="A112:J112"/>
    <mergeCell ref="A289:J292"/>
    <mergeCell ref="A288:B288"/>
    <mergeCell ref="E288:G288"/>
    <mergeCell ref="C288:D288"/>
    <mergeCell ref="H288:J288"/>
    <mergeCell ref="D226:E226"/>
    <mergeCell ref="A227:B227"/>
    <mergeCell ref="D227:E227"/>
    <mergeCell ref="A228:B228"/>
    <mergeCell ref="D228:E228"/>
    <mergeCell ref="D277:E277"/>
    <mergeCell ref="A278:B278"/>
    <mergeCell ref="A261:J261"/>
    <mergeCell ref="A265:J265"/>
    <mergeCell ref="A272:B272"/>
    <mergeCell ref="D272:E272"/>
    <mergeCell ref="A273:B273"/>
    <mergeCell ref="D273:E273"/>
    <mergeCell ref="A275:B275"/>
    <mergeCell ref="D264:E264"/>
    <mergeCell ref="A266:B266"/>
    <mergeCell ref="D266:E266"/>
    <mergeCell ref="D251:E251"/>
    <mergeCell ref="D248:E248"/>
    <mergeCell ref="H48:J48"/>
    <mergeCell ref="A182:B182"/>
    <mergeCell ref="D182:E182"/>
    <mergeCell ref="A184:B184"/>
    <mergeCell ref="A128:B128"/>
    <mergeCell ref="D128:F128"/>
    <mergeCell ref="G128:J128"/>
    <mergeCell ref="D129:F129"/>
    <mergeCell ref="G129:J129"/>
    <mergeCell ref="A127:J127"/>
    <mergeCell ref="A120:B120"/>
    <mergeCell ref="D120:F120"/>
    <mergeCell ref="G120:J120"/>
    <mergeCell ref="A121:J121"/>
    <mergeCell ref="A122:B122"/>
    <mergeCell ref="D122:F122"/>
    <mergeCell ref="G122:J122"/>
    <mergeCell ref="G123:J123"/>
    <mergeCell ref="D123:F123"/>
    <mergeCell ref="A276:B276"/>
    <mergeCell ref="D276:E276"/>
    <mergeCell ref="A58:J58"/>
    <mergeCell ref="A59:J59"/>
    <mergeCell ref="A60:B60"/>
    <mergeCell ref="C60:J60"/>
    <mergeCell ref="E61:F61"/>
    <mergeCell ref="I61:J61"/>
    <mergeCell ref="A62:B62"/>
    <mergeCell ref="C62:J62"/>
    <mergeCell ref="A76:B76"/>
    <mergeCell ref="C76:J76"/>
    <mergeCell ref="D77:E77"/>
    <mergeCell ref="F77:G77"/>
    <mergeCell ref="H77:J77"/>
    <mergeCell ref="A78:B78"/>
    <mergeCell ref="D78:E78"/>
    <mergeCell ref="F78:G87"/>
    <mergeCell ref="H78:J87"/>
    <mergeCell ref="A79:B79"/>
    <mergeCell ref="A110:F110"/>
    <mergeCell ref="G110:J110"/>
    <mergeCell ref="A114:A115"/>
    <mergeCell ref="A129:B129"/>
    <mergeCell ref="A277:B277"/>
    <mergeCell ref="D179:E179"/>
    <mergeCell ref="A178:J178"/>
    <mergeCell ref="A219:J219"/>
    <mergeCell ref="A224:J224"/>
    <mergeCell ref="A225:B225"/>
    <mergeCell ref="D225:E225"/>
    <mergeCell ref="D205:E205"/>
    <mergeCell ref="A63:B63"/>
    <mergeCell ref="A220:B220"/>
    <mergeCell ref="D220:E220"/>
    <mergeCell ref="A185:B185"/>
    <mergeCell ref="D185:E185"/>
    <mergeCell ref="A186:B186"/>
    <mergeCell ref="D186:E186"/>
    <mergeCell ref="D196:E196"/>
    <mergeCell ref="C104:J104"/>
    <mergeCell ref="A77:B77"/>
    <mergeCell ref="A102:J102"/>
    <mergeCell ref="D73:E73"/>
    <mergeCell ref="A74:B74"/>
    <mergeCell ref="C74:J74"/>
    <mergeCell ref="E75:F75"/>
    <mergeCell ref="I75:J75"/>
    <mergeCell ref="C46:F46"/>
    <mergeCell ref="A176:B176"/>
    <mergeCell ref="D176:E176"/>
    <mergeCell ref="D63:E63"/>
    <mergeCell ref="F63:G63"/>
    <mergeCell ref="A64:B64"/>
    <mergeCell ref="D64:E64"/>
    <mergeCell ref="F64:G73"/>
    <mergeCell ref="A65:B65"/>
    <mergeCell ref="D65:E65"/>
    <mergeCell ref="A66:B66"/>
    <mergeCell ref="D66:E66"/>
    <mergeCell ref="A67:B67"/>
    <mergeCell ref="D67:E67"/>
    <mergeCell ref="A68:B68"/>
    <mergeCell ref="D68:E68"/>
    <mergeCell ref="A53:J53"/>
    <mergeCell ref="A54:C54"/>
    <mergeCell ref="D54:E54"/>
    <mergeCell ref="F54:G54"/>
    <mergeCell ref="H54:J54"/>
    <mergeCell ref="A103:J103"/>
    <mergeCell ref="A104:B104"/>
    <mergeCell ref="H47:J47"/>
    <mergeCell ref="I29:J29"/>
    <mergeCell ref="A31:J31"/>
    <mergeCell ref="A32:B32"/>
    <mergeCell ref="C32:D32"/>
    <mergeCell ref="E32:F32"/>
    <mergeCell ref="G32:H32"/>
    <mergeCell ref="I32:J32"/>
    <mergeCell ref="A177:B177"/>
    <mergeCell ref="D177:E177"/>
    <mergeCell ref="A175:B175"/>
    <mergeCell ref="D175:E175"/>
    <mergeCell ref="H46:J46"/>
    <mergeCell ref="I156:J172"/>
    <mergeCell ref="H63:J63"/>
    <mergeCell ref="H64:J73"/>
    <mergeCell ref="A69:B69"/>
    <mergeCell ref="D69:E69"/>
    <mergeCell ref="A70:B70"/>
    <mergeCell ref="D70:E70"/>
    <mergeCell ref="A71:B71"/>
    <mergeCell ref="D71:E71"/>
    <mergeCell ref="A72:B72"/>
    <mergeCell ref="D72:E72"/>
    <mergeCell ref="A73:B73"/>
    <mergeCell ref="A34:J34"/>
    <mergeCell ref="A36:E36"/>
    <mergeCell ref="F36:J36"/>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5:E35"/>
    <mergeCell ref="F35:J35"/>
    <mergeCell ref="A30:J30"/>
    <mergeCell ref="A29:B29"/>
    <mergeCell ref="C29:D29"/>
    <mergeCell ref="E29:F29"/>
    <mergeCell ref="G29:H29"/>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C14:E14"/>
    <mergeCell ref="A11:E11"/>
    <mergeCell ref="F11:J11"/>
    <mergeCell ref="A12:E12"/>
    <mergeCell ref="F12:J12"/>
    <mergeCell ref="A13:B13"/>
    <mergeCell ref="C13:J13"/>
    <mergeCell ref="F14:G14"/>
    <mergeCell ref="H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37:J37"/>
    <mergeCell ref="H51:J51"/>
    <mergeCell ref="A51:B51"/>
    <mergeCell ref="C51:F51"/>
    <mergeCell ref="A52:C52"/>
    <mergeCell ref="D52:E52"/>
    <mergeCell ref="F52:G52"/>
    <mergeCell ref="H52:J52"/>
    <mergeCell ref="A38:E38"/>
    <mergeCell ref="F38:J38"/>
    <mergeCell ref="H45:J45"/>
    <mergeCell ref="A48:B48"/>
    <mergeCell ref="C48:F48"/>
    <mergeCell ref="A45:B45"/>
    <mergeCell ref="C45:F45"/>
    <mergeCell ref="A40:E40"/>
    <mergeCell ref="F40:J40"/>
    <mergeCell ref="A41:E41"/>
    <mergeCell ref="F41:J41"/>
    <mergeCell ref="A42:E42"/>
    <mergeCell ref="A47:B47"/>
    <mergeCell ref="A39:E39"/>
    <mergeCell ref="F39:J39"/>
    <mergeCell ref="A46:B46"/>
    <mergeCell ref="A124:A125"/>
    <mergeCell ref="D124:F124"/>
    <mergeCell ref="G124:J124"/>
    <mergeCell ref="D125:F125"/>
    <mergeCell ref="G125:J125"/>
    <mergeCell ref="A126:B126"/>
    <mergeCell ref="D126:F126"/>
    <mergeCell ref="G126:J126"/>
    <mergeCell ref="A131:B131"/>
    <mergeCell ref="A136:J136"/>
    <mergeCell ref="A137:J137"/>
    <mergeCell ref="D135:E135"/>
    <mergeCell ref="A130:B130"/>
    <mergeCell ref="D130:F130"/>
    <mergeCell ref="G130:J130"/>
    <mergeCell ref="D131:F131"/>
    <mergeCell ref="G131:J131"/>
    <mergeCell ref="D141:E141"/>
    <mergeCell ref="A155:J155"/>
    <mergeCell ref="D144:E144"/>
    <mergeCell ref="D145:E145"/>
    <mergeCell ref="D142:E142"/>
    <mergeCell ref="D143:E143"/>
    <mergeCell ref="D156:E156"/>
    <mergeCell ref="D167:E167"/>
    <mergeCell ref="D138:E138"/>
    <mergeCell ref="D140:E140"/>
    <mergeCell ref="D151:E151"/>
    <mergeCell ref="D152:E152"/>
    <mergeCell ref="D139:E139"/>
    <mergeCell ref="D149:E149"/>
    <mergeCell ref="D150:E150"/>
    <mergeCell ref="D147:E147"/>
    <mergeCell ref="D148:E148"/>
    <mergeCell ref="D146:E146"/>
    <mergeCell ref="H138:J154"/>
    <mergeCell ref="D174:E174"/>
    <mergeCell ref="D172:E172"/>
    <mergeCell ref="A173:J173"/>
    <mergeCell ref="A174:B174"/>
    <mergeCell ref="D157:E157"/>
    <mergeCell ref="D158:E158"/>
    <mergeCell ref="D163:E163"/>
    <mergeCell ref="D164:E164"/>
    <mergeCell ref="D161:E161"/>
    <mergeCell ref="D162:E162"/>
    <mergeCell ref="H174:J177"/>
    <mergeCell ref="A181:B181"/>
    <mergeCell ref="D181:E181"/>
    <mergeCell ref="A183:J183"/>
    <mergeCell ref="A187:B187"/>
    <mergeCell ref="D187:E187"/>
    <mergeCell ref="H179:J182"/>
    <mergeCell ref="H184:J187"/>
    <mergeCell ref="D197:E197"/>
    <mergeCell ref="A223:B223"/>
    <mergeCell ref="D223:E223"/>
    <mergeCell ref="D198:E198"/>
    <mergeCell ref="D199:E199"/>
    <mergeCell ref="A179:B179"/>
    <mergeCell ref="A180:B180"/>
    <mergeCell ref="B202:B203"/>
    <mergeCell ref="C202:C203"/>
    <mergeCell ref="D201:E201"/>
    <mergeCell ref="D206:E206"/>
    <mergeCell ref="D207:E207"/>
    <mergeCell ref="D194:E194"/>
    <mergeCell ref="D195:E195"/>
    <mergeCell ref="A189:J189"/>
    <mergeCell ref="D190:E190"/>
    <mergeCell ref="D191:E191"/>
    <mergeCell ref="D249:E249"/>
    <mergeCell ref="D254:E254"/>
    <mergeCell ref="D252:E252"/>
    <mergeCell ref="D253:E253"/>
    <mergeCell ref="A255:J255"/>
    <mergeCell ref="D257:E257"/>
    <mergeCell ref="D250:E250"/>
    <mergeCell ref="D243:E243"/>
    <mergeCell ref="D241:E241"/>
    <mergeCell ref="D246:E246"/>
    <mergeCell ref="D247:E247"/>
    <mergeCell ref="D244:E244"/>
    <mergeCell ref="D245:E245"/>
    <mergeCell ref="H248:J248"/>
    <mergeCell ref="H249:J249"/>
    <mergeCell ref="H246:J246"/>
    <mergeCell ref="H247:J247"/>
    <mergeCell ref="D184:E184"/>
    <mergeCell ref="H237:J238"/>
    <mergeCell ref="D230:E230"/>
    <mergeCell ref="A229:J229"/>
    <mergeCell ref="D217:E217"/>
    <mergeCell ref="A221:B221"/>
    <mergeCell ref="D221:E221"/>
    <mergeCell ref="A222:B222"/>
    <mergeCell ref="D222:E222"/>
    <mergeCell ref="A226:B226"/>
    <mergeCell ref="H225:J228"/>
    <mergeCell ref="A188:J188"/>
    <mergeCell ref="F202:F203"/>
    <mergeCell ref="G202:G203"/>
    <mergeCell ref="A204:J204"/>
    <mergeCell ref="D200:E200"/>
    <mergeCell ref="C233:G233"/>
    <mergeCell ref="A230:B230"/>
    <mergeCell ref="H190:J203"/>
    <mergeCell ref="H205:J218"/>
    <mergeCell ref="D267:E267"/>
    <mergeCell ref="A268:B268"/>
    <mergeCell ref="H266:J268"/>
    <mergeCell ref="A270:B270"/>
    <mergeCell ref="D270:E270"/>
    <mergeCell ref="A269:J269"/>
    <mergeCell ref="A274:J274"/>
    <mergeCell ref="F42:J42"/>
    <mergeCell ref="A43:E43"/>
    <mergeCell ref="F43:J43"/>
    <mergeCell ref="A44:J44"/>
    <mergeCell ref="A56:B56"/>
    <mergeCell ref="A57:C57"/>
    <mergeCell ref="D57:J57"/>
    <mergeCell ref="C47:F47"/>
    <mergeCell ref="D115:F115"/>
    <mergeCell ref="G115:J115"/>
    <mergeCell ref="A132:B132"/>
    <mergeCell ref="D132:F132"/>
    <mergeCell ref="G132:J132"/>
    <mergeCell ref="A133:J133"/>
    <mergeCell ref="A134:J134"/>
    <mergeCell ref="D268:E268"/>
    <mergeCell ref="A264:B264"/>
    <mergeCell ref="D275:E275"/>
    <mergeCell ref="D258:E258"/>
    <mergeCell ref="D256:E256"/>
    <mergeCell ref="A285:J285"/>
    <mergeCell ref="A286:J286"/>
    <mergeCell ref="A287:J287"/>
    <mergeCell ref="D116:F116"/>
    <mergeCell ref="G116:J116"/>
    <mergeCell ref="A279:J279"/>
    <mergeCell ref="A280:J280"/>
    <mergeCell ref="A281:J281"/>
    <mergeCell ref="A282:J282"/>
    <mergeCell ref="A271:B271"/>
    <mergeCell ref="D271:E271"/>
    <mergeCell ref="A283:J283"/>
    <mergeCell ref="A284:J284"/>
    <mergeCell ref="A262:B262"/>
    <mergeCell ref="D262:E262"/>
    <mergeCell ref="A263:B263"/>
    <mergeCell ref="D263:E263"/>
    <mergeCell ref="D259:E259"/>
    <mergeCell ref="D260:E260"/>
    <mergeCell ref="A267:B267"/>
    <mergeCell ref="D242:E242"/>
    <mergeCell ref="H239:J240"/>
    <mergeCell ref="A234:B234"/>
    <mergeCell ref="D234:E234"/>
    <mergeCell ref="B239:B240"/>
    <mergeCell ref="D237:E238"/>
    <mergeCell ref="F237:F238"/>
    <mergeCell ref="G237:G238"/>
    <mergeCell ref="D239:E240"/>
    <mergeCell ref="F239:F240"/>
    <mergeCell ref="G239:G240"/>
    <mergeCell ref="H230:J234"/>
    <mergeCell ref="A233:B233"/>
    <mergeCell ref="A231:B231"/>
    <mergeCell ref="D231:E231"/>
    <mergeCell ref="A232:B232"/>
    <mergeCell ref="A235:J235"/>
    <mergeCell ref="A236:J236"/>
    <mergeCell ref="B237:B238"/>
    <mergeCell ref="D232:E232"/>
    <mergeCell ref="C56:J56"/>
    <mergeCell ref="D202:E203"/>
    <mergeCell ref="D218:E218"/>
    <mergeCell ref="D214:E214"/>
    <mergeCell ref="D153:E153"/>
    <mergeCell ref="D154:E154"/>
    <mergeCell ref="H135:J135"/>
    <mergeCell ref="D213:E213"/>
    <mergeCell ref="D215:E215"/>
    <mergeCell ref="D216:E216"/>
    <mergeCell ref="D208:E208"/>
    <mergeCell ref="D209:E209"/>
    <mergeCell ref="D210:E210"/>
    <mergeCell ref="D211:E211"/>
    <mergeCell ref="D212:E212"/>
    <mergeCell ref="D159:E159"/>
    <mergeCell ref="D160:E160"/>
    <mergeCell ref="D180:E180"/>
    <mergeCell ref="D165:E165"/>
    <mergeCell ref="D166:E166"/>
    <mergeCell ref="D170:E170"/>
    <mergeCell ref="D171:E171"/>
    <mergeCell ref="D168:E168"/>
    <mergeCell ref="D169:E169"/>
    <mergeCell ref="H270:J273"/>
    <mergeCell ref="C278:G278"/>
    <mergeCell ref="H275:J278"/>
    <mergeCell ref="D117:F117"/>
    <mergeCell ref="G117:J117"/>
    <mergeCell ref="D118:F118"/>
    <mergeCell ref="G118:J118"/>
    <mergeCell ref="H250:J250"/>
    <mergeCell ref="H251:J251"/>
    <mergeCell ref="H252:J252"/>
    <mergeCell ref="H253:J253"/>
    <mergeCell ref="H254:J254"/>
    <mergeCell ref="H256:J260"/>
    <mergeCell ref="H262:J262"/>
    <mergeCell ref="H263:J263"/>
    <mergeCell ref="H264:J264"/>
    <mergeCell ref="H241:J241"/>
    <mergeCell ref="H242:J242"/>
    <mergeCell ref="H243:J243"/>
    <mergeCell ref="H244:J244"/>
    <mergeCell ref="H245:J245"/>
    <mergeCell ref="D192:E192"/>
    <mergeCell ref="D193:E193"/>
    <mergeCell ref="H220:J223"/>
  </mergeCells>
  <hyperlinks>
    <hyperlink ref="C33" r:id="rId1" xr:uid="{00000000-0004-0000-0000-000000000000}"/>
  </hyperlinks>
  <printOptions horizontalCentered="1"/>
  <pageMargins left="0.55118110236220497" right="0.59055118110236204" top="0.78740157480314998" bottom="0.78740157480314998" header="0.196850393700787" footer="0.196850393700787"/>
  <pageSetup scale="89" fitToHeight="0" orientation="portrait" r:id="rId2"/>
  <headerFooter>
    <oddHeader>&amp;C&amp;G</oddHeader>
    <oddFooter>&amp;L&amp;"Times New Roman,Bold"&amp;12Ref No: &amp;F&amp;C&amp;G&amp;R&amp;"Times New Roman,Bold"&amp;12&amp;P</oddFooter>
  </headerFooter>
  <rowBreaks count="5" manualBreakCount="5">
    <brk id="43" max="16383" man="1"/>
    <brk id="58" max="16383" man="1"/>
    <brk id="111" max="16383" man="1"/>
    <brk id="292" max="16383" man="1"/>
    <brk id="33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topLeftCell="A16" workbookViewId="0">
      <selection activeCell="C28" sqref="C28:D28"/>
    </sheetView>
  </sheetViews>
  <sheetFormatPr defaultRowHeight="14.4" x14ac:dyDescent="0.3"/>
  <cols>
    <col min="2" max="2" width="12.33203125" customWidth="1"/>
  </cols>
  <sheetData>
    <row r="2" spans="1:12" x14ac:dyDescent="0.3">
      <c r="B2" s="3" t="s">
        <v>99</v>
      </c>
      <c r="C2" s="225"/>
      <c r="D2" s="225"/>
    </row>
    <row r="3" spans="1:12" x14ac:dyDescent="0.3">
      <c r="D3" s="4"/>
      <c r="E3" s="4"/>
      <c r="F3" s="4"/>
      <c r="G3" s="4"/>
      <c r="H3" s="4"/>
      <c r="I3" s="4"/>
    </row>
    <row r="4" spans="1:12" x14ac:dyDescent="0.3">
      <c r="A4" s="3" t="s">
        <v>100</v>
      </c>
      <c r="B4" s="5" t="s">
        <v>101</v>
      </c>
      <c r="C4" s="226" t="s">
        <v>102</v>
      </c>
      <c r="D4" s="226"/>
      <c r="E4" s="226"/>
      <c r="F4" s="6"/>
      <c r="G4" s="226" t="s">
        <v>103</v>
      </c>
      <c r="H4" s="226"/>
      <c r="I4" s="226"/>
      <c r="J4" s="226" t="s">
        <v>104</v>
      </c>
      <c r="K4" s="226"/>
      <c r="L4" s="226"/>
    </row>
    <row r="5" spans="1:12" x14ac:dyDescent="0.3">
      <c r="A5" s="3">
        <v>1</v>
      </c>
      <c r="B5" s="5"/>
      <c r="C5" s="5" t="s">
        <v>105</v>
      </c>
      <c r="D5" s="5" t="s">
        <v>106</v>
      </c>
      <c r="E5" s="5" t="s">
        <v>80</v>
      </c>
      <c r="F5" s="5"/>
      <c r="G5" s="5" t="s">
        <v>105</v>
      </c>
      <c r="H5" s="5" t="s">
        <v>106</v>
      </c>
      <c r="I5" s="5" t="s">
        <v>80</v>
      </c>
      <c r="J5" s="5" t="s">
        <v>105</v>
      </c>
      <c r="K5" s="5" t="s">
        <v>106</v>
      </c>
      <c r="L5" s="5" t="s">
        <v>80</v>
      </c>
    </row>
    <row r="6" spans="1:12" x14ac:dyDescent="0.3">
      <c r="B6" s="7" t="s">
        <v>107</v>
      </c>
      <c r="C6" s="7">
        <v>3.05</v>
      </c>
      <c r="D6" s="7">
        <v>4.5</v>
      </c>
      <c r="E6" s="7">
        <f>C6*D6</f>
        <v>13.725</v>
      </c>
      <c r="F6" s="7" t="s">
        <v>108</v>
      </c>
      <c r="G6" s="7"/>
      <c r="H6" s="7"/>
      <c r="I6" s="7">
        <f>G6*H6</f>
        <v>0</v>
      </c>
      <c r="J6" s="7"/>
      <c r="K6" s="7"/>
      <c r="L6" s="7">
        <f>J6*K6</f>
        <v>0</v>
      </c>
    </row>
    <row r="7" spans="1:12" x14ac:dyDescent="0.3">
      <c r="B7" s="7"/>
      <c r="C7" s="7"/>
      <c r="D7" s="7"/>
      <c r="E7" s="7">
        <f t="shared" ref="E7:E33" si="0">C7*D7</f>
        <v>0</v>
      </c>
      <c r="F7" s="7" t="s">
        <v>109</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110</v>
      </c>
      <c r="C9" s="7">
        <v>2.33</v>
      </c>
      <c r="D9" s="7">
        <v>2.6</v>
      </c>
      <c r="E9" s="7">
        <f t="shared" si="0"/>
        <v>6.0580000000000007</v>
      </c>
      <c r="F9" s="7" t="s">
        <v>108</v>
      </c>
      <c r="G9" s="7"/>
      <c r="H9" s="7"/>
      <c r="I9" s="7">
        <f t="shared" si="1"/>
        <v>0</v>
      </c>
      <c r="J9" s="7"/>
      <c r="K9" s="7"/>
      <c r="L9" s="7">
        <f t="shared" si="2"/>
        <v>0</v>
      </c>
    </row>
    <row r="10" spans="1:12" x14ac:dyDescent="0.3">
      <c r="B10" s="7"/>
      <c r="C10" s="7">
        <v>1.44</v>
      </c>
      <c r="D10" s="7">
        <v>3.3</v>
      </c>
      <c r="E10" s="7">
        <f t="shared" si="0"/>
        <v>4.7519999999999998</v>
      </c>
      <c r="F10" s="7" t="s">
        <v>109</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111</v>
      </c>
      <c r="C13" s="7">
        <v>3.06</v>
      </c>
      <c r="D13" s="7">
        <v>3.35</v>
      </c>
      <c r="E13" s="7">
        <f t="shared" si="0"/>
        <v>10.251000000000001</v>
      </c>
      <c r="F13" s="7" t="s">
        <v>108</v>
      </c>
      <c r="G13" s="7"/>
      <c r="H13" s="7"/>
      <c r="I13" s="7">
        <f t="shared" si="1"/>
        <v>0</v>
      </c>
      <c r="J13" s="7"/>
      <c r="K13" s="7"/>
      <c r="L13" s="7">
        <f t="shared" si="2"/>
        <v>0</v>
      </c>
    </row>
    <row r="14" spans="1:12" x14ac:dyDescent="0.3">
      <c r="B14" s="7"/>
      <c r="C14" s="7"/>
      <c r="D14" s="7"/>
      <c r="E14" s="7">
        <f t="shared" si="0"/>
        <v>0</v>
      </c>
      <c r="F14" s="7" t="s">
        <v>109</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112</v>
      </c>
      <c r="C17" s="7">
        <v>2.98</v>
      </c>
      <c r="D17" s="7">
        <v>3.65</v>
      </c>
      <c r="E17" s="7">
        <f t="shared" si="0"/>
        <v>10.876999999999999</v>
      </c>
      <c r="F17" s="7" t="s">
        <v>108</v>
      </c>
      <c r="G17" s="7"/>
      <c r="H17" s="7"/>
      <c r="I17" s="7">
        <f t="shared" si="1"/>
        <v>0</v>
      </c>
      <c r="J17" s="7"/>
      <c r="K17" s="7"/>
      <c r="L17" s="7">
        <f t="shared" si="2"/>
        <v>0</v>
      </c>
    </row>
    <row r="18" spans="2:12" x14ac:dyDescent="0.3">
      <c r="B18" s="7"/>
      <c r="C18" s="7"/>
      <c r="D18" s="7"/>
      <c r="E18" s="7">
        <f t="shared" si="0"/>
        <v>0</v>
      </c>
      <c r="F18" s="7" t="s">
        <v>109</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112</v>
      </c>
      <c r="C20" s="7"/>
      <c r="D20" s="7"/>
      <c r="E20" s="7">
        <f t="shared" si="0"/>
        <v>0</v>
      </c>
      <c r="F20" s="7" t="s">
        <v>108</v>
      </c>
      <c r="G20" s="7"/>
      <c r="H20" s="7"/>
      <c r="I20" s="7">
        <f t="shared" si="1"/>
        <v>0</v>
      </c>
      <c r="J20" s="7"/>
      <c r="K20" s="7"/>
      <c r="L20" s="7">
        <f t="shared" si="2"/>
        <v>0</v>
      </c>
    </row>
    <row r="21" spans="2:12" x14ac:dyDescent="0.3">
      <c r="B21" s="7"/>
      <c r="C21" s="7"/>
      <c r="D21" s="7"/>
      <c r="E21" s="7">
        <f t="shared" si="0"/>
        <v>0</v>
      </c>
      <c r="F21" s="7" t="s">
        <v>109</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113</v>
      </c>
      <c r="C23" s="7">
        <v>1.43</v>
      </c>
      <c r="D23" s="7">
        <v>2.4</v>
      </c>
      <c r="E23" s="7">
        <f t="shared" si="0"/>
        <v>3.4319999999999999</v>
      </c>
      <c r="F23" s="7" t="s">
        <v>114</v>
      </c>
      <c r="G23" s="7"/>
      <c r="H23" s="7"/>
      <c r="I23" s="7">
        <f t="shared" si="1"/>
        <v>0</v>
      </c>
      <c r="J23" s="7"/>
      <c r="K23" s="7"/>
      <c r="L23" s="7">
        <f t="shared" si="2"/>
        <v>0</v>
      </c>
    </row>
    <row r="24" spans="2:12" x14ac:dyDescent="0.3">
      <c r="B24" s="7" t="s">
        <v>115</v>
      </c>
      <c r="C24" s="7">
        <v>2.2000000000000002</v>
      </c>
      <c r="D24" s="7">
        <v>1.35</v>
      </c>
      <c r="E24" s="7">
        <f t="shared" si="0"/>
        <v>2.9700000000000006</v>
      </c>
      <c r="F24" s="7" t="s">
        <v>114</v>
      </c>
      <c r="G24" s="7"/>
      <c r="H24" s="7"/>
      <c r="I24" s="7">
        <f t="shared" si="1"/>
        <v>0</v>
      </c>
      <c r="J24" s="7"/>
      <c r="K24" s="7"/>
      <c r="L24" s="7">
        <f t="shared" si="2"/>
        <v>0</v>
      </c>
    </row>
    <row r="25" spans="2:12" x14ac:dyDescent="0.3">
      <c r="B25" s="7" t="s">
        <v>116</v>
      </c>
      <c r="C25" s="7"/>
      <c r="D25" s="7"/>
      <c r="E25" s="7">
        <f t="shared" si="0"/>
        <v>0</v>
      </c>
      <c r="F25" s="7" t="s">
        <v>114</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117</v>
      </c>
      <c r="C27" s="7">
        <v>0.9</v>
      </c>
      <c r="D27" s="7">
        <v>6.15</v>
      </c>
      <c r="E27" s="7">
        <f t="shared" si="0"/>
        <v>5.5350000000000001</v>
      </c>
      <c r="F27" s="7"/>
      <c r="G27" s="7"/>
      <c r="H27" s="7"/>
      <c r="I27" s="7">
        <f t="shared" si="1"/>
        <v>0</v>
      </c>
      <c r="J27" s="7"/>
      <c r="K27" s="7"/>
      <c r="L27" s="7">
        <f t="shared" si="2"/>
        <v>0</v>
      </c>
    </row>
    <row r="28" spans="2:12" x14ac:dyDescent="0.3">
      <c r="B28" s="7" t="s">
        <v>118</v>
      </c>
      <c r="C28" s="7"/>
      <c r="D28" s="7"/>
      <c r="E28" s="7">
        <f t="shared" si="0"/>
        <v>0</v>
      </c>
      <c r="F28" s="7"/>
      <c r="G28" s="7"/>
      <c r="H28" s="7"/>
      <c r="I28" s="7">
        <f t="shared" si="1"/>
        <v>0</v>
      </c>
      <c r="J28" s="7"/>
      <c r="K28" s="7"/>
      <c r="L28" s="7">
        <f t="shared" si="2"/>
        <v>0</v>
      </c>
    </row>
    <row r="29" spans="2:12" x14ac:dyDescent="0.3">
      <c r="B29" s="7" t="s">
        <v>119</v>
      </c>
      <c r="C29" s="7">
        <v>1.5</v>
      </c>
      <c r="D29" s="7">
        <v>1.3</v>
      </c>
      <c r="E29" s="7">
        <f t="shared" si="0"/>
        <v>1.9500000000000002</v>
      </c>
      <c r="F29" s="7"/>
      <c r="G29" s="7"/>
      <c r="H29" s="7"/>
      <c r="I29" s="7">
        <f t="shared" si="1"/>
        <v>0</v>
      </c>
      <c r="J29" s="7"/>
      <c r="K29" s="7"/>
      <c r="L29" s="7">
        <f t="shared" si="2"/>
        <v>0</v>
      </c>
    </row>
    <row r="30" spans="2:12" x14ac:dyDescent="0.3">
      <c r="B30" s="7" t="s">
        <v>120</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81</v>
      </c>
      <c r="C34" s="7"/>
      <c r="D34" s="7">
        <f>E34*10.764</f>
        <v>640.99619999999993</v>
      </c>
      <c r="E34" s="7">
        <f>SUM(E6:E33)</f>
        <v>59.55</v>
      </c>
      <c r="F34" s="7"/>
      <c r="G34" s="7"/>
      <c r="H34" s="7">
        <f>I34*10.764</f>
        <v>0</v>
      </c>
      <c r="I34" s="7">
        <f>SUM(I6:I33)</f>
        <v>0</v>
      </c>
      <c r="J34" s="7"/>
      <c r="K34" s="7">
        <f>L34*10.764</f>
        <v>0</v>
      </c>
      <c r="L34" s="7">
        <f>SUM(L6:L33)</f>
        <v>0</v>
      </c>
    </row>
    <row r="36" spans="2:12" x14ac:dyDescent="0.3">
      <c r="D36">
        <f>D34+H34</f>
        <v>640.99619999999993</v>
      </c>
      <c r="E36">
        <f>E34+I34</f>
        <v>59.55</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
  <sheetViews>
    <sheetView workbookViewId="0">
      <selection activeCell="C9" sqref="C9"/>
    </sheetView>
  </sheetViews>
  <sheetFormatPr defaultRowHeight="14.4" x14ac:dyDescent="0.3"/>
  <sheetData>
    <row r="1" spans="1:3" x14ac:dyDescent="0.3">
      <c r="A1" s="10" t="s">
        <v>141</v>
      </c>
      <c r="C1" s="10"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
  <sheetViews>
    <sheetView topLeftCell="A61" workbookViewId="0">
      <selection activeCell="G14" sqref="G14"/>
    </sheetView>
  </sheetViews>
  <sheetFormatPr defaultRowHeight="14.4" x14ac:dyDescent="0.3"/>
  <cols>
    <col min="2" max="2" width="18.6640625" customWidth="1"/>
    <col min="3" max="3" width="43.109375" customWidth="1"/>
    <col min="5" max="5" width="14.5546875" customWidth="1"/>
    <col min="6" max="6" width="17" customWidth="1"/>
    <col min="7" max="7" width="16.88671875" customWidth="1"/>
    <col min="8" max="8" width="19.33203125" customWidth="1"/>
  </cols>
  <sheetData>
    <row r="1" spans="1:9" x14ac:dyDescent="0.3">
      <c r="A1" s="14"/>
      <c r="B1" s="14"/>
      <c r="C1" s="14"/>
      <c r="D1" s="14"/>
      <c r="E1" s="14"/>
      <c r="F1" s="14"/>
      <c r="G1" s="14"/>
      <c r="H1" s="14"/>
    </row>
    <row r="2" spans="1:9" x14ac:dyDescent="0.3">
      <c r="A2" s="15"/>
      <c r="B2" s="15"/>
      <c r="C2" s="15"/>
      <c r="D2" s="15"/>
      <c r="E2" s="15"/>
      <c r="F2" s="15"/>
      <c r="G2" s="15"/>
      <c r="H2" s="15"/>
    </row>
    <row r="3" spans="1:9" x14ac:dyDescent="0.3">
      <c r="A3" s="15"/>
      <c r="B3" s="227" t="s">
        <v>197</v>
      </c>
      <c r="C3" s="227"/>
      <c r="D3" s="227"/>
      <c r="E3" s="227"/>
      <c r="F3" s="227"/>
      <c r="G3" s="227"/>
      <c r="H3" s="227"/>
    </row>
    <row r="4" spans="1:9" x14ac:dyDescent="0.3">
      <c r="A4" s="15"/>
      <c r="B4" s="16" t="s">
        <v>198</v>
      </c>
      <c r="C4" s="16" t="s">
        <v>199</v>
      </c>
      <c r="D4" s="16" t="s">
        <v>100</v>
      </c>
      <c r="E4" s="16" t="s">
        <v>200</v>
      </c>
      <c r="F4" s="16" t="s">
        <v>201</v>
      </c>
      <c r="G4" s="16" t="s">
        <v>202</v>
      </c>
      <c r="H4" s="16" t="s">
        <v>203</v>
      </c>
    </row>
    <row r="5" spans="1:9" x14ac:dyDescent="0.3">
      <c r="A5" s="15"/>
      <c r="B5" s="18" t="s">
        <v>204</v>
      </c>
      <c r="C5" s="19" t="s">
        <v>143</v>
      </c>
      <c r="D5" s="18" t="s">
        <v>163</v>
      </c>
      <c r="E5" s="18">
        <v>670</v>
      </c>
      <c r="F5" s="20">
        <f>E5*1.6</f>
        <v>1072</v>
      </c>
      <c r="G5" s="20">
        <f>H5/F5</f>
        <v>11473.880597014926</v>
      </c>
      <c r="H5" s="21">
        <v>12300000</v>
      </c>
    </row>
    <row r="6" spans="1:9" x14ac:dyDescent="0.3">
      <c r="A6" s="15"/>
      <c r="B6" s="18" t="s">
        <v>204</v>
      </c>
      <c r="C6" s="19" t="s">
        <v>143</v>
      </c>
      <c r="D6" s="18" t="s">
        <v>171</v>
      </c>
      <c r="E6" s="18">
        <v>483</v>
      </c>
      <c r="F6" s="20">
        <f t="shared" ref="F6:F8" si="0">E6*1.6</f>
        <v>772.80000000000007</v>
      </c>
      <c r="G6" s="20">
        <f t="shared" ref="G6:G8" si="1">H6/F6</f>
        <v>8165.1138716356099</v>
      </c>
      <c r="H6" s="21">
        <v>6310000</v>
      </c>
    </row>
    <row r="7" spans="1:9" x14ac:dyDescent="0.3">
      <c r="A7" s="15"/>
      <c r="B7" s="18" t="s">
        <v>204</v>
      </c>
      <c r="C7" s="19" t="s">
        <v>143</v>
      </c>
      <c r="D7" s="18" t="s">
        <v>171</v>
      </c>
      <c r="E7" s="18">
        <v>407</v>
      </c>
      <c r="F7" s="20">
        <f t="shared" si="0"/>
        <v>651.20000000000005</v>
      </c>
      <c r="G7" s="20">
        <f t="shared" si="1"/>
        <v>13820.63882063882</v>
      </c>
      <c r="H7" s="21">
        <v>9000000</v>
      </c>
    </row>
    <row r="8" spans="1:9" x14ac:dyDescent="0.3">
      <c r="A8" s="15"/>
      <c r="B8" s="18" t="s">
        <v>204</v>
      </c>
      <c r="C8" s="19" t="s">
        <v>143</v>
      </c>
      <c r="D8" s="18" t="s">
        <v>164</v>
      </c>
      <c r="E8" s="18">
        <v>1025</v>
      </c>
      <c r="F8" s="20">
        <f t="shared" si="0"/>
        <v>1640</v>
      </c>
      <c r="G8" s="20">
        <f t="shared" si="1"/>
        <v>11524.390243902439</v>
      </c>
      <c r="H8" s="21">
        <v>18900000</v>
      </c>
    </row>
    <row r="9" spans="1:9" x14ac:dyDescent="0.3">
      <c r="A9" s="15"/>
      <c r="B9" s="22" t="s">
        <v>205</v>
      </c>
      <c r="C9" s="18"/>
      <c r="D9" s="18"/>
      <c r="E9" s="18"/>
      <c r="F9" s="18"/>
      <c r="G9" s="23">
        <f>AVERAGE(G5:G8)</f>
        <v>11246.005883297948</v>
      </c>
      <c r="H9" s="18"/>
    </row>
    <row r="10" spans="1:9" x14ac:dyDescent="0.3">
      <c r="A10" s="14"/>
      <c r="B10" s="22" t="s">
        <v>206</v>
      </c>
      <c r="C10" s="18"/>
      <c r="D10" s="18"/>
      <c r="E10" s="18"/>
      <c r="F10" s="24"/>
      <c r="G10" s="22">
        <v>11200</v>
      </c>
      <c r="H10" s="22"/>
      <c r="I10" s="17"/>
    </row>
    <row r="11" spans="1:9" x14ac:dyDescent="0.3">
      <c r="B11" s="14"/>
      <c r="C11" s="14"/>
      <c r="D11" s="14"/>
      <c r="E11" s="14"/>
    </row>
    <row r="12" spans="1:9" x14ac:dyDescent="0.3">
      <c r="B12" s="14"/>
      <c r="C12" s="14"/>
      <c r="D12" s="14"/>
      <c r="E12" s="14"/>
    </row>
    <row r="13" spans="1:9" x14ac:dyDescent="0.3">
      <c r="B13" s="14"/>
      <c r="C13" s="14"/>
      <c r="D13" s="14"/>
      <c r="E13" s="14"/>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Flat detail</vt:lpstr>
      <vt:lpstr>Note</vt:lpstr>
      <vt:lpstr> 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2025-09-09T07:14:22Z</cp:lastPrinted>
  <dcterms:created xsi:type="dcterms:W3CDTF">2019-07-16T09:29:46Z</dcterms:created>
  <dcterms:modified xsi:type="dcterms:W3CDTF">2025-09-09T07:17:20Z</dcterms:modified>
</cp:coreProperties>
</file>