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F5EFD131-C40A-48A1-82B9-693B27864FB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I65" i="1"/>
  <c r="Q101" i="1" l="1"/>
  <c r="L88" i="1" l="1"/>
  <c r="L83" i="1"/>
  <c r="C101" i="1" l="1"/>
  <c r="I61" i="1" l="1"/>
  <c r="N74" i="1"/>
  <c r="M88" i="1"/>
  <c r="M103" i="1"/>
  <c r="C75" i="1" l="1"/>
  <c r="C76" i="1" s="1"/>
  <c r="C90" i="1"/>
  <c r="C103" i="1"/>
  <c r="C104" i="1" s="1"/>
  <c r="C122" i="1" l="1"/>
  <c r="E3" i="1" l="1"/>
  <c r="E40" i="1" l="1"/>
  <c r="J212" i="1" l="1"/>
  <c r="D213" i="1"/>
  <c r="D212" i="1"/>
  <c r="D210" i="1"/>
  <c r="F210" i="1" s="1"/>
  <c r="D209" i="1"/>
  <c r="F209" i="1" s="1"/>
  <c r="F213" i="1"/>
  <c r="G212" i="1"/>
  <c r="F212" i="1"/>
  <c r="A210" i="1"/>
  <c r="G209" i="1"/>
  <c r="D203" i="1"/>
  <c r="F203" i="1" s="1"/>
  <c r="D202" i="1"/>
  <c r="F202" i="1" s="1"/>
  <c r="D200" i="1"/>
  <c r="D199" i="1"/>
  <c r="F199" i="1" s="1"/>
  <c r="G202" i="1"/>
  <c r="F200" i="1"/>
  <c r="A200" i="1"/>
  <c r="G199" i="1"/>
  <c r="D179" i="1"/>
  <c r="D178" i="1"/>
  <c r="F178" i="1" s="1"/>
  <c r="D177" i="1"/>
  <c r="F177" i="1" s="1"/>
  <c r="D176" i="1"/>
  <c r="F179" i="1"/>
  <c r="A177" i="1"/>
  <c r="A178" i="1" s="1"/>
  <c r="A179" i="1" s="1"/>
  <c r="K176" i="1"/>
  <c r="J176" i="1"/>
  <c r="G176" i="1"/>
  <c r="G177" i="1" s="1"/>
  <c r="G178" i="1" s="1"/>
  <c r="G179" i="1" s="1"/>
  <c r="D192" i="1"/>
  <c r="D191" i="1"/>
  <c r="D189" i="1"/>
  <c r="D188" i="1"/>
  <c r="D172" i="1"/>
  <c r="D171" i="1"/>
  <c r="D170" i="1"/>
  <c r="D169" i="1"/>
  <c r="D168" i="1"/>
  <c r="Q202" i="1"/>
  <c r="Q212" i="1"/>
  <c r="R212" i="1"/>
  <c r="R202" i="1"/>
  <c r="E153" i="1" l="1"/>
  <c r="C152" i="1"/>
  <c r="C157" i="1"/>
  <c r="G158" i="1"/>
  <c r="G159" i="1"/>
  <c r="E157" i="1"/>
  <c r="E152" i="1"/>
  <c r="E154" i="1" s="1"/>
  <c r="C153" i="1"/>
  <c r="C154" i="1" s="1"/>
  <c r="E158" i="1"/>
  <c r="F176" i="1"/>
  <c r="G153" i="1" s="1"/>
  <c r="C158" i="1"/>
  <c r="E159" i="1"/>
  <c r="C159" i="1"/>
  <c r="Q213" i="1"/>
  <c r="P212" i="1"/>
  <c r="R213" i="1"/>
  <c r="Q203" i="1"/>
  <c r="P202" i="1"/>
  <c r="R203" i="1"/>
  <c r="J168" i="1"/>
  <c r="K168" i="1"/>
  <c r="C160" i="1" l="1"/>
  <c r="E160" i="1"/>
  <c r="P213" i="1"/>
  <c r="P203" i="1"/>
  <c r="C120" i="1"/>
  <c r="J133" i="1"/>
  <c r="J132" i="1"/>
  <c r="J131" i="1"/>
  <c r="J92" i="1"/>
  <c r="J91" i="1"/>
  <c r="J90" i="1"/>
  <c r="J85" i="1" l="1"/>
  <c r="D94" i="1"/>
  <c r="D92" i="1"/>
  <c r="D90" i="1"/>
  <c r="D88" i="1"/>
  <c r="J86" i="1"/>
  <c r="C85" i="1" s="1"/>
  <c r="D85" i="1" s="1"/>
  <c r="J84" i="1"/>
  <c r="J87" i="1"/>
  <c r="J88" i="1" s="1"/>
  <c r="J89" i="1" s="1"/>
  <c r="D93" i="1"/>
  <c r="D91" i="1"/>
  <c r="D89" i="1"/>
  <c r="D87" i="1"/>
  <c r="J93" i="1" l="1"/>
  <c r="J94" i="1" s="1"/>
  <c r="C86" i="1" s="1"/>
  <c r="G85" i="1" s="1"/>
  <c r="A216" i="1"/>
  <c r="A217" i="1" s="1"/>
  <c r="A218" i="1" s="1"/>
  <c r="A219" i="1" s="1"/>
  <c r="A220" i="1" s="1"/>
  <c r="A221" i="1" s="1"/>
  <c r="A223" i="1" s="1"/>
  <c r="E85" i="1" l="1"/>
  <c r="I81" i="1" s="1"/>
  <c r="C83" i="1" s="1"/>
  <c r="D86" i="1"/>
  <c r="Q191" i="1"/>
  <c r="R191" i="1"/>
  <c r="C95" i="1" l="1"/>
  <c r="J117" i="1"/>
  <c r="J116" i="1"/>
  <c r="J106" i="1"/>
  <c r="J105" i="1"/>
  <c r="J78" i="1"/>
  <c r="J77" i="1"/>
  <c r="D119" i="1" l="1"/>
  <c r="D115" i="1"/>
  <c r="J111" i="1"/>
  <c r="C110" i="1" s="1"/>
  <c r="J109" i="1"/>
  <c r="D114" i="1"/>
  <c r="D118" i="1"/>
  <c r="J112" i="1"/>
  <c r="J113" i="1" s="1"/>
  <c r="J118" i="1" s="1"/>
  <c r="J110" i="1"/>
  <c r="D113" i="1"/>
  <c r="D117" i="1"/>
  <c r="D116" i="1"/>
  <c r="D112" i="1"/>
  <c r="D101" i="1"/>
  <c r="J99" i="1"/>
  <c r="J101" i="1"/>
  <c r="J102" i="1" s="1"/>
  <c r="J107" i="1" s="1"/>
  <c r="D108" i="1"/>
  <c r="D104" i="1"/>
  <c r="J100" i="1"/>
  <c r="C99" i="1" s="1"/>
  <c r="D99" i="1" s="1"/>
  <c r="J98" i="1"/>
  <c r="D106" i="1"/>
  <c r="D102" i="1"/>
  <c r="D105" i="1"/>
  <c r="D107" i="1"/>
  <c r="D103" i="1"/>
  <c r="D73" i="1"/>
  <c r="D79" i="1"/>
  <c r="J71" i="1"/>
  <c r="D80" i="1"/>
  <c r="D76" i="1"/>
  <c r="J72" i="1"/>
  <c r="C71" i="1" s="1"/>
  <c r="D71" i="1" s="1"/>
  <c r="J70" i="1"/>
  <c r="D75" i="1"/>
  <c r="D78" i="1"/>
  <c r="D74" i="1"/>
  <c r="J73" i="1"/>
  <c r="J74" i="1" s="1"/>
  <c r="D77" i="1"/>
  <c r="G46" i="1"/>
  <c r="J79" i="1" l="1"/>
  <c r="J114" i="1"/>
  <c r="J115" i="1" s="1"/>
  <c r="D110" i="1"/>
  <c r="J103" i="1"/>
  <c r="J104" i="1" s="1"/>
  <c r="J75" i="1"/>
  <c r="J76" i="1" s="1"/>
  <c r="J119" i="1" l="1"/>
  <c r="C111" i="1" s="1"/>
  <c r="J108" i="1"/>
  <c r="C100" i="1" s="1"/>
  <c r="J80" i="1"/>
  <c r="C72" i="1" s="1"/>
  <c r="A189" i="1"/>
  <c r="E110" i="1" l="1"/>
  <c r="D111" i="1"/>
  <c r="G110" i="1"/>
  <c r="E99" i="1"/>
  <c r="I95" i="1" s="1"/>
  <c r="C97" i="1" s="1"/>
  <c r="D100" i="1"/>
  <c r="G99" i="1"/>
  <c r="E71" i="1"/>
  <c r="I67" i="1" s="1"/>
  <c r="C69" i="1" s="1"/>
  <c r="D72" i="1"/>
  <c r="G71" i="1"/>
  <c r="P191" i="1"/>
  <c r="H121" i="1"/>
  <c r="D135" i="1" l="1"/>
  <c r="D133" i="1"/>
  <c r="D131" i="1"/>
  <c r="D129" i="1"/>
  <c r="J127" i="1"/>
  <c r="C126" i="1" s="1"/>
  <c r="J125" i="1"/>
  <c r="D132" i="1"/>
  <c r="J128" i="1"/>
  <c r="J129" i="1" s="1"/>
  <c r="J134" i="1" s="1"/>
  <c r="D134" i="1"/>
  <c r="D130" i="1"/>
  <c r="D128" i="1"/>
  <c r="J126" i="1"/>
  <c r="D65" i="1"/>
  <c r="J130" i="1" l="1"/>
  <c r="J135" i="1"/>
  <c r="C127" i="1" s="1"/>
  <c r="G126" i="1" s="1"/>
  <c r="D126" i="1"/>
  <c r="D66" i="1"/>
  <c r="E126" i="1" l="1"/>
  <c r="I120" i="1" s="1"/>
  <c r="D127" i="1"/>
  <c r="C13" i="1"/>
  <c r="F192" i="1" l="1"/>
  <c r="F191" i="1"/>
  <c r="F189" i="1"/>
  <c r="F188" i="1"/>
  <c r="F168" i="1"/>
  <c r="G168" i="1"/>
  <c r="G169" i="1" s="1"/>
  <c r="G170" i="1" s="1"/>
  <c r="G171" i="1" s="1"/>
  <c r="G172" i="1" s="1"/>
  <c r="A169" i="1"/>
  <c r="A170" i="1" s="1"/>
  <c r="A171" i="1" s="1"/>
  <c r="A172" i="1" s="1"/>
  <c r="F169" i="1"/>
  <c r="F170" i="1"/>
  <c r="F171" i="1"/>
  <c r="F172" i="1"/>
  <c r="G157" i="1" l="1"/>
  <c r="G160" i="1" s="1"/>
  <c r="G152" i="1"/>
  <c r="G154" i="1" s="1"/>
  <c r="J155" i="1" s="1"/>
  <c r="Q192" i="1"/>
  <c r="R192" i="1" l="1"/>
  <c r="G191" i="1"/>
  <c r="G188" i="1"/>
  <c r="E24" i="1"/>
  <c r="E22" i="1"/>
  <c r="P192" i="1" l="1"/>
  <c r="E7" i="1" l="1"/>
  <c r="D234" i="1" l="1"/>
  <c r="F149" i="1"/>
  <c r="C46" i="1"/>
  <c r="D54" i="1"/>
</calcChain>
</file>

<file path=xl/sharedStrings.xml><?xml version="1.0" encoding="utf-8"?>
<sst xmlns="http://schemas.openxmlformats.org/spreadsheetml/2006/main" count="442" uniqueCount="228">
  <si>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</si>
  <si>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</si>
  <si>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</si>
  <si>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</si>
  <si>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</si>
  <si>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</si>
  <si>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</si>
  <si>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</si>
  <si>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</si>
  <si>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</si>
  <si>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</si>
  <si>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</si>
  <si>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</si>
  <si>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</si>
  <si>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</si>
  <si>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</si>
  <si>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</si>
  <si>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</si>
  <si>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</si>
  <si>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</si>
  <si>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</si>
  <si>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</si>
  <si>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</si>
  <si>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</si>
  <si>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</si>
  <si>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</si>
  <si>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</si>
  <si>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</si>
  <si>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</si>
  <si>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</si>
  <si>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</si>
  <si>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</si>
  <si>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</si>
  <si>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</si>
  <si>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</si>
  <si>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</si>
  <si>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</si>
  <si>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</si>
  <si>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</si>
  <si>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</si>
  <si>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</si>
  <si>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</si>
  <si>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</si>
  <si>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</si>
  <si>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</si>
  <si>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</si>
  <si>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</si>
  <si>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</si>
  <si>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</si>
  <si>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</si>
  <si>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</si>
  <si>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</si>
  <si>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</si>
  <si>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</si>
  <si>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</si>
  <si>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</si>
  <si>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</si>
  <si>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</si>
  <si>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</si>
  <si>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</si>
  <si>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</si>
  <si>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</si>
  <si>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</si>
  <si>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</si>
  <si>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</si>
  <si>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</si>
  <si>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</si>
  <si>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</si>
  <si>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</si>
  <si>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</si>
  <si>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</si>
  <si>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</si>
  <si>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</si>
  <si>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</si>
  <si>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</si>
  <si>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</si>
  <si>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</si>
  <si>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</si>
  <si>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</si>
  <si>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</si>
  <si>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</si>
  <si>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</si>
  <si>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</si>
  <si>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</si>
  <si>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</si>
  <si>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</si>
  <si>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</si>
  <si>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</si>
  <si>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</si>
  <si>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</si>
  <si>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</si>
  <si>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</si>
  <si>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</si>
  <si>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</si>
  <si>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</si>
  <si>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</si>
  <si>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</si>
  <si>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</si>
  <si>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</si>
  <si>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Club Charges</t>
  </si>
  <si>
    <t>Legal Services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</si>
  <si>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</si>
  <si>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</si>
  <si>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</si>
  <si>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</si>
  <si>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</si>
  <si>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</si>
  <si>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</si>
  <si>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</si>
  <si>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</si>
  <si>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</si>
  <si>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</si>
  <si>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</si>
  <si>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</si>
  <si>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</si>
  <si>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</si>
  <si>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</si>
  <si>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</si>
  <si>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have considered rate by verifying it from market inquire.</t>
  </si>
  <si>
    <t>Car parking is subjected to authentic documentation.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</si>
  <si>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</si>
  <si>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</si>
  <si>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</si>
  <si>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</si>
  <si>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</si>
  <si>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</si>
  <si>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</si>
  <si>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</si>
  <si>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</si>
  <si>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</si>
  <si>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</si>
  <si>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</si>
  <si>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</si>
  <si>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</si>
  <si>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</si>
  <si>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</si>
  <si>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</si>
  <si>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</si>
  <si>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</si>
  <si>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</si>
  <si>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Recommended rate of the Office Per Sq. Ft. (on Saleable area)</t>
  </si>
  <si>
    <t xml:space="preserve">Violations Observed if any : </t>
  </si>
  <si>
    <t xml:space="preserve">Material laying at Site : </t>
  </si>
  <si>
    <t>Saleable area Loading :</t>
  </si>
  <si>
    <t>1) We have personally visited the property.</t>
  </si>
  <si>
    <r>
      <t>Vitrified tiles flooring, Kitchen Platform, Decorative Enternace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</si>
  <si>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</si>
  <si>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 xml:space="preserve">M/s.Sheth Developers Private Limited </t>
  </si>
  <si>
    <t>Building A to H</t>
  </si>
  <si>
    <t>Avinash 9870474931 
Rajesh Sir 9152004960</t>
  </si>
  <si>
    <t>Thane</t>
  </si>
  <si>
    <t xml:space="preserve">48/1 To 4 </t>
  </si>
  <si>
    <t>Mumbai - Agra National Highway</t>
  </si>
  <si>
    <t>Jupiter Hospital</t>
  </si>
  <si>
    <t>Viviana Mall</t>
  </si>
  <si>
    <t>Building</t>
  </si>
  <si>
    <t>Mumbai - Agra Highway</t>
  </si>
  <si>
    <t>3.8Km from Thane Railway Station</t>
  </si>
  <si>
    <t>08 Building</t>
  </si>
  <si>
    <t>As per RERA - 30/12/2025.</t>
  </si>
  <si>
    <t>Infrastructure / Development Charges</t>
  </si>
  <si>
    <t>1,00,750/-</t>
  </si>
  <si>
    <t>5,00,000/-</t>
  </si>
  <si>
    <t>Building A = Bs + Gr + 4P + Upper St + 1st to 49th Floor</t>
  </si>
  <si>
    <t>Building A &amp; B  = Bs + Gr + 4P + Upper St + 1st to 49th Floor</t>
  </si>
  <si>
    <t>Building B = Bs + Gr + 4P + Upper St + 1st to 49th Floor</t>
  </si>
  <si>
    <t xml:space="preserve">Residential </t>
  </si>
  <si>
    <t>S No</t>
  </si>
  <si>
    <t>1,20,000/-</t>
  </si>
  <si>
    <t>Infrastructure / Development,Water, Electricity, Charges</t>
  </si>
  <si>
    <t>5,000/-</t>
  </si>
  <si>
    <t xml:space="preserve">Details of project are collected from Mr.Manoj. </t>
  </si>
  <si>
    <t>Sheth Avalon - Phase 1 &amp; 2</t>
  </si>
  <si>
    <t>SO4/0098/16(2007/60)TMC/TD-DP/TPS/4232/22</t>
  </si>
  <si>
    <t xml:space="preserve">Approved Floor plan No.  
(Buiding Type A, B &amp; C)
</t>
  </si>
  <si>
    <t>Building A to C -
V.PNo.S04/0098/16(2007/60)/TMC/TDD/4232/22
Building F &amp; H - V.P.No.S04/0098/16(2007/60)TMC/TDD/2549/18
Building D &amp; E - V.P.No.S04/0098/16(2007/60)TMC/TDD/2389/17
Building G -
V.P.No.S04/0098/16(2007/60)TMC/TDD/2914/18</t>
  </si>
  <si>
    <t>20/10/2022
21/04/2018.
09/11/2017.
15/12/2018.</t>
  </si>
  <si>
    <t>Valid Up to:
Building A = B + Gr(Pt) + St(Pt) + 4P + Upper Stilt + 1st to 11th Floor
Building B = B + Gr(Pt) + St(Pt) + 4P + Upper Stilt + 1st to 10th Floor
Building C = Stilt + 4P + Upper stilt + 1st to 15th Floor
Building F = St + 4P + Upper St + 1st to 28th Floor
Building H = Bs + St + 1st (Pt. Park Floor) + 1st to 15th Floor
Building D = St + 4P + Upper St + 1st to 28th Floor
Building E = St + 4P + Upper St + 1st to 28th Floor
Building G = Bs + St + 1st (Pt. Park Floor) + 1st to 30th Floor</t>
  </si>
  <si>
    <t>Building A &amp; B = B + Gr(Pt) + Stilt(Pt) + 4P + Upper Stilt + 1st to 32nd Floor
Building C = Stilt + 4P + Upper stilt + 1st to 28th Floor
Building D = St + 4P + Upper St + 1st to 28th Floor
Building E = St + 4P + Upper St + 1st to 28th Floor
Building F = St + 4P + Upper St + 1st to 28th Floor
Building G = Bs + St + 1st (Pt. Park Floor) + 1st to 30th Floor
Building H = Bs + St + 1st (Pt. Park Floor) + 1st to 15th Floor</t>
  </si>
  <si>
    <t>Phase I (Bldg No.D to H) = P51700001729
Phase II (Bldg No.A to C) = P51700015517</t>
  </si>
  <si>
    <t>Building C  = Gr + 4P + Upper St + 1st to 28th Floor</t>
  </si>
  <si>
    <t>Basement Floor for (Enternace Lobby &amp; Parking)</t>
  </si>
  <si>
    <t>Ground Floor for Commercial</t>
  </si>
  <si>
    <t xml:space="preserve">Shop (Duplex With 1st Mezzanine Floor) </t>
  </si>
  <si>
    <t>2nd to 4th Podium Floor</t>
  </si>
  <si>
    <t>1st, 3rd to 6th, 8th to 10th, 12th to 15th, 17th to 20th, 22nd to 25th, 27th to 30th &amp; 32nd Floor</t>
  </si>
  <si>
    <t>1st Mezzanine/Podium Floor for Commercial &amp; Parking</t>
  </si>
  <si>
    <t>4BHK</t>
  </si>
  <si>
    <t>3BHK</t>
  </si>
  <si>
    <t>2nd, 7th, 11th, 16th, 21st, 26th &amp; 31st Floor (Part Refuge Area)</t>
  </si>
  <si>
    <t>2BHK</t>
  </si>
  <si>
    <t xml:space="preserve">2nd &amp; 3rd Podium Floor for Amenities </t>
  </si>
  <si>
    <t>4th Podium Floor for Parking</t>
  </si>
  <si>
    <t>Building Type B</t>
  </si>
  <si>
    <t>Building Type A</t>
  </si>
  <si>
    <t>Building Type C</t>
  </si>
  <si>
    <t>Stilt Floor for Entrance Lobby &amp; Parking</t>
  </si>
  <si>
    <t>1st to 3rd Podium Floor for Parking</t>
  </si>
  <si>
    <t>4th &amp; Upper Stilt Floor for Fitness Center &amp; Parking</t>
  </si>
  <si>
    <t>1st, 2nd, 4th, 5th, 7th to 10th, 12th to 15th, 17th to 20th, 22nd to 25th, 27th to 28th Floor</t>
  </si>
  <si>
    <t>3rd, 6th, 11th, 16th, 21st &amp; 26th Floor (Part Refuge Area)</t>
  </si>
  <si>
    <t>5BHK</t>
  </si>
  <si>
    <t>Total</t>
  </si>
  <si>
    <t>Flats - 184, Shop - 9</t>
  </si>
  <si>
    <t>Upper Stilt Floor for Parking</t>
  </si>
  <si>
    <t>Upper Stilt Floor</t>
  </si>
  <si>
    <t>CC, Approved Floor Plan</t>
  </si>
  <si>
    <t>We have Updated CC &amp; Approved Floor plan of Building Type A, B &amp; C (on23/11/2022).</t>
  </si>
  <si>
    <t>Recommended rate of the flat Per Sq. Ft. (on Saleable area)</t>
  </si>
  <si>
    <t>65/- from 4th Floor</t>
  </si>
  <si>
    <t>Recommended rate of the shop Per Sq. Ft. (on Saleable area)
(Ground + 1st Mezzanine Floor)</t>
  </si>
  <si>
    <t>Location Link</t>
  </si>
  <si>
    <t>https://goo.gl/maps/J3Utr8KhYXo9FmbAA?coh=178572&amp;entry=tt</t>
  </si>
  <si>
    <t>V.P. No.S04/0098/16 (2007/60)TMC/TDD/OCC/0755/19
Approved upto : Building D = St + 4P + Upper St + 1st to 28th Floor</t>
  </si>
  <si>
    <t>V.P. No.S04/0098/16 (2007/60)TMC/TDD/OCC/0804/20
Approved upto : Building E &amp; F = St + 4P + Upper St + 1st to 28th Floor</t>
  </si>
  <si>
    <t>V.P. No.S04/0098/16 (2007/60)TMC/TDD/OCC/0723/19
Approved upto : Building G = Bs + St + 1st (Pt. Park Floor) + 1st to 30th Floor</t>
  </si>
  <si>
    <t>Building D, E, F = St + 4P + Upper St + 1st to 28th Floor
Building G &amp; H =  Bs + St + 1st (Pt. Park Floor) + 1st to 30th Floor</t>
  </si>
  <si>
    <t>V.P. No.S04/0098/16 (2007/60)TMC/TDD/OCC/0911/21
Approved upto : Building H = Bs + St + 1st (Pt. Park Floor) + 1st to 30th Floor</t>
  </si>
  <si>
    <t>O. Certificate No.: 
(Phase I )</t>
  </si>
  <si>
    <t>We have updated OC of Phase I (Building D to H ) from Rera (On 05/05/2023).</t>
  </si>
  <si>
    <t>Ground floor Commercial shops - RCC, Brick, Internal plaster, External plaster &amp; shutter work is completed (i.e Progress % = 75% &amp; Disbursement % = 80%)</t>
  </si>
  <si>
    <t xml:space="preserve">On Site, we meet Mr.Rajesh (Sales) 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</si>
  <si>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</si>
  <si>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Ajay Songare</t>
  </si>
  <si>
    <t>60 Years After Completion</t>
  </si>
  <si>
    <t>Please provide revised approved CC.</t>
  </si>
  <si>
    <t>Kunal Kadam</t>
  </si>
  <si>
    <t>Bldg A to C - Construction work is in process at the time of visit (Internal Visit not allowed). Slow Speed.
Bldg D to H - All work Completed. OC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</si>
</sst>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indexed="8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0" xfId="4"/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19" fillId="0" borderId="11" xfId="1" applyFont="1" applyBorder="1" applyProtection="1">
      <protection hidden="1"/>
    </xf>
    <xf numFmtId="0" fontId="19" fillId="0" borderId="0" xfId="1" applyFont="1" applyProtection="1">
      <protection hidden="1"/>
    </xf>
    <xf numFmtId="0" fontId="22" fillId="0" borderId="0" xfId="0" applyFont="1" applyProtection="1">
      <protection hidden="1"/>
    </xf>
    <xf numFmtId="0" fontId="22" fillId="0" borderId="14" xfId="0" applyFont="1" applyBorder="1" applyProtection="1">
      <protection hidden="1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1" fillId="0" borderId="19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0" xfId="1" applyFont="1"/>
    <xf numFmtId="0" fontId="7" fillId="0" borderId="0" xfId="1" applyFont="1"/>
    <xf numFmtId="0" fontId="20" fillId="0" borderId="0" xfId="1" applyFont="1"/>
    <xf numFmtId="0" fontId="14" fillId="0" borderId="0" xfId="1" applyFont="1"/>
    <xf numFmtId="0" fontId="11" fillId="0" borderId="1" xfId="1" applyFont="1" applyBorder="1" applyAlignment="1" applyProtection="1">
      <alignment vertical="top"/>
      <protection locked="0"/>
    </xf>
    <xf numFmtId="0" fontId="21" fillId="0" borderId="0" xfId="1" applyFont="1"/>
    <xf numFmtId="0" fontId="11" fillId="0" borderId="0" xfId="1" applyFont="1"/>
    <xf numFmtId="1" fontId="19" fillId="0" borderId="0" xfId="1" applyNumberFormat="1" applyFont="1"/>
    <xf numFmtId="14" fontId="19" fillId="0" borderId="0" xfId="1" applyNumberFormat="1" applyFont="1"/>
    <xf numFmtId="0" fontId="19" fillId="0" borderId="12" xfId="1" applyFont="1" applyBorder="1" applyProtection="1">
      <protection hidden="1"/>
    </xf>
    <xf numFmtId="0" fontId="19" fillId="0" borderId="13" xfId="1" applyFont="1" applyBorder="1" applyProtection="1">
      <protection hidden="1"/>
    </xf>
    <xf numFmtId="0" fontId="19" fillId="0" borderId="13" xfId="1" applyFont="1" applyBorder="1"/>
    <xf numFmtId="0" fontId="11" fillId="0" borderId="1" xfId="1" applyFont="1" applyBorder="1" applyAlignment="1" applyProtection="1">
      <alignment horizontal="center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0" fontId="22" fillId="0" borderId="13" xfId="0" applyFont="1" applyBorder="1" applyProtection="1"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1" fontId="23" fillId="0" borderId="13" xfId="0" applyNumberFormat="1" applyFont="1" applyBorder="1"/>
    <xf numFmtId="1" fontId="23" fillId="0" borderId="13" xfId="0" applyNumberFormat="1" applyFont="1" applyBorder="1" applyAlignment="1">
      <alignment horizontal="right"/>
    </xf>
    <xf numFmtId="0" fontId="11" fillId="0" borderId="7" xfId="1" applyFont="1" applyBorder="1" applyAlignment="1" applyProtection="1">
      <alignment horizontal="center" wrapText="1"/>
      <protection locked="0"/>
    </xf>
    <xf numFmtId="9" fontId="11" fillId="0" borderId="7" xfId="1" applyNumberFormat="1" applyFont="1" applyBorder="1" applyAlignment="1" applyProtection="1">
      <alignment horizontal="center" vertical="center" wrapText="1"/>
      <protection hidden="1"/>
    </xf>
    <xf numFmtId="1" fontId="23" fillId="0" borderId="15" xfId="0" applyNumberFormat="1" applyFont="1" applyBorder="1"/>
    <xf numFmtId="0" fontId="15" fillId="0" borderId="0" xfId="1" applyFont="1"/>
    <xf numFmtId="0" fontId="24" fillId="0" borderId="0" xfId="2" applyFont="1"/>
    <xf numFmtId="0" fontId="6" fillId="0" borderId="0" xfId="2" applyFont="1"/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" fontId="19" fillId="0" borderId="1" xfId="1" applyNumberFormat="1" applyFont="1" applyBorder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19" fillId="0" borderId="0" xfId="1" applyFont="1" applyAlignment="1" applyProtection="1">
      <alignment horizontal="center" vertical="center"/>
      <protection hidden="1"/>
    </xf>
    <xf numFmtId="0" fontId="19" fillId="0" borderId="13" xfId="1" applyFont="1" applyBorder="1" applyAlignment="1" applyProtection="1">
      <alignment horizontal="center" vertical="center"/>
      <protection hidden="1"/>
    </xf>
    <xf numFmtId="1" fontId="19" fillId="0" borderId="0" xfId="0" applyNumberFormat="1" applyFont="1" applyAlignment="1">
      <alignment horizontal="center" vertical="center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12" fillId="0" borderId="24" xfId="0" applyNumberFormat="1" applyFont="1" applyBorder="1" applyAlignment="1" applyProtection="1">
      <alignment vertical="top" wrapText="1"/>
      <protection locked="0"/>
    </xf>
    <xf numFmtId="1" fontId="12" fillId="0" borderId="10" xfId="0" applyNumberFormat="1" applyFont="1" applyBorder="1" applyAlignment="1" applyProtection="1">
      <alignment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66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66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0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 wrapText="1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9" fontId="11" fillId="0" borderId="7" xfId="1" applyNumberFormat="1" applyFont="1" applyBorder="1" applyAlignment="1" applyProtection="1">
      <alignment horizontal="center" vertical="center" wrapText="1"/>
      <protection hidden="1"/>
    </xf>
    <xf numFmtId="9" fontId="11" fillId="0" borderId="5" xfId="1" applyNumberFormat="1" applyFont="1" applyBorder="1" applyAlignment="1" applyProtection="1">
      <alignment horizontal="center" vertical="center" wrapText="1"/>
      <protection hidden="1"/>
    </xf>
    <xf numFmtId="9" fontId="11" fillId="0" borderId="8" xfId="1" applyNumberFormat="1" applyFont="1" applyBorder="1" applyAlignment="1" applyProtection="1">
      <alignment horizontal="center" vertical="center" wrapText="1"/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9" fontId="12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21" xfId="1" applyFont="1" applyBorder="1" applyAlignment="1" applyProtection="1">
      <alignment horizontal="center" vertical="center" wrapText="1"/>
      <protection locked="0"/>
    </xf>
    <xf numFmtId="0" fontId="12" fillId="0" borderId="36" xfId="1" applyFont="1" applyBorder="1" applyAlignment="1" applyProtection="1">
      <alignment horizontal="center" vertical="center" wrapText="1"/>
      <protection locked="0"/>
    </xf>
    <xf numFmtId="0" fontId="12" fillId="0" borderId="35" xfId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1" fontId="12" fillId="0" borderId="27" xfId="0" applyNumberFormat="1" applyFont="1" applyBorder="1" applyAlignment="1" applyProtection="1">
      <alignment vertical="top" wrapText="1"/>
      <protection locked="0"/>
    </xf>
    <xf numFmtId="1" fontId="12" fillId="0" borderId="21" xfId="0" applyNumberFormat="1" applyFont="1" applyBorder="1" applyAlignment="1" applyProtection="1">
      <alignment vertical="top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34" xfId="1" applyFont="1" applyBorder="1" applyAlignment="1" applyProtection="1">
      <alignment horizontal="center" vertical="center"/>
      <protection locked="0"/>
    </xf>
    <xf numFmtId="0" fontId="12" fillId="0" borderId="35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1" fillId="0" borderId="32" xfId="1" applyFont="1" applyBorder="1" applyAlignment="1" applyProtection="1">
      <alignment horizontal="center" vertical="top" wrapText="1"/>
      <protection locked="0"/>
    </xf>
    <xf numFmtId="0" fontId="11" fillId="0" borderId="19" xfId="1" applyFont="1" applyBorder="1" applyAlignment="1" applyProtection="1">
      <alignment horizontal="center" vertical="top" wrapText="1"/>
      <protection locked="0"/>
    </xf>
    <xf numFmtId="0" fontId="11" fillId="0" borderId="33" xfId="1" applyFont="1" applyBorder="1" applyAlignment="1" applyProtection="1">
      <alignment horizontal="center" vertical="top" wrapText="1"/>
      <protection locked="0"/>
    </xf>
    <xf numFmtId="0" fontId="12" fillId="0" borderId="31" xfId="1" applyFont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center" vertical="center" wrapText="1"/>
      <protection locked="0"/>
    </xf>
    <xf numFmtId="0" fontId="11" fillId="0" borderId="28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29" xfId="1" applyFont="1" applyBorder="1" applyAlignment="1" applyProtection="1">
      <alignment horizontal="left" vertical="top" wrapText="1"/>
      <protection locked="0"/>
    </xf>
    <xf numFmtId="0" fontId="11" fillId="0" borderId="2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25" fillId="0" borderId="9" xfId="9" applyFill="1" applyBorder="1" applyAlignment="1" applyProtection="1">
      <alignment horizontal="center"/>
      <protection locked="0"/>
    </xf>
    <xf numFmtId="0" fontId="7" fillId="0" borderId="24" xfId="1" applyFont="1" applyBorder="1" applyAlignment="1" applyProtection="1">
      <alignment horizont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0" fontId="8" fillId="0" borderId="24" xfId="1" applyFont="1" applyBorder="1" applyAlignment="1" applyProtection="1">
      <alignment horizontal="center" vertical="top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365055</xdr:colOff>
      <xdr:row>278</xdr:row>
      <xdr:rowOff>6464</xdr:rowOff>
    </xdr:from>
    <xdr:to>
      <xdr:col>6</xdr:col>
      <xdr:colOff>412530</xdr:colOff>
      <xdr:row>292</xdr:row>
      <xdr:rowOff>58704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7055" y="62622349"/>
          <a:ext cx="4209167" cy="28218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372813</xdr:colOff>
      <xdr:row>292</xdr:row>
      <xdr:rowOff>193487</xdr:rowOff>
    </xdr:from>
    <xdr:to>
      <xdr:col>6</xdr:col>
      <xdr:colOff>420288</xdr:colOff>
      <xdr:row>307</xdr:row>
      <xdr:rowOff>47897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4813" y="65556968"/>
          <a:ext cx="4209167" cy="28218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323851</xdr:colOff>
      <xdr:row>234</xdr:row>
      <xdr:rowOff>134083</xdr:rowOff>
    </xdr:from>
    <xdr:to>
      <xdr:col>10</xdr:col>
      <xdr:colOff>209551</xdr:colOff>
      <xdr:row>235</xdr:row>
      <xdr:rowOff>192698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439151" y="61913233"/>
          <a:ext cx="628650" cy="258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A</a:t>
          </a:r>
        </a:p>
      </xdr:txBody>
    </xdr:sp>
    <xdr:clientData/>
  </xdr:twoCellAnchor>
  <xdr:twoCellAnchor>
    <xdr:from>
      <xdr:col>15</xdr:col>
      <xdr:colOff>103066</xdr:colOff>
      <xdr:row>233</xdr:row>
      <xdr:rowOff>0</xdr:rowOff>
    </xdr:from>
    <xdr:to>
      <xdr:col>16</xdr:col>
      <xdr:colOff>78888</xdr:colOff>
      <xdr:row>234</xdr:row>
      <xdr:rowOff>58615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799641" y="60369450"/>
          <a:ext cx="671147" cy="258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B</a:t>
          </a:r>
        </a:p>
      </xdr:txBody>
    </xdr:sp>
    <xdr:clientData/>
  </xdr:twoCellAnchor>
  <xdr:twoCellAnchor>
    <xdr:from>
      <xdr:col>9</xdr:col>
      <xdr:colOff>67838</xdr:colOff>
      <xdr:row>245</xdr:row>
      <xdr:rowOff>83283</xdr:rowOff>
    </xdr:from>
    <xdr:to>
      <xdr:col>10</xdr:col>
      <xdr:colOff>430</xdr:colOff>
      <xdr:row>246</xdr:row>
      <xdr:rowOff>141898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754513" y="62843508"/>
          <a:ext cx="675542" cy="258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C</a:t>
          </a:r>
        </a:p>
      </xdr:txBody>
    </xdr:sp>
    <xdr:clientData/>
  </xdr:twoCellAnchor>
  <xdr:twoCellAnchor editAs="oneCell">
    <xdr:from>
      <xdr:col>21</xdr:col>
      <xdr:colOff>494486</xdr:colOff>
      <xdr:row>82</xdr:row>
      <xdr:rowOff>570277</xdr:rowOff>
    </xdr:from>
    <xdr:to>
      <xdr:col>28</xdr:col>
      <xdr:colOff>466245</xdr:colOff>
      <xdr:row>98</xdr:row>
      <xdr:rowOff>132746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496361" y="27840352"/>
          <a:ext cx="4238959" cy="3582019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98</xdr:row>
      <xdr:rowOff>161925</xdr:rowOff>
    </xdr:from>
    <xdr:to>
      <xdr:col>25</xdr:col>
      <xdr:colOff>413158</xdr:colOff>
      <xdr:row>137</xdr:row>
      <xdr:rowOff>313875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087475" y="31451550"/>
          <a:ext cx="3765958" cy="360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453860</xdr:colOff>
      <xdr:row>227</xdr:row>
      <xdr:rowOff>90762</xdr:rowOff>
    </xdr:from>
    <xdr:to>
      <xdr:col>33</xdr:col>
      <xdr:colOff>121227</xdr:colOff>
      <xdr:row>263</xdr:row>
      <xdr:rowOff>126551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21815" y="61812762"/>
          <a:ext cx="8153276" cy="7499925"/>
        </a:xfrm>
        <a:prstGeom prst="rect">
          <a:avLst/>
        </a:prstGeom>
      </xdr:spPr>
    </xdr:pic>
    <xdr:clientData/>
  </xdr:twoCellAnchor>
  <xdr:twoCellAnchor>
    <xdr:from>
      <xdr:col>11</xdr:col>
      <xdr:colOff>5443</xdr:colOff>
      <xdr:row>237</xdr:row>
      <xdr:rowOff>191233</xdr:rowOff>
    </xdr:from>
    <xdr:to>
      <xdr:col>12</xdr:col>
      <xdr:colOff>51707</xdr:colOff>
      <xdr:row>239</xdr:row>
      <xdr:rowOff>45741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421586" y="63410019"/>
          <a:ext cx="631371" cy="262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A</a:t>
          </a:r>
        </a:p>
      </xdr:txBody>
    </xdr:sp>
    <xdr:clientData/>
  </xdr:twoCellAnchor>
  <xdr:twoCellAnchor>
    <xdr:from>
      <xdr:col>16</xdr:col>
      <xdr:colOff>402422</xdr:colOff>
      <xdr:row>236</xdr:row>
      <xdr:rowOff>43543</xdr:rowOff>
    </xdr:from>
    <xdr:to>
      <xdr:col>17</xdr:col>
      <xdr:colOff>420426</xdr:colOff>
      <xdr:row>237</xdr:row>
      <xdr:rowOff>115765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2199815" y="63071829"/>
          <a:ext cx="671147" cy="262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B</a:t>
          </a:r>
        </a:p>
      </xdr:txBody>
    </xdr:sp>
    <xdr:clientData/>
  </xdr:twoCellAnchor>
  <xdr:twoCellAnchor editAs="oneCell">
    <xdr:from>
      <xdr:col>9</xdr:col>
      <xdr:colOff>28575</xdr:colOff>
      <xdr:row>67</xdr:row>
      <xdr:rowOff>104775</xdr:rowOff>
    </xdr:from>
    <xdr:to>
      <xdr:col>15</xdr:col>
      <xdr:colOff>618675</xdr:colOff>
      <xdr:row>80</xdr:row>
      <xdr:rowOff>26146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F6BFBD-9F40-4BDF-9CF1-871231B4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43875" y="23983950"/>
          <a:ext cx="3600000" cy="2912221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81</xdr:row>
      <xdr:rowOff>1</xdr:rowOff>
    </xdr:from>
    <xdr:to>
      <xdr:col>15</xdr:col>
      <xdr:colOff>123375</xdr:colOff>
      <xdr:row>95</xdr:row>
      <xdr:rowOff>56463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D1E57E-3469-42BE-8BA4-6D1C7A374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48575" y="27070051"/>
          <a:ext cx="3600000" cy="3285437"/>
        </a:xfrm>
        <a:prstGeom prst="rect">
          <a:avLst/>
        </a:prstGeom>
      </xdr:spPr>
    </xdr:pic>
    <xdr:clientData/>
  </xdr:twoCellAnchor>
  <xdr:twoCellAnchor editAs="oneCell">
    <xdr:from>
      <xdr:col>8</xdr:col>
      <xdr:colOff>657225</xdr:colOff>
      <xdr:row>96</xdr:row>
      <xdr:rowOff>228602</xdr:rowOff>
    </xdr:from>
    <xdr:to>
      <xdr:col>15</xdr:col>
      <xdr:colOff>85275</xdr:colOff>
      <xdr:row>122</xdr:row>
      <xdr:rowOff>93219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7B0391-C3A8-49BD-9106-2DC4EC31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0475" y="30727652"/>
          <a:ext cx="3600000" cy="3293617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137</xdr:row>
      <xdr:rowOff>209550</xdr:rowOff>
    </xdr:from>
    <xdr:to>
      <xdr:col>17</xdr:col>
      <xdr:colOff>200738</xdr:colOff>
      <xdr:row>159</xdr:row>
      <xdr:rowOff>190973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9B52E6B-9E81-43CD-8C2E-3EF080AD1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72375" y="34947225"/>
          <a:ext cx="5106113" cy="3391373"/>
        </a:xfrm>
        <a:prstGeom prst="rect">
          <a:avLst/>
        </a:prstGeom>
      </xdr:spPr>
    </xdr:pic>
    <xdr:clientData/>
  </xdr:twoCellAnchor>
  <xdr:twoCellAnchor>
    <xdr:from>
      <xdr:col>8</xdr:col>
      <xdr:colOff>815340</xdr:colOff>
      <xdr:row>232</xdr:row>
      <xdr:rowOff>177165</xdr:rowOff>
    </xdr:from>
    <xdr:to>
      <xdr:col>18</xdr:col>
      <xdr:colOff>454983</xdr:colOff>
      <xdr:row>267</xdr:row>
      <xdr:rowOff>54686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27C542A5-52C9-44BD-BC84-24EBA7DF9B9A}"/>
            </a:ext>
          </a:extLst>
        </xdr:cNvPr>
        <xdr:cNvGrpSpPr/>
      </xdr:nvGrpSpPr>
      <xdr:grpSpPr>
        <a:xfrm>
          <a:off x="7955280" y="61533405"/>
          <a:ext cx="6048063" cy="6804101"/>
          <a:chOff x="479263" y="412377"/>
          <a:chExt cx="5899473" cy="6866966"/>
        </a:xfrm>
      </xdr:grpSpPr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3889304D-02F6-4820-BAFD-CD77BE7C2244}"/>
              </a:ext>
            </a:extLst>
          </xdr:cNvPr>
          <xdr:cNvGrpSpPr/>
        </xdr:nvGrpSpPr>
        <xdr:grpSpPr>
          <a:xfrm>
            <a:off x="479263" y="412377"/>
            <a:ext cx="5899473" cy="6866966"/>
            <a:chOff x="757519" y="304800"/>
            <a:chExt cx="5141954" cy="5548659"/>
          </a:xfrm>
        </xdr:grpSpPr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CE4FA7E2-412D-44B4-A00F-0BA55A0CE7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11306" y="304800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BA62E1B4-8056-46A1-9402-833E9A2036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304800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00CF6D5C-7B9F-476C-AF97-645A2E39A6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7519" y="3693459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FF04131E-787F-43F1-87E3-17EF0D2906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19340" y="3693459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C0487C47-AE8E-467D-AFB7-3C9DDCB2CEC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81161" y="3693459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3" name="TextBox 93">
            <a:extLst>
              <a:ext uri="{FF2B5EF4-FFF2-40B4-BE49-F238E27FC236}">
                <a16:creationId xmlns:a16="http://schemas.microsoft.com/office/drawing/2014/main" id="{7DBD13AA-766F-4E52-947A-F8CB0739F628}"/>
              </a:ext>
            </a:extLst>
          </xdr:cNvPr>
          <xdr:cNvSpPr txBox="1"/>
        </xdr:nvSpPr>
        <xdr:spPr>
          <a:xfrm>
            <a:off x="927237" y="412377"/>
            <a:ext cx="96077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Box 94">
            <a:extLst>
              <a:ext uri="{FF2B5EF4-FFF2-40B4-BE49-F238E27FC236}">
                <a16:creationId xmlns:a16="http://schemas.microsoft.com/office/drawing/2014/main" id="{5F843632-7989-4BD2-B721-7CD19A1C6216}"/>
              </a:ext>
            </a:extLst>
          </xdr:cNvPr>
          <xdr:cNvSpPr txBox="1"/>
        </xdr:nvSpPr>
        <xdr:spPr>
          <a:xfrm>
            <a:off x="2020250" y="840870"/>
            <a:ext cx="95115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2" name="TextBox 95">
            <a:extLst>
              <a:ext uri="{FF2B5EF4-FFF2-40B4-BE49-F238E27FC236}">
                <a16:creationId xmlns:a16="http://schemas.microsoft.com/office/drawing/2014/main" id="{EB72175A-5F8C-4E40-81F6-F97F2278DF9B}"/>
              </a:ext>
            </a:extLst>
          </xdr:cNvPr>
          <xdr:cNvSpPr txBox="1"/>
        </xdr:nvSpPr>
        <xdr:spPr>
          <a:xfrm>
            <a:off x="4808955" y="462012"/>
            <a:ext cx="138236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G &amp; H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632460</xdr:colOff>
      <xdr:row>235</xdr:row>
      <xdr:rowOff>22860</xdr:rowOff>
    </xdr:from>
    <xdr:to>
      <xdr:col>7</xdr:col>
      <xdr:colOff>734948</xdr:colOff>
      <xdr:row>268</xdr:row>
      <xdr:rowOff>40045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8F87DFAA-6B7C-2242-143A-F2E23D83FD70}"/>
            </a:ext>
          </a:extLst>
        </xdr:cNvPr>
        <xdr:cNvGrpSpPr/>
      </xdr:nvGrpSpPr>
      <xdr:grpSpPr>
        <a:xfrm>
          <a:off x="632460" y="61973460"/>
          <a:ext cx="5947028" cy="6547525"/>
          <a:chOff x="420275" y="173773"/>
          <a:chExt cx="5947028" cy="6547525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EAE9C5A-5A32-5569-9F31-43FB34F92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87303" y="173773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374C0109-5727-6B4B-1695-741AA3685B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79272" y="420129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8EF13B7-2951-BA6B-0BFE-EEAB2881C9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0275" y="173773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E436852-6ED1-BEE4-D0EF-352AF31A58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0275" y="420129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D6EDFAE4-B47B-0C41-CBDC-3C8291F1B1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9773" y="420129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0" name="TextBox 12">
            <a:extLst>
              <a:ext uri="{FF2B5EF4-FFF2-40B4-BE49-F238E27FC236}">
                <a16:creationId xmlns:a16="http://schemas.microsoft.com/office/drawing/2014/main" id="{A5E7F36B-C638-9122-B53C-ED578DE31FC0}"/>
              </a:ext>
            </a:extLst>
          </xdr:cNvPr>
          <xdr:cNvSpPr txBox="1"/>
        </xdr:nvSpPr>
        <xdr:spPr>
          <a:xfrm>
            <a:off x="2421888" y="629920"/>
            <a:ext cx="70525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Tower B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25" name="TextBox 13">
            <a:extLst>
              <a:ext uri="{FF2B5EF4-FFF2-40B4-BE49-F238E27FC236}">
                <a16:creationId xmlns:a16="http://schemas.microsoft.com/office/drawing/2014/main" id="{A60235C2-DEF5-5325-81B1-4AA267E6218B}"/>
              </a:ext>
            </a:extLst>
          </xdr:cNvPr>
          <xdr:cNvSpPr txBox="1"/>
        </xdr:nvSpPr>
        <xdr:spPr>
          <a:xfrm>
            <a:off x="1473759" y="173773"/>
            <a:ext cx="70525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Tower A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48" name="TextBox 14">
            <a:extLst>
              <a:ext uri="{FF2B5EF4-FFF2-40B4-BE49-F238E27FC236}">
                <a16:creationId xmlns:a16="http://schemas.microsoft.com/office/drawing/2014/main" id="{B341A742-4CA4-66AC-80BE-BACA519521F8}"/>
              </a:ext>
            </a:extLst>
          </xdr:cNvPr>
          <xdr:cNvSpPr txBox="1"/>
        </xdr:nvSpPr>
        <xdr:spPr>
          <a:xfrm>
            <a:off x="1357754" y="4201298"/>
            <a:ext cx="98738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Tower G &amp; H</a:t>
            </a:r>
            <a:endParaRPr lang="en-IN" sz="12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3Utr8KhYXo9FmbAA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78"/>
  <sheetViews>
    <sheetView tabSelected="1" view="pageBreakPreview" topLeftCell="A206" zoomScaleSheetLayoutView="100" zoomScalePageLayoutView="115" workbookViewId="0">
      <selection activeCell="I214" sqref="I214"/>
    </sheetView>
  </sheetViews>
  <sheetFormatPr defaultColWidth="9.109375" defaultRowHeight="15.6" x14ac:dyDescent="0.3"/>
  <cols>
    <col min="1" max="1" width="11.44140625" style="50" customWidth="1"/>
    <col min="2" max="2" width="12" style="50" customWidth="1"/>
    <col min="3" max="3" width="12.6640625" style="50" customWidth="1"/>
    <col min="4" max="4" width="14.109375" style="50" customWidth="1"/>
    <col min="5" max="7" width="11.6640625" style="50" customWidth="1"/>
    <col min="8" max="8" width="18.88671875" style="50" customWidth="1"/>
    <col min="9" max="9" width="17.44140625" style="17" customWidth="1"/>
    <col min="10" max="10" width="11.109375" style="17" customWidth="1"/>
    <col min="11" max="12" width="8.88671875" style="17" customWidth="1"/>
    <col min="13" max="15" width="5.44140625" style="17" customWidth="1"/>
    <col min="16" max="16" width="10.44140625" style="17" customWidth="1"/>
    <col min="17" max="17" width="9.88671875" style="17" customWidth="1"/>
    <col min="18" max="18" width="10.44140625" style="17" customWidth="1"/>
    <col min="19" max="249" width="9.109375" style="18"/>
    <col min="250" max="250" width="8.6640625" style="18" customWidth="1"/>
    <col min="251" max="251" width="9.88671875" style="18" customWidth="1"/>
    <col min="252" max="252" width="14.44140625" style="18" customWidth="1"/>
    <col min="253" max="253" width="7.33203125" style="18" customWidth="1"/>
    <col min="254" max="254" width="5.5546875" style="18" customWidth="1"/>
    <col min="255" max="255" width="9" style="18" customWidth="1"/>
    <col min="256" max="257" width="9.88671875" style="18" customWidth="1"/>
    <col min="258" max="258" width="11.109375" style="18" customWidth="1"/>
    <col min="259" max="259" width="2.88671875" style="18" customWidth="1"/>
    <col min="260" max="260" width="3.5546875" style="18" customWidth="1"/>
    <col min="261" max="505" width="9.109375" style="18"/>
    <col min="506" max="506" width="8.6640625" style="18" customWidth="1"/>
    <col min="507" max="507" width="9.88671875" style="18" customWidth="1"/>
    <col min="508" max="508" width="14.44140625" style="18" customWidth="1"/>
    <col min="509" max="509" width="7.33203125" style="18" customWidth="1"/>
    <col min="510" max="510" width="5.5546875" style="18" customWidth="1"/>
    <col min="511" max="511" width="9" style="18" customWidth="1"/>
    <col min="512" max="513" width="9.88671875" style="18" customWidth="1"/>
    <col min="514" max="514" width="11.109375" style="18" customWidth="1"/>
    <col min="515" max="515" width="2.88671875" style="18" customWidth="1"/>
    <col min="516" max="516" width="3.5546875" style="18" customWidth="1"/>
    <col min="517" max="761" width="9.109375" style="18"/>
    <col min="762" max="762" width="8.6640625" style="18" customWidth="1"/>
    <col min="763" max="763" width="9.88671875" style="18" customWidth="1"/>
    <col min="764" max="764" width="14.44140625" style="18" customWidth="1"/>
    <col min="765" max="765" width="7.33203125" style="18" customWidth="1"/>
    <col min="766" max="766" width="5.5546875" style="18" customWidth="1"/>
    <col min="767" max="767" width="9" style="18" customWidth="1"/>
    <col min="768" max="769" width="9.88671875" style="18" customWidth="1"/>
    <col min="770" max="770" width="11.109375" style="18" customWidth="1"/>
    <col min="771" max="771" width="2.88671875" style="18" customWidth="1"/>
    <col min="772" max="772" width="3.5546875" style="18" customWidth="1"/>
    <col min="773" max="1017" width="9.109375" style="18"/>
    <col min="1018" max="1018" width="8.6640625" style="18" customWidth="1"/>
    <col min="1019" max="1019" width="9.88671875" style="18" customWidth="1"/>
    <col min="1020" max="1020" width="14.44140625" style="18" customWidth="1"/>
    <col min="1021" max="1021" width="7.33203125" style="18" customWidth="1"/>
    <col min="1022" max="1022" width="5.5546875" style="18" customWidth="1"/>
    <col min="1023" max="1023" width="9" style="18" customWidth="1"/>
    <col min="1024" max="1025" width="9.88671875" style="18" customWidth="1"/>
    <col min="1026" max="1026" width="11.109375" style="18" customWidth="1"/>
    <col min="1027" max="1027" width="2.88671875" style="18" customWidth="1"/>
    <col min="1028" max="1028" width="3.5546875" style="18" customWidth="1"/>
    <col min="1029" max="1273" width="9.109375" style="18"/>
    <col min="1274" max="1274" width="8.6640625" style="18" customWidth="1"/>
    <col min="1275" max="1275" width="9.88671875" style="18" customWidth="1"/>
    <col min="1276" max="1276" width="14.44140625" style="18" customWidth="1"/>
    <col min="1277" max="1277" width="7.33203125" style="18" customWidth="1"/>
    <col min="1278" max="1278" width="5.5546875" style="18" customWidth="1"/>
    <col min="1279" max="1279" width="9" style="18" customWidth="1"/>
    <col min="1280" max="1281" width="9.88671875" style="18" customWidth="1"/>
    <col min="1282" max="1282" width="11.109375" style="18" customWidth="1"/>
    <col min="1283" max="1283" width="2.88671875" style="18" customWidth="1"/>
    <col min="1284" max="1284" width="3.5546875" style="18" customWidth="1"/>
    <col min="1285" max="1529" width="9.109375" style="18"/>
    <col min="1530" max="1530" width="8.6640625" style="18" customWidth="1"/>
    <col min="1531" max="1531" width="9.88671875" style="18" customWidth="1"/>
    <col min="1532" max="1532" width="14.44140625" style="18" customWidth="1"/>
    <col min="1533" max="1533" width="7.33203125" style="18" customWidth="1"/>
    <col min="1534" max="1534" width="5.5546875" style="18" customWidth="1"/>
    <col min="1535" max="1535" width="9" style="18" customWidth="1"/>
    <col min="1536" max="1537" width="9.88671875" style="18" customWidth="1"/>
    <col min="1538" max="1538" width="11.109375" style="18" customWidth="1"/>
    <col min="1539" max="1539" width="2.88671875" style="18" customWidth="1"/>
    <col min="1540" max="1540" width="3.5546875" style="18" customWidth="1"/>
    <col min="1541" max="1785" width="9.109375" style="18"/>
    <col min="1786" max="1786" width="8.6640625" style="18" customWidth="1"/>
    <col min="1787" max="1787" width="9.88671875" style="18" customWidth="1"/>
    <col min="1788" max="1788" width="14.44140625" style="18" customWidth="1"/>
    <col min="1789" max="1789" width="7.33203125" style="18" customWidth="1"/>
    <col min="1790" max="1790" width="5.5546875" style="18" customWidth="1"/>
    <col min="1791" max="1791" width="9" style="18" customWidth="1"/>
    <col min="1792" max="1793" width="9.88671875" style="18" customWidth="1"/>
    <col min="1794" max="1794" width="11.109375" style="18" customWidth="1"/>
    <col min="1795" max="1795" width="2.88671875" style="18" customWidth="1"/>
    <col min="1796" max="1796" width="3.5546875" style="18" customWidth="1"/>
    <col min="1797" max="2041" width="9.109375" style="18"/>
    <col min="2042" max="2042" width="8.6640625" style="18" customWidth="1"/>
    <col min="2043" max="2043" width="9.88671875" style="18" customWidth="1"/>
    <col min="2044" max="2044" width="14.44140625" style="18" customWidth="1"/>
    <col min="2045" max="2045" width="7.33203125" style="18" customWidth="1"/>
    <col min="2046" max="2046" width="5.5546875" style="18" customWidth="1"/>
    <col min="2047" max="2047" width="9" style="18" customWidth="1"/>
    <col min="2048" max="2049" width="9.88671875" style="18" customWidth="1"/>
    <col min="2050" max="2050" width="11.109375" style="18" customWidth="1"/>
    <col min="2051" max="2051" width="2.88671875" style="18" customWidth="1"/>
    <col min="2052" max="2052" width="3.5546875" style="18" customWidth="1"/>
    <col min="2053" max="2297" width="9.109375" style="18"/>
    <col min="2298" max="2298" width="8.6640625" style="18" customWidth="1"/>
    <col min="2299" max="2299" width="9.88671875" style="18" customWidth="1"/>
    <col min="2300" max="2300" width="14.44140625" style="18" customWidth="1"/>
    <col min="2301" max="2301" width="7.33203125" style="18" customWidth="1"/>
    <col min="2302" max="2302" width="5.5546875" style="18" customWidth="1"/>
    <col min="2303" max="2303" width="9" style="18" customWidth="1"/>
    <col min="2304" max="2305" width="9.88671875" style="18" customWidth="1"/>
    <col min="2306" max="2306" width="11.109375" style="18" customWidth="1"/>
    <col min="2307" max="2307" width="2.88671875" style="18" customWidth="1"/>
    <col min="2308" max="2308" width="3.5546875" style="18" customWidth="1"/>
    <col min="2309" max="2553" width="9.109375" style="18"/>
    <col min="2554" max="2554" width="8.6640625" style="18" customWidth="1"/>
    <col min="2555" max="2555" width="9.88671875" style="18" customWidth="1"/>
    <col min="2556" max="2556" width="14.44140625" style="18" customWidth="1"/>
    <col min="2557" max="2557" width="7.33203125" style="18" customWidth="1"/>
    <col min="2558" max="2558" width="5.5546875" style="18" customWidth="1"/>
    <col min="2559" max="2559" width="9" style="18" customWidth="1"/>
    <col min="2560" max="2561" width="9.88671875" style="18" customWidth="1"/>
    <col min="2562" max="2562" width="11.109375" style="18" customWidth="1"/>
    <col min="2563" max="2563" width="2.88671875" style="18" customWidth="1"/>
    <col min="2564" max="2564" width="3.5546875" style="18" customWidth="1"/>
    <col min="2565" max="2809" width="9.109375" style="18"/>
    <col min="2810" max="2810" width="8.6640625" style="18" customWidth="1"/>
    <col min="2811" max="2811" width="9.88671875" style="18" customWidth="1"/>
    <col min="2812" max="2812" width="14.44140625" style="18" customWidth="1"/>
    <col min="2813" max="2813" width="7.33203125" style="18" customWidth="1"/>
    <col min="2814" max="2814" width="5.5546875" style="18" customWidth="1"/>
    <col min="2815" max="2815" width="9" style="18" customWidth="1"/>
    <col min="2816" max="2817" width="9.88671875" style="18" customWidth="1"/>
    <col min="2818" max="2818" width="11.109375" style="18" customWidth="1"/>
    <col min="2819" max="2819" width="2.88671875" style="18" customWidth="1"/>
    <col min="2820" max="2820" width="3.5546875" style="18" customWidth="1"/>
    <col min="2821" max="3065" width="9.109375" style="18"/>
    <col min="3066" max="3066" width="8.6640625" style="18" customWidth="1"/>
    <col min="3067" max="3067" width="9.88671875" style="18" customWidth="1"/>
    <col min="3068" max="3068" width="14.44140625" style="18" customWidth="1"/>
    <col min="3069" max="3069" width="7.33203125" style="18" customWidth="1"/>
    <col min="3070" max="3070" width="5.5546875" style="18" customWidth="1"/>
    <col min="3071" max="3071" width="9" style="18" customWidth="1"/>
    <col min="3072" max="3073" width="9.88671875" style="18" customWidth="1"/>
    <col min="3074" max="3074" width="11.109375" style="18" customWidth="1"/>
    <col min="3075" max="3075" width="2.88671875" style="18" customWidth="1"/>
    <col min="3076" max="3076" width="3.5546875" style="18" customWidth="1"/>
    <col min="3077" max="3321" width="9.109375" style="18"/>
    <col min="3322" max="3322" width="8.6640625" style="18" customWidth="1"/>
    <col min="3323" max="3323" width="9.88671875" style="18" customWidth="1"/>
    <col min="3324" max="3324" width="14.44140625" style="18" customWidth="1"/>
    <col min="3325" max="3325" width="7.33203125" style="18" customWidth="1"/>
    <col min="3326" max="3326" width="5.5546875" style="18" customWidth="1"/>
    <col min="3327" max="3327" width="9" style="18" customWidth="1"/>
    <col min="3328" max="3329" width="9.88671875" style="18" customWidth="1"/>
    <col min="3330" max="3330" width="11.109375" style="18" customWidth="1"/>
    <col min="3331" max="3331" width="2.88671875" style="18" customWidth="1"/>
    <col min="3332" max="3332" width="3.5546875" style="18" customWidth="1"/>
    <col min="3333" max="3577" width="9.109375" style="18"/>
    <col min="3578" max="3578" width="8.6640625" style="18" customWidth="1"/>
    <col min="3579" max="3579" width="9.88671875" style="18" customWidth="1"/>
    <col min="3580" max="3580" width="14.44140625" style="18" customWidth="1"/>
    <col min="3581" max="3581" width="7.33203125" style="18" customWidth="1"/>
    <col min="3582" max="3582" width="5.5546875" style="18" customWidth="1"/>
    <col min="3583" max="3583" width="9" style="18" customWidth="1"/>
    <col min="3584" max="3585" width="9.88671875" style="18" customWidth="1"/>
    <col min="3586" max="3586" width="11.109375" style="18" customWidth="1"/>
    <col min="3587" max="3587" width="2.88671875" style="18" customWidth="1"/>
    <col min="3588" max="3588" width="3.5546875" style="18" customWidth="1"/>
    <col min="3589" max="3833" width="9.109375" style="18"/>
    <col min="3834" max="3834" width="8.6640625" style="18" customWidth="1"/>
    <col min="3835" max="3835" width="9.88671875" style="18" customWidth="1"/>
    <col min="3836" max="3836" width="14.44140625" style="18" customWidth="1"/>
    <col min="3837" max="3837" width="7.33203125" style="18" customWidth="1"/>
    <col min="3838" max="3838" width="5.5546875" style="18" customWidth="1"/>
    <col min="3839" max="3839" width="9" style="18" customWidth="1"/>
    <col min="3840" max="3841" width="9.88671875" style="18" customWidth="1"/>
    <col min="3842" max="3842" width="11.109375" style="18" customWidth="1"/>
    <col min="3843" max="3843" width="2.88671875" style="18" customWidth="1"/>
    <col min="3844" max="3844" width="3.5546875" style="18" customWidth="1"/>
    <col min="3845" max="4089" width="9.109375" style="18"/>
    <col min="4090" max="4090" width="8.6640625" style="18" customWidth="1"/>
    <col min="4091" max="4091" width="9.88671875" style="18" customWidth="1"/>
    <col min="4092" max="4092" width="14.44140625" style="18" customWidth="1"/>
    <col min="4093" max="4093" width="7.33203125" style="18" customWidth="1"/>
    <col min="4094" max="4094" width="5.5546875" style="18" customWidth="1"/>
    <col min="4095" max="4095" width="9" style="18" customWidth="1"/>
    <col min="4096" max="4097" width="9.88671875" style="18" customWidth="1"/>
    <col min="4098" max="4098" width="11.109375" style="18" customWidth="1"/>
    <col min="4099" max="4099" width="2.88671875" style="18" customWidth="1"/>
    <col min="4100" max="4100" width="3.5546875" style="18" customWidth="1"/>
    <col min="4101" max="4345" width="9.109375" style="18"/>
    <col min="4346" max="4346" width="8.6640625" style="18" customWidth="1"/>
    <col min="4347" max="4347" width="9.88671875" style="18" customWidth="1"/>
    <col min="4348" max="4348" width="14.44140625" style="18" customWidth="1"/>
    <col min="4349" max="4349" width="7.33203125" style="18" customWidth="1"/>
    <col min="4350" max="4350" width="5.5546875" style="18" customWidth="1"/>
    <col min="4351" max="4351" width="9" style="18" customWidth="1"/>
    <col min="4352" max="4353" width="9.88671875" style="18" customWidth="1"/>
    <col min="4354" max="4354" width="11.109375" style="18" customWidth="1"/>
    <col min="4355" max="4355" width="2.88671875" style="18" customWidth="1"/>
    <col min="4356" max="4356" width="3.5546875" style="18" customWidth="1"/>
    <col min="4357" max="4601" width="9.109375" style="18"/>
    <col min="4602" max="4602" width="8.6640625" style="18" customWidth="1"/>
    <col min="4603" max="4603" width="9.88671875" style="18" customWidth="1"/>
    <col min="4604" max="4604" width="14.44140625" style="18" customWidth="1"/>
    <col min="4605" max="4605" width="7.33203125" style="18" customWidth="1"/>
    <col min="4606" max="4606" width="5.5546875" style="18" customWidth="1"/>
    <col min="4607" max="4607" width="9" style="18" customWidth="1"/>
    <col min="4608" max="4609" width="9.88671875" style="18" customWidth="1"/>
    <col min="4610" max="4610" width="11.109375" style="18" customWidth="1"/>
    <col min="4611" max="4611" width="2.88671875" style="18" customWidth="1"/>
    <col min="4612" max="4612" width="3.5546875" style="18" customWidth="1"/>
    <col min="4613" max="4857" width="9.109375" style="18"/>
    <col min="4858" max="4858" width="8.6640625" style="18" customWidth="1"/>
    <col min="4859" max="4859" width="9.88671875" style="18" customWidth="1"/>
    <col min="4860" max="4860" width="14.44140625" style="18" customWidth="1"/>
    <col min="4861" max="4861" width="7.33203125" style="18" customWidth="1"/>
    <col min="4862" max="4862" width="5.5546875" style="18" customWidth="1"/>
    <col min="4863" max="4863" width="9" style="18" customWidth="1"/>
    <col min="4864" max="4865" width="9.88671875" style="18" customWidth="1"/>
    <col min="4866" max="4866" width="11.109375" style="18" customWidth="1"/>
    <col min="4867" max="4867" width="2.88671875" style="18" customWidth="1"/>
    <col min="4868" max="4868" width="3.5546875" style="18" customWidth="1"/>
    <col min="4869" max="5113" width="9.109375" style="18"/>
    <col min="5114" max="5114" width="8.6640625" style="18" customWidth="1"/>
    <col min="5115" max="5115" width="9.88671875" style="18" customWidth="1"/>
    <col min="5116" max="5116" width="14.44140625" style="18" customWidth="1"/>
    <col min="5117" max="5117" width="7.33203125" style="18" customWidth="1"/>
    <col min="5118" max="5118" width="5.5546875" style="18" customWidth="1"/>
    <col min="5119" max="5119" width="9" style="18" customWidth="1"/>
    <col min="5120" max="5121" width="9.88671875" style="18" customWidth="1"/>
    <col min="5122" max="5122" width="11.109375" style="18" customWidth="1"/>
    <col min="5123" max="5123" width="2.88671875" style="18" customWidth="1"/>
    <col min="5124" max="5124" width="3.5546875" style="18" customWidth="1"/>
    <col min="5125" max="5369" width="9.109375" style="18"/>
    <col min="5370" max="5370" width="8.6640625" style="18" customWidth="1"/>
    <col min="5371" max="5371" width="9.88671875" style="18" customWidth="1"/>
    <col min="5372" max="5372" width="14.44140625" style="18" customWidth="1"/>
    <col min="5373" max="5373" width="7.33203125" style="18" customWidth="1"/>
    <col min="5374" max="5374" width="5.5546875" style="18" customWidth="1"/>
    <col min="5375" max="5375" width="9" style="18" customWidth="1"/>
    <col min="5376" max="5377" width="9.88671875" style="18" customWidth="1"/>
    <col min="5378" max="5378" width="11.109375" style="18" customWidth="1"/>
    <col min="5379" max="5379" width="2.88671875" style="18" customWidth="1"/>
    <col min="5380" max="5380" width="3.5546875" style="18" customWidth="1"/>
    <col min="5381" max="5625" width="9.109375" style="18"/>
    <col min="5626" max="5626" width="8.6640625" style="18" customWidth="1"/>
    <col min="5627" max="5627" width="9.88671875" style="18" customWidth="1"/>
    <col min="5628" max="5628" width="14.44140625" style="18" customWidth="1"/>
    <col min="5629" max="5629" width="7.33203125" style="18" customWidth="1"/>
    <col min="5630" max="5630" width="5.5546875" style="18" customWidth="1"/>
    <col min="5631" max="5631" width="9" style="18" customWidth="1"/>
    <col min="5632" max="5633" width="9.88671875" style="18" customWidth="1"/>
    <col min="5634" max="5634" width="11.109375" style="18" customWidth="1"/>
    <col min="5635" max="5635" width="2.88671875" style="18" customWidth="1"/>
    <col min="5636" max="5636" width="3.5546875" style="18" customWidth="1"/>
    <col min="5637" max="5881" width="9.109375" style="18"/>
    <col min="5882" max="5882" width="8.6640625" style="18" customWidth="1"/>
    <col min="5883" max="5883" width="9.88671875" style="18" customWidth="1"/>
    <col min="5884" max="5884" width="14.44140625" style="18" customWidth="1"/>
    <col min="5885" max="5885" width="7.33203125" style="18" customWidth="1"/>
    <col min="5886" max="5886" width="5.5546875" style="18" customWidth="1"/>
    <col min="5887" max="5887" width="9" style="18" customWidth="1"/>
    <col min="5888" max="5889" width="9.88671875" style="18" customWidth="1"/>
    <col min="5890" max="5890" width="11.109375" style="18" customWidth="1"/>
    <col min="5891" max="5891" width="2.88671875" style="18" customWidth="1"/>
    <col min="5892" max="5892" width="3.5546875" style="18" customWidth="1"/>
    <col min="5893" max="6137" width="9.109375" style="18"/>
    <col min="6138" max="6138" width="8.6640625" style="18" customWidth="1"/>
    <col min="6139" max="6139" width="9.88671875" style="18" customWidth="1"/>
    <col min="6140" max="6140" width="14.44140625" style="18" customWidth="1"/>
    <col min="6141" max="6141" width="7.33203125" style="18" customWidth="1"/>
    <col min="6142" max="6142" width="5.5546875" style="18" customWidth="1"/>
    <col min="6143" max="6143" width="9" style="18" customWidth="1"/>
    <col min="6144" max="6145" width="9.88671875" style="18" customWidth="1"/>
    <col min="6146" max="6146" width="11.109375" style="18" customWidth="1"/>
    <col min="6147" max="6147" width="2.88671875" style="18" customWidth="1"/>
    <col min="6148" max="6148" width="3.5546875" style="18" customWidth="1"/>
    <col min="6149" max="6393" width="9.109375" style="18"/>
    <col min="6394" max="6394" width="8.6640625" style="18" customWidth="1"/>
    <col min="6395" max="6395" width="9.88671875" style="18" customWidth="1"/>
    <col min="6396" max="6396" width="14.44140625" style="18" customWidth="1"/>
    <col min="6397" max="6397" width="7.33203125" style="18" customWidth="1"/>
    <col min="6398" max="6398" width="5.5546875" style="18" customWidth="1"/>
    <col min="6399" max="6399" width="9" style="18" customWidth="1"/>
    <col min="6400" max="6401" width="9.88671875" style="18" customWidth="1"/>
    <col min="6402" max="6402" width="11.109375" style="18" customWidth="1"/>
    <col min="6403" max="6403" width="2.88671875" style="18" customWidth="1"/>
    <col min="6404" max="6404" width="3.5546875" style="18" customWidth="1"/>
    <col min="6405" max="6649" width="9.109375" style="18"/>
    <col min="6650" max="6650" width="8.6640625" style="18" customWidth="1"/>
    <col min="6651" max="6651" width="9.88671875" style="18" customWidth="1"/>
    <col min="6652" max="6652" width="14.44140625" style="18" customWidth="1"/>
    <col min="6653" max="6653" width="7.33203125" style="18" customWidth="1"/>
    <col min="6654" max="6654" width="5.5546875" style="18" customWidth="1"/>
    <col min="6655" max="6655" width="9" style="18" customWidth="1"/>
    <col min="6656" max="6657" width="9.88671875" style="18" customWidth="1"/>
    <col min="6658" max="6658" width="11.109375" style="18" customWidth="1"/>
    <col min="6659" max="6659" width="2.88671875" style="18" customWidth="1"/>
    <col min="6660" max="6660" width="3.5546875" style="18" customWidth="1"/>
    <col min="6661" max="6905" width="9.109375" style="18"/>
    <col min="6906" max="6906" width="8.6640625" style="18" customWidth="1"/>
    <col min="6907" max="6907" width="9.88671875" style="18" customWidth="1"/>
    <col min="6908" max="6908" width="14.44140625" style="18" customWidth="1"/>
    <col min="6909" max="6909" width="7.33203125" style="18" customWidth="1"/>
    <col min="6910" max="6910" width="5.5546875" style="18" customWidth="1"/>
    <col min="6911" max="6911" width="9" style="18" customWidth="1"/>
    <col min="6912" max="6913" width="9.88671875" style="18" customWidth="1"/>
    <col min="6914" max="6914" width="11.109375" style="18" customWidth="1"/>
    <col min="6915" max="6915" width="2.88671875" style="18" customWidth="1"/>
    <col min="6916" max="6916" width="3.5546875" style="18" customWidth="1"/>
    <col min="6917" max="7161" width="9.109375" style="18"/>
    <col min="7162" max="7162" width="8.6640625" style="18" customWidth="1"/>
    <col min="7163" max="7163" width="9.88671875" style="18" customWidth="1"/>
    <col min="7164" max="7164" width="14.44140625" style="18" customWidth="1"/>
    <col min="7165" max="7165" width="7.33203125" style="18" customWidth="1"/>
    <col min="7166" max="7166" width="5.5546875" style="18" customWidth="1"/>
    <col min="7167" max="7167" width="9" style="18" customWidth="1"/>
    <col min="7168" max="7169" width="9.88671875" style="18" customWidth="1"/>
    <col min="7170" max="7170" width="11.109375" style="18" customWidth="1"/>
    <col min="7171" max="7171" width="2.88671875" style="18" customWidth="1"/>
    <col min="7172" max="7172" width="3.5546875" style="18" customWidth="1"/>
    <col min="7173" max="7417" width="9.109375" style="18"/>
    <col min="7418" max="7418" width="8.6640625" style="18" customWidth="1"/>
    <col min="7419" max="7419" width="9.88671875" style="18" customWidth="1"/>
    <col min="7420" max="7420" width="14.44140625" style="18" customWidth="1"/>
    <col min="7421" max="7421" width="7.33203125" style="18" customWidth="1"/>
    <col min="7422" max="7422" width="5.5546875" style="18" customWidth="1"/>
    <col min="7423" max="7423" width="9" style="18" customWidth="1"/>
    <col min="7424" max="7425" width="9.88671875" style="18" customWidth="1"/>
    <col min="7426" max="7426" width="11.109375" style="18" customWidth="1"/>
    <col min="7427" max="7427" width="2.88671875" style="18" customWidth="1"/>
    <col min="7428" max="7428" width="3.5546875" style="18" customWidth="1"/>
    <col min="7429" max="7673" width="9.109375" style="18"/>
    <col min="7674" max="7674" width="8.6640625" style="18" customWidth="1"/>
    <col min="7675" max="7675" width="9.88671875" style="18" customWidth="1"/>
    <col min="7676" max="7676" width="14.44140625" style="18" customWidth="1"/>
    <col min="7677" max="7677" width="7.33203125" style="18" customWidth="1"/>
    <col min="7678" max="7678" width="5.5546875" style="18" customWidth="1"/>
    <col min="7679" max="7679" width="9" style="18" customWidth="1"/>
    <col min="7680" max="7681" width="9.88671875" style="18" customWidth="1"/>
    <col min="7682" max="7682" width="11.109375" style="18" customWidth="1"/>
    <col min="7683" max="7683" width="2.88671875" style="18" customWidth="1"/>
    <col min="7684" max="7684" width="3.5546875" style="18" customWidth="1"/>
    <col min="7685" max="7929" width="9.109375" style="18"/>
    <col min="7930" max="7930" width="8.6640625" style="18" customWidth="1"/>
    <col min="7931" max="7931" width="9.88671875" style="18" customWidth="1"/>
    <col min="7932" max="7932" width="14.44140625" style="18" customWidth="1"/>
    <col min="7933" max="7933" width="7.33203125" style="18" customWidth="1"/>
    <col min="7934" max="7934" width="5.5546875" style="18" customWidth="1"/>
    <col min="7935" max="7935" width="9" style="18" customWidth="1"/>
    <col min="7936" max="7937" width="9.88671875" style="18" customWidth="1"/>
    <col min="7938" max="7938" width="11.109375" style="18" customWidth="1"/>
    <col min="7939" max="7939" width="2.88671875" style="18" customWidth="1"/>
    <col min="7940" max="7940" width="3.5546875" style="18" customWidth="1"/>
    <col min="7941" max="8185" width="9.109375" style="18"/>
    <col min="8186" max="8186" width="8.6640625" style="18" customWidth="1"/>
    <col min="8187" max="8187" width="9.88671875" style="18" customWidth="1"/>
    <col min="8188" max="8188" width="14.44140625" style="18" customWidth="1"/>
    <col min="8189" max="8189" width="7.33203125" style="18" customWidth="1"/>
    <col min="8190" max="8190" width="5.5546875" style="18" customWidth="1"/>
    <col min="8191" max="8191" width="9" style="18" customWidth="1"/>
    <col min="8192" max="8193" width="9.88671875" style="18" customWidth="1"/>
    <col min="8194" max="8194" width="11.109375" style="18" customWidth="1"/>
    <col min="8195" max="8195" width="2.88671875" style="18" customWidth="1"/>
    <col min="8196" max="8196" width="3.5546875" style="18" customWidth="1"/>
    <col min="8197" max="8441" width="9.109375" style="18"/>
    <col min="8442" max="8442" width="8.6640625" style="18" customWidth="1"/>
    <col min="8443" max="8443" width="9.88671875" style="18" customWidth="1"/>
    <col min="8444" max="8444" width="14.44140625" style="18" customWidth="1"/>
    <col min="8445" max="8445" width="7.33203125" style="18" customWidth="1"/>
    <col min="8446" max="8446" width="5.5546875" style="18" customWidth="1"/>
    <col min="8447" max="8447" width="9" style="18" customWidth="1"/>
    <col min="8448" max="8449" width="9.88671875" style="18" customWidth="1"/>
    <col min="8450" max="8450" width="11.109375" style="18" customWidth="1"/>
    <col min="8451" max="8451" width="2.88671875" style="18" customWidth="1"/>
    <col min="8452" max="8452" width="3.5546875" style="18" customWidth="1"/>
    <col min="8453" max="8697" width="9.109375" style="18"/>
    <col min="8698" max="8698" width="8.6640625" style="18" customWidth="1"/>
    <col min="8699" max="8699" width="9.88671875" style="18" customWidth="1"/>
    <col min="8700" max="8700" width="14.44140625" style="18" customWidth="1"/>
    <col min="8701" max="8701" width="7.33203125" style="18" customWidth="1"/>
    <col min="8702" max="8702" width="5.5546875" style="18" customWidth="1"/>
    <col min="8703" max="8703" width="9" style="18" customWidth="1"/>
    <col min="8704" max="8705" width="9.88671875" style="18" customWidth="1"/>
    <col min="8706" max="8706" width="11.109375" style="18" customWidth="1"/>
    <col min="8707" max="8707" width="2.88671875" style="18" customWidth="1"/>
    <col min="8708" max="8708" width="3.5546875" style="18" customWidth="1"/>
    <col min="8709" max="8953" width="9.109375" style="18"/>
    <col min="8954" max="8954" width="8.6640625" style="18" customWidth="1"/>
    <col min="8955" max="8955" width="9.88671875" style="18" customWidth="1"/>
    <col min="8956" max="8956" width="14.44140625" style="18" customWidth="1"/>
    <col min="8957" max="8957" width="7.33203125" style="18" customWidth="1"/>
    <col min="8958" max="8958" width="5.5546875" style="18" customWidth="1"/>
    <col min="8959" max="8959" width="9" style="18" customWidth="1"/>
    <col min="8960" max="8961" width="9.88671875" style="18" customWidth="1"/>
    <col min="8962" max="8962" width="11.109375" style="18" customWidth="1"/>
    <col min="8963" max="8963" width="2.88671875" style="18" customWidth="1"/>
    <col min="8964" max="8964" width="3.5546875" style="18" customWidth="1"/>
    <col min="8965" max="9209" width="9.109375" style="18"/>
    <col min="9210" max="9210" width="8.6640625" style="18" customWidth="1"/>
    <col min="9211" max="9211" width="9.88671875" style="18" customWidth="1"/>
    <col min="9212" max="9212" width="14.44140625" style="18" customWidth="1"/>
    <col min="9213" max="9213" width="7.33203125" style="18" customWidth="1"/>
    <col min="9214" max="9214" width="5.5546875" style="18" customWidth="1"/>
    <col min="9215" max="9215" width="9" style="18" customWidth="1"/>
    <col min="9216" max="9217" width="9.88671875" style="18" customWidth="1"/>
    <col min="9218" max="9218" width="11.109375" style="18" customWidth="1"/>
    <col min="9219" max="9219" width="2.88671875" style="18" customWidth="1"/>
    <col min="9220" max="9220" width="3.5546875" style="18" customWidth="1"/>
    <col min="9221" max="9465" width="9.109375" style="18"/>
    <col min="9466" max="9466" width="8.6640625" style="18" customWidth="1"/>
    <col min="9467" max="9467" width="9.88671875" style="18" customWidth="1"/>
    <col min="9468" max="9468" width="14.44140625" style="18" customWidth="1"/>
    <col min="9469" max="9469" width="7.33203125" style="18" customWidth="1"/>
    <col min="9470" max="9470" width="5.5546875" style="18" customWidth="1"/>
    <col min="9471" max="9471" width="9" style="18" customWidth="1"/>
    <col min="9472" max="9473" width="9.88671875" style="18" customWidth="1"/>
    <col min="9474" max="9474" width="11.109375" style="18" customWidth="1"/>
    <col min="9475" max="9475" width="2.88671875" style="18" customWidth="1"/>
    <col min="9476" max="9476" width="3.5546875" style="18" customWidth="1"/>
    <col min="9477" max="9721" width="9.109375" style="18"/>
    <col min="9722" max="9722" width="8.6640625" style="18" customWidth="1"/>
    <col min="9723" max="9723" width="9.88671875" style="18" customWidth="1"/>
    <col min="9724" max="9724" width="14.44140625" style="18" customWidth="1"/>
    <col min="9725" max="9725" width="7.33203125" style="18" customWidth="1"/>
    <col min="9726" max="9726" width="5.5546875" style="18" customWidth="1"/>
    <col min="9727" max="9727" width="9" style="18" customWidth="1"/>
    <col min="9728" max="9729" width="9.88671875" style="18" customWidth="1"/>
    <col min="9730" max="9730" width="11.109375" style="18" customWidth="1"/>
    <col min="9731" max="9731" width="2.88671875" style="18" customWidth="1"/>
    <col min="9732" max="9732" width="3.5546875" style="18" customWidth="1"/>
    <col min="9733" max="9977" width="9.109375" style="18"/>
    <col min="9978" max="9978" width="8.6640625" style="18" customWidth="1"/>
    <col min="9979" max="9979" width="9.88671875" style="18" customWidth="1"/>
    <col min="9980" max="9980" width="14.44140625" style="18" customWidth="1"/>
    <col min="9981" max="9981" width="7.33203125" style="18" customWidth="1"/>
    <col min="9982" max="9982" width="5.5546875" style="18" customWidth="1"/>
    <col min="9983" max="9983" width="9" style="18" customWidth="1"/>
    <col min="9984" max="9985" width="9.88671875" style="18" customWidth="1"/>
    <col min="9986" max="9986" width="11.109375" style="18" customWidth="1"/>
    <col min="9987" max="9987" width="2.88671875" style="18" customWidth="1"/>
    <col min="9988" max="9988" width="3.5546875" style="18" customWidth="1"/>
    <col min="9989" max="10233" width="9.109375" style="18"/>
    <col min="10234" max="10234" width="8.6640625" style="18" customWidth="1"/>
    <col min="10235" max="10235" width="9.88671875" style="18" customWidth="1"/>
    <col min="10236" max="10236" width="14.44140625" style="18" customWidth="1"/>
    <col min="10237" max="10237" width="7.33203125" style="18" customWidth="1"/>
    <col min="10238" max="10238" width="5.5546875" style="18" customWidth="1"/>
    <col min="10239" max="10239" width="9" style="18" customWidth="1"/>
    <col min="10240" max="10241" width="9.88671875" style="18" customWidth="1"/>
    <col min="10242" max="10242" width="11.109375" style="18" customWidth="1"/>
    <col min="10243" max="10243" width="2.88671875" style="18" customWidth="1"/>
    <col min="10244" max="10244" width="3.5546875" style="18" customWidth="1"/>
    <col min="10245" max="10489" width="9.109375" style="18"/>
    <col min="10490" max="10490" width="8.6640625" style="18" customWidth="1"/>
    <col min="10491" max="10491" width="9.88671875" style="18" customWidth="1"/>
    <col min="10492" max="10492" width="14.44140625" style="18" customWidth="1"/>
    <col min="10493" max="10493" width="7.33203125" style="18" customWidth="1"/>
    <col min="10494" max="10494" width="5.5546875" style="18" customWidth="1"/>
    <col min="10495" max="10495" width="9" style="18" customWidth="1"/>
    <col min="10496" max="10497" width="9.88671875" style="18" customWidth="1"/>
    <col min="10498" max="10498" width="11.109375" style="18" customWidth="1"/>
    <col min="10499" max="10499" width="2.88671875" style="18" customWidth="1"/>
    <col min="10500" max="10500" width="3.5546875" style="18" customWidth="1"/>
    <col min="10501" max="10745" width="9.109375" style="18"/>
    <col min="10746" max="10746" width="8.6640625" style="18" customWidth="1"/>
    <col min="10747" max="10747" width="9.88671875" style="18" customWidth="1"/>
    <col min="10748" max="10748" width="14.44140625" style="18" customWidth="1"/>
    <col min="10749" max="10749" width="7.33203125" style="18" customWidth="1"/>
    <col min="10750" max="10750" width="5.5546875" style="18" customWidth="1"/>
    <col min="10751" max="10751" width="9" style="18" customWidth="1"/>
    <col min="10752" max="10753" width="9.88671875" style="18" customWidth="1"/>
    <col min="10754" max="10754" width="11.109375" style="18" customWidth="1"/>
    <col min="10755" max="10755" width="2.88671875" style="18" customWidth="1"/>
    <col min="10756" max="10756" width="3.5546875" style="18" customWidth="1"/>
    <col min="10757" max="11001" width="9.109375" style="18"/>
    <col min="11002" max="11002" width="8.6640625" style="18" customWidth="1"/>
    <col min="11003" max="11003" width="9.88671875" style="18" customWidth="1"/>
    <col min="11004" max="11004" width="14.44140625" style="18" customWidth="1"/>
    <col min="11005" max="11005" width="7.33203125" style="18" customWidth="1"/>
    <col min="11006" max="11006" width="5.5546875" style="18" customWidth="1"/>
    <col min="11007" max="11007" width="9" style="18" customWidth="1"/>
    <col min="11008" max="11009" width="9.88671875" style="18" customWidth="1"/>
    <col min="11010" max="11010" width="11.109375" style="18" customWidth="1"/>
    <col min="11011" max="11011" width="2.88671875" style="18" customWidth="1"/>
    <col min="11012" max="11012" width="3.5546875" style="18" customWidth="1"/>
    <col min="11013" max="11257" width="9.109375" style="18"/>
    <col min="11258" max="11258" width="8.6640625" style="18" customWidth="1"/>
    <col min="11259" max="11259" width="9.88671875" style="18" customWidth="1"/>
    <col min="11260" max="11260" width="14.44140625" style="18" customWidth="1"/>
    <col min="11261" max="11261" width="7.33203125" style="18" customWidth="1"/>
    <col min="11262" max="11262" width="5.5546875" style="18" customWidth="1"/>
    <col min="11263" max="11263" width="9" style="18" customWidth="1"/>
    <col min="11264" max="11265" width="9.88671875" style="18" customWidth="1"/>
    <col min="11266" max="11266" width="11.109375" style="18" customWidth="1"/>
    <col min="11267" max="11267" width="2.88671875" style="18" customWidth="1"/>
    <col min="11268" max="11268" width="3.5546875" style="18" customWidth="1"/>
    <col min="11269" max="11513" width="9.109375" style="18"/>
    <col min="11514" max="11514" width="8.6640625" style="18" customWidth="1"/>
    <col min="11515" max="11515" width="9.88671875" style="18" customWidth="1"/>
    <col min="11516" max="11516" width="14.44140625" style="18" customWidth="1"/>
    <col min="11517" max="11517" width="7.33203125" style="18" customWidth="1"/>
    <col min="11518" max="11518" width="5.5546875" style="18" customWidth="1"/>
    <col min="11519" max="11519" width="9" style="18" customWidth="1"/>
    <col min="11520" max="11521" width="9.88671875" style="18" customWidth="1"/>
    <col min="11522" max="11522" width="11.109375" style="18" customWidth="1"/>
    <col min="11523" max="11523" width="2.88671875" style="18" customWidth="1"/>
    <col min="11524" max="11524" width="3.5546875" style="18" customWidth="1"/>
    <col min="11525" max="11769" width="9.109375" style="18"/>
    <col min="11770" max="11770" width="8.6640625" style="18" customWidth="1"/>
    <col min="11771" max="11771" width="9.88671875" style="18" customWidth="1"/>
    <col min="11772" max="11772" width="14.44140625" style="18" customWidth="1"/>
    <col min="11773" max="11773" width="7.33203125" style="18" customWidth="1"/>
    <col min="11774" max="11774" width="5.5546875" style="18" customWidth="1"/>
    <col min="11775" max="11775" width="9" style="18" customWidth="1"/>
    <col min="11776" max="11777" width="9.88671875" style="18" customWidth="1"/>
    <col min="11778" max="11778" width="11.109375" style="18" customWidth="1"/>
    <col min="11779" max="11779" width="2.88671875" style="18" customWidth="1"/>
    <col min="11780" max="11780" width="3.5546875" style="18" customWidth="1"/>
    <col min="11781" max="12025" width="9.109375" style="18"/>
    <col min="12026" max="12026" width="8.6640625" style="18" customWidth="1"/>
    <col min="12027" max="12027" width="9.88671875" style="18" customWidth="1"/>
    <col min="12028" max="12028" width="14.44140625" style="18" customWidth="1"/>
    <col min="12029" max="12029" width="7.33203125" style="18" customWidth="1"/>
    <col min="12030" max="12030" width="5.5546875" style="18" customWidth="1"/>
    <col min="12031" max="12031" width="9" style="18" customWidth="1"/>
    <col min="12032" max="12033" width="9.88671875" style="18" customWidth="1"/>
    <col min="12034" max="12034" width="11.109375" style="18" customWidth="1"/>
    <col min="12035" max="12035" width="2.88671875" style="18" customWidth="1"/>
    <col min="12036" max="12036" width="3.5546875" style="18" customWidth="1"/>
    <col min="12037" max="12281" width="9.109375" style="18"/>
    <col min="12282" max="12282" width="8.6640625" style="18" customWidth="1"/>
    <col min="12283" max="12283" width="9.88671875" style="18" customWidth="1"/>
    <col min="12284" max="12284" width="14.44140625" style="18" customWidth="1"/>
    <col min="12285" max="12285" width="7.33203125" style="18" customWidth="1"/>
    <col min="12286" max="12286" width="5.5546875" style="18" customWidth="1"/>
    <col min="12287" max="12287" width="9" style="18" customWidth="1"/>
    <col min="12288" max="12289" width="9.88671875" style="18" customWidth="1"/>
    <col min="12290" max="12290" width="11.109375" style="18" customWidth="1"/>
    <col min="12291" max="12291" width="2.88671875" style="18" customWidth="1"/>
    <col min="12292" max="12292" width="3.5546875" style="18" customWidth="1"/>
    <col min="12293" max="12537" width="9.109375" style="18"/>
    <col min="12538" max="12538" width="8.6640625" style="18" customWidth="1"/>
    <col min="12539" max="12539" width="9.88671875" style="18" customWidth="1"/>
    <col min="12540" max="12540" width="14.44140625" style="18" customWidth="1"/>
    <col min="12541" max="12541" width="7.33203125" style="18" customWidth="1"/>
    <col min="12542" max="12542" width="5.5546875" style="18" customWidth="1"/>
    <col min="12543" max="12543" width="9" style="18" customWidth="1"/>
    <col min="12544" max="12545" width="9.88671875" style="18" customWidth="1"/>
    <col min="12546" max="12546" width="11.109375" style="18" customWidth="1"/>
    <col min="12547" max="12547" width="2.88671875" style="18" customWidth="1"/>
    <col min="12548" max="12548" width="3.5546875" style="18" customWidth="1"/>
    <col min="12549" max="12793" width="9.109375" style="18"/>
    <col min="12794" max="12794" width="8.6640625" style="18" customWidth="1"/>
    <col min="12795" max="12795" width="9.88671875" style="18" customWidth="1"/>
    <col min="12796" max="12796" width="14.44140625" style="18" customWidth="1"/>
    <col min="12797" max="12797" width="7.33203125" style="18" customWidth="1"/>
    <col min="12798" max="12798" width="5.5546875" style="18" customWidth="1"/>
    <col min="12799" max="12799" width="9" style="18" customWidth="1"/>
    <col min="12800" max="12801" width="9.88671875" style="18" customWidth="1"/>
    <col min="12802" max="12802" width="11.109375" style="18" customWidth="1"/>
    <col min="12803" max="12803" width="2.88671875" style="18" customWidth="1"/>
    <col min="12804" max="12804" width="3.5546875" style="18" customWidth="1"/>
    <col min="12805" max="13049" width="9.109375" style="18"/>
    <col min="13050" max="13050" width="8.6640625" style="18" customWidth="1"/>
    <col min="13051" max="13051" width="9.88671875" style="18" customWidth="1"/>
    <col min="13052" max="13052" width="14.44140625" style="18" customWidth="1"/>
    <col min="13053" max="13053" width="7.33203125" style="18" customWidth="1"/>
    <col min="13054" max="13054" width="5.5546875" style="18" customWidth="1"/>
    <col min="13055" max="13055" width="9" style="18" customWidth="1"/>
    <col min="13056" max="13057" width="9.88671875" style="18" customWidth="1"/>
    <col min="13058" max="13058" width="11.109375" style="18" customWidth="1"/>
    <col min="13059" max="13059" width="2.88671875" style="18" customWidth="1"/>
    <col min="13060" max="13060" width="3.5546875" style="18" customWidth="1"/>
    <col min="13061" max="13305" width="9.109375" style="18"/>
    <col min="13306" max="13306" width="8.6640625" style="18" customWidth="1"/>
    <col min="13307" max="13307" width="9.88671875" style="18" customWidth="1"/>
    <col min="13308" max="13308" width="14.44140625" style="18" customWidth="1"/>
    <col min="13309" max="13309" width="7.33203125" style="18" customWidth="1"/>
    <col min="13310" max="13310" width="5.5546875" style="18" customWidth="1"/>
    <col min="13311" max="13311" width="9" style="18" customWidth="1"/>
    <col min="13312" max="13313" width="9.88671875" style="18" customWidth="1"/>
    <col min="13314" max="13314" width="11.109375" style="18" customWidth="1"/>
    <col min="13315" max="13315" width="2.88671875" style="18" customWidth="1"/>
    <col min="13316" max="13316" width="3.5546875" style="18" customWidth="1"/>
    <col min="13317" max="13561" width="9.109375" style="18"/>
    <col min="13562" max="13562" width="8.6640625" style="18" customWidth="1"/>
    <col min="13563" max="13563" width="9.88671875" style="18" customWidth="1"/>
    <col min="13564" max="13564" width="14.44140625" style="18" customWidth="1"/>
    <col min="13565" max="13565" width="7.33203125" style="18" customWidth="1"/>
    <col min="13566" max="13566" width="5.5546875" style="18" customWidth="1"/>
    <col min="13567" max="13567" width="9" style="18" customWidth="1"/>
    <col min="13568" max="13569" width="9.88671875" style="18" customWidth="1"/>
    <col min="13570" max="13570" width="11.109375" style="18" customWidth="1"/>
    <col min="13571" max="13571" width="2.88671875" style="18" customWidth="1"/>
    <col min="13572" max="13572" width="3.5546875" style="18" customWidth="1"/>
    <col min="13573" max="13817" width="9.109375" style="18"/>
    <col min="13818" max="13818" width="8.6640625" style="18" customWidth="1"/>
    <col min="13819" max="13819" width="9.88671875" style="18" customWidth="1"/>
    <col min="13820" max="13820" width="14.44140625" style="18" customWidth="1"/>
    <col min="13821" max="13821" width="7.33203125" style="18" customWidth="1"/>
    <col min="13822" max="13822" width="5.5546875" style="18" customWidth="1"/>
    <col min="13823" max="13823" width="9" style="18" customWidth="1"/>
    <col min="13824" max="13825" width="9.88671875" style="18" customWidth="1"/>
    <col min="13826" max="13826" width="11.109375" style="18" customWidth="1"/>
    <col min="13827" max="13827" width="2.88671875" style="18" customWidth="1"/>
    <col min="13828" max="13828" width="3.5546875" style="18" customWidth="1"/>
    <col min="13829" max="14073" width="9.109375" style="18"/>
    <col min="14074" max="14074" width="8.6640625" style="18" customWidth="1"/>
    <col min="14075" max="14075" width="9.88671875" style="18" customWidth="1"/>
    <col min="14076" max="14076" width="14.44140625" style="18" customWidth="1"/>
    <col min="14077" max="14077" width="7.33203125" style="18" customWidth="1"/>
    <col min="14078" max="14078" width="5.5546875" style="18" customWidth="1"/>
    <col min="14079" max="14079" width="9" style="18" customWidth="1"/>
    <col min="14080" max="14081" width="9.88671875" style="18" customWidth="1"/>
    <col min="14082" max="14082" width="11.109375" style="18" customWidth="1"/>
    <col min="14083" max="14083" width="2.88671875" style="18" customWidth="1"/>
    <col min="14084" max="14084" width="3.5546875" style="18" customWidth="1"/>
    <col min="14085" max="14329" width="9.109375" style="18"/>
    <col min="14330" max="14330" width="8.6640625" style="18" customWidth="1"/>
    <col min="14331" max="14331" width="9.88671875" style="18" customWidth="1"/>
    <col min="14332" max="14332" width="14.44140625" style="18" customWidth="1"/>
    <col min="14333" max="14333" width="7.33203125" style="18" customWidth="1"/>
    <col min="14334" max="14334" width="5.5546875" style="18" customWidth="1"/>
    <col min="14335" max="14335" width="9" style="18" customWidth="1"/>
    <col min="14336" max="14337" width="9.88671875" style="18" customWidth="1"/>
    <col min="14338" max="14338" width="11.109375" style="18" customWidth="1"/>
    <col min="14339" max="14339" width="2.88671875" style="18" customWidth="1"/>
    <col min="14340" max="14340" width="3.5546875" style="18" customWidth="1"/>
    <col min="14341" max="14585" width="9.109375" style="18"/>
    <col min="14586" max="14586" width="8.6640625" style="18" customWidth="1"/>
    <col min="14587" max="14587" width="9.88671875" style="18" customWidth="1"/>
    <col min="14588" max="14588" width="14.44140625" style="18" customWidth="1"/>
    <col min="14589" max="14589" width="7.33203125" style="18" customWidth="1"/>
    <col min="14590" max="14590" width="5.5546875" style="18" customWidth="1"/>
    <col min="14591" max="14591" width="9" style="18" customWidth="1"/>
    <col min="14592" max="14593" width="9.88671875" style="18" customWidth="1"/>
    <col min="14594" max="14594" width="11.109375" style="18" customWidth="1"/>
    <col min="14595" max="14595" width="2.88671875" style="18" customWidth="1"/>
    <col min="14596" max="14596" width="3.5546875" style="18" customWidth="1"/>
    <col min="14597" max="14841" width="9.109375" style="18"/>
    <col min="14842" max="14842" width="8.6640625" style="18" customWidth="1"/>
    <col min="14843" max="14843" width="9.88671875" style="18" customWidth="1"/>
    <col min="14844" max="14844" width="14.44140625" style="18" customWidth="1"/>
    <col min="14845" max="14845" width="7.33203125" style="18" customWidth="1"/>
    <col min="14846" max="14846" width="5.5546875" style="18" customWidth="1"/>
    <col min="14847" max="14847" width="9" style="18" customWidth="1"/>
    <col min="14848" max="14849" width="9.88671875" style="18" customWidth="1"/>
    <col min="14850" max="14850" width="11.109375" style="18" customWidth="1"/>
    <col min="14851" max="14851" width="2.88671875" style="18" customWidth="1"/>
    <col min="14852" max="14852" width="3.5546875" style="18" customWidth="1"/>
    <col min="14853" max="15097" width="9.109375" style="18"/>
    <col min="15098" max="15098" width="8.6640625" style="18" customWidth="1"/>
    <col min="15099" max="15099" width="9.88671875" style="18" customWidth="1"/>
    <col min="15100" max="15100" width="14.44140625" style="18" customWidth="1"/>
    <col min="15101" max="15101" width="7.33203125" style="18" customWidth="1"/>
    <col min="15102" max="15102" width="5.5546875" style="18" customWidth="1"/>
    <col min="15103" max="15103" width="9" style="18" customWidth="1"/>
    <col min="15104" max="15105" width="9.88671875" style="18" customWidth="1"/>
    <col min="15106" max="15106" width="11.109375" style="18" customWidth="1"/>
    <col min="15107" max="15107" width="2.88671875" style="18" customWidth="1"/>
    <col min="15108" max="15108" width="3.5546875" style="18" customWidth="1"/>
    <col min="15109" max="15353" width="9.109375" style="18"/>
    <col min="15354" max="15354" width="8.6640625" style="18" customWidth="1"/>
    <col min="15355" max="15355" width="9.88671875" style="18" customWidth="1"/>
    <col min="15356" max="15356" width="14.44140625" style="18" customWidth="1"/>
    <col min="15357" max="15357" width="7.33203125" style="18" customWidth="1"/>
    <col min="15358" max="15358" width="5.5546875" style="18" customWidth="1"/>
    <col min="15359" max="15359" width="9" style="18" customWidth="1"/>
    <col min="15360" max="15361" width="9.88671875" style="18" customWidth="1"/>
    <col min="15362" max="15362" width="11.109375" style="18" customWidth="1"/>
    <col min="15363" max="15363" width="2.88671875" style="18" customWidth="1"/>
    <col min="15364" max="15364" width="3.5546875" style="18" customWidth="1"/>
    <col min="15365" max="15609" width="9.109375" style="18"/>
    <col min="15610" max="15610" width="8.6640625" style="18" customWidth="1"/>
    <col min="15611" max="15611" width="9.88671875" style="18" customWidth="1"/>
    <col min="15612" max="15612" width="14.44140625" style="18" customWidth="1"/>
    <col min="15613" max="15613" width="7.33203125" style="18" customWidth="1"/>
    <col min="15614" max="15614" width="5.5546875" style="18" customWidth="1"/>
    <col min="15615" max="15615" width="9" style="18" customWidth="1"/>
    <col min="15616" max="15617" width="9.88671875" style="18" customWidth="1"/>
    <col min="15618" max="15618" width="11.109375" style="18" customWidth="1"/>
    <col min="15619" max="15619" width="2.88671875" style="18" customWidth="1"/>
    <col min="15620" max="15620" width="3.5546875" style="18" customWidth="1"/>
    <col min="15621" max="15865" width="9.109375" style="18"/>
    <col min="15866" max="15866" width="8.6640625" style="18" customWidth="1"/>
    <col min="15867" max="15867" width="9.88671875" style="18" customWidth="1"/>
    <col min="15868" max="15868" width="14.44140625" style="18" customWidth="1"/>
    <col min="15869" max="15869" width="7.33203125" style="18" customWidth="1"/>
    <col min="15870" max="15870" width="5.5546875" style="18" customWidth="1"/>
    <col min="15871" max="15871" width="9" style="18" customWidth="1"/>
    <col min="15872" max="15873" width="9.88671875" style="18" customWidth="1"/>
    <col min="15874" max="15874" width="11.109375" style="18" customWidth="1"/>
    <col min="15875" max="15875" width="2.88671875" style="18" customWidth="1"/>
    <col min="15876" max="15876" width="3.5546875" style="18" customWidth="1"/>
    <col min="15877" max="16121" width="9.109375" style="18"/>
    <col min="16122" max="16122" width="8.6640625" style="18" customWidth="1"/>
    <col min="16123" max="16123" width="9.88671875" style="18" customWidth="1"/>
    <col min="16124" max="16124" width="14.44140625" style="18" customWidth="1"/>
    <col min="16125" max="16125" width="7.33203125" style="18" customWidth="1"/>
    <col min="16126" max="16126" width="5.5546875" style="18" customWidth="1"/>
    <col min="16127" max="16127" width="9" style="18" customWidth="1"/>
    <col min="16128" max="16129" width="9.88671875" style="18" customWidth="1"/>
    <col min="16130" max="16130" width="11.109375" style="18" customWidth="1"/>
    <col min="16131" max="16131" width="2.88671875" style="18" customWidth="1"/>
    <col min="16132" max="16132" width="3.5546875" style="18" customWidth="1"/>
    <col min="16133" max="16384" width="9.109375" style="18"/>
  </cols>
  <sheetData>
    <row r="1" spans="1:8" ht="46.5" customHeight="1" x14ac:dyDescent="0.3">
      <c r="A1" s="135" t="s">
        <v>222</v>
      </c>
      <c r="B1" s="135"/>
      <c r="C1" s="135"/>
      <c r="D1" s="135"/>
      <c r="E1" s="135"/>
      <c r="F1" s="135"/>
      <c r="G1" s="135"/>
      <c r="H1" s="135"/>
    </row>
    <row r="2" spans="1:8" ht="16.5" customHeight="1" x14ac:dyDescent="0.3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3">
      <c r="A3" s="59" t="s">
        <v>1</v>
      </c>
      <c r="B3" s="59"/>
      <c r="C3" s="59"/>
      <c r="D3" s="59"/>
      <c r="E3" s="136" t="str">
        <f ca="1">TEXT(TODAY(),"DD/MM/YYYY")</f>
        <v>19/09/2025</v>
      </c>
      <c r="F3" s="136"/>
      <c r="G3" s="136"/>
      <c r="H3" s="136"/>
    </row>
    <row r="4" spans="1:8" ht="15" customHeight="1" x14ac:dyDescent="0.3">
      <c r="A4" s="59" t="s">
        <v>2</v>
      </c>
      <c r="B4" s="59"/>
      <c r="C4" s="59"/>
      <c r="D4" s="59"/>
      <c r="E4" s="137" t="s">
        <v>146</v>
      </c>
      <c r="F4" s="137"/>
      <c r="G4" s="137"/>
      <c r="H4" s="137"/>
    </row>
    <row r="5" spans="1:8" x14ac:dyDescent="0.3">
      <c r="A5" s="59" t="s">
        <v>3</v>
      </c>
      <c r="B5" s="59"/>
      <c r="C5" s="59"/>
      <c r="D5" s="59"/>
      <c r="E5" s="136">
        <v>45909</v>
      </c>
      <c r="F5" s="136"/>
      <c r="G5" s="136"/>
      <c r="H5" s="136"/>
    </row>
    <row r="6" spans="1:8" ht="16.5" customHeight="1" x14ac:dyDescent="0.3">
      <c r="A6" s="59" t="s">
        <v>4</v>
      </c>
      <c r="B6" s="59"/>
      <c r="C6" s="59"/>
      <c r="D6" s="59"/>
      <c r="E6" s="84" t="s">
        <v>147</v>
      </c>
      <c r="F6" s="84"/>
      <c r="G6" s="84"/>
      <c r="H6" s="84"/>
    </row>
    <row r="7" spans="1:8" ht="15" customHeight="1" x14ac:dyDescent="0.3">
      <c r="A7" s="59" t="s">
        <v>5</v>
      </c>
      <c r="B7" s="59"/>
      <c r="C7" s="59"/>
      <c r="D7" s="59"/>
      <c r="E7" s="84" t="str">
        <f>E6</f>
        <v xml:space="preserve">M/s.Sheth Developers Private Limited </v>
      </c>
      <c r="F7" s="84"/>
      <c r="G7" s="84"/>
      <c r="H7" s="84"/>
    </row>
    <row r="8" spans="1:8" x14ac:dyDescent="0.3">
      <c r="A8" s="59" t="s">
        <v>6</v>
      </c>
      <c r="B8" s="59"/>
      <c r="C8" s="59"/>
      <c r="D8" s="59"/>
      <c r="E8" s="112" t="s">
        <v>172</v>
      </c>
      <c r="F8" s="112"/>
      <c r="G8" s="112"/>
      <c r="H8" s="112"/>
    </row>
    <row r="9" spans="1:8" ht="31.5" customHeight="1" x14ac:dyDescent="0.3">
      <c r="A9" s="59" t="s">
        <v>116</v>
      </c>
      <c r="B9" s="59"/>
      <c r="C9" s="59"/>
      <c r="D9" s="59"/>
      <c r="E9" s="84" t="s">
        <v>149</v>
      </c>
      <c r="F9" s="59"/>
      <c r="G9" s="59"/>
      <c r="H9" s="59"/>
    </row>
    <row r="10" spans="1:8" x14ac:dyDescent="0.3">
      <c r="A10" s="87" t="s">
        <v>7</v>
      </c>
      <c r="B10" s="87"/>
      <c r="C10" s="87"/>
      <c r="D10" s="87"/>
      <c r="E10" s="87" t="s">
        <v>148</v>
      </c>
      <c r="F10" s="87"/>
      <c r="G10" s="87"/>
      <c r="H10" s="87"/>
    </row>
    <row r="11" spans="1:8" x14ac:dyDescent="0.3">
      <c r="A11" s="59" t="s">
        <v>8</v>
      </c>
      <c r="B11" s="59"/>
      <c r="C11" s="59"/>
      <c r="D11" s="59"/>
      <c r="E11" s="85" t="s">
        <v>206</v>
      </c>
      <c r="F11" s="85"/>
      <c r="G11" s="85"/>
      <c r="H11" s="85"/>
    </row>
    <row r="12" spans="1:8" ht="31.5" customHeight="1" x14ac:dyDescent="0.3">
      <c r="A12" s="59" t="s">
        <v>9</v>
      </c>
      <c r="B12" s="59"/>
      <c r="C12" s="59"/>
      <c r="D12" s="59"/>
      <c r="E12" s="85" t="s">
        <v>179</v>
      </c>
      <c r="F12" s="87"/>
      <c r="G12" s="87"/>
      <c r="H12" s="87"/>
    </row>
    <row r="13" spans="1:8" ht="32.25" customHeight="1" x14ac:dyDescent="0.3">
      <c r="A13" s="84" t="s">
        <v>10</v>
      </c>
      <c r="B13" s="84"/>
      <c r="C13" s="8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Sheth Avalon - Phase 1 &amp; 2, S No.48/1 To 4 , near Viviana Mall, Mumbai - Agra Highway, Thane, Thane, Thane, Thane.</v>
      </c>
      <c r="D13" s="84"/>
      <c r="E13" s="84"/>
      <c r="F13" s="84"/>
      <c r="G13" s="84"/>
      <c r="H13" s="84"/>
    </row>
    <row r="14" spans="1:8" x14ac:dyDescent="0.3">
      <c r="A14" s="85" t="s">
        <v>167</v>
      </c>
      <c r="B14" s="85"/>
      <c r="C14" s="85" t="s">
        <v>151</v>
      </c>
      <c r="D14" s="85"/>
      <c r="E14" s="85"/>
      <c r="F14" s="85"/>
      <c r="G14" s="85"/>
      <c r="H14" s="85"/>
    </row>
    <row r="15" spans="1:8" ht="15.75" customHeight="1" x14ac:dyDescent="0.3">
      <c r="A15" s="84" t="s">
        <v>11</v>
      </c>
      <c r="B15" s="84"/>
      <c r="C15" s="87" t="s">
        <v>156</v>
      </c>
      <c r="D15" s="87"/>
      <c r="E15" s="84" t="s">
        <v>76</v>
      </c>
      <c r="F15" s="84"/>
      <c r="G15" s="85" t="s">
        <v>150</v>
      </c>
      <c r="H15" s="85"/>
    </row>
    <row r="16" spans="1:8" x14ac:dyDescent="0.3">
      <c r="A16" s="59" t="s">
        <v>13</v>
      </c>
      <c r="B16" s="59"/>
      <c r="C16" s="138" t="s">
        <v>150</v>
      </c>
      <c r="D16" s="138"/>
      <c r="E16" s="84" t="s">
        <v>12</v>
      </c>
      <c r="F16" s="84"/>
      <c r="G16" s="138" t="s">
        <v>150</v>
      </c>
      <c r="H16" s="138"/>
    </row>
    <row r="17" spans="1:18" x14ac:dyDescent="0.3">
      <c r="A17" s="59" t="s">
        <v>77</v>
      </c>
      <c r="B17" s="59"/>
      <c r="C17" s="138" t="s">
        <v>150</v>
      </c>
      <c r="D17" s="138"/>
      <c r="E17" s="84" t="s">
        <v>14</v>
      </c>
      <c r="F17" s="84"/>
      <c r="G17" s="85">
        <v>400601</v>
      </c>
      <c r="H17" s="85"/>
    </row>
    <row r="18" spans="1:18" ht="32.25" customHeight="1" x14ac:dyDescent="0.3">
      <c r="A18" s="59" t="s">
        <v>117</v>
      </c>
      <c r="B18" s="59"/>
      <c r="C18" s="84" t="s">
        <v>154</v>
      </c>
      <c r="D18" s="84"/>
      <c r="E18" s="84" t="s">
        <v>15</v>
      </c>
      <c r="F18" s="84"/>
      <c r="G18" s="85" t="s">
        <v>157</v>
      </c>
      <c r="H18" s="85"/>
    </row>
    <row r="19" spans="1:18" ht="15" customHeight="1" x14ac:dyDescent="0.3">
      <c r="A19" s="84" t="s">
        <v>80</v>
      </c>
      <c r="B19" s="84"/>
      <c r="C19" s="84"/>
      <c r="D19" s="84"/>
      <c r="E19" s="87" t="s">
        <v>16</v>
      </c>
      <c r="F19" s="87"/>
      <c r="G19" s="87"/>
      <c r="H19" s="87"/>
    </row>
    <row r="20" spans="1:18" ht="18.75" customHeight="1" x14ac:dyDescent="0.3">
      <c r="A20" s="84"/>
      <c r="B20" s="84"/>
      <c r="C20" s="84"/>
      <c r="D20" s="84"/>
      <c r="E20" s="87"/>
      <c r="F20" s="87"/>
      <c r="G20" s="87"/>
      <c r="H20" s="87"/>
    </row>
    <row r="21" spans="1:18" ht="15" customHeight="1" x14ac:dyDescent="0.3">
      <c r="A21" s="84" t="s">
        <v>17</v>
      </c>
      <c r="B21" s="84"/>
      <c r="C21" s="84"/>
      <c r="D21" s="84"/>
      <c r="E21" s="85" t="s">
        <v>18</v>
      </c>
      <c r="F21" s="85"/>
      <c r="G21" s="85"/>
      <c r="H21" s="85"/>
    </row>
    <row r="22" spans="1:18" ht="15" customHeight="1" x14ac:dyDescent="0.3">
      <c r="A22" s="59" t="s">
        <v>19</v>
      </c>
      <c r="B22" s="59"/>
      <c r="C22" s="59"/>
      <c r="D22" s="59"/>
      <c r="E22" s="85" t="str">
        <f>IF(AND(G16="Mumbai"),"Upper Class","Middle Class")</f>
        <v>Middle Class</v>
      </c>
      <c r="F22" s="85"/>
      <c r="G22" s="85"/>
      <c r="H22" s="85"/>
    </row>
    <row r="23" spans="1:18" x14ac:dyDescent="0.3">
      <c r="A23" s="59" t="s">
        <v>20</v>
      </c>
      <c r="B23" s="59"/>
      <c r="C23" s="59"/>
      <c r="D23" s="59"/>
      <c r="E23" s="85" t="s">
        <v>21</v>
      </c>
      <c r="F23" s="85"/>
      <c r="G23" s="85"/>
      <c r="H23" s="85"/>
    </row>
    <row r="24" spans="1:18" ht="15.75" customHeight="1" x14ac:dyDescent="0.3">
      <c r="A24" s="59" t="s">
        <v>22</v>
      </c>
      <c r="B24" s="59"/>
      <c r="C24" s="59"/>
      <c r="D24" s="59"/>
      <c r="E24" s="85" t="str">
        <f>IF(AND(G16="Mumbai"),"Developed","Developing")</f>
        <v>Developing</v>
      </c>
      <c r="F24" s="85"/>
      <c r="G24" s="85"/>
      <c r="H24" s="85"/>
    </row>
    <row r="25" spans="1:18" x14ac:dyDescent="0.3">
      <c r="A25" s="59" t="s">
        <v>23</v>
      </c>
      <c r="B25" s="59"/>
      <c r="C25" s="59"/>
      <c r="D25" s="59"/>
      <c r="E25" s="85" t="s">
        <v>24</v>
      </c>
      <c r="F25" s="85"/>
      <c r="G25" s="85"/>
      <c r="H25" s="85"/>
    </row>
    <row r="26" spans="1:18" x14ac:dyDescent="0.3">
      <c r="A26" s="59" t="s">
        <v>85</v>
      </c>
      <c r="B26" s="59"/>
      <c r="C26" s="59"/>
      <c r="D26" s="59"/>
      <c r="E26" s="85" t="s">
        <v>86</v>
      </c>
      <c r="F26" s="85"/>
      <c r="G26" s="85"/>
      <c r="H26" s="85"/>
    </row>
    <row r="27" spans="1:18" ht="15" customHeight="1" x14ac:dyDescent="0.3">
      <c r="A27" s="84" t="s">
        <v>35</v>
      </c>
      <c r="B27" s="84"/>
      <c r="C27" s="84"/>
      <c r="D27" s="84"/>
      <c r="E27" s="137" t="s">
        <v>166</v>
      </c>
      <c r="F27" s="137"/>
      <c r="G27" s="137"/>
      <c r="H27" s="137"/>
    </row>
    <row r="28" spans="1:18" x14ac:dyDescent="0.3">
      <c r="A28" s="84" t="s">
        <v>96</v>
      </c>
      <c r="B28" s="84"/>
      <c r="C28" s="84"/>
      <c r="D28" s="84"/>
      <c r="E28" s="84" t="s">
        <v>36</v>
      </c>
      <c r="F28" s="84"/>
      <c r="G28" s="84"/>
      <c r="H28" s="84"/>
    </row>
    <row r="29" spans="1:18" s="20" customFormat="1" x14ac:dyDescent="0.3">
      <c r="A29" s="144" t="s">
        <v>97</v>
      </c>
      <c r="B29" s="144"/>
      <c r="C29" s="141" t="s">
        <v>29</v>
      </c>
      <c r="D29" s="141"/>
      <c r="E29" s="141"/>
      <c r="F29" s="141" t="s">
        <v>31</v>
      </c>
      <c r="G29" s="141"/>
      <c r="H29" s="141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s="20" customFormat="1" x14ac:dyDescent="0.3">
      <c r="A30" s="139" t="s">
        <v>25</v>
      </c>
      <c r="B30" s="139" t="s">
        <v>30</v>
      </c>
      <c r="C30" s="128" t="s">
        <v>30</v>
      </c>
      <c r="D30" s="128"/>
      <c r="E30" s="128"/>
      <c r="F30" s="128" t="s">
        <v>152</v>
      </c>
      <c r="G30" s="128"/>
      <c r="H30" s="128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3">
      <c r="A31" s="139" t="s">
        <v>26</v>
      </c>
      <c r="B31" s="139" t="s">
        <v>30</v>
      </c>
      <c r="C31" s="128" t="s">
        <v>30</v>
      </c>
      <c r="D31" s="128"/>
      <c r="E31" s="128"/>
      <c r="F31" s="128" t="s">
        <v>153</v>
      </c>
      <c r="G31" s="128"/>
      <c r="H31" s="128"/>
    </row>
    <row r="32" spans="1:18" s="20" customFormat="1" x14ac:dyDescent="0.3">
      <c r="A32" s="139" t="s">
        <v>28</v>
      </c>
      <c r="B32" s="139" t="s">
        <v>30</v>
      </c>
      <c r="C32" s="128" t="s">
        <v>30</v>
      </c>
      <c r="D32" s="128"/>
      <c r="E32" s="128"/>
      <c r="F32" s="128" t="s">
        <v>155</v>
      </c>
      <c r="G32" s="128"/>
      <c r="H32" s="128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3">
      <c r="A33" s="139" t="s">
        <v>27</v>
      </c>
      <c r="B33" s="139" t="s">
        <v>30</v>
      </c>
      <c r="C33" s="128" t="s">
        <v>30</v>
      </c>
      <c r="D33" s="128"/>
      <c r="E33" s="128"/>
      <c r="F33" s="128" t="s">
        <v>154</v>
      </c>
      <c r="G33" s="128"/>
      <c r="H33" s="128"/>
    </row>
    <row r="34" spans="1:18" x14ac:dyDescent="0.3">
      <c r="A34" s="59" t="s">
        <v>32</v>
      </c>
      <c r="B34" s="59"/>
      <c r="C34" s="59"/>
      <c r="D34" s="59"/>
      <c r="E34" s="59"/>
      <c r="F34" s="59"/>
      <c r="G34" s="59"/>
      <c r="H34" s="59"/>
    </row>
    <row r="35" spans="1:18" ht="15.75" customHeight="1" x14ac:dyDescent="0.3">
      <c r="A35" s="100" t="s">
        <v>33</v>
      </c>
      <c r="B35" s="100"/>
      <c r="C35" s="142">
        <v>19.2096661</v>
      </c>
      <c r="D35" s="142"/>
      <c r="E35" s="100" t="s">
        <v>34</v>
      </c>
      <c r="F35" s="100"/>
      <c r="G35" s="143">
        <v>72.971368299999995</v>
      </c>
      <c r="H35" s="143"/>
    </row>
    <row r="36" spans="1:18" ht="15.75" customHeight="1" x14ac:dyDescent="0.3">
      <c r="A36" s="100" t="s">
        <v>211</v>
      </c>
      <c r="B36" s="100"/>
      <c r="C36" s="174" t="s">
        <v>212</v>
      </c>
      <c r="D36" s="175"/>
      <c r="E36" s="175"/>
      <c r="F36" s="175"/>
      <c r="G36" s="175"/>
      <c r="H36" s="176"/>
    </row>
    <row r="37" spans="1:18" x14ac:dyDescent="0.3">
      <c r="A37" s="112" t="s">
        <v>37</v>
      </c>
      <c r="B37" s="112"/>
      <c r="C37" s="112"/>
      <c r="D37" s="112"/>
      <c r="E37" s="112"/>
      <c r="F37" s="112"/>
      <c r="G37" s="112"/>
      <c r="H37" s="112"/>
    </row>
    <row r="38" spans="1:18" x14ac:dyDescent="0.3">
      <c r="A38" s="59" t="s">
        <v>38</v>
      </c>
      <c r="B38" s="59"/>
      <c r="C38" s="59"/>
      <c r="D38" s="59"/>
      <c r="E38" s="140">
        <v>27953.43</v>
      </c>
      <c r="F38" s="140"/>
      <c r="G38" s="140"/>
      <c r="H38" s="140"/>
    </row>
    <row r="39" spans="1:18" x14ac:dyDescent="0.3">
      <c r="A39" s="59" t="s">
        <v>39</v>
      </c>
      <c r="B39" s="59"/>
      <c r="C39" s="59"/>
      <c r="D39" s="59"/>
      <c r="E39" s="58">
        <v>1</v>
      </c>
      <c r="F39" s="58"/>
      <c r="G39" s="58"/>
      <c r="H39" s="58"/>
    </row>
    <row r="40" spans="1:18" x14ac:dyDescent="0.3">
      <c r="A40" s="59" t="s">
        <v>40</v>
      </c>
      <c r="B40" s="59"/>
      <c r="C40" s="59"/>
      <c r="D40" s="59"/>
      <c r="E40" s="58">
        <f>E42/E38-E39</f>
        <v>1.5788974734048735</v>
      </c>
      <c r="F40" s="58"/>
      <c r="G40" s="58"/>
      <c r="H40" s="58"/>
    </row>
    <row r="41" spans="1:18" x14ac:dyDescent="0.3">
      <c r="A41" s="59" t="s">
        <v>41</v>
      </c>
      <c r="B41" s="59"/>
      <c r="C41" s="59"/>
      <c r="D41" s="59"/>
      <c r="E41" s="58">
        <v>0.997</v>
      </c>
      <c r="F41" s="58"/>
      <c r="G41" s="58"/>
      <c r="H41" s="58"/>
    </row>
    <row r="42" spans="1:18" x14ac:dyDescent="0.3">
      <c r="A42" s="59" t="s">
        <v>95</v>
      </c>
      <c r="B42" s="59"/>
      <c r="C42" s="59"/>
      <c r="D42" s="59"/>
      <c r="E42" s="134">
        <v>72089.03</v>
      </c>
      <c r="F42" s="134"/>
      <c r="G42" s="134"/>
      <c r="H42" s="134"/>
    </row>
    <row r="43" spans="1:18" x14ac:dyDescent="0.3">
      <c r="A43" s="87" t="s">
        <v>42</v>
      </c>
      <c r="B43" s="87"/>
      <c r="C43" s="87"/>
      <c r="D43" s="87"/>
      <c r="E43" s="87" t="s">
        <v>158</v>
      </c>
      <c r="F43" s="87"/>
      <c r="G43" s="87"/>
      <c r="H43" s="87"/>
    </row>
    <row r="44" spans="1:18" x14ac:dyDescent="0.3">
      <c r="A44" s="112" t="s">
        <v>43</v>
      </c>
      <c r="B44" s="112"/>
      <c r="C44" s="112"/>
      <c r="D44" s="112"/>
      <c r="E44" s="112"/>
      <c r="F44" s="112"/>
      <c r="G44" s="112"/>
      <c r="H44" s="112"/>
    </row>
    <row r="45" spans="1:18" ht="30.75" customHeight="1" x14ac:dyDescent="0.3">
      <c r="A45" s="84" t="s">
        <v>44</v>
      </c>
      <c r="B45" s="84"/>
      <c r="C45" s="85" t="s">
        <v>173</v>
      </c>
      <c r="D45" s="85"/>
      <c r="E45" s="85"/>
      <c r="F45" s="11" t="s">
        <v>45</v>
      </c>
      <c r="G45" s="86">
        <v>44854</v>
      </c>
      <c r="H45" s="86"/>
    </row>
    <row r="46" spans="1:18" ht="33" customHeight="1" x14ac:dyDescent="0.3">
      <c r="A46" s="84" t="s">
        <v>174</v>
      </c>
      <c r="B46" s="59"/>
      <c r="C46" s="85" t="str">
        <f>C45</f>
        <v>SO4/0098/16(2007/60)TMC/TD-DP/TPS/4232/22</v>
      </c>
      <c r="D46" s="85"/>
      <c r="E46" s="85"/>
      <c r="F46" s="11" t="s">
        <v>45</v>
      </c>
      <c r="G46" s="86">
        <f>G45</f>
        <v>44854</v>
      </c>
      <c r="H46" s="86"/>
    </row>
    <row r="47" spans="1:18" s="23" customFormat="1" ht="235.5" customHeight="1" x14ac:dyDescent="0.3">
      <c r="A47" s="85" t="s">
        <v>46</v>
      </c>
      <c r="B47" s="85"/>
      <c r="C47" s="85" t="s">
        <v>175</v>
      </c>
      <c r="D47" s="87"/>
      <c r="E47" s="87"/>
      <c r="F47" s="21" t="s">
        <v>45</v>
      </c>
      <c r="G47" s="86" t="s">
        <v>176</v>
      </c>
      <c r="H47" s="86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s="23" customFormat="1" ht="150.75" customHeight="1" x14ac:dyDescent="0.3">
      <c r="A48" s="85"/>
      <c r="B48" s="85"/>
      <c r="C48" s="91" t="s">
        <v>177</v>
      </c>
      <c r="D48" s="92"/>
      <c r="E48" s="92"/>
      <c r="F48" s="92"/>
      <c r="G48" s="92"/>
      <c r="H48" s="93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1:18" ht="64.5" customHeight="1" x14ac:dyDescent="0.3">
      <c r="A49" s="177" t="s">
        <v>218</v>
      </c>
      <c r="B49" s="178"/>
      <c r="C49" s="88" t="s">
        <v>213</v>
      </c>
      <c r="D49" s="78"/>
      <c r="E49" s="78" t="s">
        <v>47</v>
      </c>
      <c r="F49" s="12" t="s">
        <v>45</v>
      </c>
      <c r="G49" s="90">
        <v>43762</v>
      </c>
      <c r="H49" s="90"/>
    </row>
    <row r="50" spans="1:18" ht="64.5" customHeight="1" x14ac:dyDescent="0.3">
      <c r="A50" s="179"/>
      <c r="B50" s="180"/>
      <c r="C50" s="88" t="s">
        <v>214</v>
      </c>
      <c r="D50" s="78"/>
      <c r="E50" s="78" t="s">
        <v>47</v>
      </c>
      <c r="F50" s="12" t="s">
        <v>45</v>
      </c>
      <c r="G50" s="90">
        <v>43853</v>
      </c>
      <c r="H50" s="90"/>
    </row>
    <row r="51" spans="1:18" ht="64.5" customHeight="1" x14ac:dyDescent="0.3">
      <c r="A51" s="179"/>
      <c r="B51" s="180"/>
      <c r="C51" s="88" t="s">
        <v>215</v>
      </c>
      <c r="D51" s="78"/>
      <c r="E51" s="78" t="s">
        <v>47</v>
      </c>
      <c r="F51" s="12" t="s">
        <v>45</v>
      </c>
      <c r="G51" s="90">
        <v>43686</v>
      </c>
      <c r="H51" s="90"/>
    </row>
    <row r="52" spans="1:18" ht="64.5" customHeight="1" x14ac:dyDescent="0.3">
      <c r="A52" s="181"/>
      <c r="B52" s="182"/>
      <c r="C52" s="88" t="s">
        <v>217</v>
      </c>
      <c r="D52" s="78"/>
      <c r="E52" s="78" t="s">
        <v>47</v>
      </c>
      <c r="F52" s="12" t="s">
        <v>45</v>
      </c>
      <c r="G52" s="90">
        <v>44278</v>
      </c>
      <c r="H52" s="90"/>
    </row>
    <row r="53" spans="1:18" x14ac:dyDescent="0.3">
      <c r="A53" s="89" t="s">
        <v>49</v>
      </c>
      <c r="B53" s="89"/>
      <c r="C53" s="89"/>
      <c r="D53" s="89"/>
      <c r="E53" s="89"/>
      <c r="F53" s="89"/>
      <c r="G53" s="89"/>
      <c r="H53" s="89"/>
    </row>
    <row r="54" spans="1:18" x14ac:dyDescent="0.3">
      <c r="A54" s="84" t="s">
        <v>94</v>
      </c>
      <c r="B54" s="84"/>
      <c r="C54" s="84"/>
      <c r="D54" s="59">
        <f>E42</f>
        <v>72089.03</v>
      </c>
      <c r="E54" s="59"/>
      <c r="F54" s="59"/>
      <c r="G54" s="59"/>
      <c r="H54" s="59"/>
    </row>
    <row r="55" spans="1:18" x14ac:dyDescent="0.3">
      <c r="A55" s="85" t="s">
        <v>50</v>
      </c>
      <c r="B55" s="87"/>
      <c r="C55" s="87"/>
      <c r="D55" s="87" t="s">
        <v>203</v>
      </c>
      <c r="E55" s="87"/>
      <c r="F55" s="87"/>
      <c r="G55" s="87"/>
      <c r="H55" s="87"/>
      <c r="I55" s="24"/>
      <c r="J55" s="24"/>
      <c r="K55" s="24"/>
      <c r="L55" s="24"/>
      <c r="M55" s="24"/>
    </row>
    <row r="56" spans="1:18" ht="128.25" customHeight="1" x14ac:dyDescent="0.3">
      <c r="A56" s="96" t="s">
        <v>51</v>
      </c>
      <c r="B56" s="97"/>
      <c r="C56" s="98"/>
      <c r="D56" s="94" t="s">
        <v>178</v>
      </c>
      <c r="E56" s="95"/>
      <c r="F56" s="95"/>
      <c r="G56" s="95"/>
      <c r="H56" s="95"/>
    </row>
    <row r="57" spans="1:18" x14ac:dyDescent="0.3">
      <c r="A57" s="96" t="s">
        <v>92</v>
      </c>
      <c r="B57" s="97"/>
      <c r="C57" s="98"/>
      <c r="D57" s="87" t="s">
        <v>164</v>
      </c>
      <c r="E57" s="87"/>
      <c r="F57" s="87"/>
      <c r="G57" s="87"/>
      <c r="H57" s="87"/>
    </row>
    <row r="58" spans="1:18" ht="15.75" customHeight="1" x14ac:dyDescent="0.3">
      <c r="A58" s="161"/>
      <c r="B58" s="162"/>
      <c r="C58" s="163"/>
      <c r="D58" s="87" t="s">
        <v>180</v>
      </c>
      <c r="E58" s="87"/>
      <c r="F58" s="87"/>
      <c r="G58" s="87"/>
      <c r="H58" s="87"/>
    </row>
    <row r="59" spans="1:18" ht="33" customHeight="1" x14ac:dyDescent="0.3">
      <c r="A59" s="164"/>
      <c r="B59" s="165"/>
      <c r="C59" s="166"/>
      <c r="D59" s="85" t="s">
        <v>216</v>
      </c>
      <c r="E59" s="87"/>
      <c r="F59" s="87"/>
      <c r="G59" s="87"/>
      <c r="H59" s="87"/>
    </row>
    <row r="60" spans="1:18" ht="15.75" customHeight="1" x14ac:dyDescent="0.3">
      <c r="A60" s="167" t="s">
        <v>48</v>
      </c>
      <c r="B60" s="168"/>
      <c r="C60" s="169"/>
      <c r="D60" s="170" t="s">
        <v>159</v>
      </c>
      <c r="E60" s="171"/>
      <c r="F60" s="171"/>
      <c r="G60" s="171"/>
      <c r="H60" s="172"/>
      <c r="N60" s="25"/>
      <c r="O60" s="24"/>
      <c r="P60" s="24"/>
    </row>
    <row r="61" spans="1:18" ht="15.75" customHeight="1" x14ac:dyDescent="0.3">
      <c r="A61" s="59" t="s">
        <v>90</v>
      </c>
      <c r="B61" s="59"/>
      <c r="C61" s="59"/>
      <c r="D61" s="173" t="s">
        <v>224</v>
      </c>
      <c r="E61" s="173"/>
      <c r="F61" s="173"/>
      <c r="G61" s="173"/>
      <c r="H61" s="173"/>
      <c r="I61" s="173" t="str">
        <f>(IF(L49="NA","60 Years After Completion",IF(L49&lt;&gt;"NA",""&amp;60-ROUNDDOWN((J3-L49)/360,0)&amp;" Years"," ")))</f>
        <v>60 Years</v>
      </c>
      <c r="J61" s="173"/>
      <c r="K61" s="173"/>
      <c r="L61" s="173"/>
      <c r="M61" s="173"/>
      <c r="P61" s="24"/>
    </row>
    <row r="62" spans="1:18" ht="15.75" customHeight="1" x14ac:dyDescent="0.3">
      <c r="A62" s="59" t="s">
        <v>91</v>
      </c>
      <c r="B62" s="59"/>
      <c r="C62" s="59"/>
      <c r="D62" s="84" t="s">
        <v>24</v>
      </c>
      <c r="E62" s="84"/>
      <c r="F62" s="84"/>
      <c r="G62" s="84"/>
      <c r="H62" s="84"/>
      <c r="N62" s="5"/>
      <c r="O62" s="5"/>
    </row>
    <row r="63" spans="1:18" ht="15" customHeight="1" x14ac:dyDescent="0.3">
      <c r="A63" s="84" t="s">
        <v>78</v>
      </c>
      <c r="B63" s="84"/>
      <c r="C63" s="84"/>
      <c r="D63" s="85" t="s">
        <v>145</v>
      </c>
      <c r="E63" s="84"/>
      <c r="F63" s="84"/>
      <c r="G63" s="84"/>
      <c r="H63" s="84"/>
      <c r="P63" s="18"/>
      <c r="Q63" s="18"/>
      <c r="R63" s="18"/>
    </row>
    <row r="64" spans="1:18" x14ac:dyDescent="0.3">
      <c r="A64" s="84" t="s">
        <v>141</v>
      </c>
      <c r="B64" s="84"/>
      <c r="C64" s="84"/>
      <c r="D64" s="84" t="s">
        <v>30</v>
      </c>
      <c r="E64" s="84"/>
      <c r="F64" s="84"/>
      <c r="G64" s="84"/>
      <c r="H64" s="84"/>
      <c r="P64" s="18"/>
      <c r="Q64" s="18"/>
      <c r="R64" s="18"/>
    </row>
    <row r="65" spans="1:18" ht="15.75" customHeight="1" x14ac:dyDescent="0.3">
      <c r="A65" s="59" t="s">
        <v>142</v>
      </c>
      <c r="B65" s="59"/>
      <c r="C65" s="59"/>
      <c r="D65" s="84" t="str">
        <f>(IF(G71&gt;95%,"Nothing",IF(G71&gt;0%,"Cement, Aggregate, Steel, etc",IF(G71=0%,"Work not yet Started"))))</f>
        <v>Cement, Aggregate, Steel, etc</v>
      </c>
      <c r="E65" s="84"/>
      <c r="F65" s="84"/>
      <c r="G65" s="84"/>
      <c r="H65" s="84"/>
      <c r="I65" s="24">
        <f>44*0.27</f>
        <v>11.88</v>
      </c>
      <c r="K65" s="5"/>
      <c r="P65" s="18"/>
      <c r="Q65" s="18"/>
      <c r="R65" s="18"/>
    </row>
    <row r="66" spans="1:18" ht="34.5" customHeight="1" thickBot="1" x14ac:dyDescent="0.35">
      <c r="A66" s="84" t="s">
        <v>111</v>
      </c>
      <c r="B66" s="84"/>
      <c r="C66" s="84"/>
      <c r="D66" s="84" t="str">
        <f>(IF(D65="Nothing","Yes",IF(D65="Cement, Aggregate, Steel, etc","Under Construction",IF(D65="Work not yet Started","Work not yet Started"))))</f>
        <v>Under Construction</v>
      </c>
      <c r="E66" s="84"/>
      <c r="F66" s="84"/>
      <c r="G66" s="84"/>
      <c r="H66" s="84"/>
      <c r="P66" s="18"/>
      <c r="Q66" s="18"/>
      <c r="R66" s="18"/>
    </row>
    <row r="67" spans="1:18" x14ac:dyDescent="0.3">
      <c r="A67" s="73" t="s">
        <v>132</v>
      </c>
      <c r="B67" s="74"/>
      <c r="C67" s="75" t="s">
        <v>163</v>
      </c>
      <c r="D67" s="76"/>
      <c r="E67" s="76"/>
      <c r="F67" s="76"/>
      <c r="G67" s="76"/>
      <c r="H67" s="77"/>
      <c r="I67" s="4" t="str">
        <f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completed","0")))))))))))&amp;(IF(C73=(D68+F68+H68),", RCC Slab",IF(C73&gt;0,", RCC upto "&amp;C73&amp;" Slab",""))&amp;(IF(C74=H68,", Brickwork",IF(C74&gt;0,", Brickwork upto "&amp;C74&amp;" Floor",""))&amp;(IF(C75=H68,", Internal Plaster",IF(C75&gt;0,", Internal Plaster upto "&amp;C75&amp;" Floor",""))&amp;(IF(C76=H68,", External Plaster",IF(C76&gt;0,", External Plaster upto "&amp;C76&amp;" Floor",""))&amp;(IF(C77=H68,", Flooring",IF(C77&gt;0,", Flooring upto "&amp;C77&amp;" Floor",""))&amp;(IF(C78=H68,", Painting",IF(C78&gt;0,", Painting upto "&amp;C78&amp;" Floor",""))&amp;(IF(C79&gt;0,", Finishing upto "&amp;C79&amp;" Floor","")&amp;(IF(C73&gt;0.5," Completed",""))))))))))))))</f>
        <v>Excavation work Completed. Plinth work completed, RCC upto 19 Slab, Brickwork upto 15 Floor, Internal Plaster upto 9.75 Floor, External Plaster upto 9.75 Floor Completed</v>
      </c>
      <c r="J67" s="26"/>
      <c r="P67" s="18"/>
      <c r="Q67" s="18"/>
      <c r="R67" s="18"/>
    </row>
    <row r="68" spans="1:18" x14ac:dyDescent="0.3">
      <c r="A68" s="9" t="s">
        <v>134</v>
      </c>
      <c r="B68" s="10">
        <v>1</v>
      </c>
      <c r="C68" s="10" t="s">
        <v>75</v>
      </c>
      <c r="D68" s="10">
        <v>2</v>
      </c>
      <c r="E68" s="10" t="s">
        <v>74</v>
      </c>
      <c r="F68" s="10">
        <v>4</v>
      </c>
      <c r="G68" s="10" t="s">
        <v>84</v>
      </c>
      <c r="H68" s="3">
        <v>49</v>
      </c>
      <c r="I68" s="5"/>
      <c r="J68" s="27"/>
      <c r="P68" s="18"/>
      <c r="Q68" s="18"/>
      <c r="R68" s="18"/>
    </row>
    <row r="69" spans="1:18" ht="46.5" customHeight="1" x14ac:dyDescent="0.3">
      <c r="A69" s="154" t="s">
        <v>93</v>
      </c>
      <c r="B69" s="78"/>
      <c r="C69" s="88" t="str">
        <f>I67</f>
        <v>Excavation work Completed. Plinth work completed, RCC upto 19 Slab, Brickwork upto 15 Floor, Internal Plaster upto 9.75 Floor, External Plaster upto 9.75 Floor Completed</v>
      </c>
      <c r="D69" s="88"/>
      <c r="E69" s="88"/>
      <c r="F69" s="88"/>
      <c r="G69" s="88"/>
      <c r="H69" s="155"/>
      <c r="I69" s="5" t="s">
        <v>109</v>
      </c>
      <c r="J69" s="27"/>
      <c r="P69" s="18"/>
      <c r="Q69" s="18"/>
      <c r="R69" s="18"/>
    </row>
    <row r="70" spans="1:18" ht="15.75" customHeight="1" x14ac:dyDescent="0.3">
      <c r="A70" s="71" t="s">
        <v>52</v>
      </c>
      <c r="B70" s="72"/>
      <c r="C70" s="8" t="s">
        <v>131</v>
      </c>
      <c r="D70" s="8" t="s">
        <v>87</v>
      </c>
      <c r="E70" s="72" t="s">
        <v>89</v>
      </c>
      <c r="F70" s="72"/>
      <c r="G70" s="72" t="s">
        <v>88</v>
      </c>
      <c r="H70" s="149"/>
      <c r="I70" s="6" t="s">
        <v>133</v>
      </c>
      <c r="J70" s="28">
        <f>H68*25%</f>
        <v>12.25</v>
      </c>
      <c r="P70" s="18"/>
      <c r="Q70" s="18"/>
      <c r="R70" s="18"/>
    </row>
    <row r="71" spans="1:18" x14ac:dyDescent="0.3">
      <c r="A71" s="71" t="s">
        <v>120</v>
      </c>
      <c r="B71" s="72"/>
      <c r="C71" s="29">
        <f>J72</f>
        <v>49</v>
      </c>
      <c r="D71" s="30">
        <f>((100/H68)*C71)/100</f>
        <v>1</v>
      </c>
      <c r="E71" s="123">
        <f>(((C72/H68*10)+(40/(D68+F68+H68)*C73)+(7.5/(H68)*C74)+(7.5/(H68)*C75)+(10/H68*C76)+(10/H68*C77)+(5/H68*C78)+(5/H68*C79)+(5/H68*C80))/100)</f>
        <v>0.29596243042671611</v>
      </c>
      <c r="F71" s="123"/>
      <c r="G71" s="123">
        <f>((((C71/H68)*20)+((C72/H68)*25)+(30/(H68+F68+D68)*C73)+(5/H68*C74)+(5/H68*C75)+(5/H68*C76)+(5/H68*C77)+(0/H68*C78)+(0/H68*C79)+(5/H68*C80))/100)</f>
        <v>0.58884044526901669</v>
      </c>
      <c r="H71" s="125"/>
      <c r="I71" s="6" t="s">
        <v>104</v>
      </c>
      <c r="J71" s="31">
        <f>H68*50%</f>
        <v>24.5</v>
      </c>
      <c r="P71" s="18"/>
      <c r="Q71" s="18"/>
      <c r="R71" s="18"/>
    </row>
    <row r="72" spans="1:18" x14ac:dyDescent="0.3">
      <c r="A72" s="71" t="s">
        <v>53</v>
      </c>
      <c r="B72" s="72"/>
      <c r="C72" s="32">
        <f>J80</f>
        <v>49</v>
      </c>
      <c r="D72" s="30">
        <f>((100/H68)*C72)/100</f>
        <v>1</v>
      </c>
      <c r="E72" s="123"/>
      <c r="F72" s="123"/>
      <c r="G72" s="123"/>
      <c r="H72" s="125"/>
      <c r="I72" s="6" t="s">
        <v>105</v>
      </c>
      <c r="J72" s="31">
        <f>H68</f>
        <v>49</v>
      </c>
      <c r="P72" s="18"/>
      <c r="Q72" s="18"/>
      <c r="R72" s="18"/>
    </row>
    <row r="73" spans="1:18" ht="15.75" customHeight="1" x14ac:dyDescent="0.3">
      <c r="A73" s="127" t="s">
        <v>121</v>
      </c>
      <c r="B73" s="128"/>
      <c r="C73" s="32">
        <v>19</v>
      </c>
      <c r="D73" s="30">
        <f>((100/(D68+F68+H68))*C73)/100</f>
        <v>0.34545454545454546</v>
      </c>
      <c r="E73" s="123"/>
      <c r="F73" s="123"/>
      <c r="G73" s="123"/>
      <c r="H73" s="125"/>
      <c r="I73" s="6" t="s">
        <v>106</v>
      </c>
      <c r="J73" s="33">
        <f>(IF(B68&gt;1,(H68/(B68+2)),H68/4))</f>
        <v>12.25</v>
      </c>
      <c r="P73" s="18"/>
      <c r="Q73" s="18"/>
      <c r="R73" s="18"/>
    </row>
    <row r="74" spans="1:18" ht="15.75" customHeight="1" x14ac:dyDescent="0.3">
      <c r="A74" s="71" t="s">
        <v>128</v>
      </c>
      <c r="B74" s="72" t="s">
        <v>122</v>
      </c>
      <c r="C74" s="32">
        <v>15</v>
      </c>
      <c r="D74" s="30">
        <f>((100/H68)*C74)/100</f>
        <v>0.30612244897959184</v>
      </c>
      <c r="E74" s="123"/>
      <c r="F74" s="123"/>
      <c r="G74" s="123"/>
      <c r="H74" s="125"/>
      <c r="I74" s="6" t="s">
        <v>107</v>
      </c>
      <c r="J74" s="33">
        <f>(IF(B68&gt;1,(H68/(B68+2)+J73),H68/4+J73))</f>
        <v>24.5</v>
      </c>
      <c r="N74" s="17">
        <f>44*0.05</f>
        <v>2.2000000000000002</v>
      </c>
      <c r="P74" s="18"/>
      <c r="Q74" s="18"/>
      <c r="R74" s="18"/>
    </row>
    <row r="75" spans="1:18" ht="15.75" customHeight="1" x14ac:dyDescent="0.3">
      <c r="A75" s="71" t="s">
        <v>129</v>
      </c>
      <c r="B75" s="72" t="s">
        <v>122</v>
      </c>
      <c r="C75" s="32">
        <f>C74*0.65</f>
        <v>9.75</v>
      </c>
      <c r="D75" s="30">
        <f>((100/H68)*C75)/100</f>
        <v>0.19897959183673472</v>
      </c>
      <c r="E75" s="123"/>
      <c r="F75" s="123"/>
      <c r="G75" s="123"/>
      <c r="H75" s="125"/>
      <c r="I75" s="6" t="s">
        <v>138</v>
      </c>
      <c r="J75" s="33">
        <f>(IF(B68&gt;1,(H68/(B68+2)+J74),0))</f>
        <v>0</v>
      </c>
      <c r="P75" s="18"/>
      <c r="Q75" s="18"/>
      <c r="R75" s="18"/>
    </row>
    <row r="76" spans="1:18" ht="15" customHeight="1" x14ac:dyDescent="0.3">
      <c r="A76" s="71" t="s">
        <v>127</v>
      </c>
      <c r="B76" s="72" t="s">
        <v>124</v>
      </c>
      <c r="C76" s="32">
        <f>C75</f>
        <v>9.75</v>
      </c>
      <c r="D76" s="30">
        <f>((100/(H68))*C76)/100</f>
        <v>0.19897959183673472</v>
      </c>
      <c r="E76" s="123"/>
      <c r="F76" s="123"/>
      <c r="G76" s="123"/>
      <c r="H76" s="125"/>
      <c r="I76" s="6" t="s">
        <v>135</v>
      </c>
      <c r="J76" s="33">
        <f>(IF(B68&gt;2,(H68/(B68+2)+J75),0))</f>
        <v>0</v>
      </c>
      <c r="P76" s="18"/>
      <c r="Q76" s="18"/>
      <c r="R76" s="18"/>
    </row>
    <row r="77" spans="1:18" ht="15.75" customHeight="1" x14ac:dyDescent="0.3">
      <c r="A77" s="71" t="s">
        <v>123</v>
      </c>
      <c r="B77" s="72" t="s">
        <v>123</v>
      </c>
      <c r="C77" s="29">
        <v>0</v>
      </c>
      <c r="D77" s="30">
        <f>((100/H68)*C77)/100</f>
        <v>0</v>
      </c>
      <c r="E77" s="123"/>
      <c r="F77" s="123"/>
      <c r="G77" s="123"/>
      <c r="H77" s="125"/>
      <c r="I77" s="6" t="s">
        <v>136</v>
      </c>
      <c r="J77" s="34">
        <f>(IF(B68&gt;3,(H68/(B68+2)+J76),0))</f>
        <v>0</v>
      </c>
      <c r="P77" s="18"/>
      <c r="Q77" s="18"/>
      <c r="R77" s="18"/>
    </row>
    <row r="78" spans="1:18" ht="15.75" customHeight="1" x14ac:dyDescent="0.3">
      <c r="A78" s="71" t="s">
        <v>130</v>
      </c>
      <c r="B78" s="72"/>
      <c r="C78" s="29">
        <v>0</v>
      </c>
      <c r="D78" s="30">
        <f>((100/H68)*C78)/100</f>
        <v>0</v>
      </c>
      <c r="E78" s="123"/>
      <c r="F78" s="123"/>
      <c r="G78" s="123"/>
      <c r="H78" s="125"/>
      <c r="I78" s="6" t="s">
        <v>137</v>
      </c>
      <c r="J78" s="33">
        <f>(IF(B68&gt;4,(H68/(B68+2)+J77),0))</f>
        <v>0</v>
      </c>
      <c r="P78" s="18"/>
      <c r="Q78" s="18"/>
      <c r="R78" s="18"/>
    </row>
    <row r="79" spans="1:18" ht="15.75" customHeight="1" x14ac:dyDescent="0.3">
      <c r="A79" s="71" t="s">
        <v>125</v>
      </c>
      <c r="B79" s="72" t="s">
        <v>125</v>
      </c>
      <c r="C79" s="29">
        <v>0</v>
      </c>
      <c r="D79" s="30">
        <f>((100/(H68))*C79)/100</f>
        <v>0</v>
      </c>
      <c r="E79" s="123"/>
      <c r="F79" s="123"/>
      <c r="G79" s="123"/>
      <c r="H79" s="125"/>
      <c r="I79" s="6" t="s">
        <v>139</v>
      </c>
      <c r="J79" s="33">
        <f>(IF(B68=1,(H68/(B68+3)+J74),IF(B68=0,(H68/4+J74),IF(B68&gt;1,0))))</f>
        <v>36.75</v>
      </c>
      <c r="P79" s="18"/>
      <c r="Q79" s="18"/>
      <c r="R79" s="18"/>
    </row>
    <row r="80" spans="1:18" ht="16.2" thickBot="1" x14ac:dyDescent="0.35">
      <c r="A80" s="82" t="s">
        <v>126</v>
      </c>
      <c r="B80" s="83"/>
      <c r="C80" s="35">
        <v>0</v>
      </c>
      <c r="D80" s="36">
        <f>((100/(H68))*C80)/100</f>
        <v>0</v>
      </c>
      <c r="E80" s="124"/>
      <c r="F80" s="124"/>
      <c r="G80" s="124"/>
      <c r="H80" s="126"/>
      <c r="I80" s="7" t="s">
        <v>108</v>
      </c>
      <c r="J80" s="37">
        <f>(IF(B68&gt;1.5,(H68/(B68+2)+J74+MAX(0,J75-J74)+MAX(0,J76-J75)+MAX(0,J77-J76)+MAX(0,J78-J77)+MAX(0,J79-J78)),IF(B68=1,(H68/(B68+3)+J79),IF(B68=0,H68/4+J79))))</f>
        <v>49</v>
      </c>
      <c r="P80" s="18"/>
      <c r="Q80" s="18"/>
      <c r="R80" s="18"/>
    </row>
    <row r="81" spans="1:18" x14ac:dyDescent="0.3">
      <c r="A81" s="73" t="s">
        <v>132</v>
      </c>
      <c r="B81" s="74"/>
      <c r="C81" s="75" t="s">
        <v>165</v>
      </c>
      <c r="D81" s="76"/>
      <c r="E81" s="76"/>
      <c r="F81" s="76"/>
      <c r="G81" s="76"/>
      <c r="H81" s="77"/>
      <c r="I81" s="4" t="str">
        <f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Slab",IF(C87&gt;0,", RCC upto "&amp;C87&amp;" Slab",""))&amp;(IF(C88=H82,", Brickwork",IF(C88&gt;0,", Brickwork upto "&amp;C88&amp;" Floor",""))&amp;(IF(C89=H82,", Internal Plaster",IF(C89&gt;0,", Internal Plaster upto "&amp;C89&amp;" Floor",""))&amp;(IF(C90=H82,", External Plaster",IF(C90&gt;0,", External Plaster upto "&amp;C90&amp;" Floor",""))&amp;(IF(C91=H82,", Flooring",IF(C91&gt;0,", Flooring upto "&amp;C91&amp;" Floor",""))&amp;(IF(C92=H82,", Painting",IF(C92&gt;0,", Painting upto "&amp;C92&amp;" Floor",""))&amp;(IF(C93&gt;0,", Finishing upto "&amp;C93&amp;" Floor","")&amp;(IF(C87&gt;0.5," Completed",""))))))))))))))</f>
        <v>Excavation work Completed. Plinth work completed, RCC upto 20 Slab, Brickwork upto 17 Floor, Internal Plaster upto 12 Floor, External Plaster upto 12 Floor Completed</v>
      </c>
      <c r="J81" s="26"/>
      <c r="P81" s="18"/>
      <c r="Q81" s="18"/>
      <c r="R81" s="18"/>
    </row>
    <row r="82" spans="1:18" x14ac:dyDescent="0.3">
      <c r="A82" s="9" t="s">
        <v>134</v>
      </c>
      <c r="B82" s="10">
        <v>1</v>
      </c>
      <c r="C82" s="10" t="s">
        <v>75</v>
      </c>
      <c r="D82" s="10">
        <v>2</v>
      </c>
      <c r="E82" s="10" t="s">
        <v>74</v>
      </c>
      <c r="F82" s="10">
        <v>4</v>
      </c>
      <c r="G82" s="10" t="s">
        <v>84</v>
      </c>
      <c r="H82" s="3">
        <v>49</v>
      </c>
      <c r="I82" s="5"/>
      <c r="J82" s="27"/>
      <c r="P82" s="18"/>
      <c r="Q82" s="18"/>
      <c r="R82" s="18"/>
    </row>
    <row r="83" spans="1:18" ht="49.5" customHeight="1" x14ac:dyDescent="0.3">
      <c r="A83" s="154" t="s">
        <v>93</v>
      </c>
      <c r="B83" s="78"/>
      <c r="C83" s="88" t="str">
        <f>I81</f>
        <v>Excavation work Completed. Plinth work completed, RCC upto 20 Slab, Brickwork upto 17 Floor, Internal Plaster upto 12 Floor, External Plaster upto 12 Floor Completed</v>
      </c>
      <c r="D83" s="88"/>
      <c r="E83" s="88"/>
      <c r="F83" s="88"/>
      <c r="G83" s="88"/>
      <c r="H83" s="155"/>
      <c r="I83" s="5" t="s">
        <v>109</v>
      </c>
      <c r="J83" s="27"/>
      <c r="L83" s="17">
        <f>44*0.11</f>
        <v>4.84</v>
      </c>
      <c r="P83" s="18"/>
      <c r="Q83" s="18"/>
      <c r="R83" s="18"/>
    </row>
    <row r="84" spans="1:18" x14ac:dyDescent="0.3">
      <c r="A84" s="71" t="s">
        <v>52</v>
      </c>
      <c r="B84" s="72"/>
      <c r="C84" s="8" t="s">
        <v>131</v>
      </c>
      <c r="D84" s="8" t="s">
        <v>87</v>
      </c>
      <c r="E84" s="72" t="s">
        <v>89</v>
      </c>
      <c r="F84" s="72"/>
      <c r="G84" s="72" t="s">
        <v>88</v>
      </c>
      <c r="H84" s="149"/>
      <c r="I84" s="6" t="s">
        <v>133</v>
      </c>
      <c r="J84" s="28">
        <f>H82*25%</f>
        <v>12.25</v>
      </c>
      <c r="P84" s="18"/>
      <c r="Q84" s="18"/>
      <c r="R84" s="18"/>
    </row>
    <row r="85" spans="1:18" x14ac:dyDescent="0.3">
      <c r="A85" s="71" t="s">
        <v>120</v>
      </c>
      <c r="B85" s="72"/>
      <c r="C85" s="29">
        <f>J86</f>
        <v>49</v>
      </c>
      <c r="D85" s="30">
        <f>((100/H82)*C85)/100</f>
        <v>1</v>
      </c>
      <c r="E85" s="123">
        <f>(((C86/H82*10)+(40/(D82+F82+H82)*C87)+(7.5/(H82)*C88)+(7.5/(H82)*C89)+(10/H82*C90)+(10/H82*C91)+(5/H82*C92)+(5/H82*C93)+(5/H82*C94))/100)</f>
        <v>0.31433209647495364</v>
      </c>
      <c r="F85" s="123"/>
      <c r="G85" s="123">
        <f>((((C85/H82)*20)+((C86/H82)*25)+(30/(H82+F82+D82)*C87)+(5/H82*C88)+(5/H82*C89)+(5/H82*C90)+(5/H82*C91)+(0/H82*C92)+(0/H82*C93)+(5/H82*C94))/100)</f>
        <v>0.60092764378478658</v>
      </c>
      <c r="H85" s="125"/>
      <c r="I85" s="6" t="s">
        <v>104</v>
      </c>
      <c r="J85" s="31">
        <f>H82*50%</f>
        <v>24.5</v>
      </c>
      <c r="P85" s="18"/>
      <c r="Q85" s="18"/>
      <c r="R85" s="18"/>
    </row>
    <row r="86" spans="1:18" x14ac:dyDescent="0.3">
      <c r="A86" s="71" t="s">
        <v>53</v>
      </c>
      <c r="B86" s="72"/>
      <c r="C86" s="32">
        <f>J94</f>
        <v>49</v>
      </c>
      <c r="D86" s="30">
        <f>((100/H82)*C86)/100</f>
        <v>1</v>
      </c>
      <c r="E86" s="123"/>
      <c r="F86" s="123"/>
      <c r="G86" s="123"/>
      <c r="H86" s="125"/>
      <c r="I86" s="6" t="s">
        <v>105</v>
      </c>
      <c r="J86" s="31">
        <f>H82</f>
        <v>49</v>
      </c>
      <c r="P86" s="18"/>
      <c r="Q86" s="18"/>
      <c r="R86" s="18"/>
    </row>
    <row r="87" spans="1:18" ht="15.75" customHeight="1" x14ac:dyDescent="0.3">
      <c r="A87" s="127" t="s">
        <v>121</v>
      </c>
      <c r="B87" s="128"/>
      <c r="C87" s="32">
        <f>D82+F82+14</f>
        <v>20</v>
      </c>
      <c r="D87" s="30">
        <f>((100/(D82+F82+H82))*C87)/100</f>
        <v>0.36363636363636359</v>
      </c>
      <c r="E87" s="123"/>
      <c r="F87" s="123"/>
      <c r="G87" s="123"/>
      <c r="H87" s="125"/>
      <c r="I87" s="6" t="s">
        <v>106</v>
      </c>
      <c r="J87" s="33">
        <f>(IF(B82&gt;1,(H82/(B82+2)),H82/4))</f>
        <v>12.25</v>
      </c>
      <c r="P87" s="18"/>
      <c r="Q87" s="18"/>
      <c r="R87" s="18"/>
    </row>
    <row r="88" spans="1:18" ht="15.75" customHeight="1" x14ac:dyDescent="0.3">
      <c r="A88" s="71" t="s">
        <v>128</v>
      </c>
      <c r="B88" s="72" t="s">
        <v>122</v>
      </c>
      <c r="C88" s="32">
        <v>17</v>
      </c>
      <c r="D88" s="30">
        <f>((100/H82)*C88)/100</f>
        <v>0.34693877551020408</v>
      </c>
      <c r="E88" s="123"/>
      <c r="F88" s="123"/>
      <c r="G88" s="123"/>
      <c r="H88" s="125"/>
      <c r="I88" s="6" t="s">
        <v>107</v>
      </c>
      <c r="J88" s="33">
        <f>(IF(B82&gt;1,(H82/(B82+2)+J87),H82/4+J87))</f>
        <v>24.5</v>
      </c>
      <c r="L88" s="17">
        <f>44*0.23</f>
        <v>10.120000000000001</v>
      </c>
      <c r="M88" s="17">
        <f>44*0.23</f>
        <v>10.120000000000001</v>
      </c>
      <c r="P88" s="18"/>
      <c r="Q88" s="18"/>
      <c r="R88" s="18"/>
    </row>
    <row r="89" spans="1:18" ht="15.75" customHeight="1" x14ac:dyDescent="0.3">
      <c r="A89" s="71" t="s">
        <v>129</v>
      </c>
      <c r="B89" s="72" t="s">
        <v>122</v>
      </c>
      <c r="C89" s="32">
        <v>12</v>
      </c>
      <c r="D89" s="30">
        <f>((100/H82)*C89)/100</f>
        <v>0.24489795918367349</v>
      </c>
      <c r="E89" s="123"/>
      <c r="F89" s="123"/>
      <c r="G89" s="123"/>
      <c r="H89" s="125"/>
      <c r="I89" s="6" t="s">
        <v>138</v>
      </c>
      <c r="J89" s="33">
        <f>(IF(B82&gt;1,(H82/(B82+2)+J88),0))</f>
        <v>0</v>
      </c>
      <c r="P89" s="18"/>
      <c r="Q89" s="18"/>
      <c r="R89" s="18"/>
    </row>
    <row r="90" spans="1:18" ht="15" customHeight="1" x14ac:dyDescent="0.3">
      <c r="A90" s="71" t="s">
        <v>127</v>
      </c>
      <c r="B90" s="72" t="s">
        <v>124</v>
      </c>
      <c r="C90" s="32">
        <f>C89</f>
        <v>12</v>
      </c>
      <c r="D90" s="30">
        <f>((100/(H82))*C90)/100</f>
        <v>0.24489795918367349</v>
      </c>
      <c r="E90" s="123"/>
      <c r="F90" s="123"/>
      <c r="G90" s="123"/>
      <c r="H90" s="125"/>
      <c r="I90" s="6" t="s">
        <v>135</v>
      </c>
      <c r="J90" s="33">
        <f>(IF(B82&gt;2,(H82/(B82+2)+J89),0))</f>
        <v>0</v>
      </c>
      <c r="P90" s="18"/>
      <c r="Q90" s="18"/>
      <c r="R90" s="18"/>
    </row>
    <row r="91" spans="1:18" ht="15.75" customHeight="1" x14ac:dyDescent="0.3">
      <c r="A91" s="71" t="s">
        <v>123</v>
      </c>
      <c r="B91" s="72" t="s">
        <v>123</v>
      </c>
      <c r="C91" s="29">
        <v>0</v>
      </c>
      <c r="D91" s="30">
        <f>((100/H82)*C91)/100</f>
        <v>0</v>
      </c>
      <c r="E91" s="123"/>
      <c r="F91" s="123"/>
      <c r="G91" s="123"/>
      <c r="H91" s="125"/>
      <c r="I91" s="6" t="s">
        <v>136</v>
      </c>
      <c r="J91" s="34">
        <f>(IF(B82&gt;3,(H82/(B82+2)+J90),0))</f>
        <v>0</v>
      </c>
      <c r="P91" s="18"/>
      <c r="Q91" s="18"/>
      <c r="R91" s="18"/>
    </row>
    <row r="92" spans="1:18" ht="15.75" customHeight="1" x14ac:dyDescent="0.3">
      <c r="A92" s="71" t="s">
        <v>130</v>
      </c>
      <c r="B92" s="72"/>
      <c r="C92" s="29">
        <v>0</v>
      </c>
      <c r="D92" s="30">
        <f>((100/H82)*C92)/100</f>
        <v>0</v>
      </c>
      <c r="E92" s="123"/>
      <c r="F92" s="123"/>
      <c r="G92" s="123"/>
      <c r="H92" s="125"/>
      <c r="I92" s="6" t="s">
        <v>137</v>
      </c>
      <c r="J92" s="33">
        <f>(IF(B82&gt;4,(H82/(B82+2)+J91),0))</f>
        <v>0</v>
      </c>
      <c r="P92" s="18"/>
      <c r="Q92" s="18"/>
      <c r="R92" s="18"/>
    </row>
    <row r="93" spans="1:18" ht="15.75" customHeight="1" x14ac:dyDescent="0.3">
      <c r="A93" s="71" t="s">
        <v>125</v>
      </c>
      <c r="B93" s="72" t="s">
        <v>125</v>
      </c>
      <c r="C93" s="29">
        <v>0</v>
      </c>
      <c r="D93" s="30">
        <f>((100/(H82))*C93)/100</f>
        <v>0</v>
      </c>
      <c r="E93" s="123"/>
      <c r="F93" s="123"/>
      <c r="G93" s="123"/>
      <c r="H93" s="125"/>
      <c r="I93" s="6" t="s">
        <v>139</v>
      </c>
      <c r="J93" s="33">
        <f>(IF(B82=1,(H82/(B82+3)+J88),IF(B82=0,(H82/4+J88),IF(B82&gt;1,0))))</f>
        <v>36.75</v>
      </c>
      <c r="P93" s="18"/>
      <c r="Q93" s="18"/>
      <c r="R93" s="18"/>
    </row>
    <row r="94" spans="1:18" ht="16.2" thickBot="1" x14ac:dyDescent="0.35">
      <c r="A94" s="82" t="s">
        <v>126</v>
      </c>
      <c r="B94" s="83"/>
      <c r="C94" s="35">
        <v>0</v>
      </c>
      <c r="D94" s="36">
        <f>((100/(H82))*C94)/100</f>
        <v>0</v>
      </c>
      <c r="E94" s="124"/>
      <c r="F94" s="124"/>
      <c r="G94" s="124"/>
      <c r="H94" s="126"/>
      <c r="I94" s="7" t="s">
        <v>108</v>
      </c>
      <c r="J94" s="37">
        <f>(IF(B82&gt;1.5,(H82/(B82+2)+J88+MAX(0,J89-J88)+MAX(0,J90-J89)+MAX(0,J91-J90)+MAX(0,J92-J91)+MAX(0,J93-J92)),IF(B82=1,(H82/(B82+3)+J93),IF(B82=0,H82/4+J93))))</f>
        <v>49</v>
      </c>
      <c r="P94" s="18"/>
      <c r="Q94" s="18"/>
      <c r="R94" s="18"/>
    </row>
    <row r="95" spans="1:18" ht="15.75" customHeight="1" x14ac:dyDescent="0.3">
      <c r="A95" s="73" t="s">
        <v>132</v>
      </c>
      <c r="B95" s="74"/>
      <c r="C95" s="75" t="str">
        <f>D58</f>
        <v>Building C  = Gr + 4P + Upper St + 1st to 28th Floor</v>
      </c>
      <c r="D95" s="76"/>
      <c r="E95" s="76"/>
      <c r="F95" s="76"/>
      <c r="G95" s="76"/>
      <c r="H95" s="77"/>
      <c r="I95" s="4" t="str">
        <f>(IF(E99&gt;99%,"All work completed. Please provide OC.",IF(E99&gt;89.8%,"Plinth, RCC, Brick, Plaster, Flooring, Painting work Completed. Finishing work is in process.",IF(E99&lt;94%,(IF(C99=0,"Work not yet Started.",IF(D99=25%,"Piling work in process",IF(D99=50%,"Excavation work in process",IF(D99=100%,"Excavation work Completed. ","0")))&amp;(IF(C100=0%,"",IF(C100=J101,"Footing work is process",IF(C100=J102,"Footing work Completed",IF(C100=J103,"1st Basement Completed",IF(C100=J104,"1st &amp; 2nd Basement Completed",IF(C100=J105,"1st to 3rd Basement Completed",IF(C100=J106,"1st to 4th Basement Completed",IF(C100=J107,"Plinth work is process",IF(C100=J108,"Plinth work completed","0")))))))))))&amp;(IF(C101=(D96+F96+H96),", RCC Slab",IF(C101&gt;0,", RCC upto "&amp;C101&amp;" Slab",""))&amp;(IF(C102=H96,", Brickwork",IF(C102&gt;0,", Brickwork upto "&amp;C102&amp;" Floor",""))&amp;(IF(C103=H96,", Internal Plaster",IF(C103&gt;0,", Internal Plaster upto "&amp;C103&amp;" Floor",""))&amp;(IF(C104=H96,", External Plaster",IF(C104&gt;0,", External Plaster upto "&amp;C104&amp;" Floor",""))&amp;(IF(C105=H96,", Flooring",IF(C105&gt;0,", Flooring upto "&amp;C105&amp;" Floor",""))&amp;(IF(C106=H96,", Painting",IF(C106&gt;0,", Painting upto "&amp;C106&amp;" Floor",""))&amp;(IF(C107&gt;0,", Finishing upto "&amp;C107&amp;" Floor","")&amp;(IF(C101&gt;0.5," Completed",""))))))))))))))</f>
        <v>Excavation work Completed. Plinth work completed, RCC upto 23 Slab, Brickwork upto 22 Floor, Internal Plaster upto 14.3 Floor, External Plaster upto 14.3 Floor Completed</v>
      </c>
      <c r="J95" s="26"/>
      <c r="P95" s="18"/>
      <c r="Q95" s="18"/>
      <c r="R95" s="18"/>
    </row>
    <row r="96" spans="1:18" x14ac:dyDescent="0.3">
      <c r="A96" s="9" t="s">
        <v>134</v>
      </c>
      <c r="B96" s="10">
        <v>1</v>
      </c>
      <c r="C96" s="10" t="s">
        <v>75</v>
      </c>
      <c r="D96" s="10">
        <v>2</v>
      </c>
      <c r="E96" s="10" t="s">
        <v>74</v>
      </c>
      <c r="F96" s="10">
        <v>4</v>
      </c>
      <c r="G96" s="10" t="s">
        <v>84</v>
      </c>
      <c r="H96" s="3">
        <v>28</v>
      </c>
      <c r="I96" s="5"/>
      <c r="J96" s="27"/>
      <c r="P96" s="18"/>
      <c r="Q96" s="18"/>
      <c r="R96" s="18"/>
    </row>
    <row r="97" spans="1:18" ht="47.1" customHeight="1" x14ac:dyDescent="0.3">
      <c r="A97" s="154" t="s">
        <v>93</v>
      </c>
      <c r="B97" s="78"/>
      <c r="C97" s="88" t="str">
        <f>I95</f>
        <v>Excavation work Completed. Plinth work completed, RCC upto 23 Slab, Brickwork upto 22 Floor, Internal Plaster upto 14.3 Floor, External Plaster upto 14.3 Floor Completed</v>
      </c>
      <c r="D97" s="88"/>
      <c r="E97" s="88"/>
      <c r="F97" s="88"/>
      <c r="G97" s="88"/>
      <c r="H97" s="155"/>
      <c r="I97" s="5" t="s">
        <v>109</v>
      </c>
      <c r="J97" s="27"/>
      <c r="P97" s="18"/>
      <c r="Q97" s="18"/>
      <c r="R97" s="18"/>
    </row>
    <row r="98" spans="1:18" ht="15.75" customHeight="1" x14ac:dyDescent="0.3">
      <c r="A98" s="71" t="s">
        <v>52</v>
      </c>
      <c r="B98" s="72"/>
      <c r="C98" s="8" t="s">
        <v>131</v>
      </c>
      <c r="D98" s="8" t="s">
        <v>87</v>
      </c>
      <c r="E98" s="72" t="s">
        <v>89</v>
      </c>
      <c r="F98" s="72"/>
      <c r="G98" s="72" t="s">
        <v>88</v>
      </c>
      <c r="H98" s="149"/>
      <c r="I98" s="6" t="s">
        <v>133</v>
      </c>
      <c r="J98" s="28">
        <f>H96*25%</f>
        <v>7</v>
      </c>
      <c r="P98" s="18"/>
      <c r="Q98" s="18"/>
      <c r="R98" s="18"/>
    </row>
    <row r="99" spans="1:18" x14ac:dyDescent="0.3">
      <c r="A99" s="71" t="s">
        <v>120</v>
      </c>
      <c r="B99" s="72"/>
      <c r="C99" s="29">
        <f>J100</f>
        <v>28</v>
      </c>
      <c r="D99" s="30">
        <f>((100/H96)*C99)/100</f>
        <v>1</v>
      </c>
      <c r="E99" s="123">
        <f>(((C100/H96*10)+(40/(D96+F96+H96)*C101)+(7.5/(H96)*C102)+(7.5/(H96)*C103)+(10/H96*C104)+(10/H96*C105)+(5/H96*C106)+(5/H96*C107)+(5/H96*C108))/100)</f>
        <v>0.51889180672268909</v>
      </c>
      <c r="F99" s="123"/>
      <c r="G99" s="123">
        <f>((((C99/H96)*20)+((C100/H96)*25)+(30/(H96+F96+D96)*C101)+(5/H96*C102)+(5/H96*C103)+(5/H96*C104)+(5/H96*C105)+(0/H96*C106)+(0/H96*C107)+(5/H96*C108))/100)</f>
        <v>0.74329831932773116</v>
      </c>
      <c r="H99" s="125"/>
      <c r="I99" s="6" t="s">
        <v>104</v>
      </c>
      <c r="J99" s="31">
        <f>H96*50%</f>
        <v>14</v>
      </c>
      <c r="P99" s="18"/>
      <c r="Q99" s="18"/>
      <c r="R99" s="18"/>
    </row>
    <row r="100" spans="1:18" x14ac:dyDescent="0.3">
      <c r="A100" s="71" t="s">
        <v>53</v>
      </c>
      <c r="B100" s="72"/>
      <c r="C100" s="32">
        <f>J108</f>
        <v>28</v>
      </c>
      <c r="D100" s="30">
        <f>((100/H96)*C100)/100</f>
        <v>1</v>
      </c>
      <c r="E100" s="123"/>
      <c r="F100" s="123"/>
      <c r="G100" s="123"/>
      <c r="H100" s="125"/>
      <c r="I100" s="6" t="s">
        <v>105</v>
      </c>
      <c r="J100" s="31">
        <f>H96</f>
        <v>28</v>
      </c>
      <c r="P100" s="18"/>
      <c r="Q100" s="18"/>
      <c r="R100" s="18"/>
    </row>
    <row r="101" spans="1:18" ht="15.75" customHeight="1" x14ac:dyDescent="0.3">
      <c r="A101" s="127" t="s">
        <v>121</v>
      </c>
      <c r="B101" s="128"/>
      <c r="C101" s="32">
        <f>D96+F96+17</f>
        <v>23</v>
      </c>
      <c r="D101" s="30">
        <f>((100/(D96+F96+H96))*C101)/100</f>
        <v>0.67647058823529416</v>
      </c>
      <c r="E101" s="123"/>
      <c r="F101" s="123"/>
      <c r="G101" s="123"/>
      <c r="H101" s="125"/>
      <c r="I101" s="6" t="s">
        <v>106</v>
      </c>
      <c r="J101" s="33">
        <f>(IF(B96&gt;1,(H96/(B96+2)),H96/4))</f>
        <v>7</v>
      </c>
      <c r="P101" s="18"/>
      <c r="Q101" s="18">
        <f>28*57%</f>
        <v>15.959999999999999</v>
      </c>
      <c r="R101" s="18"/>
    </row>
    <row r="102" spans="1:18" ht="15.75" customHeight="1" x14ac:dyDescent="0.3">
      <c r="A102" s="71" t="s">
        <v>128</v>
      </c>
      <c r="B102" s="72" t="s">
        <v>122</v>
      </c>
      <c r="C102" s="32">
        <v>22</v>
      </c>
      <c r="D102" s="30">
        <f>((100/H96)*C102)/100</f>
        <v>0.7857142857142857</v>
      </c>
      <c r="E102" s="123"/>
      <c r="F102" s="123"/>
      <c r="G102" s="123"/>
      <c r="H102" s="125"/>
      <c r="I102" s="6" t="s">
        <v>107</v>
      </c>
      <c r="J102" s="33">
        <f>(IF(B96&gt;1,(H96/(B96+2)+J101),H96/4+J101))</f>
        <v>14</v>
      </c>
      <c r="P102" s="18"/>
      <c r="Q102" s="18"/>
      <c r="R102" s="18"/>
    </row>
    <row r="103" spans="1:18" ht="15.75" customHeight="1" x14ac:dyDescent="0.3">
      <c r="A103" s="71" t="s">
        <v>129</v>
      </c>
      <c r="B103" s="72" t="s">
        <v>122</v>
      </c>
      <c r="C103" s="32">
        <f>C102*0.65</f>
        <v>14.3</v>
      </c>
      <c r="D103" s="30">
        <f>((100/H96)*C103)/100</f>
        <v>0.51071428571428579</v>
      </c>
      <c r="E103" s="123"/>
      <c r="F103" s="123"/>
      <c r="G103" s="123"/>
      <c r="H103" s="125"/>
      <c r="I103" s="6" t="s">
        <v>138</v>
      </c>
      <c r="J103" s="33">
        <f>(IF(B96&gt;1,(H96/(B96+2)+J102),0))</f>
        <v>0</v>
      </c>
      <c r="M103" s="17">
        <f>28*0.57</f>
        <v>15.959999999999999</v>
      </c>
      <c r="P103" s="18"/>
      <c r="Q103" s="18"/>
      <c r="R103" s="18"/>
    </row>
    <row r="104" spans="1:18" ht="15" customHeight="1" x14ac:dyDescent="0.3">
      <c r="A104" s="71" t="s">
        <v>127</v>
      </c>
      <c r="B104" s="72" t="s">
        <v>124</v>
      </c>
      <c r="C104" s="32">
        <f>C103</f>
        <v>14.3</v>
      </c>
      <c r="D104" s="30">
        <f>((100/(H96))*C104)/100</f>
        <v>0.51071428571428579</v>
      </c>
      <c r="E104" s="123"/>
      <c r="F104" s="123"/>
      <c r="G104" s="123"/>
      <c r="H104" s="125"/>
      <c r="I104" s="6" t="s">
        <v>135</v>
      </c>
      <c r="J104" s="33">
        <f>(IF(B96&gt;2,(H96/(B96+2)+J103),0))</f>
        <v>0</v>
      </c>
      <c r="P104" s="18"/>
      <c r="Q104" s="18"/>
      <c r="R104" s="18"/>
    </row>
    <row r="105" spans="1:18" ht="15.75" customHeight="1" x14ac:dyDescent="0.3">
      <c r="A105" s="71" t="s">
        <v>123</v>
      </c>
      <c r="B105" s="72" t="s">
        <v>123</v>
      </c>
      <c r="C105" s="29">
        <v>0</v>
      </c>
      <c r="D105" s="30">
        <f>((100/H96)*C105)/100</f>
        <v>0</v>
      </c>
      <c r="E105" s="123"/>
      <c r="F105" s="123"/>
      <c r="G105" s="123"/>
      <c r="H105" s="125"/>
      <c r="I105" s="6" t="s">
        <v>136</v>
      </c>
      <c r="J105" s="34">
        <f>(IF(B96&gt;3,(H96/(B96+2)+J104),0))</f>
        <v>0</v>
      </c>
      <c r="P105" s="18"/>
      <c r="Q105" s="18"/>
      <c r="R105" s="18"/>
    </row>
    <row r="106" spans="1:18" ht="15.75" customHeight="1" x14ac:dyDescent="0.3">
      <c r="A106" s="71" t="s">
        <v>130</v>
      </c>
      <c r="B106" s="72"/>
      <c r="C106" s="29">
        <v>0</v>
      </c>
      <c r="D106" s="30">
        <f>((100/H96)*C106)/100</f>
        <v>0</v>
      </c>
      <c r="E106" s="123"/>
      <c r="F106" s="123"/>
      <c r="G106" s="123"/>
      <c r="H106" s="125"/>
      <c r="I106" s="6" t="s">
        <v>137</v>
      </c>
      <c r="J106" s="33">
        <f>(IF(B96&gt;4,(H96/(B96+2)+J105),0))</f>
        <v>0</v>
      </c>
      <c r="P106" s="18"/>
      <c r="Q106" s="18"/>
      <c r="R106" s="18"/>
    </row>
    <row r="107" spans="1:18" ht="15.75" customHeight="1" x14ac:dyDescent="0.3">
      <c r="A107" s="71" t="s">
        <v>125</v>
      </c>
      <c r="B107" s="72" t="s">
        <v>125</v>
      </c>
      <c r="C107" s="29">
        <v>0</v>
      </c>
      <c r="D107" s="30">
        <f>((100/(H96))*C107)/100</f>
        <v>0</v>
      </c>
      <c r="E107" s="123"/>
      <c r="F107" s="123"/>
      <c r="G107" s="123"/>
      <c r="H107" s="125"/>
      <c r="I107" s="6" t="s">
        <v>139</v>
      </c>
      <c r="J107" s="33">
        <f>(IF(B96=1,(H96/(B96+3)+J102),IF(B96=0,(H96/4+J102),IF(B96&gt;1,0))))</f>
        <v>21</v>
      </c>
      <c r="P107" s="18"/>
      <c r="Q107" s="18"/>
      <c r="R107" s="18"/>
    </row>
    <row r="108" spans="1:18" ht="16.2" thickBot="1" x14ac:dyDescent="0.35">
      <c r="A108" s="82" t="s">
        <v>126</v>
      </c>
      <c r="B108" s="83"/>
      <c r="C108" s="35">
        <v>0</v>
      </c>
      <c r="D108" s="36">
        <f>((100/(H96))*C108)/100</f>
        <v>0</v>
      </c>
      <c r="E108" s="124"/>
      <c r="F108" s="124"/>
      <c r="G108" s="124"/>
      <c r="H108" s="126"/>
      <c r="I108" s="7" t="s">
        <v>108</v>
      </c>
      <c r="J108" s="37">
        <f>(IF(B96&gt;1.5,(H96/(B96+2)+J102+MAX(0,J103-J102)+MAX(0,J104-J103)+MAX(0,J105-J104)+MAX(0,J106-J105)+MAX(0,J107-J106)),IF(B96=1,(H96/(B96+3)+J107),IF(B96=0,H96/4+J107))))</f>
        <v>28</v>
      </c>
      <c r="P108" s="18"/>
      <c r="Q108" s="18"/>
      <c r="R108" s="18"/>
    </row>
    <row r="109" spans="1:18" ht="15.75" hidden="1" customHeight="1" x14ac:dyDescent="0.3">
      <c r="A109" s="71" t="s">
        <v>52</v>
      </c>
      <c r="B109" s="72"/>
      <c r="C109" s="8" t="s">
        <v>131</v>
      </c>
      <c r="D109" s="8" t="s">
        <v>87</v>
      </c>
      <c r="E109" s="72" t="s">
        <v>89</v>
      </c>
      <c r="F109" s="72"/>
      <c r="G109" s="72" t="s">
        <v>88</v>
      </c>
      <c r="H109" s="149"/>
      <c r="I109" s="6" t="s">
        <v>133</v>
      </c>
      <c r="J109" s="28" t="e">
        <f>#REF!*25%</f>
        <v>#REF!</v>
      </c>
      <c r="P109" s="18"/>
      <c r="Q109" s="18"/>
      <c r="R109" s="18"/>
    </row>
    <row r="110" spans="1:18" hidden="1" x14ac:dyDescent="0.3">
      <c r="A110" s="71" t="s">
        <v>120</v>
      </c>
      <c r="B110" s="72"/>
      <c r="C110" s="29" t="e">
        <f>J111</f>
        <v>#REF!</v>
      </c>
      <c r="D110" s="30" t="e">
        <f>((100/#REF!)*C110)/100</f>
        <v>#REF!</v>
      </c>
      <c r="E110" s="123" t="e">
        <f>(((C111/#REF!*10)+(40/(#REF!+#REF!+#REF!)*C112)+(7.5/(#REF!)*C113)+(7.5/(#REF!)*C114)+(10/#REF!*C115)+(10/#REF!*C116)+(5/#REF!*C117)+(5/#REF!*C118)+(5/#REF!*C119))/100)</f>
        <v>#REF!</v>
      </c>
      <c r="F110" s="123"/>
      <c r="G110" s="123" t="e">
        <f>((((C110/#REF!)*20)+((C111/#REF!)*25)+(30/(#REF!+#REF!+#REF!)*C112)+(5/#REF!*C113)+(5/#REF!*C114)+(5/#REF!*C115)+(5/#REF!*C116)+(0/#REF!*C117)+(0/#REF!*C118)+(5/#REF!*C119))/100)</f>
        <v>#REF!</v>
      </c>
      <c r="H110" s="125"/>
      <c r="I110" s="6" t="s">
        <v>104</v>
      </c>
      <c r="J110" s="31" t="e">
        <f>#REF!*50%</f>
        <v>#REF!</v>
      </c>
      <c r="P110" s="18"/>
      <c r="Q110" s="18"/>
      <c r="R110" s="18"/>
    </row>
    <row r="111" spans="1:18" hidden="1" x14ac:dyDescent="0.3">
      <c r="A111" s="71" t="s">
        <v>53</v>
      </c>
      <c r="B111" s="72"/>
      <c r="C111" s="32" t="e">
        <f>J119</f>
        <v>#REF!</v>
      </c>
      <c r="D111" s="30" t="e">
        <f>((100/#REF!)*C111)/100</f>
        <v>#REF!</v>
      </c>
      <c r="E111" s="123"/>
      <c r="F111" s="123"/>
      <c r="G111" s="123"/>
      <c r="H111" s="125"/>
      <c r="I111" s="6" t="s">
        <v>105</v>
      </c>
      <c r="J111" s="31" t="e">
        <f>#REF!</f>
        <v>#REF!</v>
      </c>
      <c r="P111" s="18"/>
      <c r="Q111" s="18"/>
      <c r="R111" s="18"/>
    </row>
    <row r="112" spans="1:18" ht="15.75" hidden="1" customHeight="1" x14ac:dyDescent="0.3">
      <c r="A112" s="127" t="s">
        <v>121</v>
      </c>
      <c r="B112" s="128"/>
      <c r="C112" s="32">
        <v>34</v>
      </c>
      <c r="D112" s="30" t="e">
        <f>((100/(#REF!+#REF!+#REF!))*C112)/100</f>
        <v>#REF!</v>
      </c>
      <c r="E112" s="123"/>
      <c r="F112" s="123"/>
      <c r="G112" s="123"/>
      <c r="H112" s="125"/>
      <c r="I112" s="6" t="s">
        <v>106</v>
      </c>
      <c r="J112" s="33" t="e">
        <f>(IF(#REF!&gt;1,(#REF!/(#REF!+2)),#REF!/4))</f>
        <v>#REF!</v>
      </c>
      <c r="P112" s="18"/>
      <c r="Q112" s="18"/>
      <c r="R112" s="18"/>
    </row>
    <row r="113" spans="1:18" ht="15.75" hidden="1" customHeight="1" x14ac:dyDescent="0.3">
      <c r="A113" s="71" t="s">
        <v>128</v>
      </c>
      <c r="B113" s="72" t="s">
        <v>122</v>
      </c>
      <c r="C113" s="29">
        <v>28</v>
      </c>
      <c r="D113" s="30" t="e">
        <f>((100/#REF!)*C113)/100</f>
        <v>#REF!</v>
      </c>
      <c r="E113" s="123"/>
      <c r="F113" s="123"/>
      <c r="G113" s="123"/>
      <c r="H113" s="125"/>
      <c r="I113" s="6" t="s">
        <v>107</v>
      </c>
      <c r="J113" s="33" t="e">
        <f>(IF(#REF!&gt;1,(#REF!/(#REF!+2)+J112),#REF!/4+J112))</f>
        <v>#REF!</v>
      </c>
      <c r="P113" s="18"/>
      <c r="Q113" s="18"/>
      <c r="R113" s="18"/>
    </row>
    <row r="114" spans="1:18" ht="15.75" hidden="1" customHeight="1" x14ac:dyDescent="0.3">
      <c r="A114" s="71" t="s">
        <v>129</v>
      </c>
      <c r="B114" s="72" t="s">
        <v>122</v>
      </c>
      <c r="C114" s="29">
        <v>28</v>
      </c>
      <c r="D114" s="30" t="e">
        <f>((100/#REF!)*C114)/100</f>
        <v>#REF!</v>
      </c>
      <c r="E114" s="123"/>
      <c r="F114" s="123"/>
      <c r="G114" s="123"/>
      <c r="H114" s="125"/>
      <c r="I114" s="6" t="s">
        <v>138</v>
      </c>
      <c r="J114" s="33" t="e">
        <f>(IF(#REF!&gt;1,(#REF!/(#REF!+2)+J113),0))</f>
        <v>#REF!</v>
      </c>
      <c r="P114" s="18"/>
      <c r="Q114" s="18"/>
      <c r="R114" s="18"/>
    </row>
    <row r="115" spans="1:18" ht="15" hidden="1" customHeight="1" x14ac:dyDescent="0.3">
      <c r="A115" s="71" t="s">
        <v>127</v>
      </c>
      <c r="B115" s="72" t="s">
        <v>124</v>
      </c>
      <c r="C115" s="29">
        <v>28</v>
      </c>
      <c r="D115" s="30" t="e">
        <f>((100/(#REF!))*C115)/100</f>
        <v>#REF!</v>
      </c>
      <c r="E115" s="123"/>
      <c r="F115" s="123"/>
      <c r="G115" s="123"/>
      <c r="H115" s="125"/>
      <c r="I115" s="6" t="s">
        <v>135</v>
      </c>
      <c r="J115" s="33" t="e">
        <f>(IF(#REF!&gt;2,(#REF!/(#REF!+2)+J114),0))</f>
        <v>#REF!</v>
      </c>
      <c r="P115" s="18"/>
      <c r="Q115" s="18"/>
      <c r="R115" s="18"/>
    </row>
    <row r="116" spans="1:18" ht="15.75" hidden="1" customHeight="1" x14ac:dyDescent="0.3">
      <c r="A116" s="71" t="s">
        <v>123</v>
      </c>
      <c r="B116" s="72" t="s">
        <v>123</v>
      </c>
      <c r="C116" s="29">
        <v>28</v>
      </c>
      <c r="D116" s="30" t="e">
        <f>((100/#REF!)*C116)/100</f>
        <v>#REF!</v>
      </c>
      <c r="E116" s="123"/>
      <c r="F116" s="123"/>
      <c r="G116" s="123"/>
      <c r="H116" s="125"/>
      <c r="I116" s="6" t="s">
        <v>136</v>
      </c>
      <c r="J116" s="34" t="e">
        <f>(IF(#REF!&gt;3,(#REF!/(#REF!+2)+J115),0))</f>
        <v>#REF!</v>
      </c>
      <c r="P116" s="18"/>
      <c r="Q116" s="18"/>
      <c r="R116" s="18"/>
    </row>
    <row r="117" spans="1:18" ht="15.75" hidden="1" customHeight="1" x14ac:dyDescent="0.3">
      <c r="A117" s="71" t="s">
        <v>130</v>
      </c>
      <c r="B117" s="72"/>
      <c r="C117" s="29">
        <v>28</v>
      </c>
      <c r="D117" s="30" t="e">
        <f>((100/#REF!)*C117)/100</f>
        <v>#REF!</v>
      </c>
      <c r="E117" s="123"/>
      <c r="F117" s="123"/>
      <c r="G117" s="123"/>
      <c r="H117" s="125"/>
      <c r="I117" s="6" t="s">
        <v>137</v>
      </c>
      <c r="J117" s="33" t="e">
        <f>(IF(#REF!&gt;4,(#REF!/(#REF!+2)+J116),0))</f>
        <v>#REF!</v>
      </c>
      <c r="P117" s="18"/>
      <c r="Q117" s="18"/>
      <c r="R117" s="18"/>
    </row>
    <row r="118" spans="1:18" ht="15.75" hidden="1" customHeight="1" x14ac:dyDescent="0.3">
      <c r="A118" s="71" t="s">
        <v>125</v>
      </c>
      <c r="B118" s="72" t="s">
        <v>125</v>
      </c>
      <c r="C118" s="29">
        <v>28</v>
      </c>
      <c r="D118" s="30" t="e">
        <f>((100/(#REF!))*C118)/100</f>
        <v>#REF!</v>
      </c>
      <c r="E118" s="123"/>
      <c r="F118" s="123"/>
      <c r="G118" s="123"/>
      <c r="H118" s="125"/>
      <c r="I118" s="6" t="s">
        <v>139</v>
      </c>
      <c r="J118" s="33" t="e">
        <f>(IF(#REF!=1,(#REF!/(#REF!+3)+J113),IF(#REF!=0,(#REF!/4+J113),IF(#REF!&gt;1,0))))</f>
        <v>#REF!</v>
      </c>
      <c r="P118" s="18"/>
      <c r="Q118" s="18"/>
      <c r="R118" s="18"/>
    </row>
    <row r="119" spans="1:18" ht="16.2" hidden="1" thickBot="1" x14ac:dyDescent="0.35">
      <c r="A119" s="82" t="s">
        <v>126</v>
      </c>
      <c r="B119" s="83"/>
      <c r="C119" s="35">
        <v>28</v>
      </c>
      <c r="D119" s="36" t="e">
        <f>((100/(#REF!))*C119)/100</f>
        <v>#REF!</v>
      </c>
      <c r="E119" s="124"/>
      <c r="F119" s="124"/>
      <c r="G119" s="124"/>
      <c r="H119" s="126"/>
      <c r="I119" s="7" t="s">
        <v>108</v>
      </c>
      <c r="J119" s="37" t="e">
        <f>(IF(#REF!&gt;1.5,(#REF!/(#REF!+2)+J113+MAX(0,J114-J113)+MAX(0,J115-J114)+MAX(0,J116-J115)+MAX(0,J117-J116)+MAX(0,J118-J117)),IF(#REF!=1,(#REF!/(#REF!+3)+J118),IF(#REF!=0,#REF!/4+J118))))</f>
        <v>#REF!</v>
      </c>
      <c r="P119" s="18"/>
      <c r="Q119" s="18"/>
      <c r="R119" s="18"/>
    </row>
    <row r="120" spans="1:18" ht="34.5" customHeight="1" x14ac:dyDescent="0.3">
      <c r="A120" s="73" t="s">
        <v>132</v>
      </c>
      <c r="B120" s="74"/>
      <c r="C120" s="75" t="str">
        <f>D59</f>
        <v>Building D, E, F = St + 4P + Upper St + 1st to 28th Floor
Building G &amp; H =  Bs + St + 1st (Pt. Park Floor) + 1st to 30th Floor</v>
      </c>
      <c r="D120" s="76"/>
      <c r="E120" s="76"/>
      <c r="F120" s="76"/>
      <c r="G120" s="76"/>
      <c r="H120" s="77"/>
      <c r="I120" s="4" t="str">
        <f ca="1">(IF(E126&gt;99%,"All work completed. Please provide OC.",IF(E126&gt;89.8%,"Plinth, RCC, Brick, Plaster, Flooring, Painting work Completed. Finishing work is in process.",IF(E126&lt;94%,(IF(C126=0,"Work not yet Started.",IF(D126=25%,"Piling work in process",IF(D126=50%,"Excavation work in process",IF(D126=100%,"Excavation work Completed. ","0")))&amp;(IF(C127=0%,"",IF(C127=J128,"Footing work is process",IF(C127=J129,"Footing work Completed",IF(C127=J130,"1st Basement Completed",IF(C127=J131,"1st &amp; 2nd Basement Completed",IF(C127=J132,"1st to 3rd Basement Completed",IF(C127=J133,"1st to 4th Basement Completed",IF(C127=J134,"Plinth work is process",IF(C127=J135,"Plinth work completed","0")))))))))))&amp;(IF(C128=(D121+F121+H121),", RCC Slab",IF(C128&gt;0,", RCC upto "&amp;C128&amp;" Slab",""))&amp;(IF(C129=H121,", Brickwork",IF(C129&gt;0,", Brickwork upto "&amp;C129&amp;" Floor",""))&amp;(IF(C130=H121,", Internal Plaster",IF(C130&gt;0,", Internal Plaster upto "&amp;C130&amp;" Floor",""))&amp;(IF(C131=H121,", External Plaster",IF(C131&gt;0,", External Plaster upto "&amp;C131&amp;" Floor",""))&amp;(IF(C132=H121,", Flooring",IF(C132&gt;0,", Flooring upto "&amp;C132&amp;" Floor",""))&amp;(IF(C133=H121,", Painting",IF(C133&gt;0,", Painting upto "&amp;C133&amp;" Floor",""))&amp;(IF(C134&gt;0,", Finishing upto "&amp;C134&amp;" Floor","")&amp;(IF(C128&gt;0.5," Completed",""))))))))))))))</f>
        <v>Plinth, RCC, Brick, Plaster, Flooring, Painting work Completed. Finishing work is in process.</v>
      </c>
      <c r="J120" s="26"/>
      <c r="P120" s="18"/>
      <c r="Q120" s="18"/>
      <c r="R120" s="18"/>
    </row>
    <row r="121" spans="1:18" hidden="1" x14ac:dyDescent="0.3">
      <c r="A121" s="9" t="s">
        <v>134</v>
      </c>
      <c r="B121" s="10">
        <v>1</v>
      </c>
      <c r="C121" s="10" t="s">
        <v>75</v>
      </c>
      <c r="D121" s="10">
        <v>1</v>
      </c>
      <c r="E121" s="10" t="s">
        <v>74</v>
      </c>
      <c r="F121" s="10">
        <v>1</v>
      </c>
      <c r="G121" s="10" t="s">
        <v>84</v>
      </c>
      <c r="H121" s="3">
        <f ca="1">--TRIM(RIGHT(SUBSTITUTE(LEFT(C120,_xlfn.AGGREGATE(16,6,FIND({0,1,2,3,4,5,6,7,8,9},C120,ROW(INDIRECT("1:"&amp;LEN(C120)))),1))," ",REPT(" ",LEN(C120))),LEN(C120)))</f>
        <v>30</v>
      </c>
      <c r="I121" s="5"/>
      <c r="J121" s="27"/>
      <c r="P121" s="18"/>
      <c r="Q121" s="18"/>
      <c r="R121" s="18"/>
    </row>
    <row r="122" spans="1:18" x14ac:dyDescent="0.3">
      <c r="A122" s="154" t="s">
        <v>93</v>
      </c>
      <c r="B122" s="78"/>
      <c r="C122" s="88" t="str">
        <f>I122</f>
        <v>All work Completed. OC Received.</v>
      </c>
      <c r="D122" s="88"/>
      <c r="E122" s="88"/>
      <c r="F122" s="88"/>
      <c r="G122" s="88"/>
      <c r="H122" s="155"/>
      <c r="I122" s="5" t="s">
        <v>109</v>
      </c>
      <c r="J122" s="27"/>
      <c r="P122" s="18"/>
      <c r="Q122" s="18"/>
      <c r="R122" s="18"/>
    </row>
    <row r="123" spans="1:18" s="44" customFormat="1" x14ac:dyDescent="0.3">
      <c r="A123" s="150" t="s">
        <v>89</v>
      </c>
      <c r="B123" s="151"/>
      <c r="C123" s="129">
        <v>1</v>
      </c>
      <c r="D123" s="130"/>
      <c r="E123" s="133" t="s">
        <v>88</v>
      </c>
      <c r="F123" s="130"/>
      <c r="G123" s="129">
        <v>1</v>
      </c>
      <c r="H123" s="159"/>
      <c r="I123" s="52"/>
      <c r="J123" s="53"/>
      <c r="K123" s="43"/>
      <c r="L123" s="43"/>
      <c r="M123" s="43"/>
      <c r="N123" s="43"/>
      <c r="O123" s="43"/>
    </row>
    <row r="124" spans="1:18" s="44" customFormat="1" ht="16.2" thickBot="1" x14ac:dyDescent="0.35">
      <c r="A124" s="152"/>
      <c r="B124" s="153"/>
      <c r="C124" s="131"/>
      <c r="D124" s="132"/>
      <c r="E124" s="131"/>
      <c r="F124" s="132"/>
      <c r="G124" s="131"/>
      <c r="H124" s="160"/>
      <c r="I124" s="52"/>
      <c r="J124" s="53"/>
      <c r="K124" s="43"/>
      <c r="L124" s="43"/>
      <c r="M124" s="43"/>
      <c r="N124" s="43"/>
      <c r="O124" s="43"/>
    </row>
    <row r="125" spans="1:18" ht="15.75" hidden="1" customHeight="1" x14ac:dyDescent="0.3">
      <c r="A125" s="156" t="s">
        <v>52</v>
      </c>
      <c r="B125" s="157"/>
      <c r="C125" s="15" t="s">
        <v>131</v>
      </c>
      <c r="D125" s="15" t="s">
        <v>87</v>
      </c>
      <c r="E125" s="157" t="s">
        <v>89</v>
      </c>
      <c r="F125" s="157"/>
      <c r="G125" s="157" t="s">
        <v>88</v>
      </c>
      <c r="H125" s="158"/>
      <c r="I125" s="6" t="s">
        <v>133</v>
      </c>
      <c r="J125" s="28">
        <f ca="1">H121*25%</f>
        <v>7.5</v>
      </c>
      <c r="P125" s="18"/>
      <c r="Q125" s="18"/>
      <c r="R125" s="18"/>
    </row>
    <row r="126" spans="1:18" hidden="1" x14ac:dyDescent="0.3">
      <c r="A126" s="71" t="s">
        <v>120</v>
      </c>
      <c r="B126" s="72"/>
      <c r="C126" s="29">
        <f ca="1">J127</f>
        <v>30</v>
      </c>
      <c r="D126" s="30">
        <f ca="1">((100/H121)*C126)/100</f>
        <v>1</v>
      </c>
      <c r="E126" s="123">
        <f ca="1">(((C127/H121*10)+(40/(D121+F121+H121)*C128)+(7.5/(H121)*C129)+(7.5/(H121)*C130)+(10/H121*C131)+(10/H121*C132)+(5/H121*C133)+(5/H121*C134)+(5/H121*C135))/100)</f>
        <v>0.94166666666666676</v>
      </c>
      <c r="F126" s="123"/>
      <c r="G126" s="123">
        <f ca="1">((((C126/H121)*20)+((C127/H121)*25)+(30/(H121+F121+D121)*C128)+(5/H121*C129)+(5/H121*C130)+(5/H121*C131)+(5/H121*C132)+(0/H121*C133)+(0/H121*C134)+(5/H121*C135))/100)</f>
        <v>0.96458333333333357</v>
      </c>
      <c r="H126" s="125"/>
      <c r="I126" s="6" t="s">
        <v>104</v>
      </c>
      <c r="J126" s="31">
        <f ca="1">H121*50%</f>
        <v>15</v>
      </c>
      <c r="P126" s="18"/>
      <c r="Q126" s="18"/>
      <c r="R126" s="18"/>
    </row>
    <row r="127" spans="1:18" hidden="1" x14ac:dyDescent="0.3">
      <c r="A127" s="71" t="s">
        <v>53</v>
      </c>
      <c r="B127" s="72"/>
      <c r="C127" s="32">
        <f ca="1">J135</f>
        <v>30</v>
      </c>
      <c r="D127" s="30">
        <f ca="1">((100/H121)*C127)/100</f>
        <v>1</v>
      </c>
      <c r="E127" s="123"/>
      <c r="F127" s="123"/>
      <c r="G127" s="123"/>
      <c r="H127" s="125"/>
      <c r="I127" s="6" t="s">
        <v>105</v>
      </c>
      <c r="J127" s="31">
        <f ca="1">H121</f>
        <v>30</v>
      </c>
      <c r="P127" s="18"/>
      <c r="Q127" s="18"/>
      <c r="R127" s="18"/>
    </row>
    <row r="128" spans="1:18" ht="15.75" hidden="1" customHeight="1" x14ac:dyDescent="0.3">
      <c r="A128" s="127" t="s">
        <v>121</v>
      </c>
      <c r="B128" s="128"/>
      <c r="C128" s="32">
        <v>30</v>
      </c>
      <c r="D128" s="30">
        <f ca="1">((100/(D121+F121+H121))*C128)/100</f>
        <v>0.9375</v>
      </c>
      <c r="E128" s="123"/>
      <c r="F128" s="123"/>
      <c r="G128" s="123"/>
      <c r="H128" s="125"/>
      <c r="I128" s="6" t="s">
        <v>106</v>
      </c>
      <c r="J128" s="33">
        <f ca="1">(IF(B121&gt;1,(H121/(B121+2)),H121/4))</f>
        <v>7.5</v>
      </c>
      <c r="P128" s="18"/>
      <c r="Q128" s="18"/>
      <c r="R128" s="18"/>
    </row>
    <row r="129" spans="1:18" ht="15.75" hidden="1" customHeight="1" x14ac:dyDescent="0.3">
      <c r="A129" s="71" t="s">
        <v>128</v>
      </c>
      <c r="B129" s="72" t="s">
        <v>122</v>
      </c>
      <c r="C129" s="29">
        <v>28</v>
      </c>
      <c r="D129" s="30">
        <f ca="1">((100/H121)*C129)/100</f>
        <v>0.93333333333333346</v>
      </c>
      <c r="E129" s="123"/>
      <c r="F129" s="123"/>
      <c r="G129" s="123"/>
      <c r="H129" s="125"/>
      <c r="I129" s="6" t="s">
        <v>107</v>
      </c>
      <c r="J129" s="33">
        <f ca="1">(IF(B121&gt;1,(H121/(B121+2)+J128),H121/4+J128))</f>
        <v>15</v>
      </c>
      <c r="P129" s="18"/>
      <c r="Q129" s="18"/>
      <c r="R129" s="18"/>
    </row>
    <row r="130" spans="1:18" ht="15.75" hidden="1" customHeight="1" x14ac:dyDescent="0.3">
      <c r="A130" s="71" t="s">
        <v>129</v>
      </c>
      <c r="B130" s="72" t="s">
        <v>122</v>
      </c>
      <c r="C130" s="29">
        <v>28</v>
      </c>
      <c r="D130" s="30">
        <f ca="1">((100/H121)*C130)/100</f>
        <v>0.93333333333333346</v>
      </c>
      <c r="E130" s="123"/>
      <c r="F130" s="123"/>
      <c r="G130" s="123"/>
      <c r="H130" s="125"/>
      <c r="I130" s="6" t="s">
        <v>138</v>
      </c>
      <c r="J130" s="33">
        <f>(IF(B121&gt;1,(H121/(B121+2)+J129),0))</f>
        <v>0</v>
      </c>
      <c r="P130" s="18"/>
      <c r="Q130" s="18"/>
      <c r="R130" s="18"/>
    </row>
    <row r="131" spans="1:18" ht="15" hidden="1" customHeight="1" x14ac:dyDescent="0.3">
      <c r="A131" s="71" t="s">
        <v>127</v>
      </c>
      <c r="B131" s="72" t="s">
        <v>124</v>
      </c>
      <c r="C131" s="29">
        <v>28</v>
      </c>
      <c r="D131" s="30">
        <f ca="1">((100/(H121))*C131)/100</f>
        <v>0.93333333333333346</v>
      </c>
      <c r="E131" s="123"/>
      <c r="F131" s="123"/>
      <c r="G131" s="123"/>
      <c r="H131" s="125"/>
      <c r="I131" s="6" t="s">
        <v>135</v>
      </c>
      <c r="J131" s="33">
        <f>(IF(B121&gt;2,(H121/(B121+2)+J130),0))</f>
        <v>0</v>
      </c>
      <c r="P131" s="18"/>
      <c r="Q131" s="18"/>
      <c r="R131" s="18"/>
    </row>
    <row r="132" spans="1:18" ht="15.75" hidden="1" customHeight="1" x14ac:dyDescent="0.3">
      <c r="A132" s="71" t="s">
        <v>123</v>
      </c>
      <c r="B132" s="72" t="s">
        <v>123</v>
      </c>
      <c r="C132" s="29">
        <v>28</v>
      </c>
      <c r="D132" s="30">
        <f ca="1">((100/H121)*C132)/100</f>
        <v>0.93333333333333346</v>
      </c>
      <c r="E132" s="123"/>
      <c r="F132" s="123"/>
      <c r="G132" s="123"/>
      <c r="H132" s="125"/>
      <c r="I132" s="6" t="s">
        <v>136</v>
      </c>
      <c r="J132" s="34">
        <f>(IF(B121&gt;3,(H121/(B121+2)+J131),0))</f>
        <v>0</v>
      </c>
      <c r="P132" s="18"/>
      <c r="Q132" s="18"/>
      <c r="R132" s="18"/>
    </row>
    <row r="133" spans="1:18" ht="15.75" hidden="1" customHeight="1" x14ac:dyDescent="0.3">
      <c r="A133" s="71" t="s">
        <v>130</v>
      </c>
      <c r="B133" s="72"/>
      <c r="C133" s="29">
        <v>28</v>
      </c>
      <c r="D133" s="30">
        <f ca="1">((100/H121)*C133)/100</f>
        <v>0.93333333333333346</v>
      </c>
      <c r="E133" s="123"/>
      <c r="F133" s="123"/>
      <c r="G133" s="123"/>
      <c r="H133" s="125"/>
      <c r="I133" s="6" t="s">
        <v>137</v>
      </c>
      <c r="J133" s="33">
        <f>(IF(B121&gt;4,(H121/(B121+2)+J132),0))</f>
        <v>0</v>
      </c>
      <c r="P133" s="18"/>
      <c r="Q133" s="18"/>
      <c r="R133" s="18"/>
    </row>
    <row r="134" spans="1:18" ht="15.75" hidden="1" customHeight="1" x14ac:dyDescent="0.3">
      <c r="A134" s="71" t="s">
        <v>125</v>
      </c>
      <c r="B134" s="72" t="s">
        <v>125</v>
      </c>
      <c r="C134" s="29">
        <v>28</v>
      </c>
      <c r="D134" s="30">
        <f ca="1">((100/(H121))*C134)/100</f>
        <v>0.93333333333333346</v>
      </c>
      <c r="E134" s="123"/>
      <c r="F134" s="123"/>
      <c r="G134" s="123"/>
      <c r="H134" s="125"/>
      <c r="I134" s="6" t="s">
        <v>139</v>
      </c>
      <c r="J134" s="33">
        <f ca="1">(IF(B121=1,(H121/(B121+3)+J129),IF(B121=0,(H121/4+J129),IF(B121&gt;1,0))))</f>
        <v>22.5</v>
      </c>
      <c r="P134" s="18"/>
      <c r="Q134" s="18"/>
      <c r="R134" s="18"/>
    </row>
    <row r="135" spans="1:18" ht="16.2" hidden="1" thickBot="1" x14ac:dyDescent="0.35">
      <c r="A135" s="82" t="s">
        <v>126</v>
      </c>
      <c r="B135" s="83"/>
      <c r="C135" s="35">
        <v>28</v>
      </c>
      <c r="D135" s="36">
        <f ca="1">((100/(H121))*C135)/100</f>
        <v>0.93333333333333346</v>
      </c>
      <c r="E135" s="124"/>
      <c r="F135" s="124"/>
      <c r="G135" s="124"/>
      <c r="H135" s="126"/>
      <c r="I135" s="7" t="s">
        <v>108</v>
      </c>
      <c r="J135" s="37">
        <f ca="1">(IF(B121&gt;1.5,(H121/(B121+2)+J129+MAX(0,J130-J129)+MAX(0,J131-J130)+MAX(0,J132-J131)+MAX(0,J133-J132)+MAX(0,J134-J133)),IF(B121=1,(H121/(B121+3)+J134),IF(B121=0,H121/4+J134))))</f>
        <v>30</v>
      </c>
      <c r="P135" s="18"/>
      <c r="Q135" s="18"/>
      <c r="R135" s="18"/>
    </row>
    <row r="136" spans="1:18" x14ac:dyDescent="0.3">
      <c r="A136" s="79" t="s">
        <v>54</v>
      </c>
      <c r="B136" s="79"/>
      <c r="C136" s="79"/>
      <c r="D136" s="79"/>
      <c r="E136" s="79"/>
      <c r="F136" s="79"/>
      <c r="G136" s="79"/>
      <c r="H136" s="79"/>
    </row>
    <row r="137" spans="1:18" x14ac:dyDescent="0.3">
      <c r="A137" s="59" t="s">
        <v>208</v>
      </c>
      <c r="B137" s="59"/>
      <c r="C137" s="59"/>
      <c r="D137" s="59"/>
      <c r="E137" s="59"/>
      <c r="F137" s="78">
        <v>13600</v>
      </c>
      <c r="G137" s="78"/>
      <c r="H137" s="78"/>
    </row>
    <row r="138" spans="1:18" ht="32.25" customHeight="1" x14ac:dyDescent="0.3">
      <c r="A138" s="84" t="s">
        <v>210</v>
      </c>
      <c r="B138" s="59"/>
      <c r="C138" s="59"/>
      <c r="D138" s="59"/>
      <c r="E138" s="59"/>
      <c r="F138" s="87">
        <v>28200</v>
      </c>
      <c r="G138" s="87"/>
      <c r="H138" s="87"/>
    </row>
    <row r="139" spans="1:18" hidden="1" x14ac:dyDescent="0.3">
      <c r="A139" s="59" t="s">
        <v>140</v>
      </c>
      <c r="B139" s="59"/>
      <c r="C139" s="59"/>
      <c r="D139" s="59"/>
      <c r="E139" s="59"/>
      <c r="F139" s="87"/>
      <c r="G139" s="87"/>
      <c r="H139" s="87"/>
    </row>
    <row r="140" spans="1:18" s="38" customFormat="1" x14ac:dyDescent="0.25">
      <c r="A140" s="59" t="s">
        <v>98</v>
      </c>
      <c r="B140" s="59"/>
      <c r="C140" s="59"/>
      <c r="D140" s="59"/>
      <c r="E140" s="59"/>
      <c r="F140" s="87" t="s">
        <v>209</v>
      </c>
      <c r="G140" s="87"/>
      <c r="H140" s="8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s="38" customFormat="1" hidden="1" x14ac:dyDescent="0.25">
      <c r="A141" s="59" t="s">
        <v>160</v>
      </c>
      <c r="B141" s="59"/>
      <c r="C141" s="59"/>
      <c r="D141" s="59"/>
      <c r="E141" s="59"/>
      <c r="F141" s="87" t="s">
        <v>161</v>
      </c>
      <c r="G141" s="87"/>
      <c r="H141" s="8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s="38" customFormat="1" hidden="1" x14ac:dyDescent="0.25">
      <c r="A142" s="59" t="s">
        <v>99</v>
      </c>
      <c r="B142" s="59"/>
      <c r="C142" s="59"/>
      <c r="D142" s="59"/>
      <c r="E142" s="59"/>
      <c r="F142" s="87" t="s">
        <v>30</v>
      </c>
      <c r="G142" s="87"/>
      <c r="H142" s="8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s="38" customFormat="1" hidden="1" x14ac:dyDescent="0.25">
      <c r="A143" s="59" t="s">
        <v>100</v>
      </c>
      <c r="B143" s="59"/>
      <c r="C143" s="59"/>
      <c r="D143" s="59"/>
      <c r="E143" s="59"/>
      <c r="F143" s="87" t="s">
        <v>30</v>
      </c>
      <c r="G143" s="87"/>
      <c r="H143" s="8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s="38" customFormat="1" hidden="1" x14ac:dyDescent="0.25">
      <c r="A144" s="59" t="s">
        <v>101</v>
      </c>
      <c r="B144" s="59"/>
      <c r="C144" s="59"/>
      <c r="D144" s="59"/>
      <c r="E144" s="59"/>
      <c r="F144" s="87" t="s">
        <v>30</v>
      </c>
      <c r="G144" s="87"/>
      <c r="H144" s="8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s="38" customFormat="1" x14ac:dyDescent="0.25">
      <c r="A145" s="59" t="s">
        <v>169</v>
      </c>
      <c r="B145" s="59"/>
      <c r="C145" s="59"/>
      <c r="D145" s="59"/>
      <c r="E145" s="59"/>
      <c r="F145" s="87" t="s">
        <v>168</v>
      </c>
      <c r="G145" s="87"/>
      <c r="H145" s="8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s="38" customFormat="1" x14ac:dyDescent="0.25">
      <c r="A146" s="59" t="s">
        <v>102</v>
      </c>
      <c r="B146" s="59"/>
      <c r="C146" s="59"/>
      <c r="D146" s="59"/>
      <c r="E146" s="59"/>
      <c r="F146" s="87" t="s">
        <v>170</v>
      </c>
      <c r="G146" s="87"/>
      <c r="H146" s="8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s="38" customFormat="1" hidden="1" x14ac:dyDescent="0.25">
      <c r="A147" s="59" t="s">
        <v>103</v>
      </c>
      <c r="B147" s="59"/>
      <c r="C147" s="59"/>
      <c r="D147" s="59"/>
      <c r="E147" s="59"/>
      <c r="F147" s="87" t="s">
        <v>30</v>
      </c>
      <c r="G147" s="87"/>
      <c r="H147" s="8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x14ac:dyDescent="0.3">
      <c r="A148" s="59" t="s">
        <v>55</v>
      </c>
      <c r="B148" s="59"/>
      <c r="C148" s="59"/>
      <c r="D148" s="59"/>
      <c r="E148" s="59"/>
      <c r="F148" s="85" t="s">
        <v>162</v>
      </c>
      <c r="G148" s="85"/>
      <c r="H148" s="85"/>
    </row>
    <row r="149" spans="1:18" s="40" customFormat="1" x14ac:dyDescent="0.3">
      <c r="A149" s="112" t="s">
        <v>56</v>
      </c>
      <c r="B149" s="112"/>
      <c r="C149" s="112"/>
      <c r="D149" s="112"/>
      <c r="E149" s="112"/>
      <c r="F149" s="87">
        <f>F137*0.8</f>
        <v>10880</v>
      </c>
      <c r="G149" s="87"/>
      <c r="H149" s="87"/>
      <c r="I149" s="39"/>
      <c r="J149" s="39"/>
      <c r="K149" s="39"/>
      <c r="L149" s="39"/>
      <c r="M149" s="39"/>
      <c r="N149" s="39"/>
      <c r="O149" s="39"/>
      <c r="P149" s="39"/>
      <c r="Q149" s="39"/>
      <c r="R149" s="39"/>
    </row>
    <row r="150" spans="1:18" s="42" customFormat="1" ht="15.75" customHeight="1" x14ac:dyDescent="0.3">
      <c r="A150" s="111" t="s">
        <v>79</v>
      </c>
      <c r="B150" s="111"/>
      <c r="C150" s="111"/>
      <c r="D150" s="111"/>
      <c r="E150" s="111"/>
      <c r="F150" s="111"/>
      <c r="G150" s="111"/>
      <c r="H150" s="111"/>
      <c r="I150" s="41"/>
      <c r="J150" s="41"/>
      <c r="K150" s="41"/>
      <c r="L150" s="41"/>
      <c r="M150" s="41"/>
      <c r="N150" s="41"/>
      <c r="O150" s="41"/>
      <c r="P150" s="41"/>
      <c r="Q150" s="41"/>
      <c r="R150" s="41"/>
    </row>
    <row r="151" spans="1:18" s="42" customFormat="1" ht="15.75" customHeight="1" x14ac:dyDescent="0.3">
      <c r="A151" s="62" t="s">
        <v>57</v>
      </c>
      <c r="B151" s="62"/>
      <c r="C151" s="101" t="s">
        <v>82</v>
      </c>
      <c r="D151" s="101"/>
      <c r="E151" s="99" t="s">
        <v>58</v>
      </c>
      <c r="F151" s="99"/>
      <c r="G151" s="62" t="s">
        <v>59</v>
      </c>
      <c r="H151" s="62"/>
      <c r="I151" s="41"/>
      <c r="J151" s="41"/>
      <c r="K151" s="41"/>
      <c r="L151" s="41"/>
      <c r="M151" s="41"/>
      <c r="N151" s="41"/>
      <c r="O151" s="41"/>
      <c r="P151" s="41"/>
      <c r="Q151" s="41"/>
      <c r="R151" s="41"/>
    </row>
    <row r="152" spans="1:18" s="42" customFormat="1" x14ac:dyDescent="0.3">
      <c r="A152" s="114" t="s">
        <v>194</v>
      </c>
      <c r="B152" s="114"/>
      <c r="C152" s="107">
        <f>COUNT(D168:D172)</f>
        <v>5</v>
      </c>
      <c r="D152" s="108"/>
      <c r="E152" s="80">
        <f>SUM(D168:D172)</f>
        <v>10357.87428</v>
      </c>
      <c r="F152" s="81"/>
      <c r="G152" s="80">
        <f>SUM(F168:F172)</f>
        <v>16572.598847999998</v>
      </c>
      <c r="H152" s="81"/>
      <c r="I152" s="41"/>
      <c r="J152" s="41"/>
      <c r="K152" s="41"/>
      <c r="L152" s="41"/>
      <c r="M152" s="41"/>
      <c r="N152" s="41"/>
      <c r="O152" s="41"/>
      <c r="P152" s="41"/>
      <c r="Q152" s="41"/>
      <c r="R152" s="41"/>
    </row>
    <row r="153" spans="1:18" s="42" customFormat="1" x14ac:dyDescent="0.3">
      <c r="A153" s="114" t="s">
        <v>193</v>
      </c>
      <c r="B153" s="114"/>
      <c r="C153" s="107">
        <f>COUNT(D176:D179)</f>
        <v>4</v>
      </c>
      <c r="D153" s="108"/>
      <c r="E153" s="80">
        <f>SUM(D176:D179)</f>
        <v>7409.8299599999991</v>
      </c>
      <c r="F153" s="81"/>
      <c r="G153" s="80">
        <f>SUM(F176:F179)</f>
        <v>11855.727935999999</v>
      </c>
      <c r="H153" s="81"/>
      <c r="I153" s="41"/>
      <c r="J153" s="41"/>
      <c r="K153" s="41"/>
      <c r="L153" s="41"/>
      <c r="M153" s="41"/>
      <c r="N153" s="41"/>
      <c r="O153" s="41"/>
      <c r="P153" s="41"/>
      <c r="Q153" s="41"/>
      <c r="R153" s="41"/>
    </row>
    <row r="154" spans="1:18" s="42" customFormat="1" x14ac:dyDescent="0.3">
      <c r="A154" s="111" t="s">
        <v>202</v>
      </c>
      <c r="B154" s="111"/>
      <c r="C154" s="183">
        <f t="shared" ref="C154" si="0">SUM(C152:D153)</f>
        <v>9</v>
      </c>
      <c r="D154" s="101"/>
      <c r="E154" s="145">
        <f>SUM(E152:F153)</f>
        <v>17767.704239999999</v>
      </c>
      <c r="F154" s="99"/>
      <c r="G154" s="62">
        <f t="shared" ref="G154" si="1">SUM(G152:H153)</f>
        <v>28428.326783999997</v>
      </c>
      <c r="H154" s="62"/>
      <c r="I154" s="41"/>
      <c r="J154" s="41"/>
      <c r="K154" s="41"/>
      <c r="L154" s="41"/>
      <c r="M154" s="41"/>
      <c r="N154" s="41"/>
      <c r="O154" s="41"/>
      <c r="P154" s="41"/>
      <c r="Q154" s="41"/>
      <c r="R154" s="41"/>
    </row>
    <row r="155" spans="1:18" s="42" customFormat="1" x14ac:dyDescent="0.3">
      <c r="A155" s="111" t="s">
        <v>73</v>
      </c>
      <c r="B155" s="111"/>
      <c r="C155" s="111"/>
      <c r="D155" s="111"/>
      <c r="E155" s="111"/>
      <c r="F155" s="111"/>
      <c r="G155" s="111"/>
      <c r="H155" s="111"/>
      <c r="I155" s="41"/>
      <c r="J155" s="54">
        <f>SUM(G154,G160)</f>
        <v>527458.25456999999</v>
      </c>
      <c r="K155" s="41"/>
      <c r="L155" s="41"/>
      <c r="M155" s="41"/>
      <c r="N155" s="41"/>
      <c r="O155" s="41"/>
      <c r="P155" s="41"/>
      <c r="Q155" s="41"/>
      <c r="R155" s="41"/>
    </row>
    <row r="156" spans="1:18" s="42" customFormat="1" ht="15.75" customHeight="1" x14ac:dyDescent="0.3">
      <c r="A156" s="62" t="s">
        <v>57</v>
      </c>
      <c r="B156" s="62"/>
      <c r="C156" s="101" t="s">
        <v>82</v>
      </c>
      <c r="D156" s="101"/>
      <c r="E156" s="99" t="s">
        <v>58</v>
      </c>
      <c r="F156" s="99"/>
      <c r="G156" s="62" t="s">
        <v>59</v>
      </c>
      <c r="H156" s="62"/>
      <c r="I156" s="41"/>
      <c r="J156" s="41"/>
      <c r="K156" s="41"/>
      <c r="L156" s="41"/>
      <c r="M156" s="41"/>
      <c r="N156" s="41"/>
      <c r="O156" s="41"/>
      <c r="P156" s="41"/>
      <c r="Q156" s="41"/>
      <c r="R156" s="41"/>
    </row>
    <row r="157" spans="1:18" s="42" customFormat="1" x14ac:dyDescent="0.3">
      <c r="A157" s="114" t="s">
        <v>194</v>
      </c>
      <c r="B157" s="114"/>
      <c r="C157" s="108">
        <f>COUNT(D188:D189)*25+COUNT(D191:D192)*7</f>
        <v>64</v>
      </c>
      <c r="D157" s="108"/>
      <c r="E157" s="80">
        <f>SUM(D188:D189)*25+SUM(D191:D192)*7</f>
        <v>96839.402399999992</v>
      </c>
      <c r="F157" s="80"/>
      <c r="G157" s="80">
        <f>SUM(F188:F189)*25+SUM(F191:F192)*7</f>
        <v>150101.07372000001</v>
      </c>
      <c r="H157" s="80"/>
      <c r="I157" s="41"/>
      <c r="J157" s="41"/>
      <c r="K157" s="41"/>
      <c r="L157" s="41"/>
      <c r="M157" s="41"/>
      <c r="N157" s="41"/>
      <c r="O157" s="41"/>
      <c r="P157" s="41"/>
      <c r="Q157" s="41"/>
      <c r="R157" s="41"/>
    </row>
    <row r="158" spans="1:18" s="42" customFormat="1" x14ac:dyDescent="0.3">
      <c r="A158" s="114" t="s">
        <v>193</v>
      </c>
      <c r="B158" s="114"/>
      <c r="C158" s="108">
        <f>COUNT(D199:D200)*25+COUNT(D202:D203)*7</f>
        <v>64</v>
      </c>
      <c r="D158" s="108"/>
      <c r="E158" s="80">
        <f>SUM(D199:D200)*25+SUM(D202:D203)*7</f>
        <v>97087.512600000002</v>
      </c>
      <c r="F158" s="80"/>
      <c r="G158" s="80">
        <f>SUM(F199:F200)*25+SUM(F202:F203)*7</f>
        <v>150485.64452999999</v>
      </c>
      <c r="H158" s="80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1:18" s="42" customFormat="1" x14ac:dyDescent="0.3">
      <c r="A159" s="114" t="s">
        <v>195</v>
      </c>
      <c r="B159" s="114"/>
      <c r="C159" s="108">
        <f>COUNT(D209:D210)*22+COUNT(D212:D213)*6</f>
        <v>56</v>
      </c>
      <c r="D159" s="108"/>
      <c r="E159" s="80">
        <f>SUM(D209:D210)*22+SUM(D212:D213)*6</f>
        <v>128027.87711999999</v>
      </c>
      <c r="F159" s="80"/>
      <c r="G159" s="80">
        <f>SUM(F209:F210)*22+SUM(F212:F213)*6</f>
        <v>198443.20953599998</v>
      </c>
      <c r="H159" s="80"/>
      <c r="I159" s="41"/>
      <c r="J159" s="41"/>
      <c r="K159" s="41"/>
      <c r="L159" s="41"/>
      <c r="M159" s="41"/>
      <c r="N159" s="41"/>
      <c r="O159" s="41"/>
      <c r="P159" s="41"/>
      <c r="Q159" s="41"/>
      <c r="R159" s="41"/>
    </row>
    <row r="160" spans="1:18" s="42" customFormat="1" x14ac:dyDescent="0.3">
      <c r="A160" s="111" t="s">
        <v>202</v>
      </c>
      <c r="B160" s="111"/>
      <c r="C160" s="101">
        <f>SUM(C157:D159)</f>
        <v>184</v>
      </c>
      <c r="D160" s="101"/>
      <c r="E160" s="145">
        <f>SUM(E157:F159)</f>
        <v>321954.79212</v>
      </c>
      <c r="F160" s="99"/>
      <c r="G160" s="62">
        <f>SUM(G157:H159)</f>
        <v>499029.92778600001</v>
      </c>
      <c r="H160" s="62"/>
      <c r="I160" s="41"/>
      <c r="J160" s="41"/>
      <c r="K160" s="41"/>
      <c r="L160" s="41"/>
      <c r="M160" s="41"/>
      <c r="N160" s="41"/>
      <c r="O160" s="41"/>
      <c r="P160" s="41"/>
      <c r="Q160" s="41"/>
      <c r="R160" s="41"/>
    </row>
    <row r="161" spans="1:18" s="40" customFormat="1" x14ac:dyDescent="0.3">
      <c r="A161" s="100" t="s">
        <v>60</v>
      </c>
      <c r="B161" s="100"/>
      <c r="C161" s="100"/>
      <c r="D161" s="100"/>
      <c r="E161" s="100"/>
      <c r="F161" s="100"/>
      <c r="G161" s="100"/>
      <c r="H161" s="100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2" spans="1:18" x14ac:dyDescent="0.3">
      <c r="A162" s="100" t="s">
        <v>61</v>
      </c>
      <c r="B162" s="100"/>
      <c r="C162" s="100"/>
      <c r="D162" s="100"/>
      <c r="E162" s="100"/>
      <c r="F162" s="100"/>
      <c r="G162" s="100"/>
      <c r="H162" s="100"/>
    </row>
    <row r="163" spans="1:18" ht="47.25" customHeight="1" x14ac:dyDescent="0.3">
      <c r="A163" s="63" t="s">
        <v>113</v>
      </c>
      <c r="B163" s="63" t="s">
        <v>112</v>
      </c>
      <c r="C163" s="63" t="s">
        <v>62</v>
      </c>
      <c r="D163" s="63" t="s">
        <v>63</v>
      </c>
      <c r="E163" s="65" t="s">
        <v>64</v>
      </c>
      <c r="F163" s="14" t="s">
        <v>143</v>
      </c>
      <c r="G163" s="67" t="s">
        <v>65</v>
      </c>
      <c r="H163" s="68"/>
    </row>
    <row r="164" spans="1:18" s="44" customFormat="1" x14ac:dyDescent="0.3">
      <c r="A164" s="64"/>
      <c r="B164" s="64"/>
      <c r="C164" s="64"/>
      <c r="D164" s="64"/>
      <c r="E164" s="66"/>
      <c r="F164" s="2">
        <v>0.6</v>
      </c>
      <c r="G164" s="69"/>
      <c r="H164" s="70"/>
      <c r="I164" s="43"/>
      <c r="J164" s="43"/>
      <c r="K164" s="43"/>
      <c r="L164" s="43"/>
      <c r="M164" s="43"/>
      <c r="N164" s="43"/>
      <c r="O164" s="43"/>
      <c r="P164" s="43"/>
      <c r="Q164" s="43"/>
      <c r="R164" s="43"/>
    </row>
    <row r="165" spans="1:18" s="40" customFormat="1" x14ac:dyDescent="0.3">
      <c r="A165" s="141" t="s">
        <v>194</v>
      </c>
      <c r="B165" s="141"/>
      <c r="C165" s="141"/>
      <c r="D165" s="141"/>
      <c r="E165" s="141"/>
      <c r="F165" s="141"/>
      <c r="G165" s="141"/>
      <c r="H165" s="141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6" spans="1:18" s="40" customFormat="1" x14ac:dyDescent="0.3">
      <c r="A166" s="100" t="s">
        <v>181</v>
      </c>
      <c r="B166" s="100"/>
      <c r="C166" s="100"/>
      <c r="D166" s="100"/>
      <c r="E166" s="100"/>
      <c r="F166" s="100"/>
      <c r="G166" s="100"/>
      <c r="H166" s="100"/>
      <c r="I166" s="39"/>
      <c r="J166" s="39"/>
      <c r="K166" s="39"/>
      <c r="L166" s="39"/>
      <c r="M166" s="39"/>
      <c r="N166" s="39"/>
      <c r="O166" s="39"/>
      <c r="P166" s="39"/>
      <c r="Q166" s="39"/>
      <c r="R166" s="39"/>
    </row>
    <row r="167" spans="1:18" s="44" customFormat="1" x14ac:dyDescent="0.3">
      <c r="A167" s="116" t="s">
        <v>182</v>
      </c>
      <c r="B167" s="117"/>
      <c r="C167" s="117"/>
      <c r="D167" s="117"/>
      <c r="E167" s="117"/>
      <c r="F167" s="117"/>
      <c r="G167" s="117"/>
      <c r="H167" s="118"/>
      <c r="I167" s="43"/>
      <c r="J167" s="43"/>
      <c r="K167" s="43"/>
      <c r="L167" s="43"/>
      <c r="M167" s="43"/>
      <c r="N167" s="43"/>
      <c r="O167" s="43"/>
      <c r="P167" s="43"/>
      <c r="Q167" s="43"/>
      <c r="R167" s="43"/>
    </row>
    <row r="168" spans="1:18" s="44" customFormat="1" ht="78" x14ac:dyDescent="0.3">
      <c r="A168" s="102">
        <v>1</v>
      </c>
      <c r="B168" s="103"/>
      <c r="C168" s="13" t="s">
        <v>183</v>
      </c>
      <c r="D168" s="13">
        <f>(134.7+62.52)*10.764</f>
        <v>2122.87608</v>
      </c>
      <c r="E168" s="13">
        <v>0</v>
      </c>
      <c r="F168" s="13">
        <f>D168*(($F$164)+1)+E168</f>
        <v>3396.6017280000001</v>
      </c>
      <c r="G168" s="102" t="str">
        <f>A167</f>
        <v>Ground Floor for Commercial</v>
      </c>
      <c r="H168" s="103"/>
      <c r="I168" s="45"/>
      <c r="J168" s="45">
        <f>8.98*12+6.78*2.9+1.02*1.9+1.2*1.75+2.37*0.84</f>
        <v>133.45079999999999</v>
      </c>
      <c r="K168" s="45">
        <f>8.96*4.65+6.18*2.85+2.37*2.6</f>
        <v>65.439000000000007</v>
      </c>
      <c r="L168" s="45"/>
      <c r="M168" s="45"/>
      <c r="N168" s="43"/>
      <c r="O168" s="43"/>
      <c r="P168" s="45"/>
      <c r="Q168" s="43"/>
      <c r="R168" s="43"/>
    </row>
    <row r="169" spans="1:18" s="44" customFormat="1" ht="78" x14ac:dyDescent="0.3">
      <c r="A169" s="102">
        <f>A168+1</f>
        <v>2</v>
      </c>
      <c r="B169" s="103"/>
      <c r="C169" s="13" t="s">
        <v>183</v>
      </c>
      <c r="D169" s="13">
        <f>(129.19+60.42)*10.764</f>
        <v>2040.9620400000001</v>
      </c>
      <c r="E169" s="13">
        <v>0</v>
      </c>
      <c r="F169" s="13">
        <f t="shared" ref="F169:F170" si="2">D169*(($F$164)+1)+E169</f>
        <v>3265.5392640000005</v>
      </c>
      <c r="G169" s="102" t="str">
        <f t="shared" ref="G169:G172" si="3">G168</f>
        <v>Ground Floor for Commercial</v>
      </c>
      <c r="H169" s="103"/>
      <c r="I169" s="45"/>
      <c r="J169" s="45"/>
      <c r="K169" s="45"/>
      <c r="L169" s="45"/>
      <c r="M169" s="45"/>
      <c r="N169" s="43"/>
      <c r="O169" s="43"/>
      <c r="P169" s="45"/>
      <c r="Q169" s="43"/>
      <c r="R169" s="43"/>
    </row>
    <row r="170" spans="1:18" s="44" customFormat="1" ht="78" x14ac:dyDescent="0.3">
      <c r="A170" s="102">
        <f t="shared" ref="A170:A172" si="4">A169+1</f>
        <v>3</v>
      </c>
      <c r="B170" s="103"/>
      <c r="C170" s="13" t="s">
        <v>183</v>
      </c>
      <c r="D170" s="13">
        <f>(78.14+67.08)*10.764</f>
        <v>1563.1480799999999</v>
      </c>
      <c r="E170" s="13">
        <v>0</v>
      </c>
      <c r="F170" s="13">
        <f t="shared" si="2"/>
        <v>2501.036928</v>
      </c>
      <c r="G170" s="102" t="str">
        <f t="shared" si="3"/>
        <v>Ground Floor for Commercial</v>
      </c>
      <c r="H170" s="103"/>
      <c r="I170" s="45"/>
      <c r="J170" s="45"/>
      <c r="K170" s="45"/>
      <c r="L170" s="45"/>
      <c r="M170" s="45"/>
      <c r="N170" s="43"/>
      <c r="O170" s="43"/>
      <c r="P170" s="45"/>
      <c r="Q170" s="43"/>
      <c r="R170" s="43"/>
    </row>
    <row r="171" spans="1:18" s="44" customFormat="1" ht="78" x14ac:dyDescent="0.3">
      <c r="A171" s="102">
        <f t="shared" si="4"/>
        <v>4</v>
      </c>
      <c r="B171" s="103"/>
      <c r="C171" s="13" t="s">
        <v>183</v>
      </c>
      <c r="D171" s="13">
        <f>(129.1+63.22)*10.764</f>
        <v>2070.1324799999998</v>
      </c>
      <c r="E171" s="13">
        <v>0</v>
      </c>
      <c r="F171" s="13">
        <f t="shared" ref="F171:F172" si="5">D171*(($F$164)+1)+E171</f>
        <v>3312.2119679999996</v>
      </c>
      <c r="G171" s="102" t="str">
        <f t="shared" si="3"/>
        <v>Ground Floor for Commercial</v>
      </c>
      <c r="H171" s="103"/>
      <c r="I171" s="45"/>
      <c r="J171" s="45"/>
      <c r="K171" s="45"/>
      <c r="L171" s="45"/>
      <c r="M171" s="45"/>
      <c r="N171" s="43"/>
      <c r="O171" s="43"/>
      <c r="P171" s="45"/>
      <c r="Q171" s="43"/>
      <c r="R171" s="43"/>
    </row>
    <row r="172" spans="1:18" s="44" customFormat="1" ht="78" x14ac:dyDescent="0.3">
      <c r="A172" s="102">
        <f t="shared" si="4"/>
        <v>5</v>
      </c>
      <c r="B172" s="103"/>
      <c r="C172" s="13" t="s">
        <v>183</v>
      </c>
      <c r="D172" s="13">
        <f>(157.01+80.89)*10.764</f>
        <v>2560.7555999999995</v>
      </c>
      <c r="E172" s="13">
        <v>0</v>
      </c>
      <c r="F172" s="13">
        <f t="shared" si="5"/>
        <v>4097.208959999999</v>
      </c>
      <c r="G172" s="102" t="str">
        <f t="shared" si="3"/>
        <v>Ground Floor for Commercial</v>
      </c>
      <c r="H172" s="103"/>
      <c r="I172" s="45"/>
      <c r="J172" s="45"/>
      <c r="K172" s="45"/>
      <c r="L172" s="45"/>
      <c r="M172" s="45"/>
      <c r="N172" s="43"/>
      <c r="O172" s="43"/>
      <c r="P172" s="45"/>
      <c r="Q172" s="43"/>
      <c r="R172" s="43"/>
    </row>
    <row r="173" spans="1:18" s="40" customFormat="1" x14ac:dyDescent="0.3">
      <c r="A173" s="141" t="s">
        <v>193</v>
      </c>
      <c r="B173" s="141"/>
      <c r="C173" s="141"/>
      <c r="D173" s="141"/>
      <c r="E173" s="141"/>
      <c r="F173" s="141"/>
      <c r="G173" s="141"/>
      <c r="H173" s="141"/>
      <c r="I173" s="39"/>
      <c r="J173" s="39"/>
      <c r="K173" s="39"/>
      <c r="L173" s="39"/>
      <c r="M173" s="39"/>
      <c r="N173" s="39"/>
      <c r="O173" s="39"/>
      <c r="P173" s="39"/>
      <c r="Q173" s="39"/>
      <c r="R173" s="39"/>
    </row>
    <row r="174" spans="1:18" s="40" customFormat="1" x14ac:dyDescent="0.3">
      <c r="A174" s="100" t="s">
        <v>181</v>
      </c>
      <c r="B174" s="100"/>
      <c r="C174" s="100"/>
      <c r="D174" s="100"/>
      <c r="E174" s="100"/>
      <c r="F174" s="100"/>
      <c r="G174" s="100"/>
      <c r="H174" s="100"/>
      <c r="I174" s="39"/>
      <c r="J174" s="39"/>
      <c r="K174" s="39"/>
      <c r="L174" s="39"/>
      <c r="M174" s="39"/>
      <c r="N174" s="39"/>
      <c r="O174" s="39"/>
      <c r="P174" s="39"/>
      <c r="Q174" s="39"/>
      <c r="R174" s="39"/>
    </row>
    <row r="175" spans="1:18" s="44" customFormat="1" x14ac:dyDescent="0.3">
      <c r="A175" s="116" t="s">
        <v>182</v>
      </c>
      <c r="B175" s="117"/>
      <c r="C175" s="117"/>
      <c r="D175" s="117"/>
      <c r="E175" s="117"/>
      <c r="F175" s="117"/>
      <c r="G175" s="117"/>
      <c r="H175" s="118"/>
      <c r="I175" s="43"/>
      <c r="J175" s="43"/>
      <c r="K175" s="43"/>
      <c r="L175" s="43"/>
      <c r="M175" s="43"/>
      <c r="N175" s="43"/>
      <c r="O175" s="43"/>
      <c r="P175" s="43"/>
      <c r="Q175" s="43"/>
      <c r="R175" s="43"/>
    </row>
    <row r="176" spans="1:18" s="44" customFormat="1" ht="78" x14ac:dyDescent="0.3">
      <c r="A176" s="102">
        <v>6</v>
      </c>
      <c r="B176" s="103"/>
      <c r="C176" s="13" t="s">
        <v>183</v>
      </c>
      <c r="D176" s="13">
        <f>(128.45+62.74)*10.764</f>
        <v>2057.9691599999996</v>
      </c>
      <c r="E176" s="13">
        <v>0</v>
      </c>
      <c r="F176" s="13">
        <f>D176*(($F$164)+1)+E176</f>
        <v>3292.7506559999997</v>
      </c>
      <c r="G176" s="102" t="str">
        <f>A175</f>
        <v>Ground Floor for Commercial</v>
      </c>
      <c r="H176" s="103"/>
      <c r="I176" s="45"/>
      <c r="J176" s="45">
        <f>8.98*12+6.78*2.9+1.02*1.9+1.2*1.75+2.37*0.84</f>
        <v>133.45079999999999</v>
      </c>
      <c r="K176" s="45">
        <f>8.96*4.65+6.18*2.85+2.37*2.6</f>
        <v>65.439000000000007</v>
      </c>
      <c r="L176" s="45"/>
      <c r="M176" s="45"/>
      <c r="N176" s="43"/>
      <c r="O176" s="43"/>
      <c r="P176" s="45"/>
      <c r="Q176" s="43"/>
      <c r="R176" s="43"/>
    </row>
    <row r="177" spans="1:18" s="44" customFormat="1" ht="78" x14ac:dyDescent="0.3">
      <c r="A177" s="102">
        <f>A176+1</f>
        <v>7</v>
      </c>
      <c r="B177" s="103"/>
      <c r="C177" s="13" t="s">
        <v>183</v>
      </c>
      <c r="D177" s="13">
        <f>(78.14+67.08)*10.764</f>
        <v>1563.1480799999999</v>
      </c>
      <c r="E177" s="13">
        <v>0</v>
      </c>
      <c r="F177" s="13">
        <f>D177*(($F$164)+1)+E177</f>
        <v>2501.036928</v>
      </c>
      <c r="G177" s="102" t="str">
        <f t="shared" ref="G177:G179" si="6">G176</f>
        <v>Ground Floor for Commercial</v>
      </c>
      <c r="H177" s="103"/>
      <c r="I177" s="45"/>
      <c r="J177" s="45"/>
      <c r="K177" s="45">
        <v>10.763999999999999</v>
      </c>
      <c r="L177" s="45"/>
      <c r="M177" s="45"/>
      <c r="N177" s="43"/>
      <c r="O177" s="43"/>
      <c r="P177" s="45"/>
      <c r="Q177" s="43"/>
      <c r="R177" s="43"/>
    </row>
    <row r="178" spans="1:18" s="44" customFormat="1" ht="78" x14ac:dyDescent="0.3">
      <c r="A178" s="102">
        <f t="shared" ref="A178:A179" si="7">A177+1</f>
        <v>8</v>
      </c>
      <c r="B178" s="103"/>
      <c r="C178" s="13" t="s">
        <v>183</v>
      </c>
      <c r="D178" s="13">
        <f>(117.23+46.78)*10.764</f>
        <v>1765.4036399999998</v>
      </c>
      <c r="E178" s="13">
        <v>0</v>
      </c>
      <c r="F178" s="13">
        <f>D178*(($F$164)+1)+E178</f>
        <v>2824.6458239999997</v>
      </c>
      <c r="G178" s="102" t="str">
        <f t="shared" si="6"/>
        <v>Ground Floor for Commercial</v>
      </c>
      <c r="H178" s="103"/>
      <c r="I178" s="45"/>
      <c r="J178" s="45"/>
      <c r="K178" s="45"/>
      <c r="L178" s="45"/>
      <c r="M178" s="45"/>
      <c r="N178" s="43"/>
      <c r="O178" s="43"/>
      <c r="P178" s="45"/>
      <c r="Q178" s="43"/>
      <c r="R178" s="43"/>
    </row>
    <row r="179" spans="1:18" s="44" customFormat="1" ht="78" x14ac:dyDescent="0.3">
      <c r="A179" s="102">
        <f t="shared" si="7"/>
        <v>9</v>
      </c>
      <c r="B179" s="103"/>
      <c r="C179" s="13" t="s">
        <v>183</v>
      </c>
      <c r="D179" s="13">
        <f>(133.32+54.65)*10.764</f>
        <v>2023.3090799999998</v>
      </c>
      <c r="E179" s="13">
        <v>0</v>
      </c>
      <c r="F179" s="13">
        <f>D179*(($F$164)+1)+E179</f>
        <v>3237.2945279999999</v>
      </c>
      <c r="G179" s="102" t="str">
        <f t="shared" si="6"/>
        <v>Ground Floor for Commercial</v>
      </c>
      <c r="H179" s="103"/>
      <c r="I179" s="45"/>
      <c r="J179" s="45"/>
      <c r="K179" s="45"/>
      <c r="L179" s="45"/>
      <c r="M179" s="45"/>
      <c r="N179" s="43"/>
      <c r="O179" s="43"/>
      <c r="P179" s="45"/>
      <c r="Q179" s="43"/>
      <c r="R179" s="43"/>
    </row>
    <row r="180" spans="1:18" s="44" customFormat="1" x14ac:dyDescent="0.3">
      <c r="A180" s="102"/>
      <c r="B180" s="187"/>
      <c r="C180" s="187"/>
      <c r="D180" s="187"/>
      <c r="E180" s="187"/>
      <c r="F180" s="187"/>
      <c r="G180" s="187"/>
      <c r="H180" s="103"/>
      <c r="I180" s="45"/>
      <c r="J180" s="45"/>
      <c r="K180" s="45"/>
      <c r="L180" s="45"/>
      <c r="M180" s="45"/>
      <c r="N180" s="43"/>
      <c r="O180" s="43"/>
      <c r="P180" s="45"/>
      <c r="Q180" s="43"/>
      <c r="R180" s="43"/>
    </row>
    <row r="181" spans="1:18" ht="47.25" customHeight="1" x14ac:dyDescent="0.3">
      <c r="A181" s="67" t="s">
        <v>114</v>
      </c>
      <c r="B181" s="67" t="s">
        <v>115</v>
      </c>
      <c r="C181" s="63" t="s">
        <v>62</v>
      </c>
      <c r="D181" s="63" t="s">
        <v>63</v>
      </c>
      <c r="E181" s="65" t="s">
        <v>64</v>
      </c>
      <c r="F181" s="14" t="s">
        <v>143</v>
      </c>
      <c r="G181" s="67" t="s">
        <v>65</v>
      </c>
      <c r="H181" s="68"/>
      <c r="I181" s="45"/>
      <c r="J181" s="45"/>
      <c r="K181" s="45"/>
      <c r="L181" s="45"/>
      <c r="M181" s="45"/>
    </row>
    <row r="182" spans="1:18" s="44" customFormat="1" x14ac:dyDescent="0.3">
      <c r="A182" s="69"/>
      <c r="B182" s="69"/>
      <c r="C182" s="64"/>
      <c r="D182" s="64"/>
      <c r="E182" s="66"/>
      <c r="F182" s="2">
        <v>0.55000000000000004</v>
      </c>
      <c r="G182" s="69"/>
      <c r="H182" s="70"/>
      <c r="I182" s="45"/>
      <c r="J182" s="45"/>
      <c r="K182" s="45"/>
      <c r="L182" s="45"/>
      <c r="M182" s="45"/>
      <c r="N182" s="43"/>
      <c r="O182" s="43"/>
      <c r="P182" s="43"/>
      <c r="Q182" s="43"/>
      <c r="R182" s="43"/>
    </row>
    <row r="183" spans="1:18" s="40" customFormat="1" x14ac:dyDescent="0.3">
      <c r="A183" s="141" t="s">
        <v>194</v>
      </c>
      <c r="B183" s="141"/>
      <c r="C183" s="141"/>
      <c r="D183" s="141"/>
      <c r="E183" s="141"/>
      <c r="F183" s="141"/>
      <c r="G183" s="141"/>
      <c r="H183" s="141"/>
      <c r="I183" s="39"/>
      <c r="J183" s="39"/>
      <c r="K183" s="39"/>
      <c r="L183" s="39"/>
      <c r="M183" s="39"/>
      <c r="N183" s="39"/>
      <c r="O183" s="39"/>
      <c r="P183" s="39"/>
      <c r="Q183" s="39"/>
      <c r="R183" s="39"/>
    </row>
    <row r="184" spans="1:18" s="40" customFormat="1" x14ac:dyDescent="0.3">
      <c r="A184" s="100" t="s">
        <v>186</v>
      </c>
      <c r="B184" s="100"/>
      <c r="C184" s="100"/>
      <c r="D184" s="100"/>
      <c r="E184" s="100"/>
      <c r="F184" s="100"/>
      <c r="G184" s="100"/>
      <c r="H184" s="100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s="40" customFormat="1" x14ac:dyDescent="0.3">
      <c r="A185" s="184" t="s">
        <v>184</v>
      </c>
      <c r="B185" s="185"/>
      <c r="C185" s="185"/>
      <c r="D185" s="185"/>
      <c r="E185" s="185"/>
      <c r="F185" s="185"/>
      <c r="G185" s="185"/>
      <c r="H185" s="186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  <row r="186" spans="1:18" s="40" customFormat="1" x14ac:dyDescent="0.3">
      <c r="A186" s="184" t="s">
        <v>205</v>
      </c>
      <c r="B186" s="185"/>
      <c r="C186" s="185"/>
      <c r="D186" s="185"/>
      <c r="E186" s="185"/>
      <c r="F186" s="185"/>
      <c r="G186" s="185"/>
      <c r="H186" s="186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s="44" customFormat="1" x14ac:dyDescent="0.3">
      <c r="A187" s="113" t="s">
        <v>185</v>
      </c>
      <c r="B187" s="113"/>
      <c r="C187" s="113"/>
      <c r="D187" s="113"/>
      <c r="E187" s="113"/>
      <c r="F187" s="113"/>
      <c r="G187" s="113"/>
      <c r="H187" s="113"/>
      <c r="I187" s="45"/>
      <c r="J187" s="45">
        <v>25</v>
      </c>
      <c r="K187" s="45"/>
      <c r="L187" s="45"/>
      <c r="M187" s="45"/>
      <c r="N187" s="43"/>
      <c r="O187" s="43"/>
      <c r="P187" s="43"/>
      <c r="Q187" s="43"/>
      <c r="R187" s="43"/>
    </row>
    <row r="188" spans="1:18" s="44" customFormat="1" ht="27.75" customHeight="1" x14ac:dyDescent="0.3">
      <c r="A188" s="61">
        <v>1</v>
      </c>
      <c r="B188" s="61"/>
      <c r="C188" s="13" t="s">
        <v>187</v>
      </c>
      <c r="D188" s="13">
        <f>(155.59+4.8)*10.764</f>
        <v>1726.43796</v>
      </c>
      <c r="E188" s="13">
        <v>0</v>
      </c>
      <c r="F188" s="13">
        <f>D188*(($F$182)+1)+E188</f>
        <v>2675.978838</v>
      </c>
      <c r="G188" s="119" t="str">
        <f>A187</f>
        <v>1st, 3rd to 6th, 8th to 10th, 12th to 15th, 17th to 20th, 22nd to 25th, 27th to 30th &amp; 32nd Floor</v>
      </c>
      <c r="H188" s="120"/>
      <c r="I188" s="45"/>
      <c r="J188" s="45"/>
      <c r="K188" s="45"/>
      <c r="L188" s="45"/>
      <c r="M188" s="45"/>
      <c r="N188" s="43"/>
      <c r="O188" s="43"/>
      <c r="P188" s="45"/>
      <c r="Q188" s="43"/>
      <c r="R188" s="43"/>
    </row>
    <row r="189" spans="1:18" s="44" customFormat="1" ht="15.75" customHeight="1" x14ac:dyDescent="0.3">
      <c r="A189" s="61">
        <f>A188+1</f>
        <v>2</v>
      </c>
      <c r="B189" s="61"/>
      <c r="C189" s="13" t="s">
        <v>188</v>
      </c>
      <c r="D189" s="13">
        <f>(122+4.8)*10.764</f>
        <v>1364.8751999999999</v>
      </c>
      <c r="E189" s="13">
        <v>0</v>
      </c>
      <c r="F189" s="13">
        <f>D189*(($F$182)+1)+E189</f>
        <v>2115.55656</v>
      </c>
      <c r="G189" s="121"/>
      <c r="H189" s="122"/>
      <c r="I189" s="45"/>
      <c r="J189" s="45"/>
      <c r="K189" s="45"/>
      <c r="L189" s="45"/>
      <c r="M189" s="45"/>
      <c r="N189" s="43"/>
      <c r="O189" s="43"/>
      <c r="P189" s="45"/>
      <c r="Q189" s="43"/>
      <c r="R189" s="43"/>
    </row>
    <row r="190" spans="1:18" s="44" customFormat="1" ht="15.75" customHeight="1" x14ac:dyDescent="0.3">
      <c r="A190" s="116" t="s">
        <v>189</v>
      </c>
      <c r="B190" s="117"/>
      <c r="C190" s="117"/>
      <c r="D190" s="117"/>
      <c r="E190" s="117"/>
      <c r="F190" s="117"/>
      <c r="G190" s="117"/>
      <c r="H190" s="118"/>
      <c r="I190" s="45"/>
      <c r="J190" s="45">
        <v>7</v>
      </c>
      <c r="K190" s="45"/>
      <c r="L190" s="45"/>
      <c r="M190" s="45"/>
      <c r="N190" s="43"/>
      <c r="O190" s="43"/>
      <c r="P190" s="43"/>
      <c r="Q190" s="43"/>
      <c r="R190" s="43"/>
    </row>
    <row r="191" spans="1:18" s="44" customFormat="1" ht="15.75" customHeight="1" x14ac:dyDescent="0.3">
      <c r="A191" s="102">
        <v>1</v>
      </c>
      <c r="B191" s="103"/>
      <c r="C191" s="13" t="s">
        <v>187</v>
      </c>
      <c r="D191" s="13">
        <f>(155.59+4.8)*10.764</f>
        <v>1726.43796</v>
      </c>
      <c r="E191" s="13">
        <v>0</v>
      </c>
      <c r="F191" s="13">
        <f t="shared" ref="F191:F192" si="8">D191*(($F$182)+1)+E191</f>
        <v>2675.978838</v>
      </c>
      <c r="G191" s="119" t="str">
        <f>A190</f>
        <v>2nd, 7th, 11th, 16th, 21st, 26th &amp; 31st Floor (Part Refuge Area)</v>
      </c>
      <c r="H191" s="120"/>
      <c r="I191" s="45"/>
      <c r="J191" s="46"/>
      <c r="K191" s="45"/>
      <c r="L191" s="45"/>
      <c r="M191" s="45"/>
      <c r="N191" s="43"/>
      <c r="O191" s="43"/>
      <c r="P191" s="43" t="str">
        <f t="shared" ref="P191:P192" ca="1" si="9">Q191&amp;""&amp;",..,"&amp;""&amp;R191</f>
        <v>2701,..,3101</v>
      </c>
      <c r="Q191" s="43">
        <f ca="1">(SUMPRODUCT(MID(0&amp;(LEFT(A190,SUM(LEN(A190)-LEN(SUBSTITUTE(A190,{"0","1","2","3"},""))))), LARGE(INDEX(ISNUMBER(--MID((LEFT(A190,SUM(LEN(A190)-LEN(SUBSTITUTE(A190,{"0","1","2","3"},""))))), ROW(INDIRECT("1:"&amp;LEN((LEFT(A190,SUM(LEN(A190)-LEN(SUBSTITUTE(A190,{"0","1","2","3"},"")))))))), 1)) * ROW(INDIRECT("1:"&amp;LEN((LEFT(A190,SUM(LEN(A190)-LEN(SUBSTITUTE(A190,{"0","1","2","3"},"")))))))), 0), ROW(INDIRECT("1:"&amp;LEN((LEFT(A190,SUM(LEN(A190)-LEN(SUBSTITUTE(A190,{"0","1","2","3"},"")))))))))+1, 1) * 10^ROW(INDIRECT("1:"&amp;LEN((LEFT(A190,SUM(LEN(A190)-LEN(SUBSTITUTE(A190,{"0","1","2","3"},""))))))))/10))*100+1</f>
        <v>2701</v>
      </c>
      <c r="R191" s="43">
        <f ca="1">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",LEN(A190))),LEN(A190)))))))/10))*100+1</f>
        <v>3101</v>
      </c>
    </row>
    <row r="192" spans="1:18" s="44" customFormat="1" ht="15.75" customHeight="1" x14ac:dyDescent="0.3">
      <c r="A192" s="102">
        <v>2</v>
      </c>
      <c r="B192" s="103"/>
      <c r="C192" s="13" t="s">
        <v>190</v>
      </c>
      <c r="D192" s="13">
        <f>(94.36+4.8)*10.764</f>
        <v>1067.3582399999998</v>
      </c>
      <c r="E192" s="13">
        <v>0</v>
      </c>
      <c r="F192" s="13">
        <f t="shared" si="8"/>
        <v>1654.4052719999997</v>
      </c>
      <c r="G192" s="121"/>
      <c r="H192" s="122"/>
      <c r="I192" s="45"/>
      <c r="J192" s="45"/>
      <c r="K192" s="45"/>
      <c r="L192" s="45"/>
      <c r="M192" s="45"/>
      <c r="N192" s="43"/>
      <c r="O192" s="43"/>
      <c r="P192" s="43" t="str">
        <f t="shared" ca="1" si="9"/>
        <v>2702,..,3102</v>
      </c>
      <c r="Q192" s="43">
        <f t="shared" ref="Q192:R192" ca="1" si="10">Q191+1</f>
        <v>2702</v>
      </c>
      <c r="R192" s="43">
        <f t="shared" ca="1" si="10"/>
        <v>3102</v>
      </c>
    </row>
    <row r="193" spans="1:18" s="40" customFormat="1" x14ac:dyDescent="0.3">
      <c r="A193" s="141" t="s">
        <v>193</v>
      </c>
      <c r="B193" s="141"/>
      <c r="C193" s="141"/>
      <c r="D193" s="141"/>
      <c r="E193" s="141"/>
      <c r="F193" s="141"/>
      <c r="G193" s="141"/>
      <c r="H193" s="141"/>
      <c r="I193" s="39"/>
      <c r="J193" s="39"/>
      <c r="K193" s="39"/>
      <c r="L193" s="39"/>
      <c r="M193" s="39"/>
      <c r="N193" s="39"/>
      <c r="O193" s="39"/>
      <c r="P193" s="39"/>
      <c r="Q193" s="39"/>
      <c r="R193" s="39"/>
    </row>
    <row r="194" spans="1:18" s="40" customFormat="1" x14ac:dyDescent="0.3">
      <c r="A194" s="100" t="s">
        <v>186</v>
      </c>
      <c r="B194" s="100"/>
      <c r="C194" s="100"/>
      <c r="D194" s="100"/>
      <c r="E194" s="100"/>
      <c r="F194" s="100"/>
      <c r="G194" s="100"/>
      <c r="H194" s="100"/>
      <c r="I194" s="39"/>
      <c r="J194" s="39"/>
      <c r="K194" s="39"/>
      <c r="L194" s="39"/>
      <c r="M194" s="39"/>
      <c r="N194" s="39"/>
      <c r="O194" s="39"/>
      <c r="P194" s="39"/>
      <c r="Q194" s="39"/>
      <c r="R194" s="39"/>
    </row>
    <row r="195" spans="1:18" s="40" customFormat="1" x14ac:dyDescent="0.3">
      <c r="A195" s="184" t="s">
        <v>191</v>
      </c>
      <c r="B195" s="185"/>
      <c r="C195" s="185"/>
      <c r="D195" s="185"/>
      <c r="E195" s="185"/>
      <c r="F195" s="185"/>
      <c r="G195" s="185"/>
      <c r="H195" s="186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s="40" customFormat="1" x14ac:dyDescent="0.3">
      <c r="A196" s="184" t="s">
        <v>192</v>
      </c>
      <c r="B196" s="185"/>
      <c r="C196" s="185"/>
      <c r="D196" s="185"/>
      <c r="E196" s="185"/>
      <c r="F196" s="185"/>
      <c r="G196" s="185"/>
      <c r="H196" s="186"/>
      <c r="I196" s="39"/>
      <c r="J196" s="39"/>
      <c r="K196" s="39"/>
      <c r="L196" s="39"/>
      <c r="M196" s="39"/>
      <c r="N196" s="39"/>
      <c r="O196" s="39"/>
      <c r="P196" s="39"/>
      <c r="Q196" s="39"/>
    </row>
    <row r="197" spans="1:18" s="40" customFormat="1" x14ac:dyDescent="0.3">
      <c r="A197" s="184" t="s">
        <v>204</v>
      </c>
      <c r="B197" s="185"/>
      <c r="C197" s="185"/>
      <c r="D197" s="185"/>
      <c r="E197" s="185"/>
      <c r="F197" s="185"/>
      <c r="G197" s="185"/>
      <c r="H197" s="186"/>
      <c r="I197" s="39"/>
      <c r="J197" s="39"/>
      <c r="K197" s="39"/>
      <c r="L197" s="39"/>
      <c r="M197" s="39"/>
      <c r="N197" s="39"/>
      <c r="O197" s="39"/>
      <c r="P197" s="39"/>
      <c r="Q197" s="39"/>
    </row>
    <row r="198" spans="1:18" s="44" customFormat="1" x14ac:dyDescent="0.3">
      <c r="A198" s="113" t="s">
        <v>185</v>
      </c>
      <c r="B198" s="113"/>
      <c r="C198" s="113"/>
      <c r="D198" s="113"/>
      <c r="E198" s="113"/>
      <c r="F198" s="113"/>
      <c r="G198" s="113"/>
      <c r="H198" s="113"/>
      <c r="I198" s="45"/>
      <c r="J198" s="45">
        <v>25</v>
      </c>
      <c r="K198" s="45"/>
      <c r="L198" s="45"/>
      <c r="M198" s="45"/>
      <c r="N198" s="43"/>
      <c r="O198" s="43"/>
      <c r="P198" s="43"/>
      <c r="Q198" s="43"/>
      <c r="R198" s="43"/>
    </row>
    <row r="199" spans="1:18" s="44" customFormat="1" ht="21.75" customHeight="1" x14ac:dyDescent="0.3">
      <c r="A199" s="61">
        <v>1</v>
      </c>
      <c r="B199" s="61"/>
      <c r="C199" s="13" t="s">
        <v>188</v>
      </c>
      <c r="D199" s="13">
        <f>(123.84+4.27)*10.764</f>
        <v>1378.97604</v>
      </c>
      <c r="E199" s="13">
        <v>0</v>
      </c>
      <c r="F199" s="13">
        <f>D199*(($F$182)+1)+E199</f>
        <v>2137.4128620000001</v>
      </c>
      <c r="G199" s="119" t="str">
        <f>A198</f>
        <v>1st, 3rd to 6th, 8th to 10th, 12th to 15th, 17th to 20th, 22nd to 25th, 27th to 30th &amp; 32nd Floor</v>
      </c>
      <c r="H199" s="120"/>
      <c r="I199" s="45"/>
      <c r="J199" s="45"/>
      <c r="K199" s="45"/>
      <c r="L199" s="45"/>
      <c r="M199" s="45"/>
      <c r="N199" s="43"/>
      <c r="O199" s="43"/>
      <c r="P199" s="45"/>
      <c r="Q199" s="43"/>
      <c r="R199" s="43"/>
    </row>
    <row r="200" spans="1:18" s="44" customFormat="1" ht="26.25" customHeight="1" x14ac:dyDescent="0.3">
      <c r="A200" s="61">
        <f>A199+1</f>
        <v>2</v>
      </c>
      <c r="B200" s="61"/>
      <c r="C200" s="13" t="s">
        <v>187</v>
      </c>
      <c r="D200" s="13">
        <f>(155.48+4.27)*10.764</f>
        <v>1719.549</v>
      </c>
      <c r="E200" s="13">
        <v>0</v>
      </c>
      <c r="F200" s="13">
        <f>D200*(($F$182)+1)+E200</f>
        <v>2665.3009499999998</v>
      </c>
      <c r="G200" s="121"/>
      <c r="H200" s="122"/>
      <c r="I200" s="45"/>
      <c r="J200" s="45"/>
      <c r="K200" s="45"/>
      <c r="L200" s="45"/>
      <c r="M200" s="45"/>
      <c r="N200" s="43"/>
      <c r="O200" s="43"/>
      <c r="P200" s="45"/>
      <c r="Q200" s="43"/>
      <c r="R200" s="43"/>
    </row>
    <row r="201" spans="1:18" s="44" customFormat="1" ht="15.75" customHeight="1" x14ac:dyDescent="0.3">
      <c r="A201" s="116" t="s">
        <v>189</v>
      </c>
      <c r="B201" s="117"/>
      <c r="C201" s="117"/>
      <c r="D201" s="117"/>
      <c r="E201" s="117"/>
      <c r="F201" s="117"/>
      <c r="G201" s="117"/>
      <c r="H201" s="118"/>
      <c r="I201" s="45"/>
      <c r="J201" s="45">
        <v>7</v>
      </c>
      <c r="K201" s="45"/>
      <c r="L201" s="45"/>
      <c r="M201" s="45"/>
      <c r="N201" s="43"/>
      <c r="O201" s="43"/>
      <c r="P201" s="43"/>
      <c r="Q201" s="43"/>
      <c r="R201" s="43"/>
    </row>
    <row r="202" spans="1:18" s="44" customFormat="1" ht="15.75" customHeight="1" x14ac:dyDescent="0.3">
      <c r="A202" s="102">
        <v>1</v>
      </c>
      <c r="B202" s="103"/>
      <c r="C202" s="13" t="s">
        <v>190</v>
      </c>
      <c r="D202" s="13">
        <f>(96.43+4.27)*10.764</f>
        <v>1083.9348</v>
      </c>
      <c r="E202" s="13">
        <v>0</v>
      </c>
      <c r="F202" s="13">
        <f t="shared" ref="F202:F203" si="11">D202*(($F$182)+1)+E202</f>
        <v>1680.0989400000001</v>
      </c>
      <c r="G202" s="119" t="str">
        <f>A201</f>
        <v>2nd, 7th, 11th, 16th, 21st, 26th &amp; 31st Floor (Part Refuge Area)</v>
      </c>
      <c r="H202" s="120"/>
      <c r="I202" s="45"/>
      <c r="J202" s="45"/>
      <c r="K202" s="45"/>
      <c r="L202" s="45"/>
      <c r="M202" s="45"/>
      <c r="N202" s="43"/>
      <c r="O202" s="43"/>
      <c r="P202" s="43" t="str">
        <f t="shared" ref="P202:P203" ca="1" si="12">Q202&amp;""&amp;",..,"&amp;""&amp;R202</f>
        <v>2701,..,3101</v>
      </c>
      <c r="Q202" s="43">
        <f ca="1">(SUMPRODUCT(MID(0&amp;(LEFT(A201,SUM(LEN(A201)-LEN(SUBSTITUTE(A201,{"0","1","2","3"},""))))), LARGE(INDEX(ISNUMBER(--MID((LEFT(A201,SUM(LEN(A201)-LEN(SUBSTITUTE(A201,{"0","1","2","3"},""))))), ROW(INDIRECT("1:"&amp;LEN((LEFT(A201,SUM(LEN(A201)-LEN(SUBSTITUTE(A201,{"0","1","2","3"},"")))))))), 1)) * ROW(INDIRECT("1:"&amp;LEN((LEFT(A201,SUM(LEN(A201)-LEN(SUBSTITUTE(A201,{"0","1","2","3"},"")))))))), 0), ROW(INDIRECT("1:"&amp;LEN((LEFT(A201,SUM(LEN(A201)-LEN(SUBSTITUTE(A201,{"0","1","2","3"},"")))))))))+1, 1) * 10^ROW(INDIRECT("1:"&amp;LEN((LEFT(A201,SUM(LEN(A201)-LEN(SUBSTITUTE(A201,{"0","1","2","3"},""))))))))/10))*100+1</f>
        <v>2701</v>
      </c>
      <c r="R202" s="43">
        <f ca="1">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",LEN(A201))),LEN(A201)))))))/10))*100+1</f>
        <v>3101</v>
      </c>
    </row>
    <row r="203" spans="1:18" s="44" customFormat="1" ht="15.75" customHeight="1" x14ac:dyDescent="0.3">
      <c r="A203" s="102">
        <v>2</v>
      </c>
      <c r="B203" s="103"/>
      <c r="C203" s="13" t="s">
        <v>187</v>
      </c>
      <c r="D203" s="13">
        <f>(155.48+4.27)*10.764</f>
        <v>1719.549</v>
      </c>
      <c r="E203" s="13">
        <v>0</v>
      </c>
      <c r="F203" s="13">
        <f t="shared" si="11"/>
        <v>2665.3009499999998</v>
      </c>
      <c r="G203" s="121"/>
      <c r="H203" s="122"/>
      <c r="I203" s="45"/>
      <c r="J203" s="45"/>
      <c r="K203" s="45"/>
      <c r="L203" s="45"/>
      <c r="M203" s="45"/>
      <c r="N203" s="43"/>
      <c r="O203" s="43"/>
      <c r="P203" s="43" t="str">
        <f t="shared" ca="1" si="12"/>
        <v>2702,..,3102</v>
      </c>
      <c r="Q203" s="43">
        <f t="shared" ref="Q203:R203" ca="1" si="13">Q202+1</f>
        <v>2702</v>
      </c>
      <c r="R203" s="43">
        <f t="shared" ca="1" si="13"/>
        <v>3102</v>
      </c>
    </row>
    <row r="204" spans="1:18" s="40" customFormat="1" x14ac:dyDescent="0.3">
      <c r="A204" s="141" t="s">
        <v>195</v>
      </c>
      <c r="B204" s="141"/>
      <c r="C204" s="141"/>
      <c r="D204" s="141"/>
      <c r="E204" s="141"/>
      <c r="F204" s="141"/>
      <c r="G204" s="141"/>
      <c r="H204" s="141"/>
      <c r="I204" s="39"/>
      <c r="J204" s="39"/>
      <c r="K204" s="39"/>
      <c r="L204" s="39"/>
      <c r="M204" s="39"/>
      <c r="N204" s="39"/>
      <c r="O204" s="39"/>
      <c r="P204" s="39"/>
      <c r="Q204" s="39"/>
      <c r="R204" s="39"/>
    </row>
    <row r="205" spans="1:18" s="40" customFormat="1" x14ac:dyDescent="0.3">
      <c r="A205" s="100" t="s">
        <v>196</v>
      </c>
      <c r="B205" s="100"/>
      <c r="C205" s="100"/>
      <c r="D205" s="100"/>
      <c r="E205" s="100"/>
      <c r="F205" s="100"/>
      <c r="G205" s="100"/>
      <c r="H205" s="100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s="40" customFormat="1" x14ac:dyDescent="0.3">
      <c r="A206" s="184" t="s">
        <v>197</v>
      </c>
      <c r="B206" s="185"/>
      <c r="C206" s="185"/>
      <c r="D206" s="185"/>
      <c r="E206" s="185"/>
      <c r="F206" s="185"/>
      <c r="G206" s="185"/>
      <c r="H206" s="186"/>
      <c r="I206" s="39"/>
      <c r="J206" s="39"/>
      <c r="K206" s="39"/>
      <c r="L206" s="39"/>
      <c r="M206" s="39"/>
      <c r="N206" s="39"/>
      <c r="O206" s="39"/>
      <c r="P206" s="39"/>
      <c r="Q206" s="39"/>
      <c r="R206" s="39"/>
    </row>
    <row r="207" spans="1:18" s="40" customFormat="1" x14ac:dyDescent="0.3">
      <c r="A207" s="184" t="s">
        <v>198</v>
      </c>
      <c r="B207" s="185"/>
      <c r="C207" s="185"/>
      <c r="D207" s="185"/>
      <c r="E207" s="185"/>
      <c r="F207" s="185"/>
      <c r="G207" s="185"/>
      <c r="H207" s="186"/>
      <c r="I207" s="39"/>
      <c r="J207" s="39"/>
      <c r="K207" s="39"/>
      <c r="L207" s="39"/>
      <c r="M207" s="39"/>
      <c r="N207" s="39"/>
      <c r="O207" s="39"/>
      <c r="P207" s="39"/>
      <c r="Q207" s="39"/>
    </row>
    <row r="208" spans="1:18" s="44" customFormat="1" x14ac:dyDescent="0.3">
      <c r="A208" s="113" t="s">
        <v>199</v>
      </c>
      <c r="B208" s="113"/>
      <c r="C208" s="113"/>
      <c r="D208" s="113"/>
      <c r="E208" s="113"/>
      <c r="F208" s="113"/>
      <c r="G208" s="113"/>
      <c r="H208" s="113"/>
      <c r="I208" s="45"/>
      <c r="J208" s="45">
        <v>22</v>
      </c>
      <c r="K208" s="45"/>
      <c r="L208" s="45"/>
      <c r="M208" s="45"/>
      <c r="N208" s="43"/>
      <c r="O208" s="43"/>
      <c r="P208" s="43"/>
      <c r="Q208" s="43"/>
      <c r="R208" s="43"/>
    </row>
    <row r="209" spans="1:18" s="44" customFormat="1" ht="25.5" customHeight="1" x14ac:dyDescent="0.3">
      <c r="A209" s="61">
        <v>1</v>
      </c>
      <c r="B209" s="61"/>
      <c r="C209" s="13" t="s">
        <v>187</v>
      </c>
      <c r="D209" s="13">
        <f>(187.55+6.45)*10.764</f>
        <v>2088.2159999999999</v>
      </c>
      <c r="E209" s="13">
        <v>0</v>
      </c>
      <c r="F209" s="13">
        <f>D209*(($F$182)+1)+E209</f>
        <v>3236.7347999999997</v>
      </c>
      <c r="G209" s="119" t="str">
        <f>A208</f>
        <v>1st, 2nd, 4th, 5th, 7th to 10th, 12th to 15th, 17th to 20th, 22nd to 25th, 27th to 28th Floor</v>
      </c>
      <c r="H209" s="120"/>
      <c r="I209" s="45"/>
      <c r="J209" s="45"/>
      <c r="K209" s="45"/>
      <c r="L209" s="45"/>
      <c r="M209" s="45"/>
      <c r="N209" s="43"/>
      <c r="O209" s="43"/>
      <c r="P209" s="45"/>
      <c r="Q209" s="43"/>
      <c r="R209" s="43"/>
    </row>
    <row r="210" spans="1:18" s="44" customFormat="1" ht="24.75" customHeight="1" x14ac:dyDescent="0.3">
      <c r="A210" s="61">
        <f>A209+1</f>
        <v>2</v>
      </c>
      <c r="B210" s="61"/>
      <c r="C210" s="13" t="s">
        <v>201</v>
      </c>
      <c r="D210" s="13">
        <f>(229.45+5.98)*10.764</f>
        <v>2534.1685199999997</v>
      </c>
      <c r="E210" s="13">
        <v>0</v>
      </c>
      <c r="F210" s="13">
        <f>D210*(($F$182)+1)+E210</f>
        <v>3927.9612059999995</v>
      </c>
      <c r="G210" s="121"/>
      <c r="H210" s="122"/>
      <c r="I210" s="45"/>
      <c r="J210" s="45"/>
      <c r="K210" s="45"/>
      <c r="L210" s="45"/>
      <c r="M210" s="45"/>
      <c r="N210" s="43"/>
      <c r="O210" s="43"/>
      <c r="P210" s="45"/>
      <c r="Q210" s="43"/>
      <c r="R210" s="43"/>
    </row>
    <row r="211" spans="1:18" s="44" customFormat="1" ht="15.75" customHeight="1" x14ac:dyDescent="0.3">
      <c r="A211" s="116" t="s">
        <v>200</v>
      </c>
      <c r="B211" s="117"/>
      <c r="C211" s="117"/>
      <c r="D211" s="117"/>
      <c r="E211" s="117"/>
      <c r="F211" s="117"/>
      <c r="G211" s="117"/>
      <c r="H211" s="118"/>
      <c r="I211" s="45"/>
      <c r="J211" s="45">
        <v>6</v>
      </c>
      <c r="K211" s="47">
        <v>10.763999999999999</v>
      </c>
      <c r="L211" s="45"/>
      <c r="M211" s="45"/>
      <c r="N211" s="43"/>
      <c r="O211" s="43"/>
      <c r="P211" s="43"/>
      <c r="Q211" s="43"/>
      <c r="R211" s="43"/>
    </row>
    <row r="212" spans="1:18" s="44" customFormat="1" ht="15.75" customHeight="1" x14ac:dyDescent="0.3">
      <c r="A212" s="102">
        <v>1</v>
      </c>
      <c r="B212" s="103"/>
      <c r="C212" s="13" t="s">
        <v>188</v>
      </c>
      <c r="D212" s="13">
        <f>(165.89+6.45)*10.764</f>
        <v>1855.0677599999997</v>
      </c>
      <c r="E212" s="13">
        <v>0</v>
      </c>
      <c r="F212" s="13">
        <f t="shared" ref="F212:F213" si="14">D212*(($F$182)+1)+E212</f>
        <v>2875.3550279999995</v>
      </c>
      <c r="G212" s="119" t="str">
        <f>A211</f>
        <v>3rd, 6th, 11th, 16th, 21st &amp; 26th Floor (Part Refuge Area)</v>
      </c>
      <c r="H212" s="120"/>
      <c r="I212" s="45"/>
      <c r="J212" s="45">
        <f>22+6</f>
        <v>28</v>
      </c>
      <c r="K212" s="45"/>
      <c r="L212" s="45"/>
      <c r="M212" s="45"/>
      <c r="N212" s="43"/>
      <c r="O212" s="43"/>
      <c r="P212" s="43" t="str">
        <f t="shared" ref="P212:P213" ca="1" si="15">Q212&amp;""&amp;",..,"&amp;""&amp;R212</f>
        <v>3601,..,2601</v>
      </c>
      <c r="Q212" s="43">
        <f ca="1">(SUMPRODUCT(MID(0&amp;(LEFT(A211,SUM(LEN(A211)-LEN(SUBSTITUTE(A211,{"0","1","2","3"},""))))), LARGE(INDEX(ISNUMBER(--MID((LEFT(A211,SUM(LEN(A211)-LEN(SUBSTITUTE(A211,{"0","1","2","3"},""))))), ROW(INDIRECT("1:"&amp;LEN((LEFT(A211,SUM(LEN(A211)-LEN(SUBSTITUTE(A211,{"0","1","2","3"},"")))))))), 1)) * ROW(INDIRECT("1:"&amp;LEN((LEFT(A211,SUM(LEN(A211)-LEN(SUBSTITUTE(A211,{"0","1","2","3"},"")))))))), 0), ROW(INDIRECT("1:"&amp;LEN((LEFT(A211,SUM(LEN(A211)-LEN(SUBSTITUTE(A211,{"0","1","2","3"},"")))))))))+1, 1) * 10^ROW(INDIRECT("1:"&amp;LEN((LEFT(A211,SUM(LEN(A211)-LEN(SUBSTITUTE(A211,{"0","1","2","3"},""))))))))/10))*100+1</f>
        <v>3601</v>
      </c>
      <c r="R212" s="43">
        <f ca="1">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",LEN(A211))),LEN(A211)))))))/10))*100+1</f>
        <v>2601</v>
      </c>
    </row>
    <row r="213" spans="1:18" s="44" customFormat="1" ht="15.75" customHeight="1" x14ac:dyDescent="0.3">
      <c r="A213" s="102">
        <v>2</v>
      </c>
      <c r="B213" s="103"/>
      <c r="C213" s="13" t="s">
        <v>201</v>
      </c>
      <c r="D213" s="13">
        <f>(229.45+5.98)*10.764</f>
        <v>2534.1685199999997</v>
      </c>
      <c r="E213" s="13">
        <v>0</v>
      </c>
      <c r="F213" s="13">
        <f t="shared" si="14"/>
        <v>3927.9612059999995</v>
      </c>
      <c r="G213" s="121"/>
      <c r="H213" s="122"/>
      <c r="I213" s="45"/>
      <c r="J213" s="45"/>
      <c r="K213" s="45"/>
      <c r="L213" s="45"/>
      <c r="M213" s="45"/>
      <c r="N213" s="43"/>
      <c r="O213" s="43"/>
      <c r="P213" s="43" t="str">
        <f t="shared" ca="1" si="15"/>
        <v>3602,..,2602</v>
      </c>
      <c r="Q213" s="43">
        <f t="shared" ref="Q213:R213" ca="1" si="16">Q212+1</f>
        <v>3602</v>
      </c>
      <c r="R213" s="43">
        <f t="shared" ca="1" si="16"/>
        <v>2602</v>
      </c>
    </row>
    <row r="214" spans="1:18" s="42" customFormat="1" x14ac:dyDescent="0.3">
      <c r="A214" s="115" t="s">
        <v>72</v>
      </c>
      <c r="B214" s="115"/>
      <c r="C214" s="115"/>
      <c r="D214" s="115"/>
      <c r="E214" s="115"/>
      <c r="F214" s="115"/>
      <c r="G214" s="115"/>
      <c r="H214" s="115"/>
      <c r="I214" s="41"/>
      <c r="J214" s="41"/>
      <c r="K214" s="41"/>
      <c r="L214" s="41"/>
      <c r="M214" s="41"/>
      <c r="N214" s="41"/>
      <c r="O214" s="41"/>
      <c r="P214" s="41"/>
      <c r="Q214" s="41"/>
      <c r="R214" s="41"/>
    </row>
    <row r="215" spans="1:18" s="42" customFormat="1" ht="54.6" customHeight="1" x14ac:dyDescent="0.3">
      <c r="A215" s="16">
        <v>1</v>
      </c>
      <c r="B215" s="146" t="s">
        <v>227</v>
      </c>
      <c r="C215" s="147"/>
      <c r="D215" s="147"/>
      <c r="E215" s="147"/>
      <c r="F215" s="147"/>
      <c r="G215" s="147"/>
      <c r="H215" s="148"/>
      <c r="I215" s="41"/>
      <c r="J215" s="41"/>
      <c r="K215" s="41"/>
      <c r="L215" s="41"/>
      <c r="M215" s="41"/>
      <c r="N215" s="41"/>
      <c r="O215" s="41"/>
      <c r="P215" s="41"/>
      <c r="Q215" s="41"/>
      <c r="R215" s="41"/>
    </row>
    <row r="216" spans="1:18" s="42" customFormat="1" x14ac:dyDescent="0.3">
      <c r="A216" s="16">
        <f t="shared" ref="A216:A223" si="17">A215+1</f>
        <v>2</v>
      </c>
      <c r="B216" s="104" t="s">
        <v>118</v>
      </c>
      <c r="C216" s="105"/>
      <c r="D216" s="105"/>
      <c r="E216" s="105"/>
      <c r="F216" s="105"/>
      <c r="G216" s="105"/>
      <c r="H216" s="106"/>
      <c r="I216" s="41"/>
      <c r="J216" s="41"/>
      <c r="K216" s="41"/>
      <c r="L216" s="41"/>
      <c r="M216" s="41"/>
      <c r="N216" s="41"/>
      <c r="O216" s="41"/>
      <c r="P216" s="41"/>
      <c r="Q216" s="41"/>
      <c r="R216" s="41"/>
    </row>
    <row r="217" spans="1:18" s="42" customFormat="1" x14ac:dyDescent="0.3">
      <c r="A217" s="16">
        <f t="shared" si="17"/>
        <v>3</v>
      </c>
      <c r="B217" s="104" t="s">
        <v>119</v>
      </c>
      <c r="C217" s="105"/>
      <c r="D217" s="105"/>
      <c r="E217" s="105"/>
      <c r="F217" s="105"/>
      <c r="G217" s="105"/>
      <c r="H217" s="106"/>
      <c r="I217" s="41"/>
      <c r="J217" s="41"/>
      <c r="K217" s="41"/>
      <c r="L217" s="41"/>
      <c r="M217" s="41"/>
      <c r="N217" s="41"/>
      <c r="O217" s="41"/>
      <c r="P217" s="41"/>
      <c r="Q217" s="41"/>
      <c r="R217" s="41"/>
    </row>
    <row r="218" spans="1:18" s="42" customFormat="1" x14ac:dyDescent="0.3">
      <c r="A218" s="16">
        <f t="shared" si="17"/>
        <v>4</v>
      </c>
      <c r="B218" s="55" t="s">
        <v>171</v>
      </c>
      <c r="C218" s="56"/>
      <c r="D218" s="56"/>
      <c r="E218" s="56"/>
      <c r="F218" s="56"/>
      <c r="G218" s="56"/>
      <c r="H218" s="57"/>
      <c r="I218" s="41"/>
      <c r="J218" s="41"/>
      <c r="K218" s="41"/>
      <c r="L218" s="41"/>
      <c r="M218" s="41"/>
      <c r="N218" s="41"/>
      <c r="O218" s="41"/>
      <c r="P218" s="41"/>
      <c r="Q218" s="41"/>
      <c r="R218" s="41"/>
    </row>
    <row r="219" spans="1:18" s="42" customFormat="1" x14ac:dyDescent="0.3">
      <c r="A219" s="16">
        <f t="shared" si="17"/>
        <v>5</v>
      </c>
      <c r="B219" s="55" t="s">
        <v>207</v>
      </c>
      <c r="C219" s="56"/>
      <c r="D219" s="56"/>
      <c r="E219" s="56"/>
      <c r="F219" s="56"/>
      <c r="G219" s="56"/>
      <c r="H219" s="57"/>
      <c r="I219" s="41"/>
      <c r="J219" s="41"/>
      <c r="K219" s="41"/>
      <c r="L219" s="41"/>
      <c r="M219" s="41"/>
      <c r="N219" s="41"/>
      <c r="O219" s="41"/>
      <c r="P219" s="41"/>
      <c r="Q219" s="41"/>
      <c r="R219" s="41"/>
    </row>
    <row r="220" spans="1:18" s="42" customFormat="1" x14ac:dyDescent="0.3">
      <c r="A220" s="16">
        <f t="shared" si="17"/>
        <v>6</v>
      </c>
      <c r="B220" s="55" t="s">
        <v>219</v>
      </c>
      <c r="C220" s="56"/>
      <c r="D220" s="56"/>
      <c r="E220" s="56"/>
      <c r="F220" s="56"/>
      <c r="G220" s="56"/>
      <c r="H220" s="57"/>
      <c r="I220" s="41"/>
      <c r="J220" s="41"/>
      <c r="K220" s="41"/>
      <c r="L220" s="41"/>
      <c r="M220" s="41"/>
      <c r="N220" s="41"/>
      <c r="O220" s="41"/>
      <c r="P220" s="41"/>
      <c r="Q220" s="41"/>
      <c r="R220" s="41"/>
    </row>
    <row r="221" spans="1:18" s="42" customFormat="1" hidden="1" x14ac:dyDescent="0.3">
      <c r="A221" s="16">
        <f t="shared" si="17"/>
        <v>7</v>
      </c>
      <c r="B221" s="55" t="s">
        <v>221</v>
      </c>
      <c r="C221" s="56"/>
      <c r="D221" s="56"/>
      <c r="E221" s="56"/>
      <c r="F221" s="56"/>
      <c r="G221" s="56"/>
      <c r="H221" s="57"/>
      <c r="I221" s="41"/>
      <c r="J221" s="41"/>
      <c r="K221" s="41"/>
      <c r="L221" s="41"/>
      <c r="M221" s="41"/>
      <c r="N221" s="41"/>
      <c r="O221" s="41"/>
      <c r="P221" s="41"/>
      <c r="Q221" s="41"/>
      <c r="R221" s="41"/>
    </row>
    <row r="222" spans="1:18" s="42" customFormat="1" ht="31.5" customHeight="1" x14ac:dyDescent="0.3">
      <c r="A222" s="16">
        <v>7</v>
      </c>
      <c r="B222" s="55" t="s">
        <v>220</v>
      </c>
      <c r="C222" s="56"/>
      <c r="D222" s="56"/>
      <c r="E222" s="56"/>
      <c r="F222" s="56"/>
      <c r="G222" s="56"/>
      <c r="H222" s="57"/>
      <c r="I222" s="41"/>
      <c r="J222" s="41"/>
      <c r="K222" s="41"/>
      <c r="L222" s="41"/>
      <c r="M222" s="41"/>
      <c r="N222" s="41"/>
      <c r="O222" s="41"/>
      <c r="P222" s="41"/>
      <c r="Q222" s="41"/>
      <c r="R222" s="41"/>
    </row>
    <row r="223" spans="1:18" s="42" customFormat="1" x14ac:dyDescent="0.3">
      <c r="A223" s="16">
        <f t="shared" si="17"/>
        <v>8</v>
      </c>
      <c r="B223" s="55" t="s">
        <v>225</v>
      </c>
      <c r="C223" s="56"/>
      <c r="D223" s="56"/>
      <c r="E223" s="56"/>
      <c r="F223" s="56"/>
      <c r="G223" s="56"/>
      <c r="H223" s="57"/>
      <c r="I223" s="41"/>
      <c r="J223" s="41"/>
      <c r="K223" s="41"/>
      <c r="L223" s="41"/>
      <c r="M223" s="41"/>
      <c r="N223" s="41"/>
      <c r="O223" s="41"/>
      <c r="P223" s="41"/>
      <c r="Q223" s="41"/>
      <c r="R223" s="41"/>
    </row>
    <row r="224" spans="1:18" x14ac:dyDescent="0.3">
      <c r="A224" s="89" t="s">
        <v>66</v>
      </c>
      <c r="B224" s="89"/>
      <c r="C224" s="89"/>
      <c r="D224" s="89"/>
      <c r="E224" s="89"/>
      <c r="F224" s="89"/>
      <c r="G224" s="89"/>
      <c r="H224" s="89"/>
    </row>
    <row r="225" spans="1:8" x14ac:dyDescent="0.3">
      <c r="A225" s="59" t="s">
        <v>144</v>
      </c>
      <c r="B225" s="59"/>
      <c r="C225" s="59"/>
      <c r="D225" s="59"/>
      <c r="E225" s="59"/>
      <c r="F225" s="59"/>
      <c r="G225" s="59"/>
      <c r="H225" s="59"/>
    </row>
    <row r="226" spans="1:8" ht="15.75" customHeight="1" x14ac:dyDescent="0.3">
      <c r="A226" s="60" t="s">
        <v>67</v>
      </c>
      <c r="B226" s="60"/>
      <c r="C226" s="60"/>
      <c r="D226" s="60"/>
      <c r="E226" s="60"/>
      <c r="F226" s="60"/>
      <c r="G226" s="60"/>
      <c r="H226" s="60"/>
    </row>
    <row r="227" spans="1:8" x14ac:dyDescent="0.3">
      <c r="A227" s="59" t="s">
        <v>68</v>
      </c>
      <c r="B227" s="59"/>
      <c r="C227" s="59"/>
      <c r="D227" s="59"/>
      <c r="E227" s="59"/>
      <c r="F227" s="59"/>
      <c r="G227" s="59"/>
      <c r="H227" s="59"/>
    </row>
    <row r="228" spans="1:8" x14ac:dyDescent="0.3">
      <c r="A228" s="59" t="s">
        <v>69</v>
      </c>
      <c r="B228" s="59"/>
      <c r="C228" s="59"/>
      <c r="D228" s="59"/>
      <c r="E228" s="59"/>
      <c r="F228" s="59"/>
      <c r="G228" s="59"/>
      <c r="H228" s="59"/>
    </row>
    <row r="229" spans="1:8" x14ac:dyDescent="0.3">
      <c r="A229" s="110" t="s">
        <v>81</v>
      </c>
      <c r="B229" s="110"/>
      <c r="C229" s="110" t="s">
        <v>223</v>
      </c>
      <c r="D229" s="110"/>
      <c r="E229" s="110" t="s">
        <v>110</v>
      </c>
      <c r="F229" s="110"/>
      <c r="G229" s="110" t="s">
        <v>226</v>
      </c>
      <c r="H229" s="110"/>
    </row>
    <row r="230" spans="1:8" x14ac:dyDescent="0.3">
      <c r="A230" s="109" t="s">
        <v>83</v>
      </c>
      <c r="B230" s="109"/>
      <c r="C230" s="109"/>
      <c r="D230" s="109"/>
      <c r="E230" s="109"/>
      <c r="F230" s="109"/>
      <c r="G230" s="109"/>
      <c r="H230" s="109"/>
    </row>
    <row r="231" spans="1:8" x14ac:dyDescent="0.3">
      <c r="A231" s="109"/>
      <c r="B231" s="109"/>
      <c r="C231" s="109"/>
      <c r="D231" s="109"/>
      <c r="E231" s="109"/>
      <c r="F231" s="109"/>
      <c r="G231" s="109"/>
      <c r="H231" s="109"/>
    </row>
    <row r="232" spans="1:8" x14ac:dyDescent="0.3">
      <c r="A232" s="109"/>
      <c r="B232" s="109"/>
      <c r="C232" s="109"/>
      <c r="D232" s="109"/>
      <c r="E232" s="109"/>
      <c r="F232" s="109"/>
      <c r="G232" s="109"/>
      <c r="H232" s="109"/>
    </row>
    <row r="233" spans="1:8" x14ac:dyDescent="0.3">
      <c r="A233" s="109"/>
      <c r="B233" s="109"/>
      <c r="C233" s="109"/>
      <c r="D233" s="109"/>
      <c r="E233" s="109"/>
      <c r="F233" s="109"/>
      <c r="G233" s="109"/>
      <c r="H233" s="109"/>
    </row>
    <row r="234" spans="1:8" x14ac:dyDescent="0.3">
      <c r="A234" s="48" t="s">
        <v>70</v>
      </c>
      <c r="B234" s="49"/>
      <c r="C234" s="49"/>
      <c r="D234" s="48" t="str">
        <f>E8</f>
        <v>Sheth Avalon - Phase 1 &amp; 2</v>
      </c>
      <c r="F234" s="49"/>
      <c r="G234" s="49"/>
      <c r="H234" s="49"/>
    </row>
    <row r="235" spans="1:8" x14ac:dyDescent="0.3">
      <c r="A235" s="49"/>
      <c r="B235" s="49"/>
      <c r="C235" s="49"/>
      <c r="D235" s="49"/>
      <c r="E235" s="49"/>
      <c r="F235" s="49"/>
      <c r="G235" s="49"/>
      <c r="H235" s="49"/>
    </row>
    <row r="236" spans="1:8" x14ac:dyDescent="0.3">
      <c r="A236" s="49"/>
      <c r="B236" s="49"/>
      <c r="C236" s="49"/>
      <c r="D236" s="49"/>
      <c r="E236" s="49"/>
      <c r="F236" s="49"/>
      <c r="G236" s="49"/>
      <c r="H236" s="49"/>
    </row>
    <row r="237" spans="1:8" ht="15" customHeight="1" x14ac:dyDescent="0.3"/>
    <row r="278" spans="1:1" x14ac:dyDescent="0.3">
      <c r="A278" s="51" t="s">
        <v>71</v>
      </c>
    </row>
  </sheetData>
  <mergeCells count="397">
    <mergeCell ref="I61:M61"/>
    <mergeCell ref="G154:H154"/>
    <mergeCell ref="A158:B158"/>
    <mergeCell ref="C158:D158"/>
    <mergeCell ref="E158:F158"/>
    <mergeCell ref="A207:H207"/>
    <mergeCell ref="A208:H208"/>
    <mergeCell ref="A209:B209"/>
    <mergeCell ref="A210:B210"/>
    <mergeCell ref="A173:H173"/>
    <mergeCell ref="A174:H174"/>
    <mergeCell ref="A175:H175"/>
    <mergeCell ref="A176:B176"/>
    <mergeCell ref="G176:H176"/>
    <mergeCell ref="A177:B177"/>
    <mergeCell ref="G177:H177"/>
    <mergeCell ref="A178:B178"/>
    <mergeCell ref="G178:H178"/>
    <mergeCell ref="G85:H94"/>
    <mergeCell ref="A86:B86"/>
    <mergeCell ref="A87:B87"/>
    <mergeCell ref="A88:B88"/>
    <mergeCell ref="A89:B89"/>
    <mergeCell ref="A90:B90"/>
    <mergeCell ref="A211:H211"/>
    <mergeCell ref="G209:H210"/>
    <mergeCell ref="G202:H203"/>
    <mergeCell ref="A205:H205"/>
    <mergeCell ref="A206:H206"/>
    <mergeCell ref="A179:B179"/>
    <mergeCell ref="G179:H179"/>
    <mergeCell ref="A193:H193"/>
    <mergeCell ref="A194:H194"/>
    <mergeCell ref="A195:H195"/>
    <mergeCell ref="A198:H198"/>
    <mergeCell ref="A199:B199"/>
    <mergeCell ref="A186:H186"/>
    <mergeCell ref="A180:H180"/>
    <mergeCell ref="A185:H185"/>
    <mergeCell ref="A189:B189"/>
    <mergeCell ref="A183:H183"/>
    <mergeCell ref="G199:H200"/>
    <mergeCell ref="A200:B200"/>
    <mergeCell ref="A181:A182"/>
    <mergeCell ref="A184:H184"/>
    <mergeCell ref="G191:H192"/>
    <mergeCell ref="B220:H220"/>
    <mergeCell ref="C36:H36"/>
    <mergeCell ref="C50:E50"/>
    <mergeCell ref="G50:H50"/>
    <mergeCell ref="C51:E51"/>
    <mergeCell ref="G51:H51"/>
    <mergeCell ref="C52:E52"/>
    <mergeCell ref="G52:H52"/>
    <mergeCell ref="A49:B52"/>
    <mergeCell ref="A212:B212"/>
    <mergeCell ref="A213:B213"/>
    <mergeCell ref="A153:B153"/>
    <mergeCell ref="C153:D153"/>
    <mergeCell ref="E153:F153"/>
    <mergeCell ref="G153:H153"/>
    <mergeCell ref="A154:B154"/>
    <mergeCell ref="C154:D154"/>
    <mergeCell ref="E154:F154"/>
    <mergeCell ref="A201:H201"/>
    <mergeCell ref="A202:B202"/>
    <mergeCell ref="A203:B203"/>
    <mergeCell ref="A196:H196"/>
    <mergeCell ref="A204:H204"/>
    <mergeCell ref="A197:H197"/>
    <mergeCell ref="A91:B91"/>
    <mergeCell ref="A92:B92"/>
    <mergeCell ref="A93:B93"/>
    <mergeCell ref="A94:B94"/>
    <mergeCell ref="A85:B85"/>
    <mergeCell ref="E85:F94"/>
    <mergeCell ref="D59:H59"/>
    <mergeCell ref="A57:C59"/>
    <mergeCell ref="A81:B81"/>
    <mergeCell ref="C81:H81"/>
    <mergeCell ref="A83:B83"/>
    <mergeCell ref="C83:H83"/>
    <mergeCell ref="A84:B84"/>
    <mergeCell ref="E84:F84"/>
    <mergeCell ref="G84:H84"/>
    <mergeCell ref="A78:B78"/>
    <mergeCell ref="A60:C60"/>
    <mergeCell ref="A61:C61"/>
    <mergeCell ref="D60:H60"/>
    <mergeCell ref="E71:F80"/>
    <mergeCell ref="G71:H80"/>
    <mergeCell ref="A79:B79"/>
    <mergeCell ref="A80:B80"/>
    <mergeCell ref="D61:H61"/>
    <mergeCell ref="D63:H63"/>
    <mergeCell ref="A64:C64"/>
    <mergeCell ref="D64:H64"/>
    <mergeCell ref="A62:C62"/>
    <mergeCell ref="D62:H62"/>
    <mergeCell ref="A72:B72"/>
    <mergeCell ref="A120:B120"/>
    <mergeCell ref="A97:B97"/>
    <mergeCell ref="C97:H97"/>
    <mergeCell ref="A98:B98"/>
    <mergeCell ref="E98:F98"/>
    <mergeCell ref="G98:H98"/>
    <mergeCell ref="A77:B77"/>
    <mergeCell ref="A70:B70"/>
    <mergeCell ref="A73:B73"/>
    <mergeCell ref="A65:C65"/>
    <mergeCell ref="D65:H65"/>
    <mergeCell ref="A71:B71"/>
    <mergeCell ref="G70:H70"/>
    <mergeCell ref="A69:B69"/>
    <mergeCell ref="A67:B67"/>
    <mergeCell ref="C67:H67"/>
    <mergeCell ref="A75:B75"/>
    <mergeCell ref="C69:H69"/>
    <mergeCell ref="F142:H142"/>
    <mergeCell ref="A143:E143"/>
    <mergeCell ref="F139:H139"/>
    <mergeCell ref="A113:B113"/>
    <mergeCell ref="A114:B114"/>
    <mergeCell ref="A115:B115"/>
    <mergeCell ref="A117:B117"/>
    <mergeCell ref="A118:B118"/>
    <mergeCell ref="C120:H120"/>
    <mergeCell ref="A122:B122"/>
    <mergeCell ref="C122:H122"/>
    <mergeCell ref="A125:B125"/>
    <mergeCell ref="E125:F125"/>
    <mergeCell ref="G125:H125"/>
    <mergeCell ref="A126:B126"/>
    <mergeCell ref="E126:F135"/>
    <mergeCell ref="G123:H124"/>
    <mergeCell ref="A132:B132"/>
    <mergeCell ref="A133:B133"/>
    <mergeCell ref="A134:B134"/>
    <mergeCell ref="A135:B135"/>
    <mergeCell ref="A140:E140"/>
    <mergeCell ref="F143:H143"/>
    <mergeCell ref="A137:E137"/>
    <mergeCell ref="B215:H215"/>
    <mergeCell ref="B216:H216"/>
    <mergeCell ref="A106:B106"/>
    <mergeCell ref="A107:B107"/>
    <mergeCell ref="A108:B108"/>
    <mergeCell ref="A109:B109"/>
    <mergeCell ref="E109:F109"/>
    <mergeCell ref="G109:H109"/>
    <mergeCell ref="A110:B110"/>
    <mergeCell ref="E110:F119"/>
    <mergeCell ref="G110:H119"/>
    <mergeCell ref="A111:B111"/>
    <mergeCell ref="A112:B112"/>
    <mergeCell ref="G99:H108"/>
    <mergeCell ref="A100:B100"/>
    <mergeCell ref="A101:B101"/>
    <mergeCell ref="A102:B102"/>
    <mergeCell ref="F146:H146"/>
    <mergeCell ref="C157:D157"/>
    <mergeCell ref="E157:F157"/>
    <mergeCell ref="A123:B124"/>
    <mergeCell ref="A142:E142"/>
    <mergeCell ref="A145:E145"/>
    <mergeCell ref="A144:E144"/>
    <mergeCell ref="A167:H167"/>
    <mergeCell ref="E163:E164"/>
    <mergeCell ref="G163:H164"/>
    <mergeCell ref="C156:D156"/>
    <mergeCell ref="G156:H156"/>
    <mergeCell ref="A165:H165"/>
    <mergeCell ref="A166:H166"/>
    <mergeCell ref="D163:D164"/>
    <mergeCell ref="G158:H158"/>
    <mergeCell ref="A159:B159"/>
    <mergeCell ref="C159:D159"/>
    <mergeCell ref="E159:F159"/>
    <mergeCell ref="G159:H159"/>
    <mergeCell ref="A160:B160"/>
    <mergeCell ref="C160:D160"/>
    <mergeCell ref="E160:F160"/>
    <mergeCell ref="G160:H160"/>
    <mergeCell ref="G157:H157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171:B171"/>
    <mergeCell ref="A172:B172"/>
    <mergeCell ref="G170:H170"/>
    <mergeCell ref="G168:H168"/>
    <mergeCell ref="G169:H169"/>
    <mergeCell ref="G172:H172"/>
    <mergeCell ref="G171:H171"/>
    <mergeCell ref="A99:B99"/>
    <mergeCell ref="E99:F108"/>
    <mergeCell ref="F138:H138"/>
    <mergeCell ref="G126:H135"/>
    <mergeCell ref="A127:B127"/>
    <mergeCell ref="A128:B128"/>
    <mergeCell ref="C123:D124"/>
    <mergeCell ref="E123:F124"/>
    <mergeCell ref="A138:E138"/>
    <mergeCell ref="A147:E147"/>
    <mergeCell ref="A139:E139"/>
    <mergeCell ref="A141:E141"/>
    <mergeCell ref="F141:H141"/>
    <mergeCell ref="F140:H140"/>
    <mergeCell ref="A129:B129"/>
    <mergeCell ref="A130:B130"/>
    <mergeCell ref="A131:B131"/>
    <mergeCell ref="A230:H233"/>
    <mergeCell ref="A229:B229"/>
    <mergeCell ref="E229:F229"/>
    <mergeCell ref="C229:D229"/>
    <mergeCell ref="G229:H229"/>
    <mergeCell ref="A150:H150"/>
    <mergeCell ref="A148:E148"/>
    <mergeCell ref="F148:H148"/>
    <mergeCell ref="A149:E149"/>
    <mergeCell ref="F149:H149"/>
    <mergeCell ref="A187:H187"/>
    <mergeCell ref="A157:B157"/>
    <mergeCell ref="A152:B152"/>
    <mergeCell ref="A227:H227"/>
    <mergeCell ref="A155:H155"/>
    <mergeCell ref="A228:H228"/>
    <mergeCell ref="A214:H214"/>
    <mergeCell ref="C163:C164"/>
    <mergeCell ref="B181:B182"/>
    <mergeCell ref="A190:H190"/>
    <mergeCell ref="A168:B168"/>
    <mergeCell ref="A169:B169"/>
    <mergeCell ref="G212:H213"/>
    <mergeCell ref="G188:H189"/>
    <mergeCell ref="A63:C63"/>
    <mergeCell ref="A225:H225"/>
    <mergeCell ref="E156:F156"/>
    <mergeCell ref="E151:F151"/>
    <mergeCell ref="A161:H161"/>
    <mergeCell ref="A151:B151"/>
    <mergeCell ref="F144:H144"/>
    <mergeCell ref="C151:D151"/>
    <mergeCell ref="A191:B191"/>
    <mergeCell ref="B217:H217"/>
    <mergeCell ref="B218:H218"/>
    <mergeCell ref="F147:H147"/>
    <mergeCell ref="F145:H145"/>
    <mergeCell ref="A192:B192"/>
    <mergeCell ref="A162:H162"/>
    <mergeCell ref="G151:H151"/>
    <mergeCell ref="A146:E146"/>
    <mergeCell ref="C152:D152"/>
    <mergeCell ref="E152:F152"/>
    <mergeCell ref="B163:B164"/>
    <mergeCell ref="A163:A164"/>
    <mergeCell ref="C181:C182"/>
    <mergeCell ref="A170:B170"/>
    <mergeCell ref="A224:H224"/>
    <mergeCell ref="G45:H45"/>
    <mergeCell ref="B219:H219"/>
    <mergeCell ref="G47:H47"/>
    <mergeCell ref="D54:H54"/>
    <mergeCell ref="C47:E47"/>
    <mergeCell ref="D57:H57"/>
    <mergeCell ref="D58:H58"/>
    <mergeCell ref="C46:E46"/>
    <mergeCell ref="C49:E49"/>
    <mergeCell ref="A46:B46"/>
    <mergeCell ref="A53:H53"/>
    <mergeCell ref="A54:C54"/>
    <mergeCell ref="A55:C55"/>
    <mergeCell ref="D55:H55"/>
    <mergeCell ref="G49:H49"/>
    <mergeCell ref="C48:H48"/>
    <mergeCell ref="D56:H56"/>
    <mergeCell ref="A56:C56"/>
    <mergeCell ref="G46:H46"/>
    <mergeCell ref="A47:B48"/>
    <mergeCell ref="A74:B74"/>
    <mergeCell ref="E70:F70"/>
    <mergeCell ref="A66:C66"/>
    <mergeCell ref="D66:H66"/>
    <mergeCell ref="B221:H221"/>
    <mergeCell ref="B222:H222"/>
    <mergeCell ref="E39:H39"/>
    <mergeCell ref="A39:D39"/>
    <mergeCell ref="A226:H226"/>
    <mergeCell ref="A188:B188"/>
    <mergeCell ref="A156:B156"/>
    <mergeCell ref="D181:D182"/>
    <mergeCell ref="E181:E182"/>
    <mergeCell ref="G181:H182"/>
    <mergeCell ref="A103:B103"/>
    <mergeCell ref="A104:B104"/>
    <mergeCell ref="A105:B105"/>
    <mergeCell ref="A95:B95"/>
    <mergeCell ref="C95:H95"/>
    <mergeCell ref="A116:B116"/>
    <mergeCell ref="A76:B76"/>
    <mergeCell ref="F137:H137"/>
    <mergeCell ref="A136:H136"/>
    <mergeCell ref="G152:H152"/>
    <mergeCell ref="A119:B119"/>
    <mergeCell ref="B223:H223"/>
    <mergeCell ref="A45:B45"/>
    <mergeCell ref="C45:E45"/>
  </mergeCells>
  <dataValidations count="1">
    <dataValidation type="list" allowBlank="1" showInputMessage="1" showErrorMessage="1" sqref="G229:H229" xr:uid="{00000000-0002-0000-0000-000000000000}">
      <formula1>"Kunal Kadam,Pranita Mhatre,Shruti Fule,Pooja Kawale,Gaurav Panchal,Shruti Tathare, Hitakshi Mhatre, Sachin Sawant"</formula1>
    </dataValidation>
  </dataValidation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48" max="16383" man="1"/>
    <brk id="66" max="16383" man="1"/>
    <brk id="233" max="16383" man="1"/>
    <brk id="27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3"/>
  <sheetViews>
    <sheetView zoomScale="115" zoomScaleNormal="115" workbookViewId="0">
      <selection activeCell="C12" sqref="C12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ht="15" customHeight="1" x14ac:dyDescent="0.3"/>
    <row r="2" ht="15" customHeight="1" x14ac:dyDescent="0.3"/>
    <row r="3" ht="15" customHeight="1" x14ac:dyDescent="0.3"/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2025-09-19T09:46:10Z</cp:lastPrinted>
  <dcterms:created xsi:type="dcterms:W3CDTF">2019-07-16T09:29:46Z</dcterms:created>
  <dcterms:modified xsi:type="dcterms:W3CDTF">2025-09-19T09:46:11Z</dcterms:modified>
</cp:coreProperties>
</file>