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4C022574-E818-42EA-9A38-D9ED581E4C5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D127" i="1"/>
  <c r="D122" i="1"/>
  <c r="J119" i="1"/>
  <c r="F132" i="1" l="1"/>
  <c r="D131" i="1"/>
  <c r="F131" i="1" s="1"/>
  <c r="D130" i="1"/>
  <c r="F130" i="1" s="1"/>
  <c r="D129" i="1"/>
  <c r="F127" i="1"/>
  <c r="D126" i="1"/>
  <c r="F126" i="1" s="1"/>
  <c r="D125" i="1"/>
  <c r="F125" i="1" s="1"/>
  <c r="D124" i="1"/>
  <c r="F124" i="1" s="1"/>
  <c r="E122" i="1"/>
  <c r="D121" i="1"/>
  <c r="D120" i="1"/>
  <c r="E119" i="1"/>
  <c r="D119" i="1"/>
  <c r="A130" i="1"/>
  <c r="A131" i="1" s="1"/>
  <c r="A132" i="1" s="1"/>
  <c r="G129" i="1"/>
  <c r="F129" i="1"/>
  <c r="A125" i="1"/>
  <c r="A126" i="1" s="1"/>
  <c r="A127" i="1" s="1"/>
  <c r="A120" i="1"/>
  <c r="A121" i="1" s="1"/>
  <c r="A122" i="1" s="1"/>
  <c r="G124" i="1"/>
  <c r="I119" i="1"/>
  <c r="E117" i="1"/>
  <c r="D117" i="1"/>
  <c r="F117" i="1" s="1"/>
  <c r="D116" i="1"/>
  <c r="F116" i="1" s="1"/>
  <c r="D115" i="1"/>
  <c r="F115" i="1" s="1"/>
  <c r="G114" i="1"/>
  <c r="E114" i="1"/>
  <c r="D114" i="1"/>
  <c r="F114" i="1" s="1"/>
  <c r="A114" i="1"/>
  <c r="D108" i="1"/>
  <c r="D107" i="1"/>
  <c r="D106" i="1"/>
  <c r="D105" i="1"/>
  <c r="I39" i="1"/>
  <c r="E97" i="1" l="1"/>
  <c r="C97" i="1"/>
  <c r="E94" i="1"/>
  <c r="C94" i="1"/>
  <c r="A145" i="1"/>
  <c r="A146" i="1" s="1"/>
  <c r="A147" i="1" s="1"/>
  <c r="A163" i="1" l="1"/>
  <c r="A165" i="1" l="1"/>
  <c r="A164" i="1"/>
  <c r="A166" i="1" s="1"/>
  <c r="C61" i="1"/>
  <c r="D152" i="1" l="1"/>
  <c r="F152" i="1" s="1"/>
  <c r="D151" i="1"/>
  <c r="F151" i="1" s="1"/>
  <c r="D150" i="1"/>
  <c r="F150" i="1" s="1"/>
  <c r="G149" i="1"/>
  <c r="D149" i="1"/>
  <c r="F149" i="1" s="1"/>
  <c r="O149" i="1"/>
  <c r="P149" i="1"/>
  <c r="P150" i="1" l="1"/>
  <c r="P151" i="1" s="1"/>
  <c r="P152" i="1" s="1"/>
  <c r="O150" i="1"/>
  <c r="N149" i="1"/>
  <c r="A149" i="1" s="1"/>
  <c r="D141" i="1"/>
  <c r="F141" i="1" s="1"/>
  <c r="D140" i="1"/>
  <c r="F140" i="1" s="1"/>
  <c r="G139" i="1"/>
  <c r="D139" i="1"/>
  <c r="F139" i="1" s="1"/>
  <c r="D146" i="1"/>
  <c r="F146" i="1" s="1"/>
  <c r="D145" i="1"/>
  <c r="F145" i="1" s="1"/>
  <c r="G144" i="1"/>
  <c r="D144" i="1"/>
  <c r="D137" i="1"/>
  <c r="D136" i="1"/>
  <c r="D135" i="1"/>
  <c r="D134" i="1"/>
  <c r="F120" i="1"/>
  <c r="P144" i="1"/>
  <c r="P139" i="1"/>
  <c r="O139" i="1"/>
  <c r="O144" i="1"/>
  <c r="E98" i="1" l="1"/>
  <c r="K96" i="1" s="1"/>
  <c r="F122" i="1"/>
  <c r="F144" i="1"/>
  <c r="O151" i="1"/>
  <c r="N150" i="1"/>
  <c r="A150" i="1" s="1"/>
  <c r="P140" i="1"/>
  <c r="P141" i="1" s="1"/>
  <c r="P142" i="1" s="1"/>
  <c r="O140" i="1"/>
  <c r="N139" i="1"/>
  <c r="A139" i="1" s="1"/>
  <c r="O145" i="1"/>
  <c r="N144" i="1"/>
  <c r="P145" i="1"/>
  <c r="P146" i="1" s="1"/>
  <c r="P147" i="1" s="1"/>
  <c r="D58" i="1"/>
  <c r="C98" i="1" l="1"/>
  <c r="O152" i="1"/>
  <c r="N152" i="1" s="1"/>
  <c r="A152" i="1" s="1"/>
  <c r="N151" i="1"/>
  <c r="A151" i="1" s="1"/>
  <c r="O141" i="1"/>
  <c r="O142" i="1" s="1"/>
  <c r="N142" i="1" s="1"/>
  <c r="A142" i="1" s="1"/>
  <c r="N140" i="1"/>
  <c r="A140" i="1" s="1"/>
  <c r="O146" i="1"/>
  <c r="N145" i="1"/>
  <c r="J72" i="1"/>
  <c r="J71" i="1"/>
  <c r="H62" i="1"/>
  <c r="N146" i="1" l="1"/>
  <c r="O147" i="1"/>
  <c r="N147" i="1" s="1"/>
  <c r="N141" i="1"/>
  <c r="A141" i="1" s="1"/>
  <c r="D67" i="1"/>
  <c r="D73" i="1"/>
  <c r="J65" i="1"/>
  <c r="D74" i="1"/>
  <c r="D70" i="1"/>
  <c r="J66" i="1"/>
  <c r="J64" i="1"/>
  <c r="D69" i="1"/>
  <c r="D72" i="1"/>
  <c r="D68" i="1"/>
  <c r="J67" i="1"/>
  <c r="D71" i="1"/>
  <c r="O134" i="1"/>
  <c r="J68" i="1" l="1"/>
  <c r="J73" i="1" s="1"/>
  <c r="D65" i="1"/>
  <c r="J69" i="1"/>
  <c r="J70" i="1" s="1"/>
  <c r="A155" i="1"/>
  <c r="A156" i="1" s="1"/>
  <c r="A157" i="1" s="1"/>
  <c r="A158" i="1" s="1"/>
  <c r="A159" i="1" s="1"/>
  <c r="A160" i="1" s="1"/>
  <c r="A161" i="1" s="1"/>
  <c r="J74" i="1" l="1"/>
  <c r="C66" i="1" s="1"/>
  <c r="P134" i="1"/>
  <c r="E65" i="1" l="1"/>
  <c r="I61" i="1" s="1"/>
  <c r="C63" i="1" s="1"/>
  <c r="D66" i="1"/>
  <c r="G65" i="1"/>
  <c r="N134" i="1"/>
  <c r="D60" i="1" l="1"/>
  <c r="F75" i="1" s="1"/>
  <c r="C13" i="1" l="1"/>
  <c r="E40" i="1" l="1"/>
  <c r="E41" i="1" s="1"/>
  <c r="F137" i="1" l="1"/>
  <c r="I137" i="1" s="1"/>
  <c r="F136" i="1"/>
  <c r="I136" i="1" s="1"/>
  <c r="F135" i="1"/>
  <c r="F134" i="1"/>
  <c r="I134" i="1" s="1"/>
  <c r="F121" i="1"/>
  <c r="F119" i="1"/>
  <c r="G97" i="1" s="1"/>
  <c r="F105" i="1"/>
  <c r="G105" i="1"/>
  <c r="F106" i="1"/>
  <c r="F107" i="1"/>
  <c r="F108" i="1"/>
  <c r="E3" i="1"/>
  <c r="G94" i="1" l="1"/>
  <c r="G98" i="1"/>
  <c r="O135" i="1"/>
  <c r="J96" i="1" l="1"/>
  <c r="A134" i="1"/>
  <c r="P135" i="1"/>
  <c r="P136" i="1" s="1"/>
  <c r="P137" i="1" s="1"/>
  <c r="O136" i="1"/>
  <c r="G134" i="1"/>
  <c r="G119" i="1"/>
  <c r="E24" i="1"/>
  <c r="E22" i="1"/>
  <c r="N135" i="1" l="1"/>
  <c r="A135" i="1" s="1"/>
  <c r="N136" i="1"/>
  <c r="A136" i="1" s="1"/>
  <c r="O137" i="1"/>
  <c r="N137" i="1" s="1"/>
  <c r="A137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178" i="1" l="1"/>
  <c r="F9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C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Survey Nos.</t>
        </r>
      </text>
    </comment>
  </commentList>
</comments>
</file>

<file path=xl/sharedStrings.xml><?xml version="1.0" encoding="utf-8"?>
<sst xmlns="http://schemas.openxmlformats.org/spreadsheetml/2006/main" count="385" uniqueCount="265">
  <si>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</si>
  <si>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</si>
  <si>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</si>
  <si>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</si>
  <si>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</si>
  <si>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</si>
  <si>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</si>
  <si>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</si>
  <si>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</si>
  <si>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</si>
  <si>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</si>
  <si>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</si>
  <si>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</si>
  <si>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</si>
  <si>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</si>
  <si>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</si>
  <si>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</si>
  <si>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</si>
  <si>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</si>
  <si>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</si>
  <si>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</si>
  <si>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</si>
  <si>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</si>
  <si>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</si>
  <si>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</si>
  <si>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</si>
  <si>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</si>
  <si>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</si>
  <si>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</si>
  <si>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</si>
  <si>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</si>
  <si>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</si>
  <si>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</si>
  <si>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</si>
  <si>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</si>
  <si>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</si>
  <si>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</si>
  <si>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</si>
  <si>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</si>
  <si>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</si>
  <si>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</si>
  <si>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</si>
  <si>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</si>
  <si>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</si>
  <si>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</si>
  <si>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</si>
  <si>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</si>
  <si>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</si>
  <si>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</si>
  <si>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</si>
  <si>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</si>
  <si>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</si>
  <si>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</si>
  <si>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</si>
  <si>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</si>
  <si>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</si>
  <si>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</si>
  <si>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</si>
  <si>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</si>
  <si>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</si>
  <si>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</si>
  <si>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</si>
  <si>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</si>
  <si>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</si>
  <si>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</si>
  <si>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</si>
  <si>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</si>
  <si>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</si>
  <si>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</si>
  <si>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</si>
  <si>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</si>
  <si>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</si>
  <si>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</si>
  <si>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</si>
  <si>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</si>
  <si>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</si>
  <si>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</si>
  <si>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</si>
  <si>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</si>
  <si>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</si>
  <si>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</si>
  <si>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</si>
  <si>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</si>
  <si>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</si>
  <si>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</si>
  <si>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</si>
  <si>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</si>
  <si>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</si>
  <si>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</si>
  <si>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</si>
  <si>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</si>
  <si>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</si>
  <si>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</si>
  <si>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</si>
  <si>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</si>
  <si>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</si>
  <si>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</si>
  <si>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</si>
  <si>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</si>
  <si>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</si>
  <si>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</si>
  <si>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</si>
  <si>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</si>
  <si>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</si>
  <si>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</si>
  <si>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</si>
  <si>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</si>
  <si>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</si>
  <si>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</si>
  <si>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</si>
  <si>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</si>
  <si>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</si>
  <si>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</si>
  <si>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</si>
  <si>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</si>
  <si>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</si>
  <si>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</si>
  <si>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</si>
  <si>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</si>
  <si>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</si>
  <si>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</si>
  <si>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</si>
  <si>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</si>
  <si>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</si>
  <si>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</si>
  <si>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</si>
  <si>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</si>
  <si>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</si>
  <si>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</si>
  <si>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</si>
  <si>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</si>
  <si>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</si>
  <si>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</si>
  <si>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</si>
  <si>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</si>
  <si>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</si>
  <si>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</si>
  <si>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</si>
  <si>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</si>
  <si>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</si>
  <si>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</si>
  <si>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</si>
  <si>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</si>
  <si>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</si>
  <si>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</si>
  <si>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</si>
  <si>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</si>
  <si>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</si>
  <si>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</si>
  <si>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</si>
  <si>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</si>
  <si>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</si>
  <si>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</si>
  <si>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</si>
  <si>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</si>
  <si>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</si>
  <si>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</si>
  <si>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</si>
  <si>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</si>
  <si>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</si>
  <si>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</si>
  <si>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</si>
  <si>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</si>
  <si>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</si>
  <si>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</si>
  <si>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</si>
  <si>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</si>
  <si>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</si>
  <si>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</si>
  <si>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</si>
  <si>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</si>
  <si>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</si>
  <si>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</si>
  <si>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</si>
  <si>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</si>
  <si>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</si>
  <si>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</si>
  <si>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</si>
  <si>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</si>
  <si>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</si>
  <si>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</si>
  <si>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</si>
  <si>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</si>
  <si>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</si>
  <si>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</si>
  <si>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</si>
  <si>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</si>
  <si>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</si>
  <si>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</si>
  <si>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</si>
  <si>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M/s.Shree Krishna Construction Co.</t>
  </si>
  <si>
    <t>Shree Krishna Elegance</t>
  </si>
  <si>
    <t>9821431070/9820305014</t>
  </si>
  <si>
    <t xml:space="preserve">P99000030028
</t>
  </si>
  <si>
    <t>Sector No.</t>
  </si>
  <si>
    <t>V, Survey No.88, Hissa No.1A,1B And 2A</t>
  </si>
  <si>
    <t>Gokhiware</t>
  </si>
  <si>
    <t>Vasai</t>
  </si>
  <si>
    <t>Palghar</t>
  </si>
  <si>
    <t>As per RERA - 31/12/2025</t>
  </si>
  <si>
    <t>Madhuvan Township Area</t>
  </si>
  <si>
    <t>Imperial Splendora</t>
  </si>
  <si>
    <t>Open Plot</t>
  </si>
  <si>
    <t>Vasai East</t>
  </si>
  <si>
    <t>Ambadi Road</t>
  </si>
  <si>
    <t>A-2</t>
  </si>
  <si>
    <t>A-3</t>
  </si>
  <si>
    <t>1BHK</t>
  </si>
  <si>
    <t>1st Floor</t>
  </si>
  <si>
    <t>Sale</t>
  </si>
  <si>
    <t xml:space="preserve"> 20th Floor (Part Refuge Area)</t>
  </si>
  <si>
    <t>MHADA</t>
  </si>
  <si>
    <t>Shop</t>
  </si>
  <si>
    <t>Shops</t>
  </si>
  <si>
    <t>19th, 21st to 23rd Floor</t>
  </si>
  <si>
    <t>01 Building (Wing A)</t>
  </si>
  <si>
    <t>We considered  Saleable area  as per our calculation.</t>
  </si>
  <si>
    <t>Approved Plans, CC, Sale Plans, Cost Sheet</t>
  </si>
  <si>
    <t>Approved plan doesn't match with sale plan.</t>
  </si>
  <si>
    <t>Navnath</t>
  </si>
  <si>
    <t>Sector V - Building No.8 (Wing-A)</t>
  </si>
  <si>
    <t>Sector V - Building No.8 - A Wing</t>
  </si>
  <si>
    <t>8th, 12th &amp; 16th Floor (Part Refuge Area)</t>
  </si>
  <si>
    <t>2,00,000/-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</si>
  <si>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</si>
  <si>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</si>
  <si>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https://maps.app.goo.gl/QVutCQLqPWsfm4qq5</t>
  </si>
  <si>
    <t>On Site, we meet Miss. Revati : 9821431070.</t>
  </si>
  <si>
    <t>Since project have received CC on 23/03/2020, but still project is under construction.</t>
  </si>
  <si>
    <t xml:space="preserve">Environmental Clearance Certificate (EC) No
Valid Up for: </t>
  </si>
  <si>
    <t>Town Planning Thane</t>
  </si>
  <si>
    <t>Raigad Zilha Parishad</t>
  </si>
  <si>
    <t>Ulhasnagar Municipal Corporation</t>
  </si>
  <si>
    <t>Roha Municipal Council</t>
  </si>
  <si>
    <t>SIA/MH/MIS/50545/2019</t>
  </si>
  <si>
    <t xml:space="preserve">Survey No. 88, Hissa No. 1A, 1B &amp; 2A
Total Built Up Area = 9,48,525.52 Sq.M.
Sector V = Building No.8 = Gr/St + 1st to 23rd Floor
</t>
  </si>
  <si>
    <t>We have updated Environment Clearance Certificate (On 25/03/2025).</t>
  </si>
  <si>
    <t>2nd to 7th, 9th to 11th, 13th to 15th, 17th &amp; 18th Floor</t>
  </si>
  <si>
    <t>Refuge Area</t>
  </si>
  <si>
    <t>VVCMC/TP/RDP/VP-0329, 0815 &amp; 0509/243/2023-24</t>
  </si>
  <si>
    <t>Valid Up to: Sector V - Building No.8 - A Wing = Gr/St + 1st to 23rd Floor
Total Built Up Area = 5045.07 Sq.M.</t>
  </si>
  <si>
    <t>VVCMC/TP/AMEND/VP/0329, 0815 &amp; 0509/241/2022-23</t>
  </si>
  <si>
    <t>Sector V - Building No.8 - A Wing = Gr/St + 1st to 23rd Floor</t>
  </si>
  <si>
    <t>Ground Floor for Meter room &amp; Commercial</t>
  </si>
  <si>
    <t>A-1
(Duplex with 1st Floor)</t>
  </si>
  <si>
    <t>A-4
(Duplex with 1st Floor)</t>
  </si>
  <si>
    <t>2nd Floor for Residential</t>
  </si>
  <si>
    <t>3rd to 7th, 9th to 11th, 13th to 15th, 17th to 19th &amp; 21st to 23rd Floor</t>
  </si>
  <si>
    <t>-</t>
  </si>
  <si>
    <t>Flats</t>
  </si>
  <si>
    <t>Flats - 88, Shops - 04</t>
  </si>
  <si>
    <t>We have updated latest approved floor plans &amp; CC (On 27/03/2025).</t>
  </si>
  <si>
    <t>3.8 KM from Vasai Railway Station</t>
  </si>
  <si>
    <t>We considered Gross carpet area = Net carpet + Enclose balcony + A.P. Area.</t>
  </si>
  <si>
    <t>8th, 12th, 16th &amp; 20th Floor (Part Refuge Area @ Mid Landing of Staircase)</t>
  </si>
  <si>
    <t>1st Floor Duplex With Ground Floor</t>
  </si>
  <si>
    <t>Approved area of building (Sq.Mt)
Sector V - Building No.8 (Wing-A)</t>
  </si>
  <si>
    <t>VVCMC/TP/CC/VP/329/805/509/472/2019-20</t>
  </si>
  <si>
    <t xml:space="preserve">23/03/2020
</t>
  </si>
  <si>
    <t>Latitude &amp; Longitude :</t>
  </si>
  <si>
    <t>19.393956,72.84463</t>
  </si>
  <si>
    <t>Please provide revised latest approved layout plan.</t>
  </si>
  <si>
    <t>EC is provided for Total Built Up Area = 9,48,525.52 Sq.M. (Perticular Sevtor - V Building No. 08 (WingA) is not mentioned in the provided EC.</t>
  </si>
  <si>
    <t>Construction work is in process at the time of Visit.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</si>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</sst>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7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9" xfId="1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7" fillId="0" borderId="10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14" fontId="7" fillId="0" borderId="0" xfId="1" applyNumberFormat="1" applyFont="1"/>
    <xf numFmtId="1" fontId="7" fillId="0" borderId="0" xfId="1" applyNumberFormat="1" applyFont="1"/>
    <xf numFmtId="0" fontId="7" fillId="0" borderId="8" xfId="1" applyFont="1" applyBorder="1" applyProtection="1">
      <protection hidden="1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16" fillId="0" borderId="0" xfId="0" applyFont="1" applyProtection="1">
      <protection hidden="1"/>
    </xf>
    <xf numFmtId="0" fontId="7" fillId="0" borderId="1" xfId="1" applyFont="1" applyBorder="1" applyAlignment="1" applyProtection="1">
      <alignment horizontal="center" wrapText="1"/>
      <protection locked="0"/>
    </xf>
    <xf numFmtId="0" fontId="16" fillId="0" borderId="10" xfId="0" applyFont="1" applyBorder="1" applyProtection="1">
      <protection hidden="1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1" fontId="22" fillId="0" borderId="10" xfId="0" applyNumberFormat="1" applyFont="1" applyBorder="1"/>
    <xf numFmtId="1" fontId="22" fillId="0" borderId="10" xfId="0" applyNumberFormat="1" applyFont="1" applyBorder="1" applyAlignment="1">
      <alignment horizontal="right"/>
    </xf>
    <xf numFmtId="0" fontId="16" fillId="0" borderId="11" xfId="0" applyFont="1" applyBorder="1" applyProtection="1">
      <protection hidden="1"/>
    </xf>
    <xf numFmtId="1" fontId="22" fillId="0" borderId="12" xfId="0" applyNumberFormat="1" applyFont="1" applyBorder="1"/>
    <xf numFmtId="1" fontId="6" fillId="0" borderId="6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7" fillId="0" borderId="0" xfId="0" applyNumberFormat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1" xfId="1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6" xfId="1" applyFont="1" applyFill="1" applyBorder="1" applyAlignment="1" applyProtection="1">
      <alignment horizontal="left" vertical="top" wrapText="1"/>
      <protection locked="0"/>
    </xf>
    <xf numFmtId="0" fontId="12" fillId="2" borderId="21" xfId="1" applyFont="1" applyFill="1" applyBorder="1" applyAlignment="1" applyProtection="1">
      <alignment horizontal="left" vertical="top" wrapText="1"/>
      <protection locked="0"/>
    </xf>
    <xf numFmtId="0" fontId="12" fillId="2" borderId="7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23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72050</xdr:colOff>
      <xdr:row>241</xdr:row>
      <xdr:rowOff>113122</xdr:rowOff>
    </xdr:from>
    <xdr:to>
      <xdr:col>6</xdr:col>
      <xdr:colOff>755950</xdr:colOff>
      <xdr:row>260</xdr:row>
      <xdr:rowOff>144160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2150" y="44417072"/>
          <a:ext cx="5040000" cy="37711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76200</xdr:colOff>
      <xdr:row>221</xdr:row>
      <xdr:rowOff>88900</xdr:rowOff>
    </xdr:from>
    <xdr:to>
      <xdr:col>6</xdr:col>
      <xdr:colOff>760100</xdr:colOff>
      <xdr:row>241</xdr:row>
      <xdr:rowOff>41035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6300" y="40455850"/>
          <a:ext cx="5040000" cy="38891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154834</xdr:colOff>
      <xdr:row>250</xdr:row>
      <xdr:rowOff>85584</xdr:rowOff>
    </xdr:from>
    <xdr:to>
      <xdr:col>5</xdr:col>
      <xdr:colOff>10565</xdr:colOff>
      <xdr:row>255</xdr:row>
      <xdr:rowOff>15734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2225237">
          <a:off x="2682134" y="46161184"/>
          <a:ext cx="1665481" cy="91440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9</xdr:col>
      <xdr:colOff>335280</xdr:colOff>
      <xdr:row>178</xdr:row>
      <xdr:rowOff>45720</xdr:rowOff>
    </xdr:from>
    <xdr:to>
      <xdr:col>21</xdr:col>
      <xdr:colOff>373380</xdr:colOff>
      <xdr:row>217</xdr:row>
      <xdr:rowOff>152400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AF987F1-5B21-87CD-2271-93F091118CCB}"/>
            </a:ext>
          </a:extLst>
        </xdr:cNvPr>
        <xdr:cNvGrpSpPr/>
      </xdr:nvGrpSpPr>
      <xdr:grpSpPr>
        <a:xfrm>
          <a:off x="8229600" y="32872680"/>
          <a:ext cx="6210300" cy="7825740"/>
          <a:chOff x="13711" y="1132376"/>
          <a:chExt cx="6373252" cy="8193968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D8951407-8F91-6630-17E6-C89418DC8A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87555" y="7166344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3AA3795-15ED-0C22-AC07-C64C5B8084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8729" y="1132376"/>
            <a:ext cx="2651553" cy="35386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89FF7CFD-C416-BC9C-6699-49443EFCB3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379" y="7166344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686C858-BCDB-DF9E-3EBE-211B033DD7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5476" y="1132376"/>
            <a:ext cx="2651553" cy="35386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69E269C-4FD3-475C-F8CC-440BB75BF6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711" y="481584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40D2F9A8-DA0B-266F-3D50-6237BC182E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9627" y="4815840"/>
            <a:ext cx="2877336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5F597D7-4F1F-DFA5-ED17-A1A5B2F11D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6429" y="481584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160021</xdr:colOff>
      <xdr:row>179</xdr:row>
      <xdr:rowOff>22860</xdr:rowOff>
    </xdr:from>
    <xdr:to>
      <xdr:col>7</xdr:col>
      <xdr:colOff>655321</xdr:colOff>
      <xdr:row>219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02512DF-4D60-7C22-BAAA-95EAB2135E38}"/>
            </a:ext>
          </a:extLst>
        </xdr:cNvPr>
        <xdr:cNvGrpSpPr/>
      </xdr:nvGrpSpPr>
      <xdr:grpSpPr>
        <a:xfrm>
          <a:off x="160021" y="33047940"/>
          <a:ext cx="6339840" cy="7978140"/>
          <a:chOff x="-134218" y="175111"/>
          <a:chExt cx="6435081" cy="8296236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DFC4746D-8283-3CF4-F132-370976710FC3}"/>
              </a:ext>
            </a:extLst>
          </xdr:cNvPr>
          <xdr:cNvGrpSpPr/>
        </xdr:nvGrpSpPr>
        <xdr:grpSpPr>
          <a:xfrm>
            <a:off x="96720" y="175111"/>
            <a:ext cx="5973204" cy="3844006"/>
            <a:chOff x="335796" y="175111"/>
            <a:chExt cx="5973204" cy="3844006"/>
          </a:xfrm>
        </xdr:grpSpPr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9BB07147-A15E-2064-9D17-B62672C76D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5796" y="175112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B9E5711D-19A8-3AF3-95BC-FCE4C1FB8A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175111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294A99A-09F3-D98C-0EE5-3888C32C96E9}"/>
              </a:ext>
            </a:extLst>
          </xdr:cNvPr>
          <xdr:cNvGrpSpPr/>
        </xdr:nvGrpSpPr>
        <xdr:grpSpPr>
          <a:xfrm>
            <a:off x="-134218" y="4265231"/>
            <a:ext cx="6435081" cy="2160000"/>
            <a:chOff x="175234" y="4265231"/>
            <a:chExt cx="6435081" cy="216000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392D7929-DE2F-7A93-0C7B-E993783837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5234" y="4265231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DD33BEFC-76E3-29FC-C50C-9018738B2F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32982" y="4265231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02632E5D-5DDA-188F-4EC2-E59246CEB5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54108" y="4265231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CFB3AADB-E903-E6F4-49E0-E1EC0A6E056B}"/>
              </a:ext>
            </a:extLst>
          </xdr:cNvPr>
          <xdr:cNvGrpSpPr/>
        </xdr:nvGrpSpPr>
        <xdr:grpSpPr>
          <a:xfrm>
            <a:off x="375277" y="6671347"/>
            <a:ext cx="5416090" cy="1800000"/>
            <a:chOff x="-443670" y="6671347"/>
            <a:chExt cx="5416090" cy="18000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EB9F1E25-82BD-CFCC-8173-4862AAA1C9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23826" y="667134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9EF28DE7-6CFC-5EEF-F231-F743EBB368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14670" y="667134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CCFB8AE0-2CDF-3301-DDF2-14EC5A3DB0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443670" y="6671347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QVutCQLqPWsfm4qq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221"/>
  <sheetViews>
    <sheetView tabSelected="1" view="pageBreakPreview" topLeftCell="A52" zoomScaleNormal="100" zoomScaleSheetLayoutView="100" zoomScalePageLayoutView="85" workbookViewId="0">
      <selection activeCell="L64" sqref="L64"/>
    </sheetView>
  </sheetViews>
  <sheetFormatPr defaultColWidth="9.109375" defaultRowHeight="15.6" x14ac:dyDescent="0.3"/>
  <cols>
    <col min="1" max="1" width="11.44140625" style="16" customWidth="1"/>
    <col min="2" max="2" width="12" style="16" customWidth="1"/>
    <col min="3" max="3" width="12.6640625" style="16" customWidth="1"/>
    <col min="4" max="4" width="14.109375" style="16" customWidth="1"/>
    <col min="5" max="7" width="11.6640625" style="16" customWidth="1"/>
    <col min="8" max="8" width="12.44140625" style="16" customWidth="1"/>
    <col min="9" max="9" width="17.44140625" style="8" customWidth="1"/>
    <col min="10" max="10" width="11.44140625" style="8" customWidth="1"/>
    <col min="11" max="11" width="10.5546875" style="8" bestFit="1" customWidth="1"/>
    <col min="12" max="12" width="10.5546875" style="8" customWidth="1"/>
    <col min="13" max="13" width="11.88671875" style="8" customWidth="1"/>
    <col min="14" max="14" width="12.5546875" style="8" hidden="1" customWidth="1"/>
    <col min="15" max="15" width="9.88671875" style="8" hidden="1" customWidth="1"/>
    <col min="16" max="16" width="10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8" ht="46.5" customHeight="1" x14ac:dyDescent="0.3">
      <c r="A1" s="131" t="s">
        <v>224</v>
      </c>
      <c r="B1" s="131"/>
      <c r="C1" s="131"/>
      <c r="D1" s="131"/>
      <c r="E1" s="131"/>
      <c r="F1" s="131"/>
      <c r="G1" s="131"/>
      <c r="H1" s="131"/>
    </row>
    <row r="2" spans="1:8" ht="16.5" customHeight="1" x14ac:dyDescent="0.3">
      <c r="A2" s="86" t="s">
        <v>0</v>
      </c>
      <c r="B2" s="86"/>
      <c r="C2" s="86"/>
      <c r="D2" s="86"/>
      <c r="E2" s="86"/>
      <c r="F2" s="86"/>
      <c r="G2" s="86"/>
      <c r="H2" s="86"/>
    </row>
    <row r="3" spans="1:8" x14ac:dyDescent="0.3">
      <c r="A3" s="77" t="s">
        <v>1</v>
      </c>
      <c r="B3" s="77"/>
      <c r="C3" s="77"/>
      <c r="D3" s="77"/>
      <c r="E3" s="132" t="str">
        <f ca="1">TEXT(TODAY(),"DD/MM/YYYY")</f>
        <v>08/09/2025</v>
      </c>
      <c r="F3" s="132"/>
      <c r="G3" s="132"/>
      <c r="H3" s="132"/>
    </row>
    <row r="4" spans="1:8" ht="15" customHeight="1" x14ac:dyDescent="0.3">
      <c r="A4" s="133" t="s">
        <v>2</v>
      </c>
      <c r="B4" s="133"/>
      <c r="C4" s="133"/>
      <c r="D4" s="133"/>
      <c r="E4" s="135" t="s">
        <v>189</v>
      </c>
      <c r="F4" s="135"/>
      <c r="G4" s="135"/>
      <c r="H4" s="135"/>
    </row>
    <row r="5" spans="1:8" x14ac:dyDescent="0.3">
      <c r="A5" s="133" t="s">
        <v>3</v>
      </c>
      <c r="B5" s="133"/>
      <c r="C5" s="133"/>
      <c r="D5" s="133"/>
      <c r="E5" s="136">
        <v>45907</v>
      </c>
      <c r="F5" s="136"/>
      <c r="G5" s="136"/>
      <c r="H5" s="136"/>
    </row>
    <row r="6" spans="1:8" ht="16.5" customHeight="1" x14ac:dyDescent="0.3">
      <c r="A6" s="133" t="s">
        <v>4</v>
      </c>
      <c r="B6" s="133"/>
      <c r="C6" s="133"/>
      <c r="D6" s="133"/>
      <c r="E6" s="137" t="s">
        <v>190</v>
      </c>
      <c r="F6" s="137"/>
      <c r="G6" s="137"/>
      <c r="H6" s="137"/>
    </row>
    <row r="7" spans="1:8" ht="15" customHeight="1" x14ac:dyDescent="0.3">
      <c r="A7" s="133" t="s">
        <v>5</v>
      </c>
      <c r="B7" s="133"/>
      <c r="C7" s="133"/>
      <c r="D7" s="133"/>
      <c r="E7" s="137" t="str">
        <f>E6</f>
        <v>M/s.Shree Krishna Construction Co.</v>
      </c>
      <c r="F7" s="137"/>
      <c r="G7" s="137"/>
      <c r="H7" s="137"/>
    </row>
    <row r="8" spans="1:8" x14ac:dyDescent="0.3">
      <c r="A8" s="133" t="s">
        <v>6</v>
      </c>
      <c r="B8" s="133"/>
      <c r="C8" s="133"/>
      <c r="D8" s="133"/>
      <c r="E8" s="134" t="s">
        <v>191</v>
      </c>
      <c r="F8" s="134"/>
      <c r="G8" s="134"/>
      <c r="H8" s="134"/>
    </row>
    <row r="9" spans="1:8" x14ac:dyDescent="0.3">
      <c r="A9" s="133" t="s">
        <v>162</v>
      </c>
      <c r="B9" s="133"/>
      <c r="C9" s="133"/>
      <c r="D9" s="133"/>
      <c r="E9" s="133" t="s">
        <v>192</v>
      </c>
      <c r="F9" s="133"/>
      <c r="G9" s="133"/>
      <c r="H9" s="133"/>
    </row>
    <row r="10" spans="1:8" x14ac:dyDescent="0.3">
      <c r="A10" s="133" t="s">
        <v>7</v>
      </c>
      <c r="B10" s="133"/>
      <c r="C10" s="133"/>
      <c r="D10" s="133"/>
      <c r="E10" s="133" t="s">
        <v>220</v>
      </c>
      <c r="F10" s="133"/>
      <c r="G10" s="133"/>
      <c r="H10" s="133"/>
    </row>
    <row r="11" spans="1:8" x14ac:dyDescent="0.3">
      <c r="A11" s="133" t="s">
        <v>8</v>
      </c>
      <c r="B11" s="133"/>
      <c r="C11" s="133"/>
      <c r="D11" s="133"/>
      <c r="E11" s="137" t="s">
        <v>217</v>
      </c>
      <c r="F11" s="133"/>
      <c r="G11" s="133"/>
      <c r="H11" s="133"/>
    </row>
    <row r="12" spans="1:8" x14ac:dyDescent="0.3">
      <c r="A12" s="133" t="s">
        <v>9</v>
      </c>
      <c r="B12" s="133"/>
      <c r="C12" s="133"/>
      <c r="D12" s="133"/>
      <c r="E12" s="137" t="s">
        <v>193</v>
      </c>
      <c r="F12" s="133"/>
      <c r="G12" s="133"/>
      <c r="H12" s="133"/>
    </row>
    <row r="13" spans="1:8" ht="48.75" customHeight="1" x14ac:dyDescent="0.3">
      <c r="A13" s="137" t="s">
        <v>10</v>
      </c>
      <c r="B13" s="137"/>
      <c r="C13" s="137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Shree Krishna Elegance, Sector No..V, Survey No.88, Hissa No.1A,1B And 2A, near Madhuvan Township Area, Ambadi Road, Gokhiware, Vasai East, Vasai, Palghar.</v>
      </c>
      <c r="D13" s="137"/>
      <c r="E13" s="137"/>
      <c r="F13" s="137"/>
      <c r="G13" s="137"/>
      <c r="H13" s="137"/>
    </row>
    <row r="14" spans="1:8" x14ac:dyDescent="0.3">
      <c r="A14" s="78" t="s">
        <v>194</v>
      </c>
      <c r="B14" s="78"/>
      <c r="C14" s="95" t="s">
        <v>195</v>
      </c>
      <c r="D14" s="95"/>
      <c r="E14" s="95"/>
      <c r="F14" s="95"/>
      <c r="G14" s="95"/>
      <c r="H14" s="95"/>
    </row>
    <row r="15" spans="1:8" ht="15.75" customHeight="1" x14ac:dyDescent="0.3">
      <c r="A15" s="78" t="s">
        <v>11</v>
      </c>
      <c r="B15" s="78"/>
      <c r="C15" s="93" t="s">
        <v>204</v>
      </c>
      <c r="D15" s="93"/>
      <c r="E15" s="78" t="s">
        <v>102</v>
      </c>
      <c r="F15" s="78"/>
      <c r="G15" s="95" t="s">
        <v>196</v>
      </c>
      <c r="H15" s="95"/>
    </row>
    <row r="16" spans="1:8" x14ac:dyDescent="0.3">
      <c r="A16" s="77" t="s">
        <v>13</v>
      </c>
      <c r="B16" s="77"/>
      <c r="C16" s="95" t="s">
        <v>203</v>
      </c>
      <c r="D16" s="95"/>
      <c r="E16" s="78" t="s">
        <v>12</v>
      </c>
      <c r="F16" s="78"/>
      <c r="G16" s="138" t="s">
        <v>198</v>
      </c>
      <c r="H16" s="138"/>
    </row>
    <row r="17" spans="1:8" x14ac:dyDescent="0.3">
      <c r="A17" s="77" t="s">
        <v>103</v>
      </c>
      <c r="B17" s="77"/>
      <c r="C17" s="95" t="s">
        <v>197</v>
      </c>
      <c r="D17" s="95"/>
      <c r="E17" s="78" t="s">
        <v>14</v>
      </c>
      <c r="F17" s="78"/>
      <c r="G17" s="95">
        <v>401208</v>
      </c>
      <c r="H17" s="95"/>
    </row>
    <row r="18" spans="1:8" ht="32.25" customHeight="1" x14ac:dyDescent="0.3">
      <c r="A18" s="133" t="s">
        <v>163</v>
      </c>
      <c r="B18" s="133"/>
      <c r="C18" s="139" t="s">
        <v>200</v>
      </c>
      <c r="D18" s="139"/>
      <c r="E18" s="137" t="s">
        <v>15</v>
      </c>
      <c r="F18" s="137"/>
      <c r="G18" s="137" t="s">
        <v>252</v>
      </c>
      <c r="H18" s="137"/>
    </row>
    <row r="19" spans="1:8" ht="15" customHeight="1" x14ac:dyDescent="0.3">
      <c r="A19" s="78" t="s">
        <v>108</v>
      </c>
      <c r="B19" s="78"/>
      <c r="C19" s="78"/>
      <c r="D19" s="78"/>
      <c r="E19" s="93" t="s">
        <v>16</v>
      </c>
      <c r="F19" s="93"/>
      <c r="G19" s="93"/>
      <c r="H19" s="93"/>
    </row>
    <row r="20" spans="1:8" ht="18.75" customHeight="1" x14ac:dyDescent="0.3">
      <c r="A20" s="78"/>
      <c r="B20" s="78"/>
      <c r="C20" s="78"/>
      <c r="D20" s="78"/>
      <c r="E20" s="93"/>
      <c r="F20" s="93"/>
      <c r="G20" s="93"/>
      <c r="H20" s="93"/>
    </row>
    <row r="21" spans="1:8" ht="15" customHeight="1" x14ac:dyDescent="0.3">
      <c r="A21" s="78" t="s">
        <v>17</v>
      </c>
      <c r="B21" s="78"/>
      <c r="C21" s="78"/>
      <c r="D21" s="78"/>
      <c r="E21" s="95" t="s">
        <v>18</v>
      </c>
      <c r="F21" s="95"/>
      <c r="G21" s="95"/>
      <c r="H21" s="95"/>
    </row>
    <row r="22" spans="1:8" ht="15" customHeight="1" x14ac:dyDescent="0.3">
      <c r="A22" s="77" t="s">
        <v>19</v>
      </c>
      <c r="B22" s="77"/>
      <c r="C22" s="77"/>
      <c r="D22" s="77"/>
      <c r="E22" s="95" t="str">
        <f>IF(AND(G16="Mumbai"),"Upper Class","Middle Class")</f>
        <v>Middle Class</v>
      </c>
      <c r="F22" s="95"/>
      <c r="G22" s="95"/>
      <c r="H22" s="95"/>
    </row>
    <row r="23" spans="1:8" x14ac:dyDescent="0.3">
      <c r="A23" s="77" t="s">
        <v>20</v>
      </c>
      <c r="B23" s="77"/>
      <c r="C23" s="77"/>
      <c r="D23" s="77"/>
      <c r="E23" s="95" t="s">
        <v>21</v>
      </c>
      <c r="F23" s="95"/>
      <c r="G23" s="95"/>
      <c r="H23" s="95"/>
    </row>
    <row r="24" spans="1:8" ht="15.75" customHeight="1" x14ac:dyDescent="0.3">
      <c r="A24" s="77" t="s">
        <v>22</v>
      </c>
      <c r="B24" s="77"/>
      <c r="C24" s="77"/>
      <c r="D24" s="77"/>
      <c r="E24" s="95" t="str">
        <f>IF(AND(G16="Mumbai"),"Developed","Developing")</f>
        <v>Developing</v>
      </c>
      <c r="F24" s="95"/>
      <c r="G24" s="95"/>
      <c r="H24" s="95"/>
    </row>
    <row r="25" spans="1:8" x14ac:dyDescent="0.3">
      <c r="A25" s="77" t="s">
        <v>23</v>
      </c>
      <c r="B25" s="77"/>
      <c r="C25" s="77"/>
      <c r="D25" s="77"/>
      <c r="E25" s="95" t="s">
        <v>24</v>
      </c>
      <c r="F25" s="95"/>
      <c r="G25" s="95"/>
      <c r="H25" s="95"/>
    </row>
    <row r="26" spans="1:8" x14ac:dyDescent="0.3">
      <c r="A26" s="77" t="s">
        <v>116</v>
      </c>
      <c r="B26" s="77"/>
      <c r="C26" s="77"/>
      <c r="D26" s="77"/>
      <c r="E26" s="95" t="s">
        <v>117</v>
      </c>
      <c r="F26" s="95"/>
      <c r="G26" s="95"/>
      <c r="H26" s="95"/>
    </row>
    <row r="27" spans="1:8" ht="15" customHeight="1" x14ac:dyDescent="0.3">
      <c r="A27" s="137" t="s">
        <v>33</v>
      </c>
      <c r="B27" s="137"/>
      <c r="C27" s="137"/>
      <c r="D27" s="137"/>
      <c r="E27" s="135" t="s">
        <v>112</v>
      </c>
      <c r="F27" s="135"/>
      <c r="G27" s="135"/>
      <c r="H27" s="135"/>
    </row>
    <row r="28" spans="1:8" x14ac:dyDescent="0.3">
      <c r="A28" s="78" t="s">
        <v>127</v>
      </c>
      <c r="B28" s="78"/>
      <c r="C28" s="78"/>
      <c r="D28" s="78"/>
      <c r="E28" s="78" t="s">
        <v>34</v>
      </c>
      <c r="F28" s="78"/>
      <c r="G28" s="78"/>
      <c r="H28" s="78"/>
    </row>
    <row r="29" spans="1:8" s="11" customFormat="1" x14ac:dyDescent="0.3">
      <c r="A29" s="143" t="s">
        <v>128</v>
      </c>
      <c r="B29" s="143"/>
      <c r="C29" s="142" t="s">
        <v>29</v>
      </c>
      <c r="D29" s="142"/>
      <c r="E29" s="142"/>
      <c r="F29" s="142" t="s">
        <v>31</v>
      </c>
      <c r="G29" s="142"/>
      <c r="H29" s="142"/>
    </row>
    <row r="30" spans="1:8" s="11" customFormat="1" x14ac:dyDescent="0.3">
      <c r="A30" s="140" t="s">
        <v>25</v>
      </c>
      <c r="B30" s="140" t="s">
        <v>30</v>
      </c>
      <c r="C30" s="141" t="s">
        <v>30</v>
      </c>
      <c r="D30" s="141"/>
      <c r="E30" s="141"/>
      <c r="F30" s="141" t="s">
        <v>202</v>
      </c>
      <c r="G30" s="141"/>
      <c r="H30" s="141"/>
    </row>
    <row r="31" spans="1:8" x14ac:dyDescent="0.3">
      <c r="A31" s="140" t="s">
        <v>26</v>
      </c>
      <c r="B31" s="140" t="s">
        <v>30</v>
      </c>
      <c r="C31" s="141" t="s">
        <v>30</v>
      </c>
      <c r="D31" s="141"/>
      <c r="E31" s="141"/>
      <c r="F31" s="141" t="s">
        <v>11</v>
      </c>
      <c r="G31" s="141"/>
      <c r="H31" s="141"/>
    </row>
    <row r="32" spans="1:8" s="11" customFormat="1" x14ac:dyDescent="0.3">
      <c r="A32" s="140" t="s">
        <v>28</v>
      </c>
      <c r="B32" s="140" t="s">
        <v>30</v>
      </c>
      <c r="C32" s="141" t="s">
        <v>30</v>
      </c>
      <c r="D32" s="141"/>
      <c r="E32" s="141"/>
      <c r="F32" s="141" t="s">
        <v>200</v>
      </c>
      <c r="G32" s="141"/>
      <c r="H32" s="141"/>
    </row>
    <row r="33" spans="1:9" x14ac:dyDescent="0.3">
      <c r="A33" s="140" t="s">
        <v>27</v>
      </c>
      <c r="B33" s="140" t="s">
        <v>30</v>
      </c>
      <c r="C33" s="141" t="s">
        <v>30</v>
      </c>
      <c r="D33" s="141"/>
      <c r="E33" s="141"/>
      <c r="F33" s="141" t="s">
        <v>201</v>
      </c>
      <c r="G33" s="141"/>
      <c r="H33" s="141"/>
    </row>
    <row r="34" spans="1:9" x14ac:dyDescent="0.3">
      <c r="A34" s="77" t="s">
        <v>32</v>
      </c>
      <c r="B34" s="77"/>
      <c r="C34" s="77"/>
      <c r="D34" s="77"/>
      <c r="E34" s="77"/>
      <c r="F34" s="77"/>
      <c r="G34" s="77"/>
      <c r="H34" s="77"/>
    </row>
    <row r="35" spans="1:9" ht="15.75" customHeight="1" x14ac:dyDescent="0.3">
      <c r="A35" s="86" t="s">
        <v>259</v>
      </c>
      <c r="B35" s="86"/>
      <c r="C35" s="169" t="s">
        <v>260</v>
      </c>
      <c r="D35" s="170"/>
      <c r="E35" s="170"/>
      <c r="F35" s="170"/>
      <c r="G35" s="170"/>
      <c r="H35" s="171"/>
    </row>
    <row r="36" spans="1:9" ht="15.75" customHeight="1" x14ac:dyDescent="0.3">
      <c r="A36" s="112" t="s">
        <v>225</v>
      </c>
      <c r="B36" s="112"/>
      <c r="C36" s="172" t="s">
        <v>226</v>
      </c>
      <c r="D36" s="173"/>
      <c r="E36" s="173"/>
      <c r="F36" s="173"/>
      <c r="G36" s="173"/>
      <c r="H36" s="173"/>
    </row>
    <row r="37" spans="1:9" x14ac:dyDescent="0.3">
      <c r="A37" s="112" t="s">
        <v>35</v>
      </c>
      <c r="B37" s="112"/>
      <c r="C37" s="112"/>
      <c r="D37" s="112"/>
      <c r="E37" s="112"/>
      <c r="F37" s="112"/>
      <c r="G37" s="112"/>
      <c r="H37" s="112"/>
    </row>
    <row r="38" spans="1:9" x14ac:dyDescent="0.3">
      <c r="A38" s="77" t="s">
        <v>36</v>
      </c>
      <c r="B38" s="77"/>
      <c r="C38" s="77"/>
      <c r="D38" s="77"/>
      <c r="E38" s="147">
        <v>258554.88</v>
      </c>
      <c r="F38" s="147"/>
      <c r="G38" s="147"/>
      <c r="H38" s="147"/>
    </row>
    <row r="39" spans="1:9" x14ac:dyDescent="0.3">
      <c r="A39" s="77" t="s">
        <v>37</v>
      </c>
      <c r="B39" s="77"/>
      <c r="C39" s="77"/>
      <c r="D39" s="77"/>
      <c r="E39" s="145">
        <v>0.9</v>
      </c>
      <c r="F39" s="145"/>
      <c r="G39" s="145"/>
      <c r="H39" s="145"/>
      <c r="I39" s="8">
        <f>251260.79/E38</f>
        <v>0.97178900665112178</v>
      </c>
    </row>
    <row r="40" spans="1:9" x14ac:dyDescent="0.3">
      <c r="A40" s="77" t="s">
        <v>38</v>
      </c>
      <c r="B40" s="77"/>
      <c r="C40" s="77"/>
      <c r="D40" s="77"/>
      <c r="E40" s="145">
        <f>E42/E38-E39</f>
        <v>-4.9999992264698423E-2</v>
      </c>
      <c r="F40" s="145"/>
      <c r="G40" s="145"/>
      <c r="H40" s="145"/>
    </row>
    <row r="41" spans="1:9" x14ac:dyDescent="0.3">
      <c r="A41" s="77" t="s">
        <v>39</v>
      </c>
      <c r="B41" s="77"/>
      <c r="C41" s="77"/>
      <c r="D41" s="77"/>
      <c r="E41" s="145">
        <f>E39+E40</f>
        <v>0.8500000077353016</v>
      </c>
      <c r="F41" s="145"/>
      <c r="G41" s="145"/>
      <c r="H41" s="145"/>
    </row>
    <row r="42" spans="1:9" x14ac:dyDescent="0.3">
      <c r="A42" s="77" t="s">
        <v>126</v>
      </c>
      <c r="B42" s="77"/>
      <c r="C42" s="77"/>
      <c r="D42" s="77"/>
      <c r="E42" s="146">
        <v>219771.65</v>
      </c>
      <c r="F42" s="146"/>
      <c r="G42" s="146"/>
      <c r="H42" s="146"/>
    </row>
    <row r="43" spans="1:9" x14ac:dyDescent="0.3">
      <c r="A43" s="133" t="s">
        <v>40</v>
      </c>
      <c r="B43" s="133"/>
      <c r="C43" s="133"/>
      <c r="D43" s="133"/>
      <c r="E43" s="133" t="s">
        <v>215</v>
      </c>
      <c r="F43" s="133"/>
      <c r="G43" s="133"/>
      <c r="H43" s="133"/>
    </row>
    <row r="44" spans="1:9" x14ac:dyDescent="0.3">
      <c r="A44" s="112" t="s">
        <v>41</v>
      </c>
      <c r="B44" s="112"/>
      <c r="C44" s="112"/>
      <c r="D44" s="112"/>
      <c r="E44" s="112"/>
      <c r="F44" s="112"/>
      <c r="G44" s="112"/>
      <c r="H44" s="112"/>
    </row>
    <row r="45" spans="1:9" ht="32.25" customHeight="1" x14ac:dyDescent="0.3">
      <c r="A45" s="95" t="s">
        <v>42</v>
      </c>
      <c r="B45" s="95"/>
      <c r="C45" s="89" t="s">
        <v>257</v>
      </c>
      <c r="D45" s="89"/>
      <c r="E45" s="89"/>
      <c r="F45" s="42" t="s">
        <v>43</v>
      </c>
      <c r="G45" s="96" t="s">
        <v>258</v>
      </c>
      <c r="H45" s="96"/>
    </row>
    <row r="46" spans="1:9" ht="30.75" customHeight="1" x14ac:dyDescent="0.3">
      <c r="A46" s="93" t="s">
        <v>44</v>
      </c>
      <c r="B46" s="93"/>
      <c r="C46" s="89" t="s">
        <v>241</v>
      </c>
      <c r="D46" s="89"/>
      <c r="E46" s="89"/>
      <c r="F46" s="42" t="s">
        <v>43</v>
      </c>
      <c r="G46" s="96">
        <v>44771</v>
      </c>
      <c r="H46" s="96"/>
    </row>
    <row r="47" spans="1:9" s="10" customFormat="1" ht="31.5" customHeight="1" x14ac:dyDescent="0.3">
      <c r="A47" s="95" t="s">
        <v>45</v>
      </c>
      <c r="B47" s="95"/>
      <c r="C47" s="89" t="s">
        <v>239</v>
      </c>
      <c r="D47" s="88"/>
      <c r="E47" s="88"/>
      <c r="F47" s="13" t="s">
        <v>43</v>
      </c>
      <c r="G47" s="96">
        <v>45322</v>
      </c>
      <c r="H47" s="96"/>
    </row>
    <row r="48" spans="1:9" s="10" customFormat="1" ht="33.9" customHeight="1" x14ac:dyDescent="0.3">
      <c r="A48" s="95"/>
      <c r="B48" s="95"/>
      <c r="C48" s="98" t="s">
        <v>240</v>
      </c>
      <c r="D48" s="99"/>
      <c r="E48" s="99"/>
      <c r="F48" s="99"/>
      <c r="G48" s="99"/>
      <c r="H48" s="100"/>
    </row>
    <row r="49" spans="1:24" s="10" customFormat="1" ht="17.25" customHeight="1" x14ac:dyDescent="0.3">
      <c r="A49" s="64" t="s">
        <v>229</v>
      </c>
      <c r="B49" s="149"/>
      <c r="C49" s="155" t="s">
        <v>234</v>
      </c>
      <c r="D49" s="156"/>
      <c r="E49" s="157"/>
      <c r="F49" s="61" t="s">
        <v>43</v>
      </c>
      <c r="G49" s="167">
        <v>44539</v>
      </c>
      <c r="H49" s="168"/>
      <c r="R49"/>
      <c r="S49" s="62"/>
      <c r="T49" s="7" t="s">
        <v>230</v>
      </c>
      <c r="U49" s="7" t="s">
        <v>231</v>
      </c>
      <c r="V49" s="62"/>
      <c r="W49" s="8"/>
      <c r="X49" s="8"/>
    </row>
    <row r="50" spans="1:24" s="10" customFormat="1" ht="30.75" customHeight="1" x14ac:dyDescent="0.3">
      <c r="A50" s="165"/>
      <c r="B50" s="166"/>
      <c r="C50" s="155" t="s">
        <v>235</v>
      </c>
      <c r="D50" s="156"/>
      <c r="E50" s="156"/>
      <c r="F50" s="156"/>
      <c r="G50" s="156"/>
      <c r="H50" s="157"/>
      <c r="R50"/>
      <c r="S50" s="62"/>
      <c r="T50" s="7" t="s">
        <v>232</v>
      </c>
      <c r="U50" s="7" t="s">
        <v>233</v>
      </c>
      <c r="V50" s="62"/>
      <c r="W50" s="8"/>
      <c r="X50" s="8"/>
    </row>
    <row r="51" spans="1:24" x14ac:dyDescent="0.3">
      <c r="A51" s="90" t="s">
        <v>46</v>
      </c>
      <c r="B51" s="90"/>
      <c r="C51" s="91" t="s">
        <v>143</v>
      </c>
      <c r="D51" s="92"/>
      <c r="E51" s="92" t="s">
        <v>47</v>
      </c>
      <c r="F51" s="57" t="s">
        <v>43</v>
      </c>
      <c r="G51" s="97" t="s">
        <v>30</v>
      </c>
      <c r="H51" s="97"/>
    </row>
    <row r="52" spans="1:24" x14ac:dyDescent="0.3">
      <c r="A52" s="94" t="s">
        <v>49</v>
      </c>
      <c r="B52" s="94"/>
      <c r="C52" s="94"/>
      <c r="D52" s="94"/>
      <c r="E52" s="94"/>
      <c r="F52" s="94"/>
      <c r="G52" s="94"/>
      <c r="H52" s="94"/>
    </row>
    <row r="53" spans="1:24" ht="30.75" customHeight="1" x14ac:dyDescent="0.3">
      <c r="A53" s="95" t="s">
        <v>256</v>
      </c>
      <c r="B53" s="95"/>
      <c r="C53" s="95"/>
      <c r="D53" s="93">
        <v>5045.07</v>
      </c>
      <c r="E53" s="93"/>
      <c r="F53" s="93"/>
      <c r="G53" s="93"/>
      <c r="H53" s="93"/>
    </row>
    <row r="54" spans="1:24" x14ac:dyDescent="0.3">
      <c r="A54" s="95" t="s">
        <v>50</v>
      </c>
      <c r="B54" s="93"/>
      <c r="C54" s="93"/>
      <c r="D54" s="93" t="s">
        <v>250</v>
      </c>
      <c r="E54" s="93"/>
      <c r="F54" s="93"/>
      <c r="G54" s="93"/>
      <c r="H54" s="93"/>
      <c r="I54" s="39"/>
    </row>
    <row r="55" spans="1:24" ht="15.75" customHeight="1" x14ac:dyDescent="0.3">
      <c r="A55" s="64" t="s">
        <v>51</v>
      </c>
      <c r="B55" s="65"/>
      <c r="C55" s="149"/>
      <c r="D55" s="148" t="s">
        <v>242</v>
      </c>
      <c r="E55" s="148"/>
      <c r="F55" s="148"/>
      <c r="G55" s="148"/>
      <c r="H55" s="148"/>
    </row>
    <row r="56" spans="1:24" ht="15.75" customHeight="1" x14ac:dyDescent="0.3">
      <c r="A56" s="64" t="s">
        <v>124</v>
      </c>
      <c r="B56" s="65"/>
      <c r="C56" s="65"/>
      <c r="D56" s="66" t="s">
        <v>242</v>
      </c>
      <c r="E56" s="67"/>
      <c r="F56" s="67"/>
      <c r="G56" s="67"/>
      <c r="H56" s="68"/>
    </row>
    <row r="57" spans="1:24" ht="15.75" customHeight="1" x14ac:dyDescent="0.3">
      <c r="A57" s="93" t="s">
        <v>48</v>
      </c>
      <c r="B57" s="93"/>
      <c r="C57" s="93"/>
      <c r="D57" s="95" t="s">
        <v>199</v>
      </c>
      <c r="E57" s="95"/>
      <c r="F57" s="95"/>
      <c r="G57" s="95"/>
      <c r="H57" s="95"/>
      <c r="J57" s="38"/>
      <c r="K57" s="39"/>
      <c r="N57" s="39"/>
    </row>
    <row r="58" spans="1:24" ht="15.75" customHeight="1" x14ac:dyDescent="0.3">
      <c r="A58" s="93" t="s">
        <v>122</v>
      </c>
      <c r="B58" s="93"/>
      <c r="C58" s="93"/>
      <c r="D58" s="144" t="str">
        <f>(IF(G51="NA","60 Years After Completion",IF(G51&lt;&gt;"NA",""&amp;60-ROUNDDOWN((E3-G51)/360,0)&amp;" Years"," ")))</f>
        <v>60 Years After Completion</v>
      </c>
      <c r="E58" s="144"/>
      <c r="F58" s="144"/>
      <c r="G58" s="144"/>
      <c r="H58" s="144"/>
      <c r="N58" s="39"/>
    </row>
    <row r="59" spans="1:24" ht="15.75" customHeight="1" x14ac:dyDescent="0.3">
      <c r="A59" s="77" t="s">
        <v>123</v>
      </c>
      <c r="B59" s="77"/>
      <c r="C59" s="77"/>
      <c r="D59" s="78" t="s">
        <v>24</v>
      </c>
      <c r="E59" s="78"/>
      <c r="F59" s="78"/>
      <c r="G59" s="78"/>
      <c r="H59" s="78"/>
      <c r="J59" s="18"/>
      <c r="K59" s="18"/>
    </row>
    <row r="60" spans="1:24" ht="15.75" customHeight="1" thickBot="1" x14ac:dyDescent="0.35">
      <c r="A60" s="151" t="s">
        <v>121</v>
      </c>
      <c r="B60" s="151"/>
      <c r="C60" s="151"/>
      <c r="D60" s="152" t="str">
        <f ca="1">(IF(G65&gt;95%,"Nothing",IF(G65&gt;0%,"Cement, Aggregate, Steel, etc",IF(G65=0%,"Work not yet Started"))))</f>
        <v>Cement, Aggregate, Steel, etc</v>
      </c>
      <c r="E60" s="152"/>
      <c r="F60" s="152"/>
      <c r="G60" s="152"/>
      <c r="H60" s="152"/>
      <c r="J60" s="18"/>
    </row>
    <row r="61" spans="1:24" ht="15.75" customHeight="1" x14ac:dyDescent="0.3">
      <c r="A61" s="153" t="s">
        <v>181</v>
      </c>
      <c r="B61" s="154"/>
      <c r="C61" s="74" t="str">
        <f>D56</f>
        <v>Sector V - Building No.8 - A Wing = Gr/St + 1st to 23rd Floor</v>
      </c>
      <c r="D61" s="75"/>
      <c r="E61" s="75"/>
      <c r="F61" s="75"/>
      <c r="G61" s="75"/>
      <c r="H61" s="76"/>
      <c r="I61" s="40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Excavation work Completed. Plinth work completed, RCC Slab, Brickwork, Internal Plaster upto 22 Floor, External Plaster upto 19 Floor, Flooring upto 14 Floor Completed</v>
      </c>
      <c r="J61" s="19"/>
    </row>
    <row r="62" spans="1:24" x14ac:dyDescent="0.3">
      <c r="A62" s="45" t="s">
        <v>183</v>
      </c>
      <c r="B62" s="46">
        <v>0</v>
      </c>
      <c r="C62" s="46" t="s">
        <v>101</v>
      </c>
      <c r="D62" s="46">
        <v>1</v>
      </c>
      <c r="E62" s="46" t="s">
        <v>100</v>
      </c>
      <c r="F62" s="46">
        <v>0</v>
      </c>
      <c r="G62" s="46" t="s">
        <v>115</v>
      </c>
      <c r="H62" s="47">
        <f ca="1">--TRIM(RIGHT(SUBSTITUTE(LEFT(C61,_xlfn.AGGREGATE(16,6,FIND({0,1,2,3,4,5,6,7,8,9},C61,ROW(INDIRECT("1:"&amp;LEN(C61)))),1))," ",REPT(" ",LEN(C61))),LEN(C61)))</f>
        <v>23</v>
      </c>
      <c r="I62" s="18"/>
      <c r="J62" s="20"/>
    </row>
    <row r="63" spans="1:24" ht="51" customHeight="1" x14ac:dyDescent="0.3">
      <c r="A63" s="134" t="s">
        <v>125</v>
      </c>
      <c r="B63" s="134"/>
      <c r="C63" s="79" t="str">
        <f ca="1">I61</f>
        <v>Excavation work Completed. Plinth work completed, RCC Slab, Brickwork, Internal Plaster upto 22 Floor, External Plaster upto 19 Floor, Flooring upto 14 Floor Completed</v>
      </c>
      <c r="D63" s="79"/>
      <c r="E63" s="79"/>
      <c r="F63" s="79"/>
      <c r="G63" s="79"/>
      <c r="H63" s="79"/>
      <c r="I63" s="18" t="s">
        <v>142</v>
      </c>
      <c r="J63" s="20"/>
    </row>
    <row r="64" spans="1:24" ht="15.75" customHeight="1" x14ac:dyDescent="0.3">
      <c r="A64" s="73" t="s">
        <v>52</v>
      </c>
      <c r="B64" s="73"/>
      <c r="C64" s="41" t="s">
        <v>180</v>
      </c>
      <c r="D64" s="41" t="s">
        <v>118</v>
      </c>
      <c r="E64" s="73" t="s">
        <v>120</v>
      </c>
      <c r="F64" s="73"/>
      <c r="G64" s="73" t="s">
        <v>119</v>
      </c>
      <c r="H64" s="73"/>
      <c r="I64" s="48" t="s">
        <v>182</v>
      </c>
      <c r="J64" s="21">
        <f ca="1">H62*25%</f>
        <v>5.75</v>
      </c>
    </row>
    <row r="65" spans="1:10" x14ac:dyDescent="0.3">
      <c r="A65" s="73" t="s">
        <v>169</v>
      </c>
      <c r="B65" s="73"/>
      <c r="C65" s="49">
        <v>23</v>
      </c>
      <c r="D65" s="60">
        <f ca="1">((100/H62)*C65)/100</f>
        <v>1</v>
      </c>
      <c r="E65" s="158">
        <f ca="1">(((C66/H62*10)+(40/(D62+F62+H62)*C67)+(7.5/(H62)*C68)+(7.5/(H62)*C69)+(10/H62*C70)+(10/H62*C71)+(5/H62*C72)+(5/H62*C73)+(5/H62*C74))/100)</f>
        <v>0.79021739130434776</v>
      </c>
      <c r="F65" s="158"/>
      <c r="G65" s="158">
        <f ca="1">((((C65/H62)*20)+((C66/H62)*25)+(30/(H62+F62+D62)*C67)+(5/H62*C68)+(5/H62*C69)+(5/H62*C70)+(5/H62*C71)+(0/H62*C72)+(0/H62*C73)+(5/H62*C74))/100)</f>
        <v>0.91956521739130437</v>
      </c>
      <c r="H65" s="158"/>
      <c r="I65" s="48" t="s">
        <v>137</v>
      </c>
      <c r="J65" s="50">
        <f ca="1">H62*50%</f>
        <v>11.5</v>
      </c>
    </row>
    <row r="66" spans="1:10" x14ac:dyDescent="0.3">
      <c r="A66" s="73" t="s">
        <v>53</v>
      </c>
      <c r="B66" s="73"/>
      <c r="C66" s="51">
        <f ca="1">J74</f>
        <v>23</v>
      </c>
      <c r="D66" s="60">
        <f ca="1">((100/H62)*C66)/100</f>
        <v>1</v>
      </c>
      <c r="E66" s="158"/>
      <c r="F66" s="158"/>
      <c r="G66" s="158"/>
      <c r="H66" s="158"/>
      <c r="I66" s="48" t="s">
        <v>138</v>
      </c>
      <c r="J66" s="50">
        <f ca="1">H62</f>
        <v>23</v>
      </c>
    </row>
    <row r="67" spans="1:10" ht="15.75" customHeight="1" x14ac:dyDescent="0.3">
      <c r="A67" s="150" t="s">
        <v>170</v>
      </c>
      <c r="B67" s="150"/>
      <c r="C67" s="51">
        <v>24</v>
      </c>
      <c r="D67" s="60">
        <f ca="1">((100/(D62+F62+H62))*C67)/100</f>
        <v>1</v>
      </c>
      <c r="E67" s="158"/>
      <c r="F67" s="158"/>
      <c r="G67" s="158"/>
      <c r="H67" s="158"/>
      <c r="I67" s="48" t="s">
        <v>139</v>
      </c>
      <c r="J67" s="52">
        <f ca="1">(IF(B62&gt;1,(H62/(B62+2)),H62/4))</f>
        <v>5.75</v>
      </c>
    </row>
    <row r="68" spans="1:10" ht="15.75" customHeight="1" x14ac:dyDescent="0.3">
      <c r="A68" s="73" t="s">
        <v>177</v>
      </c>
      <c r="B68" s="73" t="s">
        <v>171</v>
      </c>
      <c r="C68" s="49">
        <v>23</v>
      </c>
      <c r="D68" s="60">
        <f ca="1">((100/H62)*C68)/100</f>
        <v>1</v>
      </c>
      <c r="E68" s="158"/>
      <c r="F68" s="158"/>
      <c r="G68" s="158"/>
      <c r="H68" s="158"/>
      <c r="I68" s="48" t="s">
        <v>140</v>
      </c>
      <c r="J68" s="52">
        <f ca="1">(IF(B62&gt;1,(H62/(B62+2)+J67),H62/4+J67))</f>
        <v>11.5</v>
      </c>
    </row>
    <row r="69" spans="1:10" ht="15.75" customHeight="1" x14ac:dyDescent="0.3">
      <c r="A69" s="73" t="s">
        <v>178</v>
      </c>
      <c r="B69" s="73" t="s">
        <v>171</v>
      </c>
      <c r="C69" s="49">
        <v>22</v>
      </c>
      <c r="D69" s="60">
        <f ca="1">((100/H62)*C69)/100</f>
        <v>0.9565217391304347</v>
      </c>
      <c r="E69" s="158"/>
      <c r="F69" s="158"/>
      <c r="G69" s="158"/>
      <c r="H69" s="158"/>
      <c r="I69" s="48" t="s">
        <v>187</v>
      </c>
      <c r="J69" s="52">
        <f>(IF(B62&gt;1,(H62/(B62+2)+J68),0))</f>
        <v>0</v>
      </c>
    </row>
    <row r="70" spans="1:10" ht="15" customHeight="1" x14ac:dyDescent="0.3">
      <c r="A70" s="73" t="s">
        <v>176</v>
      </c>
      <c r="B70" s="73" t="s">
        <v>173</v>
      </c>
      <c r="C70" s="49">
        <v>19</v>
      </c>
      <c r="D70" s="60">
        <f ca="1">((100/(H62))*C70)/100</f>
        <v>0.82608695652173902</v>
      </c>
      <c r="E70" s="158"/>
      <c r="F70" s="158"/>
      <c r="G70" s="158"/>
      <c r="H70" s="158"/>
      <c r="I70" s="48" t="s">
        <v>184</v>
      </c>
      <c r="J70" s="52">
        <f>(IF(B62&gt;2,(H62/(B62+2)+J69),0))</f>
        <v>0</v>
      </c>
    </row>
    <row r="71" spans="1:10" ht="15.75" customHeight="1" x14ac:dyDescent="0.3">
      <c r="A71" s="73" t="s">
        <v>172</v>
      </c>
      <c r="B71" s="73" t="s">
        <v>172</v>
      </c>
      <c r="C71" s="49">
        <v>14</v>
      </c>
      <c r="D71" s="60">
        <f ca="1">((100/H62)*C71)/100</f>
        <v>0.60869565217391297</v>
      </c>
      <c r="E71" s="158"/>
      <c r="F71" s="158"/>
      <c r="G71" s="158"/>
      <c r="H71" s="158"/>
      <c r="I71" s="48" t="s">
        <v>185</v>
      </c>
      <c r="J71" s="53">
        <f>(IF(B62&gt;3,(H62/(B62+2)+J70),0))</f>
        <v>0</v>
      </c>
    </row>
    <row r="72" spans="1:10" ht="15.75" customHeight="1" x14ac:dyDescent="0.3">
      <c r="A72" s="73" t="s">
        <v>179</v>
      </c>
      <c r="B72" s="73"/>
      <c r="C72" s="49">
        <v>0</v>
      </c>
      <c r="D72" s="60">
        <f ca="1">((100/H62)*C72)/100</f>
        <v>0</v>
      </c>
      <c r="E72" s="158"/>
      <c r="F72" s="158"/>
      <c r="G72" s="158"/>
      <c r="H72" s="158"/>
      <c r="I72" s="48" t="s">
        <v>186</v>
      </c>
      <c r="J72" s="52">
        <f>(IF(B62&gt;4,(H62/(B62+2)+J71),0))</f>
        <v>0</v>
      </c>
    </row>
    <row r="73" spans="1:10" ht="15.75" customHeight="1" x14ac:dyDescent="0.3">
      <c r="A73" s="73" t="s">
        <v>174</v>
      </c>
      <c r="B73" s="73" t="s">
        <v>174</v>
      </c>
      <c r="C73" s="49">
        <v>0</v>
      </c>
      <c r="D73" s="60">
        <f ca="1">((100/(H62))*C73)/100</f>
        <v>0</v>
      </c>
      <c r="E73" s="158"/>
      <c r="F73" s="158"/>
      <c r="G73" s="158"/>
      <c r="H73" s="158"/>
      <c r="I73" s="48" t="s">
        <v>188</v>
      </c>
      <c r="J73" s="52">
        <f ca="1">(IF(B62=1,(H62/(B62+3)+J68),IF(B62=0,(H62/4+J68),IF(B62&gt;1,0))))</f>
        <v>17.25</v>
      </c>
    </row>
    <row r="74" spans="1:10" ht="16.2" thickBot="1" x14ac:dyDescent="0.35">
      <c r="A74" s="73" t="s">
        <v>175</v>
      </c>
      <c r="B74" s="73"/>
      <c r="C74" s="49">
        <v>0</v>
      </c>
      <c r="D74" s="60">
        <f ca="1">((100/(H62))*C74)/100</f>
        <v>0</v>
      </c>
      <c r="E74" s="158"/>
      <c r="F74" s="158"/>
      <c r="G74" s="158"/>
      <c r="H74" s="158"/>
      <c r="I74" s="54" t="s">
        <v>141</v>
      </c>
      <c r="J74" s="55">
        <f ca="1">(IF(B62&gt;1.5,(H62/(B62+2)+J68+MAX(0,J69-J68)+MAX(0,J70-J69)+MAX(0,J71-J70)+MAX(0,J72-J71)+MAX(0,J73-J72)),IF(B62=1,(H62/(B62+3)+J73),IF(B62=0,H62/4+J73))))</f>
        <v>23</v>
      </c>
    </row>
    <row r="75" spans="1:10" x14ac:dyDescent="0.3">
      <c r="A75" s="80" t="s">
        <v>157</v>
      </c>
      <c r="B75" s="81"/>
      <c r="C75" s="81"/>
      <c r="D75" s="81"/>
      <c r="E75" s="82"/>
      <c r="F75" s="80" t="str">
        <f ca="1">(IF(D60="Nothing","Yes",IF(D60="Cement, Aggregate, Steel, etc","Under Construction",IF(D60="Work not yet Started","Work not yet Started"))))</f>
        <v>Under Construction</v>
      </c>
      <c r="G75" s="81"/>
      <c r="H75" s="82"/>
    </row>
    <row r="76" spans="1:10" x14ac:dyDescent="0.3">
      <c r="A76" s="77" t="s">
        <v>54</v>
      </c>
      <c r="B76" s="77"/>
      <c r="C76" s="77"/>
      <c r="D76" s="77"/>
      <c r="E76" s="77"/>
      <c r="F76" s="77"/>
      <c r="G76" s="77"/>
      <c r="H76" s="77"/>
    </row>
    <row r="77" spans="1:10" ht="15" customHeight="1" x14ac:dyDescent="0.3">
      <c r="A77" s="111" t="s">
        <v>104</v>
      </c>
      <c r="B77" s="111"/>
      <c r="C77" s="90" t="s">
        <v>105</v>
      </c>
      <c r="D77" s="90"/>
      <c r="E77" s="90"/>
      <c r="F77" s="90"/>
      <c r="G77" s="90"/>
      <c r="H77" s="90"/>
    </row>
    <row r="78" spans="1:10" x14ac:dyDescent="0.3">
      <c r="A78" s="112" t="s">
        <v>55</v>
      </c>
      <c r="B78" s="112"/>
      <c r="C78" s="112"/>
      <c r="D78" s="112"/>
      <c r="E78" s="112"/>
      <c r="F78" s="112"/>
      <c r="G78" s="112"/>
      <c r="H78" s="112"/>
    </row>
    <row r="79" spans="1:10" x14ac:dyDescent="0.3">
      <c r="A79" s="77" t="s">
        <v>106</v>
      </c>
      <c r="B79" s="77"/>
      <c r="C79" s="77"/>
      <c r="D79" s="77"/>
      <c r="E79" s="77"/>
      <c r="F79" s="88">
        <v>6000</v>
      </c>
      <c r="G79" s="88"/>
      <c r="H79" s="88"/>
    </row>
    <row r="80" spans="1:10" x14ac:dyDescent="0.3">
      <c r="A80" s="77" t="s">
        <v>113</v>
      </c>
      <c r="B80" s="77"/>
      <c r="C80" s="77"/>
      <c r="D80" s="77"/>
      <c r="E80" s="77"/>
      <c r="F80" s="88">
        <v>12000</v>
      </c>
      <c r="G80" s="88"/>
      <c r="H80" s="88"/>
    </row>
    <row r="81" spans="1:11" hidden="1" x14ac:dyDescent="0.3">
      <c r="A81" s="77" t="s">
        <v>114</v>
      </c>
      <c r="B81" s="77"/>
      <c r="C81" s="77"/>
      <c r="D81" s="77"/>
      <c r="E81" s="77"/>
      <c r="F81" s="88"/>
      <c r="G81" s="88"/>
      <c r="H81" s="88"/>
    </row>
    <row r="82" spans="1:11" s="12" customFormat="1" hidden="1" x14ac:dyDescent="0.25">
      <c r="A82" s="77" t="s">
        <v>129</v>
      </c>
      <c r="B82" s="77"/>
      <c r="C82" s="77"/>
      <c r="D82" s="77"/>
      <c r="E82" s="77"/>
      <c r="F82" s="88" t="s">
        <v>30</v>
      </c>
      <c r="G82" s="88"/>
      <c r="H82" s="88"/>
    </row>
    <row r="83" spans="1:11" s="12" customFormat="1" hidden="1" x14ac:dyDescent="0.25">
      <c r="A83" s="77" t="s">
        <v>130</v>
      </c>
      <c r="B83" s="77"/>
      <c r="C83" s="77"/>
      <c r="D83" s="77"/>
      <c r="E83" s="77"/>
      <c r="F83" s="88" t="s">
        <v>30</v>
      </c>
      <c r="G83" s="88"/>
      <c r="H83" s="88"/>
    </row>
    <row r="84" spans="1:11" s="12" customFormat="1" hidden="1" x14ac:dyDescent="0.25">
      <c r="A84" s="77" t="s">
        <v>131</v>
      </c>
      <c r="B84" s="77"/>
      <c r="C84" s="77"/>
      <c r="D84" s="77"/>
      <c r="E84" s="77"/>
      <c r="F84" s="88" t="s">
        <v>30</v>
      </c>
      <c r="G84" s="88"/>
      <c r="H84" s="88"/>
    </row>
    <row r="85" spans="1:11" s="12" customFormat="1" hidden="1" x14ac:dyDescent="0.25">
      <c r="A85" s="77" t="s">
        <v>132</v>
      </c>
      <c r="B85" s="77"/>
      <c r="C85" s="77"/>
      <c r="D85" s="77"/>
      <c r="E85" s="77"/>
      <c r="F85" s="88" t="s">
        <v>30</v>
      </c>
      <c r="G85" s="88"/>
      <c r="H85" s="88"/>
    </row>
    <row r="86" spans="1:11" s="12" customFormat="1" hidden="1" x14ac:dyDescent="0.25">
      <c r="A86" s="77" t="s">
        <v>133</v>
      </c>
      <c r="B86" s="77"/>
      <c r="C86" s="77"/>
      <c r="D86" s="77"/>
      <c r="E86" s="77"/>
      <c r="F86" s="88" t="s">
        <v>30</v>
      </c>
      <c r="G86" s="88"/>
      <c r="H86" s="88"/>
    </row>
    <row r="87" spans="1:11" s="12" customFormat="1" hidden="1" x14ac:dyDescent="0.25">
      <c r="A87" s="77" t="s">
        <v>134</v>
      </c>
      <c r="B87" s="77"/>
      <c r="C87" s="77"/>
      <c r="D87" s="77"/>
      <c r="E87" s="77"/>
      <c r="F87" s="88" t="s">
        <v>30</v>
      </c>
      <c r="G87" s="88"/>
      <c r="H87" s="88"/>
    </row>
    <row r="88" spans="1:11" s="12" customFormat="1" hidden="1" x14ac:dyDescent="0.25">
      <c r="A88" s="77" t="s">
        <v>135</v>
      </c>
      <c r="B88" s="77"/>
      <c r="C88" s="77"/>
      <c r="D88" s="77"/>
      <c r="E88" s="77"/>
      <c r="F88" s="88" t="s">
        <v>30</v>
      </c>
      <c r="G88" s="88"/>
      <c r="H88" s="88"/>
    </row>
    <row r="89" spans="1:11" s="12" customFormat="1" hidden="1" x14ac:dyDescent="0.25">
      <c r="A89" s="77" t="s">
        <v>136</v>
      </c>
      <c r="B89" s="77"/>
      <c r="C89" s="77"/>
      <c r="D89" s="77"/>
      <c r="E89" s="77"/>
      <c r="F89" s="88" t="s">
        <v>30</v>
      </c>
      <c r="G89" s="88"/>
      <c r="H89" s="88"/>
    </row>
    <row r="90" spans="1:11" x14ac:dyDescent="0.3">
      <c r="A90" s="77" t="s">
        <v>56</v>
      </c>
      <c r="B90" s="77"/>
      <c r="C90" s="77"/>
      <c r="D90" s="77"/>
      <c r="E90" s="77"/>
      <c r="F90" s="89" t="s">
        <v>223</v>
      </c>
      <c r="G90" s="89"/>
      <c r="H90" s="89"/>
    </row>
    <row r="91" spans="1:11" s="9" customFormat="1" x14ac:dyDescent="0.3">
      <c r="A91" s="112" t="s">
        <v>57</v>
      </c>
      <c r="B91" s="112"/>
      <c r="C91" s="112"/>
      <c r="D91" s="112"/>
      <c r="E91" s="112"/>
      <c r="F91" s="88">
        <f>F79*0.8</f>
        <v>4800</v>
      </c>
      <c r="G91" s="88"/>
      <c r="H91" s="88"/>
    </row>
    <row r="92" spans="1:11" s="1" customFormat="1" ht="15.75" customHeight="1" x14ac:dyDescent="0.3">
      <c r="A92" s="110" t="s">
        <v>107</v>
      </c>
      <c r="B92" s="110"/>
      <c r="C92" s="110"/>
      <c r="D92" s="110"/>
      <c r="E92" s="110"/>
      <c r="F92" s="110"/>
      <c r="G92" s="110"/>
      <c r="H92" s="110"/>
    </row>
    <row r="93" spans="1:11" s="1" customFormat="1" ht="15.75" customHeight="1" x14ac:dyDescent="0.3">
      <c r="A93" s="87" t="s">
        <v>58</v>
      </c>
      <c r="B93" s="87"/>
      <c r="C93" s="115" t="s">
        <v>110</v>
      </c>
      <c r="D93" s="115"/>
      <c r="E93" s="161" t="s">
        <v>59</v>
      </c>
      <c r="F93" s="161"/>
      <c r="G93" s="87" t="s">
        <v>60</v>
      </c>
      <c r="H93" s="87"/>
    </row>
    <row r="94" spans="1:11" s="1" customFormat="1" x14ac:dyDescent="0.3">
      <c r="A94" s="121" t="s">
        <v>213</v>
      </c>
      <c r="B94" s="121"/>
      <c r="C94" s="116">
        <f>COUNT(D105:D108)</f>
        <v>4</v>
      </c>
      <c r="D94" s="117"/>
      <c r="E94" s="113">
        <f>SUM(D105:D108)</f>
        <v>2556.3692700000001</v>
      </c>
      <c r="F94" s="114"/>
      <c r="G94" s="113">
        <f>SUM(F105:F108)</f>
        <v>4090.1908319999998</v>
      </c>
      <c r="H94" s="114"/>
    </row>
    <row r="95" spans="1:11" s="1" customFormat="1" x14ac:dyDescent="0.3">
      <c r="A95" s="110" t="s">
        <v>99</v>
      </c>
      <c r="B95" s="110"/>
      <c r="C95" s="110"/>
      <c r="D95" s="110"/>
      <c r="E95" s="110"/>
      <c r="F95" s="110"/>
      <c r="G95" s="110"/>
      <c r="H95" s="110"/>
    </row>
    <row r="96" spans="1:11" s="1" customFormat="1" ht="15.75" customHeight="1" x14ac:dyDescent="0.3">
      <c r="A96" s="87" t="s">
        <v>58</v>
      </c>
      <c r="B96" s="87"/>
      <c r="C96" s="115" t="s">
        <v>110</v>
      </c>
      <c r="D96" s="115"/>
      <c r="E96" s="161" t="s">
        <v>59</v>
      </c>
      <c r="F96" s="161"/>
      <c r="G96" s="87" t="s">
        <v>60</v>
      </c>
      <c r="H96" s="87"/>
      <c r="J96" s="58">
        <f>G94+G98</f>
        <v>66511.474496999974</v>
      </c>
      <c r="K96" s="58">
        <f>E94+E98</f>
        <v>44008.856189999991</v>
      </c>
    </row>
    <row r="97" spans="1:14" s="1" customFormat="1" x14ac:dyDescent="0.3">
      <c r="A97" s="121" t="s">
        <v>249</v>
      </c>
      <c r="B97" s="121"/>
      <c r="C97" s="117">
        <f>COUNT(D119:D122)+COUNT(D124:D127)*17+COUNT(D129:D132)*4</f>
        <v>88</v>
      </c>
      <c r="D97" s="117"/>
      <c r="E97" s="113">
        <f>SUM(D119:D122)+SUM(D124:D127)*17+SUM(D129:D132)*4</f>
        <v>41452.486919999988</v>
      </c>
      <c r="F97" s="114"/>
      <c r="G97" s="113">
        <f>SUM(F119:F122)+SUM(F124:F127)*17+SUM(F129:F132)*4</f>
        <v>62421.283664999974</v>
      </c>
      <c r="H97" s="114"/>
    </row>
    <row r="98" spans="1:14" s="43" customFormat="1" x14ac:dyDescent="0.3">
      <c r="A98" s="110" t="s">
        <v>62</v>
      </c>
      <c r="B98" s="110"/>
      <c r="C98" s="115">
        <f>SUM(C97:D97)</f>
        <v>88</v>
      </c>
      <c r="D98" s="115"/>
      <c r="E98" s="160">
        <f>SUM(E97:F97)</f>
        <v>41452.486919999988</v>
      </c>
      <c r="F98" s="161"/>
      <c r="G98" s="87">
        <f>SUM(G97:H97)</f>
        <v>62421.283664999974</v>
      </c>
      <c r="H98" s="87"/>
    </row>
    <row r="99" spans="1:14" s="9" customFormat="1" x14ac:dyDescent="0.3">
      <c r="A99" s="86" t="s">
        <v>63</v>
      </c>
      <c r="B99" s="86"/>
      <c r="C99" s="86"/>
      <c r="D99" s="86"/>
      <c r="E99" s="86"/>
      <c r="F99" s="86"/>
      <c r="G99" s="86"/>
      <c r="H99" s="86"/>
    </row>
    <row r="100" spans="1:14" x14ac:dyDescent="0.3">
      <c r="A100" s="86" t="s">
        <v>64</v>
      </c>
      <c r="B100" s="86"/>
      <c r="C100" s="86"/>
      <c r="D100" s="86"/>
      <c r="E100" s="86"/>
      <c r="F100" s="86"/>
      <c r="G100" s="86"/>
      <c r="H100" s="86"/>
    </row>
    <row r="101" spans="1:14" ht="47.25" customHeight="1" x14ac:dyDescent="0.3">
      <c r="A101" s="102" t="s">
        <v>160</v>
      </c>
      <c r="B101" s="102" t="s">
        <v>159</v>
      </c>
      <c r="C101" s="102" t="s">
        <v>65</v>
      </c>
      <c r="D101" s="102" t="s">
        <v>66</v>
      </c>
      <c r="E101" s="104" t="s">
        <v>67</v>
      </c>
      <c r="F101" s="34" t="s">
        <v>158</v>
      </c>
      <c r="G101" s="106" t="s">
        <v>68</v>
      </c>
      <c r="H101" s="107"/>
    </row>
    <row r="102" spans="1:14" s="2" customFormat="1" x14ac:dyDescent="0.3">
      <c r="A102" s="103"/>
      <c r="B102" s="103"/>
      <c r="C102" s="103"/>
      <c r="D102" s="103"/>
      <c r="E102" s="105"/>
      <c r="F102" s="35">
        <v>0.6</v>
      </c>
      <c r="G102" s="108"/>
      <c r="H102" s="109"/>
    </row>
    <row r="103" spans="1:14" s="2" customFormat="1" x14ac:dyDescent="0.3">
      <c r="A103" s="83" t="s">
        <v>221</v>
      </c>
      <c r="B103" s="84"/>
      <c r="C103" s="84"/>
      <c r="D103" s="84"/>
      <c r="E103" s="84"/>
      <c r="F103" s="84"/>
      <c r="G103" s="84"/>
      <c r="H103" s="85"/>
    </row>
    <row r="104" spans="1:14" s="2" customFormat="1" x14ac:dyDescent="0.3">
      <c r="A104" s="83" t="s">
        <v>243</v>
      </c>
      <c r="B104" s="84"/>
      <c r="C104" s="84"/>
      <c r="D104" s="84"/>
      <c r="E104" s="84"/>
      <c r="F104" s="84"/>
      <c r="G104" s="84"/>
      <c r="H104" s="85"/>
      <c r="J104" s="63">
        <v>10.763999999999999</v>
      </c>
    </row>
    <row r="105" spans="1:14" s="2" customFormat="1" ht="44.4" customHeight="1" x14ac:dyDescent="0.3">
      <c r="A105" s="70" t="s">
        <v>244</v>
      </c>
      <c r="B105" s="72"/>
      <c r="C105" s="36" t="s">
        <v>212</v>
      </c>
      <c r="D105" s="63">
        <f>((5.45*3.65+1.95*1.2)+(4.55*4.6+3.4*2.5+4.25*0.9+2.2*0.3+1.95*1.2+1.2*2.4+3.2*4.35+1.35*4.05+4.25*3.05+2*0.45+1.95*1.2))*10.764</f>
        <v>1043.6505300000001</v>
      </c>
      <c r="E105" s="36">
        <v>0</v>
      </c>
      <c r="F105" s="36">
        <f>D105*(($F$102)+1)+E105</f>
        <v>1669.8408480000003</v>
      </c>
      <c r="G105" s="122" t="str">
        <f>A104</f>
        <v>Ground Floor for Meter room &amp; Commercial</v>
      </c>
      <c r="H105" s="123"/>
      <c r="I105" s="37"/>
      <c r="L105" s="159"/>
      <c r="M105" s="159"/>
      <c r="N105" s="37"/>
    </row>
    <row r="106" spans="1:14" s="2" customFormat="1" ht="15.6" customHeight="1" x14ac:dyDescent="0.3">
      <c r="A106" s="70" t="s">
        <v>205</v>
      </c>
      <c r="B106" s="72"/>
      <c r="C106" s="36" t="s">
        <v>212</v>
      </c>
      <c r="D106" s="63">
        <f>(3.2*4.6+1.2*1.95)*10.764</f>
        <v>183.63383999999996</v>
      </c>
      <c r="E106" s="36">
        <v>0</v>
      </c>
      <c r="F106" s="36">
        <f t="shared" ref="F106:F107" si="0">D106*(($F$102)+1)+E106</f>
        <v>293.81414399999994</v>
      </c>
      <c r="G106" s="124"/>
      <c r="H106" s="125"/>
      <c r="I106" s="37"/>
      <c r="L106" s="159"/>
      <c r="M106" s="159"/>
      <c r="N106" s="37"/>
    </row>
    <row r="107" spans="1:14" s="2" customFormat="1" ht="15.6" customHeight="1" x14ac:dyDescent="0.3">
      <c r="A107" s="70" t="s">
        <v>206</v>
      </c>
      <c r="B107" s="72"/>
      <c r="C107" s="36" t="s">
        <v>212</v>
      </c>
      <c r="D107" s="63">
        <f>(2.9*4.6+1.2*1.95)*10.764</f>
        <v>168.77951999999996</v>
      </c>
      <c r="E107" s="36">
        <v>0</v>
      </c>
      <c r="F107" s="36">
        <f t="shared" si="0"/>
        <v>270.04723199999995</v>
      </c>
      <c r="G107" s="124"/>
      <c r="H107" s="125"/>
      <c r="I107" s="37"/>
      <c r="L107" s="159"/>
      <c r="M107" s="159"/>
      <c r="N107" s="37"/>
    </row>
    <row r="108" spans="1:14" s="2" customFormat="1" ht="30.9" customHeight="1" x14ac:dyDescent="0.3">
      <c r="A108" s="70" t="s">
        <v>245</v>
      </c>
      <c r="B108" s="72"/>
      <c r="C108" s="36" t="s">
        <v>212</v>
      </c>
      <c r="D108" s="63">
        <f>((2*0.4+5.45*3.65+1.95*1.2)+(7.7*2.45+8.5*0.9+6.55*0.3+2*1.2+4.25*4.35+3.05*2.9+5.35*4.35+1.95*0.45+2*1.2))*10.764</f>
        <v>1160.3053799999998</v>
      </c>
      <c r="E108" s="36">
        <v>0</v>
      </c>
      <c r="F108" s="36">
        <f>D108*(($F$102)+1)+E108</f>
        <v>1856.4886079999997</v>
      </c>
      <c r="G108" s="124"/>
      <c r="H108" s="125"/>
      <c r="I108" s="37"/>
      <c r="L108" s="159"/>
      <c r="M108" s="159"/>
      <c r="N108" s="37"/>
    </row>
    <row r="109" spans="1:14" s="2" customFormat="1" x14ac:dyDescent="0.3">
      <c r="A109" s="83" t="s">
        <v>255</v>
      </c>
      <c r="B109" s="84"/>
      <c r="C109" s="84"/>
      <c r="D109" s="84"/>
      <c r="E109" s="84"/>
      <c r="F109" s="84"/>
      <c r="G109" s="84"/>
      <c r="H109" s="85"/>
      <c r="J109" s="63">
        <v>10.763999999999999</v>
      </c>
    </row>
    <row r="110" spans="1:14" s="2" customFormat="1" x14ac:dyDescent="0.3">
      <c r="A110" s="70"/>
      <c r="B110" s="71"/>
      <c r="C110" s="71"/>
      <c r="D110" s="71"/>
      <c r="E110" s="71"/>
      <c r="F110" s="71"/>
      <c r="G110" s="71"/>
      <c r="H110" s="72"/>
      <c r="I110" s="37"/>
      <c r="N110" s="37"/>
    </row>
    <row r="111" spans="1:14" ht="47.25" customHeight="1" x14ac:dyDescent="0.3">
      <c r="A111" s="106" t="s">
        <v>161</v>
      </c>
      <c r="B111" s="107"/>
      <c r="C111" s="102" t="s">
        <v>65</v>
      </c>
      <c r="D111" s="102" t="s">
        <v>66</v>
      </c>
      <c r="E111" s="104" t="s">
        <v>67</v>
      </c>
      <c r="F111" s="34" t="s">
        <v>158</v>
      </c>
      <c r="G111" s="106" t="s">
        <v>68</v>
      </c>
      <c r="H111" s="107"/>
      <c r="I111" s="37"/>
    </row>
    <row r="112" spans="1:14" s="2" customFormat="1" x14ac:dyDescent="0.3">
      <c r="A112" s="108"/>
      <c r="B112" s="109"/>
      <c r="C112" s="103"/>
      <c r="D112" s="103"/>
      <c r="E112" s="105"/>
      <c r="F112" s="35">
        <v>0.5</v>
      </c>
      <c r="G112" s="108"/>
      <c r="H112" s="109"/>
      <c r="I112" s="37"/>
    </row>
    <row r="113" spans="1:14" s="2" customFormat="1" hidden="1" x14ac:dyDescent="0.3">
      <c r="A113" s="120" t="s">
        <v>208</v>
      </c>
      <c r="B113" s="120"/>
      <c r="C113" s="120"/>
      <c r="D113" s="120"/>
      <c r="E113" s="120"/>
      <c r="F113" s="120"/>
      <c r="G113" s="120"/>
      <c r="H113" s="120"/>
      <c r="I113" s="37"/>
      <c r="L113" s="159"/>
      <c r="M113" s="159"/>
    </row>
    <row r="114" spans="1:14" s="2" customFormat="1" hidden="1" x14ac:dyDescent="0.3">
      <c r="A114" s="36">
        <f>LEFT(A113,SUM(LEN(A113)-LEN(SUBSTITUTE(A113,{"0","1","2","3","4","5","6","7","8","9"},""))))*100+1</f>
        <v>101</v>
      </c>
      <c r="B114" s="59" t="s">
        <v>209</v>
      </c>
      <c r="C114" s="36" t="s">
        <v>207</v>
      </c>
      <c r="D114" s="36">
        <f>(34.19)*10.764</f>
        <v>368.02115999999995</v>
      </c>
      <c r="E114" s="36">
        <f>8.8*1.55*10.764</f>
        <v>146.82096000000001</v>
      </c>
      <c r="F114" s="36">
        <f>D114*(($F$112)+1)+E114</f>
        <v>698.85269999999991</v>
      </c>
      <c r="G114" s="69" t="str">
        <f>A113</f>
        <v>1st Floor</v>
      </c>
      <c r="H114" s="69"/>
      <c r="I114" s="37"/>
      <c r="N114" s="37"/>
    </row>
    <row r="115" spans="1:14" s="2" customFormat="1" hidden="1" x14ac:dyDescent="0.3">
      <c r="A115" s="36">
        <v>102</v>
      </c>
      <c r="B115" s="59" t="s">
        <v>209</v>
      </c>
      <c r="C115" s="36" t="s">
        <v>207</v>
      </c>
      <c r="D115" s="36">
        <f>(34.19+(0.6*(2.9+2.4+2.9)))*10.764</f>
        <v>420.98003999999997</v>
      </c>
      <c r="E115" s="36">
        <v>0</v>
      </c>
      <c r="F115" s="36">
        <f>D115*(($F$112)+1)+E115/2</f>
        <v>631.47005999999999</v>
      </c>
      <c r="G115" s="69"/>
      <c r="H115" s="69"/>
      <c r="I115" s="37"/>
      <c r="N115" s="37"/>
    </row>
    <row r="116" spans="1:14" s="2" customFormat="1" hidden="1" x14ac:dyDescent="0.3">
      <c r="A116" s="36">
        <v>103</v>
      </c>
      <c r="B116" s="59" t="s">
        <v>209</v>
      </c>
      <c r="C116" s="36" t="s">
        <v>207</v>
      </c>
      <c r="D116" s="36">
        <f>(36.34+(0.6*(2.9+2.4+3.2)))*10.764</f>
        <v>446.06016000000005</v>
      </c>
      <c r="E116" s="36">
        <v>0</v>
      </c>
      <c r="F116" s="36">
        <f t="shared" ref="F116" si="1">D116*(($F$112)+1)+E116</f>
        <v>669.09024000000011</v>
      </c>
      <c r="G116" s="69"/>
      <c r="H116" s="69"/>
      <c r="I116" s="37"/>
      <c r="N116" s="37"/>
    </row>
    <row r="117" spans="1:14" s="2" customFormat="1" hidden="1" x14ac:dyDescent="0.3">
      <c r="A117" s="36">
        <v>104</v>
      </c>
      <c r="B117" s="59" t="s">
        <v>209</v>
      </c>
      <c r="C117" s="36" t="s">
        <v>207</v>
      </c>
      <c r="D117" s="36">
        <f>(36.34)*10.764</f>
        <v>391.16376000000002</v>
      </c>
      <c r="E117" s="36">
        <f>9.1*1.55*10.764</f>
        <v>151.82622000000001</v>
      </c>
      <c r="F117" s="36">
        <f>D117*(($F$112)+1)+E117/2</f>
        <v>662.65875000000005</v>
      </c>
      <c r="G117" s="69"/>
      <c r="H117" s="69"/>
      <c r="I117" s="37"/>
      <c r="N117" s="37"/>
    </row>
    <row r="118" spans="1:14" s="2" customFormat="1" x14ac:dyDescent="0.3">
      <c r="A118" s="120" t="s">
        <v>246</v>
      </c>
      <c r="B118" s="120"/>
      <c r="C118" s="120"/>
      <c r="D118" s="120"/>
      <c r="E118" s="120"/>
      <c r="F118" s="120"/>
      <c r="G118" s="120"/>
      <c r="H118" s="120"/>
      <c r="I118" s="37"/>
      <c r="L118" s="159"/>
      <c r="M118" s="159"/>
    </row>
    <row r="119" spans="1:14" s="2" customFormat="1" x14ac:dyDescent="0.3">
      <c r="A119" s="36">
        <v>1</v>
      </c>
      <c r="B119" s="59" t="s">
        <v>248</v>
      </c>
      <c r="C119" s="36" t="s">
        <v>207</v>
      </c>
      <c r="D119" s="63">
        <f>(28.72+1*(2.4+2.9)+1.65*2.9)*10.764</f>
        <v>417.6970199999999</v>
      </c>
      <c r="E119" s="63">
        <f>(5.55*1.75+2.95*1.8)*10.764</f>
        <v>161.70219</v>
      </c>
      <c r="F119" s="36">
        <f>D119*(($F$112)+1)+E119</f>
        <v>788.24771999999984</v>
      </c>
      <c r="G119" s="69" t="str">
        <f>A118</f>
        <v>2nd Floor for Residential</v>
      </c>
      <c r="H119" s="69"/>
      <c r="I119" s="37">
        <f>2.9*3.35+2.4*2.05+2.9*2.05+1.95*0.45+2*1.2+1.2*2+1*(2.4+2.9)+1.65*2.9</f>
        <v>36.342499999999994</v>
      </c>
      <c r="J119" s="2">
        <f>2.9*3.35+2.4*2.05+2.9*2.05+1.95*0.45+2*1.2+1.2*2</f>
        <v>26.257499999999997</v>
      </c>
      <c r="N119" s="37"/>
    </row>
    <row r="120" spans="1:14" s="2" customFormat="1" x14ac:dyDescent="0.3">
      <c r="A120" s="36">
        <f>A119+1</f>
        <v>2</v>
      </c>
      <c r="B120" s="59" t="s">
        <v>248</v>
      </c>
      <c r="C120" s="36" t="s">
        <v>207</v>
      </c>
      <c r="D120" s="63">
        <f>(28.72+1*(2.4+2.9)+1.65*2.9+0.6*(2.9+2.9)+0.75*2.4)*10.764</f>
        <v>474.53093999999982</v>
      </c>
      <c r="E120" s="63">
        <v>0</v>
      </c>
      <c r="F120" s="36">
        <f>D120*(($F$112)+1)+E120/2</f>
        <v>711.7964099999997</v>
      </c>
      <c r="G120" s="69"/>
      <c r="H120" s="69"/>
      <c r="I120" s="37"/>
      <c r="N120" s="37"/>
    </row>
    <row r="121" spans="1:14" s="2" customFormat="1" x14ac:dyDescent="0.3">
      <c r="A121" s="36">
        <f t="shared" ref="A121:A122" si="2">A120+1</f>
        <v>3</v>
      </c>
      <c r="B121" s="59" t="s">
        <v>248</v>
      </c>
      <c r="C121" s="36" t="s">
        <v>207</v>
      </c>
      <c r="D121" s="63">
        <f>(28.08+1*(2.4+2.9)+1.45*3.2+0.6*(3.2+2.9)+0.75*2.4)*10.764</f>
        <v>468.01871999999986</v>
      </c>
      <c r="E121" s="63">
        <v>0</v>
      </c>
      <c r="F121" s="36">
        <f t="shared" ref="F121" si="3">D121*(($F$112)+1)+E121</f>
        <v>702.02807999999982</v>
      </c>
      <c r="G121" s="69"/>
      <c r="H121" s="69"/>
      <c r="I121" s="37"/>
      <c r="N121" s="37"/>
    </row>
    <row r="122" spans="1:14" s="2" customFormat="1" x14ac:dyDescent="0.3">
      <c r="A122" s="36">
        <f t="shared" si="2"/>
        <v>4</v>
      </c>
      <c r="B122" s="59" t="s">
        <v>248</v>
      </c>
      <c r="C122" s="36" t="s">
        <v>207</v>
      </c>
      <c r="D122" s="63">
        <f>(28.92+1*(2.4+2.9)+1.45*2.9)*10.764</f>
        <v>413.60669999999993</v>
      </c>
      <c r="E122" s="63">
        <f>(5.55*1.75+2.95*1.8)*10.764</f>
        <v>161.70219</v>
      </c>
      <c r="F122" s="36">
        <f>D122*(($F$112)+1)+E122/2</f>
        <v>701.26114499999994</v>
      </c>
      <c r="G122" s="69"/>
      <c r="H122" s="69"/>
      <c r="I122" s="37"/>
      <c r="N122" s="37"/>
    </row>
    <row r="123" spans="1:14" s="2" customFormat="1" x14ac:dyDescent="0.3">
      <c r="A123" s="120" t="s">
        <v>247</v>
      </c>
      <c r="B123" s="120"/>
      <c r="C123" s="120"/>
      <c r="D123" s="120"/>
      <c r="E123" s="120"/>
      <c r="F123" s="120"/>
      <c r="G123" s="120"/>
      <c r="H123" s="120"/>
      <c r="I123" s="37"/>
      <c r="L123" s="159"/>
      <c r="M123" s="159"/>
    </row>
    <row r="124" spans="1:14" s="2" customFormat="1" x14ac:dyDescent="0.3">
      <c r="A124" s="36">
        <v>1</v>
      </c>
      <c r="B124" s="59" t="s">
        <v>248</v>
      </c>
      <c r="C124" s="36" t="s">
        <v>207</v>
      </c>
      <c r="D124" s="63">
        <f>(28.72+1*(2.4+2.9)+1.65*2.9+0.6*(2.9+2.9)+0.75*2.4)*10.764</f>
        <v>474.53093999999982</v>
      </c>
      <c r="E124" s="36">
        <v>0</v>
      </c>
      <c r="F124" s="36">
        <f>D124*(($F$112)+1)+E124</f>
        <v>711.7964099999997</v>
      </c>
      <c r="G124" s="69" t="str">
        <f>A123</f>
        <v>3rd to 7th, 9th to 11th, 13th to 15th, 17th to 19th &amp; 21st to 23rd Floor</v>
      </c>
      <c r="H124" s="69"/>
      <c r="I124" s="37"/>
      <c r="N124" s="37"/>
    </row>
    <row r="125" spans="1:14" s="2" customFormat="1" x14ac:dyDescent="0.3">
      <c r="A125" s="36">
        <f>A124+1</f>
        <v>2</v>
      </c>
      <c r="B125" s="59" t="s">
        <v>248</v>
      </c>
      <c r="C125" s="36" t="s">
        <v>207</v>
      </c>
      <c r="D125" s="63">
        <f>(28.72+1*(2.4+2.9)+1.65*2.9+0.6*(2.9+2.9)+0.75*2.4)*10.764</f>
        <v>474.53093999999982</v>
      </c>
      <c r="E125" s="36">
        <v>0</v>
      </c>
      <c r="F125" s="36">
        <f>D125*(($F$112)+1)+E125/2</f>
        <v>711.7964099999997</v>
      </c>
      <c r="G125" s="69"/>
      <c r="H125" s="69"/>
      <c r="I125" s="37"/>
      <c r="N125" s="37"/>
    </row>
    <row r="126" spans="1:14" s="2" customFormat="1" x14ac:dyDescent="0.3">
      <c r="A126" s="36">
        <f t="shared" ref="A126:A127" si="4">A125+1</f>
        <v>3</v>
      </c>
      <c r="B126" s="59" t="s">
        <v>248</v>
      </c>
      <c r="C126" s="36" t="s">
        <v>207</v>
      </c>
      <c r="D126" s="63">
        <f>(28.08+1*(2.4+2.9)+1.45*3.2+0.6*(3.2+2.9)+0.75*2.4)*10.764</f>
        <v>468.01871999999986</v>
      </c>
      <c r="E126" s="36">
        <v>0</v>
      </c>
      <c r="F126" s="36">
        <f t="shared" ref="F126" si="5">D126*(($F$112)+1)+E126</f>
        <v>702.02807999999982</v>
      </c>
      <c r="G126" s="69"/>
      <c r="H126" s="69"/>
      <c r="I126" s="37"/>
      <c r="N126" s="37"/>
    </row>
    <row r="127" spans="1:14" s="2" customFormat="1" x14ac:dyDescent="0.3">
      <c r="A127" s="36">
        <f t="shared" si="4"/>
        <v>4</v>
      </c>
      <c r="B127" s="59" t="s">
        <v>248</v>
      </c>
      <c r="C127" s="36" t="s">
        <v>207</v>
      </c>
      <c r="D127" s="63">
        <f>(28.92+1*(2.4+2.9)+1.45*2.9+0.6*(3.2+2.9)+0.75*2.4)*10.764</f>
        <v>472.37813999999986</v>
      </c>
      <c r="E127" s="36">
        <v>0</v>
      </c>
      <c r="F127" s="36">
        <f>D127*(($F$112)+1)+E127/2</f>
        <v>708.56720999999982</v>
      </c>
      <c r="G127" s="69"/>
      <c r="H127" s="69"/>
      <c r="I127" s="37"/>
      <c r="N127" s="37"/>
    </row>
    <row r="128" spans="1:14" s="2" customFormat="1" x14ac:dyDescent="0.3">
      <c r="A128" s="120" t="s">
        <v>254</v>
      </c>
      <c r="B128" s="120"/>
      <c r="C128" s="120"/>
      <c r="D128" s="120"/>
      <c r="E128" s="120"/>
      <c r="F128" s="120"/>
      <c r="G128" s="120"/>
      <c r="H128" s="120"/>
      <c r="I128" s="37"/>
      <c r="L128" s="159"/>
      <c r="M128" s="159"/>
    </row>
    <row r="129" spans="1:16" s="2" customFormat="1" x14ac:dyDescent="0.3">
      <c r="A129" s="36">
        <v>1</v>
      </c>
      <c r="B129" s="59" t="s">
        <v>248</v>
      </c>
      <c r="C129" s="36" t="s">
        <v>207</v>
      </c>
      <c r="D129" s="63">
        <f>(28.72+1*(2.4+2.9)+1.65*2.9+0.6*(2.9+2.9)+0.75*2.4)*10.764</f>
        <v>474.53093999999982</v>
      </c>
      <c r="E129" s="36">
        <v>0</v>
      </c>
      <c r="F129" s="36">
        <f>D129*(($F$112)+1)+E129</f>
        <v>711.7964099999997</v>
      </c>
      <c r="G129" s="69" t="str">
        <f>A128</f>
        <v>8th, 12th, 16th &amp; 20th Floor (Part Refuge Area @ Mid Landing of Staircase)</v>
      </c>
      <c r="H129" s="69"/>
      <c r="I129" s="37"/>
      <c r="N129" s="37"/>
    </row>
    <row r="130" spans="1:16" s="2" customFormat="1" x14ac:dyDescent="0.3">
      <c r="A130" s="36">
        <f>A129+1</f>
        <v>2</v>
      </c>
      <c r="B130" s="59" t="s">
        <v>248</v>
      </c>
      <c r="C130" s="36" t="s">
        <v>207</v>
      </c>
      <c r="D130" s="63">
        <f>(28.72+1*(2.4+2.9)+1.65*2.9+0.6*(2.9+2.9)+0.75*2.4)*10.764</f>
        <v>474.53093999999982</v>
      </c>
      <c r="E130" s="36">
        <v>0</v>
      </c>
      <c r="F130" s="36">
        <f>D130*(($F$112)+1)+E130/2</f>
        <v>711.7964099999997</v>
      </c>
      <c r="G130" s="69"/>
      <c r="H130" s="69"/>
      <c r="I130" s="37"/>
      <c r="N130" s="37"/>
    </row>
    <row r="131" spans="1:16" s="2" customFormat="1" x14ac:dyDescent="0.3">
      <c r="A131" s="36">
        <f t="shared" ref="A131:A132" si="6">A130+1</f>
        <v>3</v>
      </c>
      <c r="B131" s="59" t="s">
        <v>248</v>
      </c>
      <c r="C131" s="36" t="s">
        <v>207</v>
      </c>
      <c r="D131" s="63">
        <f>(28.08+1*(2.4+2.9)+1.45*3.2+0.6*(3.2+2.9)+0.75*2.4)*10.764</f>
        <v>468.01871999999986</v>
      </c>
      <c r="E131" s="36">
        <v>0</v>
      </c>
      <c r="F131" s="36">
        <f t="shared" ref="F131" si="7">D131*(($F$112)+1)+E131</f>
        <v>702.02807999999982</v>
      </c>
      <c r="G131" s="69"/>
      <c r="H131" s="69"/>
      <c r="I131" s="37"/>
      <c r="N131" s="37"/>
    </row>
    <row r="132" spans="1:16" s="2" customFormat="1" x14ac:dyDescent="0.3">
      <c r="A132" s="36">
        <f t="shared" si="6"/>
        <v>4</v>
      </c>
      <c r="B132" s="59" t="s">
        <v>248</v>
      </c>
      <c r="C132" s="36" t="s">
        <v>207</v>
      </c>
      <c r="D132" s="63">
        <f>(28.92+1*(2.4+2.9)+1.45*2.9+0.6*(3.2+2.9)+0.75*2.4)*10.764</f>
        <v>472.37813999999986</v>
      </c>
      <c r="E132" s="36">
        <v>0</v>
      </c>
      <c r="F132" s="36">
        <f>D132*(($F$112)+1)+E132/2</f>
        <v>708.56720999999982</v>
      </c>
      <c r="G132" s="69"/>
      <c r="H132" s="69"/>
      <c r="I132" s="37"/>
      <c r="N132" s="37"/>
    </row>
    <row r="133" spans="1:16" s="2" customFormat="1" ht="15.75" hidden="1" customHeight="1" x14ac:dyDescent="0.3">
      <c r="A133" s="129" t="s">
        <v>237</v>
      </c>
      <c r="B133" s="129"/>
      <c r="C133" s="129"/>
      <c r="D133" s="129"/>
      <c r="E133" s="129"/>
      <c r="F133" s="129"/>
      <c r="G133" s="129"/>
      <c r="H133" s="129"/>
      <c r="I133" s="37"/>
    </row>
    <row r="134" spans="1:16" s="2" customFormat="1" ht="15.6" hidden="1" customHeight="1" x14ac:dyDescent="0.3">
      <c r="A134" s="36" t="str">
        <f t="shared" ref="A134" ca="1" si="8">N134</f>
        <v>201,..,1801</v>
      </c>
      <c r="B134" s="59" t="s">
        <v>209</v>
      </c>
      <c r="C134" s="36" t="s">
        <v>207</v>
      </c>
      <c r="D134" s="36">
        <f>(34.19+(0.6*(2.9+2.4+2.9)))*10.764</f>
        <v>420.98003999999997</v>
      </c>
      <c r="E134" s="36">
        <v>0</v>
      </c>
      <c r="F134" s="36">
        <f t="shared" ref="F134:F137" si="9">D134*(($F$112)+1)+E134</f>
        <v>631.47005999999999</v>
      </c>
      <c r="G134" s="69" t="str">
        <f>A133</f>
        <v>2nd to 7th, 9th to 11th, 13th to 15th, 17th &amp; 18th Floor</v>
      </c>
      <c r="H134" s="69"/>
      <c r="I134" s="37">
        <f>3656000/F134</f>
        <v>5789.6648338323439</v>
      </c>
      <c r="N134" s="2" t="str">
        <f t="shared" ref="N134:N137" ca="1" si="10">O134&amp;""&amp;",..,"&amp;""&amp;P134</f>
        <v>201,..,1801</v>
      </c>
      <c r="O134" s="2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10^ROW(INDIRECT("1:"&amp;LEN((LEFT(A133,SUM(LEN(A133)-LEN(SUBSTITUTE(A133,{"0","1","2"},""))))))))/10))*100+1</f>
        <v>201</v>
      </c>
      <c r="P134" s="2">
        <f ca="1">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",LEN(A133))),LEN(A133)))))))/10))*100+1</f>
        <v>1801</v>
      </c>
    </row>
    <row r="135" spans="1:16" s="2" customFormat="1" ht="15.6" hidden="1" customHeight="1" x14ac:dyDescent="0.3">
      <c r="A135" s="36" t="str">
        <f t="shared" ref="A135:A137" ca="1" si="11">N135</f>
        <v>202,..,1802</v>
      </c>
      <c r="B135" s="59" t="s">
        <v>209</v>
      </c>
      <c r="C135" s="36" t="s">
        <v>207</v>
      </c>
      <c r="D135" s="36">
        <f>(34.19+(0.6*(2.9+2.4+2.9)))*10.764</f>
        <v>420.98003999999997</v>
      </c>
      <c r="E135" s="36">
        <v>0</v>
      </c>
      <c r="F135" s="36">
        <f t="shared" si="9"/>
        <v>631.47005999999999</v>
      </c>
      <c r="G135" s="69"/>
      <c r="H135" s="69"/>
      <c r="I135" s="37"/>
      <c r="N135" s="2" t="str">
        <f t="shared" ca="1" si="10"/>
        <v>202,..,1802</v>
      </c>
      <c r="O135" s="2">
        <f t="shared" ref="O135:P137" ca="1" si="12">O134+1</f>
        <v>202</v>
      </c>
      <c r="P135" s="2">
        <f t="shared" ca="1" si="12"/>
        <v>1802</v>
      </c>
    </row>
    <row r="136" spans="1:16" s="2" customFormat="1" ht="15.6" hidden="1" customHeight="1" x14ac:dyDescent="0.3">
      <c r="A136" s="36" t="str">
        <f t="shared" ca="1" si="11"/>
        <v>203,..,1803</v>
      </c>
      <c r="B136" s="59" t="s">
        <v>209</v>
      </c>
      <c r="C136" s="36" t="s">
        <v>207</v>
      </c>
      <c r="D136" s="36">
        <f>(36.34+(0.6*(2.9+2.4+3.2)))*10.764</f>
        <v>446.06016000000005</v>
      </c>
      <c r="E136" s="36">
        <v>0</v>
      </c>
      <c r="F136" s="36">
        <f t="shared" si="9"/>
        <v>669.09024000000011</v>
      </c>
      <c r="G136" s="69"/>
      <c r="H136" s="69"/>
      <c r="I136" s="37">
        <f>4544000/F136</f>
        <v>6791.3111391372249</v>
      </c>
      <c r="N136" s="2" t="str">
        <f t="shared" ca="1" si="10"/>
        <v>203,..,1803</v>
      </c>
      <c r="O136" s="2">
        <f t="shared" ca="1" si="12"/>
        <v>203</v>
      </c>
      <c r="P136" s="2">
        <f t="shared" ca="1" si="12"/>
        <v>1803</v>
      </c>
    </row>
    <row r="137" spans="1:16" s="2" customFormat="1" ht="15.6" hidden="1" customHeight="1" x14ac:dyDescent="0.3">
      <c r="A137" s="36" t="str">
        <f t="shared" ca="1" si="11"/>
        <v>204,..,1804</v>
      </c>
      <c r="B137" s="59" t="s">
        <v>209</v>
      </c>
      <c r="C137" s="36" t="s">
        <v>207</v>
      </c>
      <c r="D137" s="36">
        <f>(36.34+(0.6*(2.9+2.4+3.2)))*10.764</f>
        <v>446.06016000000005</v>
      </c>
      <c r="E137" s="36">
        <v>0</v>
      </c>
      <c r="F137" s="36">
        <f t="shared" si="9"/>
        <v>669.09024000000011</v>
      </c>
      <c r="G137" s="69"/>
      <c r="H137" s="69"/>
      <c r="I137" s="37">
        <f>3760000/F137</f>
        <v>5619.5708369621407</v>
      </c>
      <c r="N137" s="2" t="str">
        <f t="shared" ca="1" si="10"/>
        <v>204,..,1804</v>
      </c>
      <c r="O137" s="2">
        <f t="shared" ca="1" si="12"/>
        <v>204</v>
      </c>
      <c r="P137" s="2">
        <f t="shared" ca="1" si="12"/>
        <v>1804</v>
      </c>
    </row>
    <row r="138" spans="1:16" s="2" customFormat="1" ht="15.75" hidden="1" customHeight="1" x14ac:dyDescent="0.3">
      <c r="A138" s="120" t="s">
        <v>222</v>
      </c>
      <c r="B138" s="120"/>
      <c r="C138" s="120"/>
      <c r="D138" s="120"/>
      <c r="E138" s="120"/>
      <c r="F138" s="120"/>
      <c r="G138" s="120"/>
      <c r="H138" s="120"/>
      <c r="I138" s="37"/>
    </row>
    <row r="139" spans="1:16" s="2" customFormat="1" ht="15.6" hidden="1" customHeight="1" x14ac:dyDescent="0.3">
      <c r="A139" s="36" t="str">
        <f t="shared" ref="A139:A141" ca="1" si="13">N139</f>
        <v>801,..,1601</v>
      </c>
      <c r="B139" s="59" t="s">
        <v>209</v>
      </c>
      <c r="C139" s="36" t="s">
        <v>207</v>
      </c>
      <c r="D139" s="36">
        <f>(34.19+(0.6*(2.9+2.4+2.9)))*10.764</f>
        <v>420.98003999999997</v>
      </c>
      <c r="E139" s="36">
        <v>0</v>
      </c>
      <c r="F139" s="36">
        <f t="shared" ref="F139:F141" si="14">D139*(($F$112)+1)+E139</f>
        <v>631.47005999999999</v>
      </c>
      <c r="G139" s="122" t="str">
        <f>A138</f>
        <v>8th, 12th &amp; 16th Floor (Part Refuge Area)</v>
      </c>
      <c r="H139" s="123"/>
      <c r="I139" s="37"/>
      <c r="N139" s="2" t="str">
        <f t="shared" ref="N139:N141" ca="1" si="15">O139&amp;""&amp;",..,"&amp;""&amp;P139</f>
        <v>801,..,1601</v>
      </c>
      <c r="O139" s="2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10^ROW(INDIRECT("1:"&amp;LEN((LEFT(A138,SUM(LEN(A138)-LEN(SUBSTITUTE(A138,{"0","1","2"},""))))))))/10))*100+1</f>
        <v>801</v>
      </c>
      <c r="P139" s="2">
        <f ca="1">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",LEN(A138))),LEN(A138)))))))/10))*100+1</f>
        <v>1601</v>
      </c>
    </row>
    <row r="140" spans="1:16" s="2" customFormat="1" ht="15.6" hidden="1" customHeight="1" x14ac:dyDescent="0.3">
      <c r="A140" s="36" t="str">
        <f t="shared" ca="1" si="13"/>
        <v>802,..,1602</v>
      </c>
      <c r="B140" s="59" t="s">
        <v>209</v>
      </c>
      <c r="C140" s="36" t="s">
        <v>207</v>
      </c>
      <c r="D140" s="36">
        <f>(34.19+(0.6*(2.9+2.4+2.9)))*10.764</f>
        <v>420.98003999999997</v>
      </c>
      <c r="E140" s="36">
        <v>0</v>
      </c>
      <c r="F140" s="36">
        <f t="shared" si="14"/>
        <v>631.47005999999999</v>
      </c>
      <c r="G140" s="124"/>
      <c r="H140" s="125"/>
      <c r="I140" s="37"/>
      <c r="N140" s="2" t="str">
        <f t="shared" ca="1" si="15"/>
        <v>802,..,1602</v>
      </c>
      <c r="O140" s="2">
        <f t="shared" ref="O140:P140" ca="1" si="16">O139+1</f>
        <v>802</v>
      </c>
      <c r="P140" s="2">
        <f t="shared" ca="1" si="16"/>
        <v>1602</v>
      </c>
    </row>
    <row r="141" spans="1:16" s="2" customFormat="1" ht="15.6" hidden="1" customHeight="1" x14ac:dyDescent="0.3">
      <c r="A141" s="36" t="str">
        <f t="shared" ca="1" si="13"/>
        <v>803,..,1603</v>
      </c>
      <c r="B141" s="59" t="s">
        <v>209</v>
      </c>
      <c r="C141" s="36" t="s">
        <v>207</v>
      </c>
      <c r="D141" s="36">
        <f>(36.34+(0.6*(2.9+2.4+3.2)))*10.764</f>
        <v>446.06016000000005</v>
      </c>
      <c r="E141" s="36">
        <v>0</v>
      </c>
      <c r="F141" s="36">
        <f t="shared" si="14"/>
        <v>669.09024000000011</v>
      </c>
      <c r="G141" s="124"/>
      <c r="H141" s="125"/>
      <c r="I141" s="37"/>
      <c r="N141" s="2" t="str">
        <f t="shared" ca="1" si="15"/>
        <v>803,..,1603</v>
      </c>
      <c r="O141" s="2">
        <f t="shared" ref="O141:P142" ca="1" si="17">O140+1</f>
        <v>803</v>
      </c>
      <c r="P141" s="2">
        <f t="shared" ca="1" si="17"/>
        <v>1603</v>
      </c>
    </row>
    <row r="142" spans="1:16" s="2" customFormat="1" ht="15.6" hidden="1" customHeight="1" x14ac:dyDescent="0.3">
      <c r="A142" s="36" t="str">
        <f t="shared" ref="A142" ca="1" si="18">N142</f>
        <v>804,..,1604</v>
      </c>
      <c r="B142" s="70" t="s">
        <v>238</v>
      </c>
      <c r="C142" s="71"/>
      <c r="D142" s="71"/>
      <c r="E142" s="71"/>
      <c r="F142" s="72"/>
      <c r="G142" s="126"/>
      <c r="H142" s="127"/>
      <c r="I142" s="37"/>
      <c r="N142" s="2" t="str">
        <f t="shared" ref="N142" ca="1" si="19">O142&amp;""&amp;",..,"&amp;""&amp;P142</f>
        <v>804,..,1604</v>
      </c>
      <c r="O142" s="2">
        <f t="shared" ca="1" si="17"/>
        <v>804</v>
      </c>
      <c r="P142" s="2">
        <f t="shared" ca="1" si="17"/>
        <v>1604</v>
      </c>
    </row>
    <row r="143" spans="1:16" s="2" customFormat="1" ht="15.75" hidden="1" customHeight="1" x14ac:dyDescent="0.3">
      <c r="A143" s="120" t="s">
        <v>210</v>
      </c>
      <c r="B143" s="120"/>
      <c r="C143" s="120"/>
      <c r="D143" s="120"/>
      <c r="E143" s="120"/>
      <c r="F143" s="120"/>
      <c r="G143" s="120"/>
      <c r="H143" s="120"/>
      <c r="I143" s="37"/>
    </row>
    <row r="144" spans="1:16" s="2" customFormat="1" ht="15.75" hidden="1" customHeight="1" x14ac:dyDescent="0.3">
      <c r="A144" s="36">
        <v>2001</v>
      </c>
      <c r="B144" s="36" t="s">
        <v>211</v>
      </c>
      <c r="C144" s="36" t="s">
        <v>207</v>
      </c>
      <c r="D144" s="36">
        <f>(34.19+(0.6*(2.9+2.4+2.9)))*10.764</f>
        <v>420.98003999999997</v>
      </c>
      <c r="E144" s="36">
        <v>0</v>
      </c>
      <c r="F144" s="36">
        <f t="shared" ref="F144:F146" si="20">D144*(($F$112)+1)+E144</f>
        <v>631.47005999999999</v>
      </c>
      <c r="G144" s="122" t="str">
        <f>A143</f>
        <v xml:space="preserve"> 20th Floor (Part Refuge Area)</v>
      </c>
      <c r="H144" s="123"/>
      <c r="I144" s="37"/>
      <c r="N144" s="2" t="str">
        <f t="shared" ref="N144:N146" ca="1" si="21">O144&amp;""&amp;",..,"&amp;""&amp;P144</f>
        <v>201,..,2001</v>
      </c>
      <c r="O144" s="2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10^ROW(INDIRECT("1:"&amp;LEN((LEFT(A143,SUM(LEN(A143)-LEN(SUBSTITUTE(A143,{"0","1","2"},""))))))))/10))*100+1</f>
        <v>201</v>
      </c>
      <c r="P144" s="2">
        <f ca="1">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",LEN(A143))),LEN(A143)))))))/10))*100+1</f>
        <v>2001</v>
      </c>
    </row>
    <row r="145" spans="1:16" s="2" customFormat="1" ht="15.75" hidden="1" customHeight="1" x14ac:dyDescent="0.3">
      <c r="A145" s="36">
        <f>A144+1</f>
        <v>2002</v>
      </c>
      <c r="B145" s="36" t="s">
        <v>211</v>
      </c>
      <c r="C145" s="36" t="s">
        <v>207</v>
      </c>
      <c r="D145" s="36">
        <f>(34.19+(0.6*(2.9+2.4+2.9)))*10.764</f>
        <v>420.98003999999997</v>
      </c>
      <c r="E145" s="36">
        <v>0</v>
      </c>
      <c r="F145" s="36">
        <f t="shared" si="20"/>
        <v>631.47005999999999</v>
      </c>
      <c r="G145" s="124"/>
      <c r="H145" s="125"/>
      <c r="I145" s="37"/>
      <c r="N145" s="2" t="str">
        <f t="shared" ca="1" si="21"/>
        <v>202,..,2002</v>
      </c>
      <c r="O145" s="2">
        <f t="shared" ref="O145:P145" ca="1" si="22">O144+1</f>
        <v>202</v>
      </c>
      <c r="P145" s="2">
        <f t="shared" ca="1" si="22"/>
        <v>2002</v>
      </c>
    </row>
    <row r="146" spans="1:16" s="2" customFormat="1" ht="15.75" hidden="1" customHeight="1" x14ac:dyDescent="0.3">
      <c r="A146" s="36">
        <f t="shared" ref="A146:A147" si="23">A145+1</f>
        <v>2003</v>
      </c>
      <c r="B146" s="36" t="s">
        <v>211</v>
      </c>
      <c r="C146" s="36" t="s">
        <v>207</v>
      </c>
      <c r="D146" s="36">
        <f>(36.34+(0.6*(2.9+2.4+3.2)))*10.764</f>
        <v>446.06016000000005</v>
      </c>
      <c r="E146" s="36">
        <v>0</v>
      </c>
      <c r="F146" s="36">
        <f t="shared" si="20"/>
        <v>669.09024000000011</v>
      </c>
      <c r="G146" s="124"/>
      <c r="H146" s="125"/>
      <c r="I146" s="37"/>
      <c r="N146" s="2" t="str">
        <f t="shared" ca="1" si="21"/>
        <v>203,..,2003</v>
      </c>
      <c r="O146" s="2">
        <f t="shared" ref="O146:P147" ca="1" si="24">O145+1</f>
        <v>203</v>
      </c>
      <c r="P146" s="2">
        <f t="shared" ca="1" si="24"/>
        <v>2003</v>
      </c>
    </row>
    <row r="147" spans="1:16" s="2" customFormat="1" ht="15.75" hidden="1" customHeight="1" x14ac:dyDescent="0.3">
      <c r="A147" s="36">
        <f t="shared" si="23"/>
        <v>2004</v>
      </c>
      <c r="B147" s="70" t="s">
        <v>238</v>
      </c>
      <c r="C147" s="71"/>
      <c r="D147" s="71"/>
      <c r="E147" s="71"/>
      <c r="F147" s="72"/>
      <c r="G147" s="126"/>
      <c r="H147" s="127"/>
      <c r="I147" s="37"/>
      <c r="N147" s="2" t="str">
        <f t="shared" ref="N147" ca="1" si="25">O147&amp;""&amp;",..,"&amp;""&amp;P147</f>
        <v>204,..,2004</v>
      </c>
      <c r="O147" s="2">
        <f t="shared" ca="1" si="24"/>
        <v>204</v>
      </c>
      <c r="P147" s="2">
        <f t="shared" ca="1" si="24"/>
        <v>2004</v>
      </c>
    </row>
    <row r="148" spans="1:16" s="2" customFormat="1" ht="15.75" hidden="1" customHeight="1" x14ac:dyDescent="0.3">
      <c r="A148" s="83" t="s">
        <v>214</v>
      </c>
      <c r="B148" s="84"/>
      <c r="C148" s="84"/>
      <c r="D148" s="84"/>
      <c r="E148" s="84"/>
      <c r="F148" s="84"/>
      <c r="G148" s="84"/>
      <c r="H148" s="85"/>
      <c r="I148" s="37"/>
    </row>
    <row r="149" spans="1:16" s="2" customFormat="1" ht="18" hidden="1" customHeight="1" x14ac:dyDescent="0.3">
      <c r="A149" s="56" t="str">
        <f t="shared" ref="A149:A152" ca="1" si="26">N149</f>
        <v>1901,..,2301</v>
      </c>
      <c r="B149" s="36" t="s">
        <v>211</v>
      </c>
      <c r="C149" s="36" t="s">
        <v>207</v>
      </c>
      <c r="D149" s="36">
        <f>(34.19+(0.6*(2.9+2.4+2.9)))*10.764</f>
        <v>420.98003999999997</v>
      </c>
      <c r="E149" s="36">
        <v>0</v>
      </c>
      <c r="F149" s="36">
        <f t="shared" ref="F149:F152" si="27">D149*(($F$112)+1)+E149</f>
        <v>631.47005999999999</v>
      </c>
      <c r="G149" s="122" t="str">
        <f>A148</f>
        <v>19th, 21st to 23rd Floor</v>
      </c>
      <c r="H149" s="123"/>
      <c r="I149" s="37"/>
      <c r="N149" s="2" t="str">
        <f t="shared" ref="N149:N152" ca="1" si="28">O149&amp;""&amp;",..,"&amp;""&amp;P149</f>
        <v>1901,..,2301</v>
      </c>
      <c r="O149" s="2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10^ROW(INDIRECT("1:"&amp;LEN((LEFT(A148,SUM(LEN(A148)-LEN(SUBSTITUTE(A148,{"0","1","2"},""))))))))/10))*100+1</f>
        <v>1901</v>
      </c>
      <c r="P149" s="2">
        <f ca="1">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2301</v>
      </c>
    </row>
    <row r="150" spans="1:16" s="2" customFormat="1" ht="18" hidden="1" customHeight="1" x14ac:dyDescent="0.3">
      <c r="A150" s="56" t="str">
        <f t="shared" ca="1" si="26"/>
        <v>1902,..,2302</v>
      </c>
      <c r="B150" s="36" t="s">
        <v>211</v>
      </c>
      <c r="C150" s="36" t="s">
        <v>207</v>
      </c>
      <c r="D150" s="36">
        <f>(34.19+(0.6*(2.9+2.4+2.9)))*10.764</f>
        <v>420.98003999999997</v>
      </c>
      <c r="E150" s="36">
        <v>0</v>
      </c>
      <c r="F150" s="36">
        <f t="shared" si="27"/>
        <v>631.47005999999999</v>
      </c>
      <c r="G150" s="124"/>
      <c r="H150" s="125"/>
      <c r="I150" s="37"/>
      <c r="N150" s="2" t="str">
        <f t="shared" ca="1" si="28"/>
        <v>1902,..,2302</v>
      </c>
      <c r="O150" s="2">
        <f t="shared" ref="O150:P150" ca="1" si="29">O149+1</f>
        <v>1902</v>
      </c>
      <c r="P150" s="2">
        <f t="shared" ca="1" si="29"/>
        <v>2302</v>
      </c>
    </row>
    <row r="151" spans="1:16" s="2" customFormat="1" ht="18" hidden="1" customHeight="1" x14ac:dyDescent="0.3">
      <c r="A151" s="56" t="str">
        <f t="shared" ca="1" si="26"/>
        <v>1903,..,2303</v>
      </c>
      <c r="B151" s="36" t="s">
        <v>211</v>
      </c>
      <c r="C151" s="36" t="s">
        <v>207</v>
      </c>
      <c r="D151" s="36">
        <f>(36.34+(0.6*(2.9+2.4+3.2)))*10.764</f>
        <v>446.06016000000005</v>
      </c>
      <c r="E151" s="36">
        <v>0</v>
      </c>
      <c r="F151" s="36">
        <f t="shared" si="27"/>
        <v>669.09024000000011</v>
      </c>
      <c r="G151" s="124"/>
      <c r="H151" s="125"/>
      <c r="I151" s="37"/>
      <c r="N151" s="2" t="str">
        <f t="shared" ca="1" si="28"/>
        <v>1903,..,2303</v>
      </c>
      <c r="O151" s="2">
        <f t="shared" ref="O151:P151" ca="1" si="30">O150+1</f>
        <v>1903</v>
      </c>
      <c r="P151" s="2">
        <f t="shared" ca="1" si="30"/>
        <v>2303</v>
      </c>
    </row>
    <row r="152" spans="1:16" s="2" customFormat="1" ht="18" hidden="1" customHeight="1" x14ac:dyDescent="0.3">
      <c r="A152" s="56" t="str">
        <f t="shared" ca="1" si="26"/>
        <v>1904,..,2304</v>
      </c>
      <c r="B152" s="36" t="s">
        <v>211</v>
      </c>
      <c r="C152" s="36" t="s">
        <v>207</v>
      </c>
      <c r="D152" s="36">
        <f>(36.34+(0.6*(2.9+2.4+3.2)))*10.764</f>
        <v>446.06016000000005</v>
      </c>
      <c r="E152" s="36">
        <v>0</v>
      </c>
      <c r="F152" s="36">
        <f t="shared" si="27"/>
        <v>669.09024000000011</v>
      </c>
      <c r="G152" s="126"/>
      <c r="H152" s="127"/>
      <c r="I152" s="37"/>
      <c r="N152" s="2" t="str">
        <f t="shared" ca="1" si="28"/>
        <v>1904,..,2304</v>
      </c>
      <c r="O152" s="2">
        <f t="shared" ref="O152:P152" ca="1" si="31">O151+1</f>
        <v>1904</v>
      </c>
      <c r="P152" s="2">
        <f t="shared" ca="1" si="31"/>
        <v>2304</v>
      </c>
    </row>
    <row r="153" spans="1:16" s="1" customFormat="1" x14ac:dyDescent="0.3">
      <c r="A153" s="128" t="s">
        <v>76</v>
      </c>
      <c r="B153" s="128"/>
      <c r="C153" s="128"/>
      <c r="D153" s="128"/>
      <c r="E153" s="128"/>
      <c r="F153" s="128"/>
      <c r="G153" s="128"/>
      <c r="H153" s="128"/>
    </row>
    <row r="154" spans="1:16" s="1" customFormat="1" x14ac:dyDescent="0.3">
      <c r="A154" s="44">
        <v>1</v>
      </c>
      <c r="B154" s="162" t="s">
        <v>263</v>
      </c>
      <c r="C154" s="163"/>
      <c r="D154" s="163"/>
      <c r="E154" s="163"/>
      <c r="F154" s="163"/>
      <c r="G154" s="163"/>
      <c r="H154" s="164"/>
    </row>
    <row r="155" spans="1:16" s="1" customFormat="1" x14ac:dyDescent="0.3">
      <c r="A155" s="44">
        <f>A154+1</f>
        <v>2</v>
      </c>
      <c r="B155" s="162" t="s">
        <v>216</v>
      </c>
      <c r="C155" s="163"/>
      <c r="D155" s="163"/>
      <c r="E155" s="163"/>
      <c r="F155" s="163"/>
      <c r="G155" s="163"/>
      <c r="H155" s="164"/>
    </row>
    <row r="156" spans="1:16" s="1" customFormat="1" x14ac:dyDescent="0.3">
      <c r="A156" s="44">
        <f t="shared" ref="A156:A164" si="32">A155+1</f>
        <v>3</v>
      </c>
      <c r="B156" s="162" t="s">
        <v>164</v>
      </c>
      <c r="C156" s="163"/>
      <c r="D156" s="163"/>
      <c r="E156" s="163"/>
      <c r="F156" s="163"/>
      <c r="G156" s="163"/>
      <c r="H156" s="164"/>
    </row>
    <row r="157" spans="1:16" s="1" customFormat="1" x14ac:dyDescent="0.3">
      <c r="A157" s="44">
        <f t="shared" si="32"/>
        <v>4</v>
      </c>
      <c r="B157" s="162" t="s">
        <v>253</v>
      </c>
      <c r="C157" s="163"/>
      <c r="D157" s="163"/>
      <c r="E157" s="163"/>
      <c r="F157" s="163"/>
      <c r="G157" s="163"/>
      <c r="H157" s="164"/>
    </row>
    <row r="158" spans="1:16" s="1" customFormat="1" x14ac:dyDescent="0.3">
      <c r="A158" s="44">
        <f t="shared" si="32"/>
        <v>5</v>
      </c>
      <c r="B158" s="162" t="s">
        <v>165</v>
      </c>
      <c r="C158" s="163"/>
      <c r="D158" s="163"/>
      <c r="E158" s="163"/>
      <c r="F158" s="163"/>
      <c r="G158" s="163"/>
      <c r="H158" s="164"/>
    </row>
    <row r="159" spans="1:16" s="1" customFormat="1" x14ac:dyDescent="0.3">
      <c r="A159" s="44">
        <f t="shared" si="32"/>
        <v>6</v>
      </c>
      <c r="B159" s="162" t="s">
        <v>166</v>
      </c>
      <c r="C159" s="163"/>
      <c r="D159" s="163"/>
      <c r="E159" s="163"/>
      <c r="F159" s="163"/>
      <c r="G159" s="163"/>
      <c r="H159" s="164"/>
    </row>
    <row r="160" spans="1:16" s="1" customFormat="1" x14ac:dyDescent="0.3">
      <c r="A160" s="44">
        <f t="shared" si="32"/>
        <v>7</v>
      </c>
      <c r="B160" s="162" t="s">
        <v>227</v>
      </c>
      <c r="C160" s="163"/>
      <c r="D160" s="163"/>
      <c r="E160" s="163"/>
      <c r="F160" s="163"/>
      <c r="G160" s="163"/>
      <c r="H160" s="164"/>
    </row>
    <row r="161" spans="1:8" s="1" customFormat="1" hidden="1" x14ac:dyDescent="0.3">
      <c r="A161" s="44">
        <f t="shared" si="32"/>
        <v>8</v>
      </c>
      <c r="B161" s="162" t="s">
        <v>218</v>
      </c>
      <c r="C161" s="163"/>
      <c r="D161" s="163"/>
      <c r="E161" s="163"/>
      <c r="F161" s="163"/>
      <c r="G161" s="163"/>
      <c r="H161" s="164"/>
    </row>
    <row r="162" spans="1:8" s="1" customFormat="1" x14ac:dyDescent="0.3">
      <c r="A162" s="44">
        <v>8</v>
      </c>
      <c r="B162" s="162" t="s">
        <v>228</v>
      </c>
      <c r="C162" s="163"/>
      <c r="D162" s="163"/>
      <c r="E162" s="163"/>
      <c r="F162" s="163"/>
      <c r="G162" s="163"/>
      <c r="H162" s="164"/>
    </row>
    <row r="163" spans="1:8" s="1" customFormat="1" x14ac:dyDescent="0.3">
      <c r="A163" s="44">
        <f t="shared" si="32"/>
        <v>9</v>
      </c>
      <c r="B163" s="162" t="s">
        <v>236</v>
      </c>
      <c r="C163" s="163"/>
      <c r="D163" s="163"/>
      <c r="E163" s="163"/>
      <c r="F163" s="163"/>
      <c r="G163" s="163"/>
      <c r="H163" s="164"/>
    </row>
    <row r="164" spans="1:8" s="1" customFormat="1" x14ac:dyDescent="0.3">
      <c r="A164" s="44">
        <f t="shared" si="32"/>
        <v>10</v>
      </c>
      <c r="B164" s="162" t="s">
        <v>251</v>
      </c>
      <c r="C164" s="163"/>
      <c r="D164" s="163"/>
      <c r="E164" s="163"/>
      <c r="F164" s="163"/>
      <c r="G164" s="163"/>
      <c r="H164" s="164"/>
    </row>
    <row r="165" spans="1:8" s="1" customFormat="1" x14ac:dyDescent="0.3">
      <c r="A165" s="44">
        <f>A163+1</f>
        <v>10</v>
      </c>
      <c r="B165" s="162" t="s">
        <v>261</v>
      </c>
      <c r="C165" s="163"/>
      <c r="D165" s="163"/>
      <c r="E165" s="163"/>
      <c r="F165" s="163"/>
      <c r="G165" s="163"/>
      <c r="H165" s="164"/>
    </row>
    <row r="166" spans="1:8" s="1" customFormat="1" ht="33" customHeight="1" x14ac:dyDescent="0.3">
      <c r="A166" s="44">
        <f>A164+1</f>
        <v>11</v>
      </c>
      <c r="B166" s="162" t="s">
        <v>262</v>
      </c>
      <c r="C166" s="163"/>
      <c r="D166" s="163"/>
      <c r="E166" s="163"/>
      <c r="F166" s="163"/>
      <c r="G166" s="163"/>
      <c r="H166" s="164"/>
    </row>
    <row r="167" spans="1:8" x14ac:dyDescent="0.3">
      <c r="A167" s="130" t="s">
        <v>69</v>
      </c>
      <c r="B167" s="130"/>
      <c r="C167" s="130"/>
      <c r="D167" s="130"/>
      <c r="E167" s="130"/>
      <c r="F167" s="130"/>
      <c r="G167" s="130"/>
      <c r="H167" s="130"/>
    </row>
    <row r="168" spans="1:8" x14ac:dyDescent="0.3">
      <c r="A168" s="77" t="s">
        <v>70</v>
      </c>
      <c r="B168" s="77"/>
      <c r="C168" s="77"/>
      <c r="D168" s="77"/>
      <c r="E168" s="77"/>
      <c r="F168" s="77"/>
      <c r="G168" s="77"/>
      <c r="H168" s="77"/>
    </row>
    <row r="169" spans="1:8" ht="15.75" customHeight="1" x14ac:dyDescent="0.3">
      <c r="A169" s="101" t="s">
        <v>71</v>
      </c>
      <c r="B169" s="101"/>
      <c r="C169" s="101"/>
      <c r="D169" s="101"/>
      <c r="E169" s="101"/>
      <c r="F169" s="101"/>
      <c r="G169" s="101"/>
      <c r="H169" s="101"/>
    </row>
    <row r="170" spans="1:8" x14ac:dyDescent="0.3">
      <c r="A170" s="77" t="s">
        <v>72</v>
      </c>
      <c r="B170" s="77"/>
      <c r="C170" s="77"/>
      <c r="D170" s="77"/>
      <c r="E170" s="77"/>
      <c r="F170" s="77"/>
      <c r="G170" s="77"/>
      <c r="H170" s="77"/>
    </row>
    <row r="171" spans="1:8" x14ac:dyDescent="0.3">
      <c r="A171" s="77" t="s">
        <v>73</v>
      </c>
      <c r="B171" s="77"/>
      <c r="C171" s="77"/>
      <c r="D171" s="77"/>
      <c r="E171" s="77"/>
      <c r="F171" s="77"/>
      <c r="G171" s="77"/>
      <c r="H171" s="77"/>
    </row>
    <row r="172" spans="1:8" x14ac:dyDescent="0.3">
      <c r="A172" s="77" t="s">
        <v>167</v>
      </c>
      <c r="B172" s="77"/>
      <c r="C172" s="77"/>
      <c r="D172" s="77"/>
      <c r="E172" s="77"/>
      <c r="F172" s="77"/>
      <c r="G172" s="77"/>
      <c r="H172" s="77"/>
    </row>
    <row r="173" spans="1:8" ht="35.25" customHeight="1" x14ac:dyDescent="0.3">
      <c r="A173" s="78" t="s">
        <v>168</v>
      </c>
      <c r="B173" s="78"/>
      <c r="C173" s="78"/>
      <c r="D173" s="78"/>
      <c r="E173" s="78"/>
      <c r="F173" s="78"/>
      <c r="G173" s="78"/>
      <c r="H173" s="78"/>
    </row>
    <row r="174" spans="1:8" x14ac:dyDescent="0.3">
      <c r="A174" s="119" t="s">
        <v>109</v>
      </c>
      <c r="B174" s="119"/>
      <c r="C174" s="119" t="s">
        <v>219</v>
      </c>
      <c r="D174" s="119"/>
      <c r="E174" s="119" t="s">
        <v>144</v>
      </c>
      <c r="F174" s="119"/>
      <c r="G174" s="119" t="s">
        <v>264</v>
      </c>
      <c r="H174" s="119"/>
    </row>
    <row r="175" spans="1:8" x14ac:dyDescent="0.3">
      <c r="A175" s="118" t="s">
        <v>111</v>
      </c>
      <c r="B175" s="118"/>
      <c r="C175" s="118"/>
      <c r="D175" s="118"/>
      <c r="E175" s="118"/>
      <c r="F175" s="118"/>
      <c r="G175" s="118"/>
      <c r="H175" s="118"/>
    </row>
    <row r="176" spans="1:8" x14ac:dyDescent="0.3">
      <c r="A176" s="118"/>
      <c r="B176" s="118"/>
      <c r="C176" s="118"/>
      <c r="D176" s="118"/>
      <c r="E176" s="118"/>
      <c r="F176" s="118"/>
      <c r="G176" s="118"/>
      <c r="H176" s="118"/>
    </row>
    <row r="177" spans="1:8" x14ac:dyDescent="0.3">
      <c r="A177" s="118"/>
      <c r="B177" s="118"/>
      <c r="C177" s="118"/>
      <c r="D177" s="118"/>
      <c r="E177" s="118"/>
      <c r="F177" s="118"/>
      <c r="G177" s="118"/>
      <c r="H177" s="118"/>
    </row>
    <row r="178" spans="1:8" x14ac:dyDescent="0.3">
      <c r="A178" s="14" t="s">
        <v>74</v>
      </c>
      <c r="B178" s="15"/>
      <c r="C178" s="15"/>
      <c r="D178" s="14" t="str">
        <f>E8</f>
        <v>Shree Krishna Elegance</v>
      </c>
      <c r="F178" s="15"/>
      <c r="G178" s="15"/>
      <c r="H178" s="15"/>
    </row>
    <row r="179" spans="1:8" x14ac:dyDescent="0.3">
      <c r="A179" s="15"/>
      <c r="B179" s="15"/>
      <c r="C179" s="15"/>
      <c r="D179" s="15"/>
      <c r="E179" s="15"/>
      <c r="F179" s="15"/>
      <c r="G179" s="15"/>
      <c r="H179" s="15"/>
    </row>
    <row r="180" spans="1:8" x14ac:dyDescent="0.3">
      <c r="A180" s="15"/>
      <c r="B180" s="15"/>
      <c r="C180" s="15"/>
      <c r="D180" s="15"/>
      <c r="E180" s="15"/>
      <c r="F180" s="15"/>
      <c r="G180" s="15"/>
      <c r="H180" s="15"/>
    </row>
    <row r="181" spans="1:8" ht="15" customHeight="1" x14ac:dyDescent="0.3"/>
    <row r="221" spans="1:1" x14ac:dyDescent="0.3">
      <c r="A221" s="17" t="s">
        <v>75</v>
      </c>
    </row>
  </sheetData>
  <mergeCells count="275">
    <mergeCell ref="C35:H35"/>
    <mergeCell ref="B166:H166"/>
    <mergeCell ref="B165:H165"/>
    <mergeCell ref="L123:M123"/>
    <mergeCell ref="G124:H127"/>
    <mergeCell ref="A128:H128"/>
    <mergeCell ref="L128:M128"/>
    <mergeCell ref="G129:H132"/>
    <mergeCell ref="A111:B112"/>
    <mergeCell ref="B164:H164"/>
    <mergeCell ref="B163:H163"/>
    <mergeCell ref="C36:H36"/>
    <mergeCell ref="B162:H162"/>
    <mergeCell ref="A87:E87"/>
    <mergeCell ref="B161:H161"/>
    <mergeCell ref="A148:H148"/>
    <mergeCell ref="A143:H143"/>
    <mergeCell ref="F88:H88"/>
    <mergeCell ref="B159:H159"/>
    <mergeCell ref="B160:H160"/>
    <mergeCell ref="B154:H154"/>
    <mergeCell ref="B155:H155"/>
    <mergeCell ref="B156:H156"/>
    <mergeCell ref="B157:H157"/>
    <mergeCell ref="A123:H123"/>
    <mergeCell ref="B158:H158"/>
    <mergeCell ref="E93:F93"/>
    <mergeCell ref="A49:B50"/>
    <mergeCell ref="A138:H138"/>
    <mergeCell ref="D101:D102"/>
    <mergeCell ref="A72:B72"/>
    <mergeCell ref="C97:D97"/>
    <mergeCell ref="E97:F97"/>
    <mergeCell ref="G97:H97"/>
    <mergeCell ref="F85:H85"/>
    <mergeCell ref="A79:E79"/>
    <mergeCell ref="A104:H104"/>
    <mergeCell ref="E101:E102"/>
    <mergeCell ref="G101:H102"/>
    <mergeCell ref="C98:D98"/>
    <mergeCell ref="G49:H49"/>
    <mergeCell ref="C50:H50"/>
    <mergeCell ref="A80:E80"/>
    <mergeCell ref="E96:F96"/>
    <mergeCell ref="A101:A102"/>
    <mergeCell ref="F81:H81"/>
    <mergeCell ref="A86:E86"/>
    <mergeCell ref="A82:E82"/>
    <mergeCell ref="A84:E84"/>
    <mergeCell ref="L118:M118"/>
    <mergeCell ref="A110:H110"/>
    <mergeCell ref="L108:M108"/>
    <mergeCell ref="L107:M107"/>
    <mergeCell ref="L106:M106"/>
    <mergeCell ref="L105:M105"/>
    <mergeCell ref="C111:C112"/>
    <mergeCell ref="A106:B106"/>
    <mergeCell ref="A107:B107"/>
    <mergeCell ref="A108:B108"/>
    <mergeCell ref="L113:M113"/>
    <mergeCell ref="A100:H100"/>
    <mergeCell ref="E98:F98"/>
    <mergeCell ref="G98:H98"/>
    <mergeCell ref="A113:H113"/>
    <mergeCell ref="G114:H117"/>
    <mergeCell ref="A38:D38"/>
    <mergeCell ref="E38:H38"/>
    <mergeCell ref="A44:H44"/>
    <mergeCell ref="D55:H55"/>
    <mergeCell ref="A55:C55"/>
    <mergeCell ref="G46:H46"/>
    <mergeCell ref="A47:B48"/>
    <mergeCell ref="A71:B71"/>
    <mergeCell ref="A64:B64"/>
    <mergeCell ref="A67:B67"/>
    <mergeCell ref="A60:C60"/>
    <mergeCell ref="D60:H60"/>
    <mergeCell ref="A65:B65"/>
    <mergeCell ref="G64:H64"/>
    <mergeCell ref="A63:B63"/>
    <mergeCell ref="A61:B61"/>
    <mergeCell ref="C49:E49"/>
    <mergeCell ref="A66:B66"/>
    <mergeCell ref="A68:B68"/>
    <mergeCell ref="E65:F74"/>
    <mergeCell ref="G65:H74"/>
    <mergeCell ref="A73:B73"/>
    <mergeCell ref="A74:B74"/>
    <mergeCell ref="C46:E46"/>
    <mergeCell ref="A34:H34"/>
    <mergeCell ref="A33:B33"/>
    <mergeCell ref="C33:E33"/>
    <mergeCell ref="F30:H30"/>
    <mergeCell ref="F31:H31"/>
    <mergeCell ref="A37:H37"/>
    <mergeCell ref="A57:C57"/>
    <mergeCell ref="A58:C58"/>
    <mergeCell ref="D57:H57"/>
    <mergeCell ref="D58:H58"/>
    <mergeCell ref="A40:D40"/>
    <mergeCell ref="E40:H40"/>
    <mergeCell ref="E41:H41"/>
    <mergeCell ref="E42:H42"/>
    <mergeCell ref="E43:H43"/>
    <mergeCell ref="F33:H33"/>
    <mergeCell ref="A35:B35"/>
    <mergeCell ref="A41:D41"/>
    <mergeCell ref="A42:D42"/>
    <mergeCell ref="A43:D43"/>
    <mergeCell ref="A36:B36"/>
    <mergeCell ref="E39:H39"/>
    <mergeCell ref="A39:D39"/>
    <mergeCell ref="A45:B4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C101:C102"/>
    <mergeCell ref="A133:H133"/>
    <mergeCell ref="A167:H167"/>
    <mergeCell ref="A168:H168"/>
    <mergeCell ref="A105:B10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B101:B102"/>
    <mergeCell ref="A7:D7"/>
    <mergeCell ref="E7:H7"/>
    <mergeCell ref="E94:F94"/>
    <mergeCell ref="A175:H177"/>
    <mergeCell ref="A174:B174"/>
    <mergeCell ref="E174:F174"/>
    <mergeCell ref="C174:D174"/>
    <mergeCell ref="G174:H174"/>
    <mergeCell ref="A92:H92"/>
    <mergeCell ref="A90:E90"/>
    <mergeCell ref="F90:H90"/>
    <mergeCell ref="A91:E91"/>
    <mergeCell ref="F91:H91"/>
    <mergeCell ref="A118:H118"/>
    <mergeCell ref="A97:B97"/>
    <mergeCell ref="A94:B94"/>
    <mergeCell ref="A170:H170"/>
    <mergeCell ref="A95:H95"/>
    <mergeCell ref="A173:H173"/>
    <mergeCell ref="B147:F147"/>
    <mergeCell ref="G139:H142"/>
    <mergeCell ref="G144:H147"/>
    <mergeCell ref="G149:H152"/>
    <mergeCell ref="G105:H108"/>
    <mergeCell ref="A171:H171"/>
    <mergeCell ref="A153:H153"/>
    <mergeCell ref="A172:H172"/>
    <mergeCell ref="A169:H169"/>
    <mergeCell ref="A96:B96"/>
    <mergeCell ref="D111:D112"/>
    <mergeCell ref="E111:E112"/>
    <mergeCell ref="G111:H112"/>
    <mergeCell ref="A98:B98"/>
    <mergeCell ref="A70:B70"/>
    <mergeCell ref="F79:H79"/>
    <mergeCell ref="A76:H76"/>
    <mergeCell ref="A77:B77"/>
    <mergeCell ref="A78:H78"/>
    <mergeCell ref="G94:H94"/>
    <mergeCell ref="A103:H103"/>
    <mergeCell ref="C77:H77"/>
    <mergeCell ref="F80:H80"/>
    <mergeCell ref="A85:E85"/>
    <mergeCell ref="A89:E89"/>
    <mergeCell ref="A81:E81"/>
    <mergeCell ref="C96:D96"/>
    <mergeCell ref="G96:H96"/>
    <mergeCell ref="A83:E83"/>
    <mergeCell ref="F83:H83"/>
    <mergeCell ref="F84:H84"/>
    <mergeCell ref="C45:E45"/>
    <mergeCell ref="A51:B51"/>
    <mergeCell ref="C51:E51"/>
    <mergeCell ref="A46:B46"/>
    <mergeCell ref="A52:H52"/>
    <mergeCell ref="A53:C53"/>
    <mergeCell ref="A54:C54"/>
    <mergeCell ref="G45:H45"/>
    <mergeCell ref="G47:H47"/>
    <mergeCell ref="D53:H53"/>
    <mergeCell ref="C47:E47"/>
    <mergeCell ref="D54:H54"/>
    <mergeCell ref="G51:H51"/>
    <mergeCell ref="C48:H48"/>
    <mergeCell ref="A56:C56"/>
    <mergeCell ref="D56:H56"/>
    <mergeCell ref="G119:H122"/>
    <mergeCell ref="G134:H137"/>
    <mergeCell ref="B142:F142"/>
    <mergeCell ref="E64:F64"/>
    <mergeCell ref="C61:H61"/>
    <mergeCell ref="A69:B69"/>
    <mergeCell ref="A59:C59"/>
    <mergeCell ref="D59:H59"/>
    <mergeCell ref="C63:H63"/>
    <mergeCell ref="A75:E75"/>
    <mergeCell ref="A109:H109"/>
    <mergeCell ref="F75:H75"/>
    <mergeCell ref="A99:H99"/>
    <mergeCell ref="A93:B93"/>
    <mergeCell ref="F86:H86"/>
    <mergeCell ref="C93:D93"/>
    <mergeCell ref="F82:H82"/>
    <mergeCell ref="F89:H89"/>
    <mergeCell ref="F87:H87"/>
    <mergeCell ref="G93:H93"/>
    <mergeCell ref="A88:E88"/>
    <mergeCell ref="C94:D94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&amp;P</oddFooter>
  </headerFooter>
  <rowBreaks count="2" manualBreakCount="2">
    <brk id="177" max="16383" man="1"/>
    <brk id="22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16" workbookViewId="0">
      <selection activeCell="C27" sqref="C27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77</v>
      </c>
      <c r="C2" s="174"/>
      <c r="D2" s="174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78</v>
      </c>
      <c r="B4" s="5" t="s">
        <v>79</v>
      </c>
      <c r="C4" s="175" t="s">
        <v>80</v>
      </c>
      <c r="D4" s="175"/>
      <c r="E4" s="175"/>
      <c r="F4" s="6"/>
      <c r="G4" s="175" t="s">
        <v>81</v>
      </c>
      <c r="H4" s="175"/>
      <c r="I4" s="175"/>
      <c r="J4" s="175" t="s">
        <v>82</v>
      </c>
      <c r="K4" s="175"/>
      <c r="L4" s="175"/>
    </row>
    <row r="5" spans="1:12" x14ac:dyDescent="0.3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">
      <c r="B6" s="7" t="s">
        <v>85</v>
      </c>
      <c r="C6" s="7">
        <v>3.2</v>
      </c>
      <c r="D6" s="7">
        <v>3</v>
      </c>
      <c r="E6" s="7">
        <f>C6*D6</f>
        <v>9.6000000000000014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88</v>
      </c>
      <c r="C9" s="7">
        <v>2.4</v>
      </c>
      <c r="D9" s="7">
        <v>3.05</v>
      </c>
      <c r="E9" s="7">
        <f t="shared" si="0"/>
        <v>7.3199999999999994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89</v>
      </c>
      <c r="C13" s="7">
        <v>2.9</v>
      </c>
      <c r="D13" s="7">
        <v>3.05</v>
      </c>
      <c r="E13" s="7">
        <f t="shared" si="0"/>
        <v>8.8449999999999989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91</v>
      </c>
      <c r="C23" s="7">
        <v>1.2</v>
      </c>
      <c r="D23" s="7">
        <v>2</v>
      </c>
      <c r="E23" s="7">
        <f t="shared" si="0"/>
        <v>2.4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93</v>
      </c>
      <c r="C24" s="7">
        <v>1.95</v>
      </c>
      <c r="D24" s="7">
        <v>1.2</v>
      </c>
      <c r="E24" s="7">
        <f t="shared" si="0"/>
        <v>2.34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62</v>
      </c>
      <c r="C34" s="7"/>
      <c r="D34" s="7">
        <f>E34*10.764</f>
        <v>328.35581999999999</v>
      </c>
      <c r="E34" s="7">
        <f>SUM(E6:E33)</f>
        <v>30.504999999999999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328.35581999999999</v>
      </c>
      <c r="E36">
        <f>E34+I34</f>
        <v>30.504999999999999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6640625" defaultRowHeight="14.4" x14ac:dyDescent="0.3"/>
  <cols>
    <col min="1" max="1" width="8.6640625" style="22"/>
    <col min="2" max="2" width="22.109375" style="22" customWidth="1"/>
    <col min="3" max="3" width="37" style="22" customWidth="1"/>
    <col min="4" max="5" width="11.44140625" style="22" customWidth="1"/>
    <col min="6" max="6" width="14" style="22" customWidth="1"/>
    <col min="7" max="7" width="20" style="22" customWidth="1"/>
    <col min="8" max="8" width="16.44140625" style="22" customWidth="1"/>
    <col min="9" max="16384" width="8.6640625" style="22"/>
  </cols>
  <sheetData>
    <row r="1" spans="1:9" ht="15" customHeight="1" x14ac:dyDescent="0.3"/>
    <row r="2" spans="1:9" ht="15" customHeight="1" x14ac:dyDescent="0.3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3">
      <c r="A3" s="23"/>
      <c r="B3" s="176" t="s">
        <v>145</v>
      </c>
      <c r="C3" s="176"/>
      <c r="D3" s="176"/>
      <c r="E3" s="176"/>
      <c r="F3" s="176"/>
      <c r="G3" s="176"/>
      <c r="H3" s="176"/>
    </row>
    <row r="4" spans="1:9" x14ac:dyDescent="0.3">
      <c r="A4" s="23"/>
      <c r="B4" s="24" t="s">
        <v>146</v>
      </c>
      <c r="C4" s="24" t="s">
        <v>147</v>
      </c>
      <c r="D4" s="24" t="s">
        <v>78</v>
      </c>
      <c r="E4" s="24" t="s">
        <v>148</v>
      </c>
      <c r="F4" s="24" t="s">
        <v>155</v>
      </c>
      <c r="G4" s="24" t="s">
        <v>156</v>
      </c>
      <c r="H4" s="24" t="s">
        <v>149</v>
      </c>
    </row>
    <row r="5" spans="1:9" ht="15" customHeight="1" x14ac:dyDescent="0.3">
      <c r="A5" s="23"/>
      <c r="B5" s="26" t="s">
        <v>150</v>
      </c>
      <c r="C5" s="27"/>
      <c r="D5" s="26" t="s">
        <v>151</v>
      </c>
      <c r="E5" s="26">
        <v>1106</v>
      </c>
      <c r="F5" s="28">
        <f>E5*1.6</f>
        <v>1769.6000000000001</v>
      </c>
      <c r="G5" s="28">
        <f>H5/F5</f>
        <v>31532.549728752259</v>
      </c>
      <c r="H5" s="29">
        <v>55800000</v>
      </c>
    </row>
    <row r="6" spans="1:9" x14ac:dyDescent="0.3">
      <c r="A6" s="23"/>
      <c r="B6" s="26" t="s">
        <v>150</v>
      </c>
      <c r="C6" s="30"/>
      <c r="D6" s="26"/>
      <c r="E6" s="26"/>
      <c r="F6" s="28">
        <f t="shared" ref="F6:F11" si="0">E6*1.6</f>
        <v>0</v>
      </c>
      <c r="G6" s="28" t="e">
        <f t="shared" ref="G6:G11" si="1">H6/F6</f>
        <v>#DIV/0!</v>
      </c>
      <c r="H6" s="29"/>
    </row>
    <row r="7" spans="1:9" ht="15" customHeight="1" x14ac:dyDescent="0.3">
      <c r="A7" s="23"/>
      <c r="B7" s="26" t="s">
        <v>150</v>
      </c>
      <c r="C7" s="27"/>
      <c r="D7" s="26"/>
      <c r="E7" s="26"/>
      <c r="F7" s="28">
        <f t="shared" si="0"/>
        <v>0</v>
      </c>
      <c r="G7" s="28" t="e">
        <f t="shared" si="1"/>
        <v>#DIV/0!</v>
      </c>
      <c r="H7" s="29"/>
    </row>
    <row r="8" spans="1:9" x14ac:dyDescent="0.3">
      <c r="A8" s="23"/>
      <c r="B8" s="26" t="s">
        <v>150</v>
      </c>
      <c r="C8" s="30"/>
      <c r="D8" s="26"/>
      <c r="E8" s="26"/>
      <c r="F8" s="28">
        <f t="shared" si="0"/>
        <v>0</v>
      </c>
      <c r="G8" s="28" t="e">
        <f t="shared" si="1"/>
        <v>#DIV/0!</v>
      </c>
      <c r="H8" s="29"/>
    </row>
    <row r="9" spans="1:9" ht="15" customHeight="1" x14ac:dyDescent="0.3">
      <c r="A9" s="23"/>
      <c r="B9" s="26" t="s">
        <v>150</v>
      </c>
      <c r="C9" s="30"/>
      <c r="D9" s="26"/>
      <c r="E9" s="26"/>
      <c r="F9" s="28">
        <f t="shared" si="0"/>
        <v>0</v>
      </c>
      <c r="G9" s="28" t="e">
        <f t="shared" si="1"/>
        <v>#DIV/0!</v>
      </c>
      <c r="H9" s="29"/>
    </row>
    <row r="10" spans="1:9" ht="15" customHeight="1" x14ac:dyDescent="0.3">
      <c r="A10" s="23"/>
      <c r="B10" s="26" t="s">
        <v>152</v>
      </c>
      <c r="C10" s="27"/>
      <c r="D10" s="26"/>
      <c r="E10" s="26"/>
      <c r="F10" s="28">
        <f t="shared" si="0"/>
        <v>0</v>
      </c>
      <c r="G10" s="28" t="e">
        <f t="shared" si="1"/>
        <v>#DIV/0!</v>
      </c>
      <c r="H10" s="29"/>
    </row>
    <row r="11" spans="1:9" ht="15" customHeight="1" x14ac:dyDescent="0.3">
      <c r="A11" s="23"/>
      <c r="B11" s="26" t="s">
        <v>152</v>
      </c>
      <c r="C11" s="27"/>
      <c r="D11" s="26"/>
      <c r="E11" s="26"/>
      <c r="F11" s="28">
        <f t="shared" si="0"/>
        <v>0</v>
      </c>
      <c r="G11" s="28" t="e">
        <f t="shared" si="1"/>
        <v>#DIV/0!</v>
      </c>
      <c r="H11" s="29"/>
    </row>
    <row r="12" spans="1:9" ht="15" customHeight="1" x14ac:dyDescent="0.3">
      <c r="A12" s="23"/>
      <c r="B12" s="31" t="s">
        <v>153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3">
      <c r="B13" s="31" t="s">
        <v>154</v>
      </c>
      <c r="C13" s="26"/>
      <c r="D13" s="26"/>
      <c r="E13" s="26"/>
      <c r="F13" s="33"/>
      <c r="G13" s="31"/>
      <c r="H13" s="31"/>
      <c r="I13" s="25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2025-09-08T14:54:25Z</cp:lastPrinted>
  <dcterms:created xsi:type="dcterms:W3CDTF">2019-07-16T09:29:46Z</dcterms:created>
  <dcterms:modified xsi:type="dcterms:W3CDTF">2025-09-08T14:54:29Z</dcterms:modified>
</cp:coreProperties>
</file>