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00BB568A-2FEC-4BC1-B043-F20B6FCF8A02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8" i="1" l="1"/>
  <c r="H98" i="1"/>
  <c r="J100" i="1" l="1"/>
  <c r="D110" i="1"/>
  <c r="D104" i="1"/>
  <c r="D109" i="1"/>
  <c r="D103" i="1"/>
  <c r="J97" i="1"/>
  <c r="J99" i="1" s="1"/>
  <c r="J102" i="1"/>
  <c r="C101" i="1" s="1"/>
  <c r="D107" i="1"/>
  <c r="D105" i="1"/>
  <c r="D108" i="1"/>
  <c r="J101" i="1"/>
  <c r="D106" i="1"/>
  <c r="J106" i="1"/>
  <c r="J107" i="1"/>
  <c r="J108" i="1"/>
  <c r="J103" i="1"/>
  <c r="J104" i="1" s="1"/>
  <c r="J109" i="1" s="1"/>
  <c r="J110" i="1" s="1"/>
  <c r="C102" i="1" s="1"/>
  <c r="J105" i="1"/>
  <c r="B84" i="1"/>
  <c r="I191" i="1"/>
  <c r="I185" i="1"/>
  <c r="J185" i="1"/>
  <c r="D194" i="1"/>
  <c r="D193" i="1"/>
  <c r="D192" i="1"/>
  <c r="D191" i="1"/>
  <c r="D189" i="1"/>
  <c r="D190" i="1"/>
  <c r="D188" i="1"/>
  <c r="D187" i="1"/>
  <c r="D185" i="1"/>
  <c r="H84" i="1"/>
  <c r="E101" i="1" l="1"/>
  <c r="D102" i="1"/>
  <c r="G101" i="1"/>
  <c r="D101" i="1"/>
  <c r="D91" i="1"/>
  <c r="J86" i="1"/>
  <c r="D90" i="1"/>
  <c r="J83" i="1"/>
  <c r="J85" i="1" s="1"/>
  <c r="D89" i="1"/>
  <c r="D95" i="1"/>
  <c r="D96" i="1"/>
  <c r="J87" i="1"/>
  <c r="D92" i="1"/>
  <c r="J88" i="1"/>
  <c r="C87" i="1" s="1"/>
  <c r="D87" i="1" s="1"/>
  <c r="D94" i="1"/>
  <c r="D93" i="1"/>
  <c r="J91" i="1"/>
  <c r="J94" i="1"/>
  <c r="J93" i="1"/>
  <c r="J89" i="1"/>
  <c r="J90" i="1" s="1"/>
  <c r="J95" i="1" s="1"/>
  <c r="J96" i="1" s="1"/>
  <c r="C88" i="1" s="1"/>
  <c r="J92" i="1"/>
  <c r="D293" i="1"/>
  <c r="D292" i="1"/>
  <c r="D290" i="1"/>
  <c r="D289" i="1"/>
  <c r="D288" i="1"/>
  <c r="D287" i="1"/>
  <c r="D286" i="1"/>
  <c r="D283" i="1"/>
  <c r="L283" i="1" s="1"/>
  <c r="D282" i="1"/>
  <c r="L282" i="1" s="1"/>
  <c r="D279" i="1"/>
  <c r="L279" i="1" s="1"/>
  <c r="D278" i="1"/>
  <c r="L278" i="1" s="1"/>
  <c r="D284" i="1"/>
  <c r="L284" i="1" s="1"/>
  <c r="D281" i="1"/>
  <c r="L281" i="1" s="1"/>
  <c r="D280" i="1"/>
  <c r="L280" i="1" s="1"/>
  <c r="D277" i="1"/>
  <c r="L277" i="1" s="1"/>
  <c r="D275" i="1"/>
  <c r="D272" i="1"/>
  <c r="D271" i="1"/>
  <c r="D269" i="1"/>
  <c r="D268" i="1"/>
  <c r="E274" i="1"/>
  <c r="E273" i="1"/>
  <c r="E270" i="1"/>
  <c r="E269" i="1"/>
  <c r="K269" i="1"/>
  <c r="J269" i="1"/>
  <c r="K268" i="1"/>
  <c r="J268" i="1"/>
  <c r="I275" i="1"/>
  <c r="I274" i="1"/>
  <c r="I273" i="1"/>
  <c r="I272" i="1"/>
  <c r="I271" i="1"/>
  <c r="I270" i="1"/>
  <c r="I269" i="1"/>
  <c r="I268" i="1"/>
  <c r="A269" i="1"/>
  <c r="A270" i="1" s="1"/>
  <c r="A271" i="1" s="1"/>
  <c r="A272" i="1" s="1"/>
  <c r="A273" i="1" s="1"/>
  <c r="A274" i="1" s="1"/>
  <c r="A275" i="1" s="1"/>
  <c r="D274" i="1"/>
  <c r="D273" i="1"/>
  <c r="D270" i="1"/>
  <c r="G268" i="1"/>
  <c r="D239" i="1"/>
  <c r="F239" i="1" s="1"/>
  <c r="D264" i="1"/>
  <c r="D263" i="1"/>
  <c r="D262" i="1"/>
  <c r="D261" i="1"/>
  <c r="D258" i="1"/>
  <c r="D257" i="1"/>
  <c r="D260" i="1"/>
  <c r="F260" i="1" s="1"/>
  <c r="D255" i="1"/>
  <c r="L255" i="1" s="1"/>
  <c r="D254" i="1"/>
  <c r="L254" i="1" s="1"/>
  <c r="D252" i="1"/>
  <c r="L252" i="1" s="1"/>
  <c r="D253" i="1"/>
  <c r="L253" i="1" s="1"/>
  <c r="D251" i="1"/>
  <c r="L251" i="1" s="1"/>
  <c r="D250" i="1"/>
  <c r="L250" i="1" s="1"/>
  <c r="D249" i="1"/>
  <c r="L249" i="1" s="1"/>
  <c r="D248" i="1"/>
  <c r="L248" i="1" s="1"/>
  <c r="J248" i="1"/>
  <c r="I251" i="1"/>
  <c r="I250" i="1"/>
  <c r="I249" i="1"/>
  <c r="I248" i="1"/>
  <c r="D244" i="1"/>
  <c r="D243" i="1"/>
  <c r="D242" i="1"/>
  <c r="D241" i="1"/>
  <c r="D238" i="1"/>
  <c r="D236" i="1"/>
  <c r="M236" i="1" s="1"/>
  <c r="D230" i="1"/>
  <c r="M230" i="1" s="1"/>
  <c r="D235" i="1"/>
  <c r="M235" i="1" s="1"/>
  <c r="I98" i="1" l="1"/>
  <c r="I99" i="1" s="1"/>
  <c r="J98" i="1"/>
  <c r="F273" i="1"/>
  <c r="F270" i="1"/>
  <c r="E87" i="1"/>
  <c r="D88" i="1"/>
  <c r="I84" i="1" s="1"/>
  <c r="J84" i="1"/>
  <c r="G87" i="1"/>
  <c r="F274" i="1"/>
  <c r="L269" i="1"/>
  <c r="F269" i="1"/>
  <c r="C175" i="1"/>
  <c r="E175" i="1"/>
  <c r="C176" i="1"/>
  <c r="E176" i="1"/>
  <c r="D234" i="1"/>
  <c r="M234" i="1" s="1"/>
  <c r="J239" i="1"/>
  <c r="J238" i="1"/>
  <c r="D233" i="1"/>
  <c r="M233" i="1" s="1"/>
  <c r="D232" i="1"/>
  <c r="D231" i="1"/>
  <c r="M231" i="1" s="1"/>
  <c r="J204" i="1"/>
  <c r="J202" i="1"/>
  <c r="J201" i="1"/>
  <c r="J235" i="1"/>
  <c r="K232" i="1"/>
  <c r="J232" i="1"/>
  <c r="I232" i="1"/>
  <c r="K230" i="1"/>
  <c r="I230" i="1"/>
  <c r="J230" i="1"/>
  <c r="D225" i="1"/>
  <c r="D224" i="1"/>
  <c r="D223" i="1"/>
  <c r="D222" i="1"/>
  <c r="D221" i="1"/>
  <c r="D218" i="1"/>
  <c r="D217" i="1"/>
  <c r="D216" i="1"/>
  <c r="D215" i="1"/>
  <c r="D214" i="1"/>
  <c r="D210" i="1"/>
  <c r="M210" i="1" s="1"/>
  <c r="D212" i="1"/>
  <c r="M212" i="1" s="1"/>
  <c r="D211" i="1"/>
  <c r="M211" i="1" s="1"/>
  <c r="D209" i="1"/>
  <c r="M209" i="1" s="1"/>
  <c r="D208" i="1"/>
  <c r="M208" i="1" s="1"/>
  <c r="D207" i="1"/>
  <c r="M207" i="1" s="1"/>
  <c r="D206" i="1"/>
  <c r="M206" i="1" s="1"/>
  <c r="D205" i="1"/>
  <c r="M205" i="1" s="1"/>
  <c r="D204" i="1"/>
  <c r="M204" i="1" s="1"/>
  <c r="D203" i="1"/>
  <c r="M203" i="1" s="1"/>
  <c r="D202" i="1"/>
  <c r="M202" i="1" s="1"/>
  <c r="D201" i="1"/>
  <c r="K204" i="1"/>
  <c r="K202" i="1"/>
  <c r="K201" i="1"/>
  <c r="I206" i="1"/>
  <c r="I205" i="1"/>
  <c r="I204" i="1"/>
  <c r="I203" i="1"/>
  <c r="I202" i="1"/>
  <c r="I201" i="1"/>
  <c r="I97" i="1" l="1"/>
  <c r="C99" i="1" s="1"/>
  <c r="I85" i="1"/>
  <c r="I83" i="1" s="1"/>
  <c r="C85" i="1" s="1"/>
  <c r="E174" i="1"/>
  <c r="M232" i="1"/>
  <c r="E173" i="1"/>
  <c r="C173" i="1"/>
  <c r="M201" i="1"/>
  <c r="C174" i="1"/>
  <c r="G185" i="1"/>
  <c r="D186" i="1"/>
  <c r="E169" i="1" s="1"/>
  <c r="A186" i="1"/>
  <c r="A187" i="1" s="1"/>
  <c r="A188" i="1" s="1"/>
  <c r="A189" i="1" s="1"/>
  <c r="A190" i="1" s="1"/>
  <c r="A191" i="1" s="1"/>
  <c r="A192" i="1" s="1"/>
  <c r="A193" i="1" s="1"/>
  <c r="A194" i="1" s="1"/>
  <c r="G286" i="1"/>
  <c r="A286" i="1"/>
  <c r="A287" i="1" s="1"/>
  <c r="A288" i="1" s="1"/>
  <c r="A289" i="1" s="1"/>
  <c r="A290" i="1" s="1"/>
  <c r="A291" i="1" s="1"/>
  <c r="A292" i="1" s="1"/>
  <c r="A293" i="1" s="1"/>
  <c r="G277" i="1"/>
  <c r="G257" i="1"/>
  <c r="A257" i="1"/>
  <c r="A258" i="1" s="1"/>
  <c r="A259" i="1" s="1"/>
  <c r="A260" i="1" s="1"/>
  <c r="A261" i="1" s="1"/>
  <c r="A262" i="1" s="1"/>
  <c r="A263" i="1" s="1"/>
  <c r="A264" i="1" s="1"/>
  <c r="G248" i="1"/>
  <c r="A238" i="1"/>
  <c r="A239" i="1" s="1"/>
  <c r="A240" i="1" s="1"/>
  <c r="A241" i="1" s="1"/>
  <c r="A242" i="1" s="1"/>
  <c r="A243" i="1" s="1"/>
  <c r="A244" i="1" s="1"/>
  <c r="G238" i="1"/>
  <c r="G214" i="1"/>
  <c r="A214" i="1"/>
  <c r="A215" i="1" s="1"/>
  <c r="A216" i="1" s="1"/>
  <c r="A277" i="1"/>
  <c r="A248" i="1"/>
  <c r="G175" i="1" l="1"/>
  <c r="C169" i="1"/>
  <c r="C170" i="1" s="1"/>
  <c r="E170" i="1"/>
  <c r="G176" i="1"/>
  <c r="C177" i="1"/>
  <c r="E177" i="1"/>
  <c r="C139" i="1"/>
  <c r="G50" i="1"/>
  <c r="A201" i="1"/>
  <c r="A249" i="1"/>
  <c r="A278" i="1"/>
  <c r="E178" i="1" l="1"/>
  <c r="C178" i="1"/>
  <c r="A217" i="1"/>
  <c r="A218" i="1" s="1"/>
  <c r="A219" i="1" s="1"/>
  <c r="A220" i="1" s="1"/>
  <c r="A221" i="1" s="1"/>
  <c r="A222" i="1" s="1"/>
  <c r="A223" i="1" s="1"/>
  <c r="A224" i="1" s="1"/>
  <c r="A225" i="1" s="1"/>
  <c r="Z12" i="1"/>
  <c r="I14" i="1"/>
  <c r="A250" i="1"/>
  <c r="A202" i="1"/>
  <c r="A279" i="1"/>
  <c r="E43" i="1" l="1"/>
  <c r="E44" i="1" s="1"/>
  <c r="A251" i="1"/>
  <c r="A203" i="1"/>
  <c r="A280" i="1"/>
  <c r="C15" i="1" l="1"/>
  <c r="A204" i="1"/>
  <c r="A252" i="1"/>
  <c r="A281" i="1"/>
  <c r="E30" i="1" l="1"/>
  <c r="A253" i="1"/>
  <c r="A282" i="1"/>
  <c r="A205" i="1"/>
  <c r="G201" i="1" l="1"/>
  <c r="A206" i="1"/>
  <c r="A254" i="1"/>
  <c r="A283" i="1"/>
  <c r="G173" i="1" l="1"/>
  <c r="F166" i="1"/>
  <c r="A255" i="1"/>
  <c r="A284" i="1"/>
  <c r="A207" i="1"/>
  <c r="G169" i="1" l="1"/>
  <c r="G170" i="1" s="1"/>
  <c r="B296" i="1"/>
  <c r="A208" i="1"/>
  <c r="A230" i="1"/>
  <c r="G174" i="1" l="1"/>
  <c r="G177" i="1" s="1"/>
  <c r="G178" i="1" s="1"/>
  <c r="B297" i="1"/>
  <c r="A231" i="1"/>
  <c r="A20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18" i="1"/>
  <c r="G230" i="1"/>
  <c r="C125" i="1"/>
  <c r="B126" i="1" s="1"/>
  <c r="B112" i="1"/>
  <c r="B70" i="1"/>
  <c r="D55" i="1"/>
  <c r="C50" i="1"/>
  <c r="E27" i="1"/>
  <c r="E25" i="1"/>
  <c r="E7" i="1"/>
  <c r="E3" i="1"/>
  <c r="H126" i="1"/>
  <c r="A210" i="1"/>
  <c r="A232" i="1"/>
  <c r="D63" i="1" l="1"/>
  <c r="J125" i="1"/>
  <c r="J127" i="1" s="1"/>
  <c r="J129" i="1"/>
  <c r="D138" i="1"/>
  <c r="D136" i="1"/>
  <c r="D134" i="1"/>
  <c r="D132" i="1"/>
  <c r="J130" i="1"/>
  <c r="J128" i="1"/>
  <c r="J131" i="1"/>
  <c r="J132" i="1" s="1"/>
  <c r="J137" i="1" s="1"/>
  <c r="D137" i="1"/>
  <c r="D135" i="1"/>
  <c r="D133" i="1"/>
  <c r="A211" i="1"/>
  <c r="H112" i="1"/>
  <c r="A233" i="1"/>
  <c r="H70" i="1"/>
  <c r="J116" i="1" l="1"/>
  <c r="D115" i="1" s="1"/>
  <c r="J114" i="1"/>
  <c r="J117" i="1"/>
  <c r="J118" i="1" s="1"/>
  <c r="J123" i="1" s="1"/>
  <c r="J111" i="1"/>
  <c r="J113" i="1" s="1"/>
  <c r="D119" i="1"/>
  <c r="D121" i="1"/>
  <c r="D124" i="1"/>
  <c r="D118" i="1"/>
  <c r="D122" i="1"/>
  <c r="D123" i="1"/>
  <c r="D120" i="1"/>
  <c r="J115" i="1"/>
  <c r="D82" i="1"/>
  <c r="D80" i="1"/>
  <c r="D79" i="1"/>
  <c r="D76" i="1"/>
  <c r="D78" i="1"/>
  <c r="J75" i="1"/>
  <c r="J76" i="1" s="1"/>
  <c r="J81" i="1" s="1"/>
  <c r="D81" i="1"/>
  <c r="J69" i="1"/>
  <c r="J71" i="1" s="1"/>
  <c r="D77" i="1"/>
  <c r="J73" i="1"/>
  <c r="J74" i="1"/>
  <c r="J72" i="1"/>
  <c r="J133" i="1"/>
  <c r="J134" i="1" s="1"/>
  <c r="J135" i="1" s="1"/>
  <c r="J136" i="1" s="1"/>
  <c r="J138" i="1" s="1"/>
  <c r="J119" i="1"/>
  <c r="J120" i="1" s="1"/>
  <c r="J121" i="1" s="1"/>
  <c r="J122" i="1" s="1"/>
  <c r="J77" i="1"/>
  <c r="J78" i="1" s="1"/>
  <c r="J79" i="1" s="1"/>
  <c r="J80" i="1" s="1"/>
  <c r="D131" i="1"/>
  <c r="D129" i="1"/>
  <c r="D117" i="1"/>
  <c r="D75" i="1"/>
  <c r="A212" i="1"/>
  <c r="A234" i="1"/>
  <c r="C73" i="1" l="1"/>
  <c r="D73" i="1" s="1"/>
  <c r="J82" i="1"/>
  <c r="C74" i="1" s="1"/>
  <c r="E129" i="1"/>
  <c r="G129" i="1"/>
  <c r="D130" i="1"/>
  <c r="I126" i="1" s="1"/>
  <c r="J124" i="1"/>
  <c r="J112" i="1" s="1"/>
  <c r="J126" i="1"/>
  <c r="A235" i="1"/>
  <c r="G73" i="1" l="1"/>
  <c r="D67" i="1" s="1"/>
  <c r="E115" i="1"/>
  <c r="G115" i="1"/>
  <c r="D116" i="1"/>
  <c r="I112" i="1" s="1"/>
  <c r="I113" i="1" s="1"/>
  <c r="I127" i="1"/>
  <c r="I125" i="1" s="1"/>
  <c r="C127" i="1" s="1"/>
  <c r="A236" i="1"/>
  <c r="E73" i="1" l="1"/>
  <c r="D74" i="1"/>
  <c r="I70" i="1" s="1"/>
  <c r="I71" i="1" s="1"/>
  <c r="J70" i="1"/>
  <c r="D68" i="1"/>
  <c r="F68" i="1"/>
  <c r="I111" i="1"/>
  <c r="C113" i="1" s="1"/>
  <c r="I69" i="1" l="1"/>
  <c r="C71" i="1" s="1"/>
  <c r="B140" i="1"/>
  <c r="H140" i="1"/>
  <c r="D152" i="1" l="1"/>
  <c r="D148" i="1"/>
  <c r="J144" i="1"/>
  <c r="D143" i="1" s="1"/>
  <c r="J142" i="1"/>
  <c r="J143" i="1"/>
  <c r="D149" i="1"/>
  <c r="J139" i="1"/>
  <c r="J141" i="1" s="1"/>
  <c r="D151" i="1"/>
  <c r="D147" i="1"/>
  <c r="D150" i="1"/>
  <c r="D146" i="1"/>
  <c r="J150" i="1"/>
  <c r="J145" i="1"/>
  <c r="J146" i="1" s="1"/>
  <c r="J151" i="1" s="1"/>
  <c r="J152" i="1" s="1"/>
  <c r="J147" i="1"/>
  <c r="J149" i="1"/>
  <c r="J148" i="1"/>
  <c r="E143" i="1" l="1"/>
  <c r="D144" i="1"/>
  <c r="G143" i="1"/>
  <c r="J140" i="1"/>
  <c r="D145" i="1"/>
  <c r="I140" i="1" l="1"/>
  <c r="I141" i="1" s="1"/>
  <c r="I139" i="1" s="1"/>
  <c r="C1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<sst xmlns="http://schemas.openxmlformats.org/spreadsheetml/2006/main" count="676" uniqueCount="301">
  <si>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</si>
  <si>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</si>
  <si>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</si>
  <si>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</si>
  <si>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</si>
  <si>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</si>
  <si>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</si>
  <si>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</si>
  <si>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</si>
  <si>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</si>
  <si>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</si>
  <si>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</si>
  <si>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</si>
  <si>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</si>
  <si>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</si>
  <si>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</si>
  <si>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</si>
  <si>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</si>
  <si>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</si>
  <si>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</si>
  <si>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</si>
  <si>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</si>
  <si>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</si>
  <si>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</si>
  <si>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</si>
  <si>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</si>
  <si>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</si>
  <si>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</si>
  <si>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</si>
  <si>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</si>
  <si>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</si>
  <si>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</si>
  <si>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</si>
  <si>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</si>
  <si>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</si>
  <si>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</si>
  <si>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</si>
  <si>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</si>
  <si>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</si>
  <si>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</si>
  <si>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</si>
  <si>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</si>
  <si>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</si>
  <si>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</si>
  <si>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</si>
  <si>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</si>
  <si>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</si>
  <si>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</si>
  <si>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</si>
  <si>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</si>
  <si>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</si>
  <si>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</si>
  <si>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</si>
  <si>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</si>
  <si>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</si>
  <si>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</si>
  <si>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</si>
  <si>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</si>
  <si>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</si>
  <si>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</si>
  <si>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</si>
  <si>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</si>
  <si>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</si>
  <si>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</si>
  <si>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</si>
  <si>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</si>
  <si>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</si>
  <si>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</si>
  <si>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</si>
  <si>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</si>
  <si>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</si>
  <si>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</si>
  <si>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</si>
  <si>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</si>
  <si>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</si>
  <si>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</si>
  <si>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</si>
  <si>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</si>
  <si>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</si>
  <si>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</si>
  <si>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</si>
  <si>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</si>
  <si>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</si>
  <si>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</si>
  <si>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</si>
  <si>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</si>
  <si>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</si>
  <si>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</si>
  <si>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</si>
  <si>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</si>
  <si>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</si>
  <si>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</si>
  <si>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</si>
  <si>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</si>
  <si>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</si>
  <si>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</si>
  <si>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</si>
  <si>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</si>
  <si>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</si>
  <si>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</si>
  <si>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</si>
  <si>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</si>
  <si>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</si>
  <si>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</si>
  <si>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</si>
  <si>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</si>
  <si>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</si>
  <si>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</si>
  <si>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</si>
  <si>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</si>
  <si>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</si>
  <si>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</si>
  <si>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</si>
  <si>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</si>
  <si>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</si>
  <si>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</si>
  <si>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</si>
  <si>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</si>
  <si>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</si>
  <si>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</si>
  <si>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</si>
  <si>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</si>
  <si>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</si>
  <si>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</si>
  <si>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</si>
  <si>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</si>
  <si>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</si>
  <si>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</si>
  <si>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</si>
  <si>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</si>
  <si>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</si>
  <si>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</si>
  <si>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</si>
  <si>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</si>
  <si>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</si>
  <si>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</si>
  <si>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</si>
  <si>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</si>
  <si>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</si>
  <si>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</si>
  <si>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</si>
  <si>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</si>
  <si>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</si>
  <si>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</si>
  <si>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</si>
  <si>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</si>
  <si>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</si>
  <si>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</si>
  <si>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</si>
  <si>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</si>
  <si>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</si>
  <si>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</si>
  <si>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</si>
  <si>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</si>
  <si>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</si>
  <si>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</si>
  <si>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</si>
  <si>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</si>
  <si>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</si>
  <si>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</si>
  <si>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</si>
  <si>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</si>
  <si>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</si>
  <si>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</si>
  <si>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</si>
  <si>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</si>
  <si>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</si>
  <si>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</si>
  <si>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</si>
  <si>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</si>
  <si>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</si>
  <si>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</si>
  <si>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</si>
  <si>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</si>
  <si>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</si>
  <si>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</si>
  <si>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</si>
  <si>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</si>
  <si>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</si>
  <si>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</si>
  <si>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</si>
  <si>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</si>
  <si>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</si>
  <si>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</si>
  <si>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</si>
  <si>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</si>
  <si>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</si>
  <si>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</si>
  <si>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</si>
  <si>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</si>
  <si>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</si>
  <si>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</si>
  <si>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</si>
  <si>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</si>
  <si>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</si>
  <si>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</si>
  <si>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</si>
  <si>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</si>
  <si>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</si>
  <si>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</si>
  <si>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</si>
  <si>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</si>
  <si>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</si>
  <si>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</si>
  <si>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</si>
  <si>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</si>
  <si>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</si>
  <si>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</si>
  <si>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</si>
  <si>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</si>
  <si>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</si>
  <si>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</si>
  <si>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</si>
  <si>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</si>
  <si>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</si>
  <si>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</si>
  <si>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</si>
  <si>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</si>
  <si>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</si>
  <si>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</si>
  <si>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</si>
  <si>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</si>
  <si>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</si>
  <si>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</si>
  <si>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</si>
  <si>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</si>
  <si>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</si>
  <si>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</si>
  <si>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</si>
  <si>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</si>
  <si>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</si>
  <si>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Sanpada</t>
  </si>
  <si>
    <t>Shree Mahalaxmi Developers</t>
  </si>
  <si>
    <t>Shree Mahalaxmi Sankul</t>
  </si>
  <si>
    <t>Mr. Sachin Wadate 9322467463</t>
  </si>
  <si>
    <t>Approved Plans, CC, Sale Plans, Builder Saleable Area, Cost Sheet.</t>
  </si>
  <si>
    <t>P52000052173</t>
  </si>
  <si>
    <t>Chinchavli Shekin</t>
  </si>
  <si>
    <t>https://goo.gl/maps/ZFxQbwL5ev8M2zFq8</t>
  </si>
  <si>
    <t>18.805545,73.331243</t>
  </si>
  <si>
    <t>Lowjee East</t>
  </si>
  <si>
    <t>RVV International School</t>
  </si>
  <si>
    <t xml:space="preserve">Internal Road </t>
  </si>
  <si>
    <t>Khopoli</t>
  </si>
  <si>
    <t>CTS No. 1659 &amp; 1660</t>
  </si>
  <si>
    <t>18 M.W Road</t>
  </si>
  <si>
    <t>Open Plot</t>
  </si>
  <si>
    <t>Internal Road</t>
  </si>
  <si>
    <t>CTS No. 1656 &amp; 1657</t>
  </si>
  <si>
    <t>CTS No. 1663 &amp; 1664</t>
  </si>
  <si>
    <t>08 Wings</t>
  </si>
  <si>
    <t>Khopoli Nagarparishad</t>
  </si>
  <si>
    <t>KMC/TP/116</t>
  </si>
  <si>
    <t>KMC/T.P./BP/116</t>
  </si>
  <si>
    <t>As per RERA - 31/03/2032</t>
  </si>
  <si>
    <t>Vitrified tiles flooring, Granite Kitchen Platform, Decorative
Entrance &amp; Landscape Garden, etc.</t>
  </si>
  <si>
    <t>Ground Floor For Shop, Drivers Room &amp; Part Society office</t>
  </si>
  <si>
    <t>1BHK</t>
  </si>
  <si>
    <t>2BHK</t>
  </si>
  <si>
    <t>Refuge Area</t>
  </si>
  <si>
    <t>8th Floor (Part Refuge area)</t>
  </si>
  <si>
    <t>Building No.1 (A + B Wing) = G + 1st to 11th Floor
Building No.2 (C + D Wing) = G + 1st to 11th Floor
Building No.3 (E + F Wing) = G + 1st to 11th Floor
Building No.4 (G + H Wing) = G + 1st to 10th Floor</t>
  </si>
  <si>
    <t>Building No.1 (A + B Wing) = G + 1st to 11th Floor</t>
  </si>
  <si>
    <t>Building No.2 (C + D Wing) = G + 1st to 11th Floor</t>
  </si>
  <si>
    <t>Building No.3 (E + F Wing) = G + 1st to 11th Floor</t>
  </si>
  <si>
    <t>Building No.4 (G + H Wing) = G + 1st to 10th Floor</t>
  </si>
  <si>
    <t>Wing A + B</t>
  </si>
  <si>
    <t>Ground Floor for Parking</t>
  </si>
  <si>
    <t>Wing G + H</t>
  </si>
  <si>
    <t>Wing E + F</t>
  </si>
  <si>
    <t>Wing C + D</t>
  </si>
  <si>
    <t>Shop</t>
  </si>
  <si>
    <t>Commercial Area Details (Shops) :</t>
  </si>
  <si>
    <t>Residential Area Details (Flats) :</t>
  </si>
  <si>
    <t>2nd to 7th &amp; 9th to 10th Floor</t>
  </si>
  <si>
    <t>1st Floor For Residential</t>
  </si>
  <si>
    <t>1st to 7th &amp; 9th to 11th Floor For Residential</t>
  </si>
  <si>
    <t>Building No. 4 (Wing G + H)</t>
  </si>
  <si>
    <t>Building No. 3 (Wing E + F)</t>
  </si>
  <si>
    <t xml:space="preserve">Building No. 2 (Wing C + D) </t>
  </si>
  <si>
    <t>Building No. 1 (Wing A + B)</t>
  </si>
  <si>
    <t>Ground Floor for Commercial &amp; Parking</t>
  </si>
  <si>
    <t>Flats - 367, Shops - 10</t>
  </si>
  <si>
    <t>We considered Gross carpet area = Net carpet + Open balcony + W.S. Area.</t>
  </si>
  <si>
    <t>0.80 KM from Lowjee Railway Station</t>
  </si>
  <si>
    <t>Building No.1 Wing A &amp; B
Building No.2 Wing C &amp; D 
Building No.3 Wing E &amp; F 
Building No.4 Wing G &amp; H</t>
  </si>
  <si>
    <t>Gut No</t>
  </si>
  <si>
    <t>56/1, 2 ,4/C &amp; CTS No. 1661/4</t>
  </si>
  <si>
    <t>Latest Approved CC taken from RERA Site.</t>
  </si>
  <si>
    <t>Builder Saleable area</t>
  </si>
  <si>
    <t>Mr.Nitesh : 9326604536.</t>
  </si>
  <si>
    <t>Building No.1 (B Wing) = G + 1st to 11th Floor</t>
  </si>
  <si>
    <t>Builsing No.1 = Construction work is in process at the time of Visit.
Building No.2 to 4 = Work not yet started.</t>
  </si>
  <si>
    <t>Since the project has received first CC on 13/04/2023, But Building No. 2, 3 &amp; 4 Construction work not started yet.</t>
  </si>
  <si>
    <t>Nitesh Patil</t>
  </si>
  <si>
    <t xml:space="preserve">Building No.1 to 3 = Stilt + 11th Floor 
Building No.4 = Ground +10th Floor </t>
  </si>
  <si>
    <t>Mrs. Madhavi 7506111679</t>
  </si>
  <si>
    <t>Building No.2 (C + D Wing) = G + 1st to 11th Floor
Building No.3 (E + F Wing) = G + 1st to 11th Floor
Building No.4 (G + H Wing) = G + 1st to 10th Floor</t>
  </si>
  <si>
    <t>Building No.1 ( B Wing) = G + 1st to 11th Floor</t>
  </si>
  <si>
    <t>Building No.1 (A Wing) = G + 1st to 11th Floor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</si>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</sst>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  <numFmt numFmtId="169" formatCode="0.0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1" applyFont="1" applyAlignment="1" applyProtection="1">
      <alignment vertical="top"/>
      <protection locked="0"/>
    </xf>
    <xf numFmtId="1" fontId="7" fillId="0" borderId="0" xfId="0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68" fontId="7" fillId="0" borderId="0" xfId="1" applyNumberFormat="1" applyFont="1"/>
    <xf numFmtId="2" fontId="7" fillId="0" borderId="0" xfId="1" applyNumberFormat="1" applyFont="1"/>
    <xf numFmtId="1" fontId="7" fillId="0" borderId="0" xfId="1" applyNumberFormat="1" applyFont="1" applyAlignment="1">
      <alignment horizontal="center"/>
    </xf>
    <xf numFmtId="169" fontId="7" fillId="0" borderId="0" xfId="1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center" vertical="top" wrapText="1"/>
      <protection locked="0"/>
    </xf>
    <xf numFmtId="0" fontId="6" fillId="0" borderId="9" xfId="1" applyFont="1" applyBorder="1" applyAlignment="1" applyProtection="1">
      <alignment horizontal="center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475959</xdr:colOff>
      <xdr:row>379</xdr:row>
      <xdr:rowOff>191311</xdr:rowOff>
    </xdr:from>
    <xdr:to>
      <xdr:col>6</xdr:col>
      <xdr:colOff>339915</xdr:colOff>
      <xdr:row>395</xdr:row>
      <xdr:rowOff>47619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95937" y="67205898"/>
          <a:ext cx="4320000" cy="30368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115959</xdr:colOff>
      <xdr:row>361</xdr:row>
      <xdr:rowOff>8283</xdr:rowOff>
    </xdr:from>
    <xdr:to>
      <xdr:col>6</xdr:col>
      <xdr:colOff>699915</xdr:colOff>
      <xdr:row>379</xdr:row>
      <xdr:rowOff>122740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5937" y="63444783"/>
          <a:ext cx="5040000" cy="36925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351917</xdr:colOff>
      <xdr:row>373</xdr:row>
      <xdr:rowOff>170629</xdr:rowOff>
    </xdr:from>
    <xdr:to>
      <xdr:col>5</xdr:col>
      <xdr:colOff>513929</xdr:colOff>
      <xdr:row>377</xdr:row>
      <xdr:rowOff>196997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328906">
          <a:off x="2944374" y="65992520"/>
          <a:ext cx="2009033" cy="82149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833992</xdr:colOff>
      <xdr:row>367</xdr:row>
      <xdr:rowOff>179076</xdr:rowOff>
    </xdr:from>
    <xdr:to>
      <xdr:col>4</xdr:col>
      <xdr:colOff>47807</xdr:colOff>
      <xdr:row>371</xdr:row>
      <xdr:rowOff>191666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18880043">
          <a:off x="2679192" y="64644442"/>
          <a:ext cx="807720" cy="113538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781620</xdr:colOff>
      <xdr:row>362</xdr:row>
      <xdr:rowOff>79386</xdr:rowOff>
    </xdr:from>
    <xdr:to>
      <xdr:col>4</xdr:col>
      <xdr:colOff>345955</xdr:colOff>
      <xdr:row>367</xdr:row>
      <xdr:rowOff>30353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462990" y="63714669"/>
          <a:ext cx="1485900" cy="94488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4</xdr:col>
      <xdr:colOff>410683</xdr:colOff>
      <xdr:row>367</xdr:row>
      <xdr:rowOff>72097</xdr:rowOff>
    </xdr:from>
    <xdr:to>
      <xdr:col>5</xdr:col>
      <xdr:colOff>305660</xdr:colOff>
      <xdr:row>373</xdr:row>
      <xdr:rowOff>26392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18958589">
          <a:off x="4013618" y="64701293"/>
          <a:ext cx="731520" cy="114699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296782</xdr:colOff>
      <xdr:row>375</xdr:row>
      <xdr:rowOff>102047</xdr:rowOff>
    </xdr:from>
    <xdr:to>
      <xdr:col>3</xdr:col>
      <xdr:colOff>490595</xdr:colOff>
      <xdr:row>377</xdr:row>
      <xdr:rowOff>166147</xdr:rowOff>
    </xdr:to>
    <xdr:sp macro="" textlink="">
      <xdr:nvSpPr>
        <xdr:cNvPr id="16" name="TextBox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978152" y="66321504"/>
          <a:ext cx="110490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solidFill>
                <a:srgbClr val="FF0000"/>
              </a:solidFill>
            </a:rPr>
            <a:t>Building No.1 (A&amp;B WING)</a:t>
          </a:r>
          <a:endParaRPr lang="en-IN" sz="12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94720</xdr:colOff>
      <xdr:row>369</xdr:row>
      <xdr:rowOff>61688</xdr:rowOff>
    </xdr:from>
    <xdr:to>
      <xdr:col>3</xdr:col>
      <xdr:colOff>288533</xdr:colOff>
      <xdr:row>371</xdr:row>
      <xdr:rowOff>125788</xdr:rowOff>
    </xdr:to>
    <xdr:sp macro="" textlink="">
      <xdr:nvSpPr>
        <xdr:cNvPr id="17" name="TextBox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rot="2584814">
          <a:off x="1776090" y="65088449"/>
          <a:ext cx="110490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solidFill>
                <a:srgbClr val="FF0000"/>
              </a:solidFill>
            </a:rPr>
            <a:t>Building No.2 (C&amp;D WING)</a:t>
          </a:r>
          <a:endParaRPr lang="en-IN" sz="12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257163</xdr:colOff>
      <xdr:row>365</xdr:row>
      <xdr:rowOff>197220</xdr:rowOff>
    </xdr:from>
    <xdr:to>
      <xdr:col>5</xdr:col>
      <xdr:colOff>718828</xdr:colOff>
      <xdr:row>371</xdr:row>
      <xdr:rowOff>109424</xdr:rowOff>
    </xdr:to>
    <xdr:sp macro="" textlink="">
      <xdr:nvSpPr>
        <xdr:cNvPr id="18" name="TextBox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rot="2793928">
          <a:off x="4375024" y="64750467"/>
          <a:ext cx="110490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solidFill>
                <a:srgbClr val="FF0000"/>
              </a:solidFill>
            </a:rPr>
            <a:t>Building No.3 (E&amp;F WING)</a:t>
          </a:r>
          <a:endParaRPr lang="en-IN" sz="12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659423</xdr:colOff>
      <xdr:row>361</xdr:row>
      <xdr:rowOff>192345</xdr:rowOff>
    </xdr:from>
    <xdr:to>
      <xdr:col>2</xdr:col>
      <xdr:colOff>902931</xdr:colOff>
      <xdr:row>364</xdr:row>
      <xdr:rowOff>57662</xdr:rowOff>
    </xdr:to>
    <xdr:sp macro="" textlink="">
      <xdr:nvSpPr>
        <xdr:cNvPr id="19" name="TextBox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479401" y="63628845"/>
          <a:ext cx="110490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solidFill>
                <a:srgbClr val="FF0000"/>
              </a:solidFill>
            </a:rPr>
            <a:t>Building No.4 (G&amp;H WING)</a:t>
          </a:r>
          <a:endParaRPr lang="en-IN" sz="12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753714</xdr:colOff>
      <xdr:row>419</xdr:row>
      <xdr:rowOff>165404</xdr:rowOff>
    </xdr:from>
    <xdr:to>
      <xdr:col>7</xdr:col>
      <xdr:colOff>49634</xdr:colOff>
      <xdr:row>439</xdr:row>
      <xdr:rowOff>129695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3714" y="75528861"/>
          <a:ext cx="5391920" cy="39399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141176</xdr:colOff>
      <xdr:row>403</xdr:row>
      <xdr:rowOff>24849</xdr:rowOff>
    </xdr:from>
    <xdr:to>
      <xdr:col>6</xdr:col>
      <xdr:colOff>688454</xdr:colOff>
      <xdr:row>419</xdr:row>
      <xdr:rowOff>87859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1154" y="72207784"/>
          <a:ext cx="5003322" cy="324353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388155</xdr:colOff>
      <xdr:row>421</xdr:row>
      <xdr:rowOff>149968</xdr:rowOff>
    </xdr:from>
    <xdr:to>
      <xdr:col>3</xdr:col>
      <xdr:colOff>534205</xdr:colOff>
      <xdr:row>426</xdr:row>
      <xdr:rowOff>159355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H="1">
          <a:off x="2980612" y="75910990"/>
          <a:ext cx="146050" cy="1003300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66687</xdr:colOff>
      <xdr:row>426</xdr:row>
      <xdr:rowOff>134750</xdr:rowOff>
    </xdr:from>
    <xdr:to>
      <xdr:col>3</xdr:col>
      <xdr:colOff>400855</xdr:colOff>
      <xdr:row>426</xdr:row>
      <xdr:rowOff>150624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 flipV="1">
          <a:off x="2659144" y="76889685"/>
          <a:ext cx="334168" cy="15874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870618</xdr:colOff>
      <xdr:row>426</xdr:row>
      <xdr:rowOff>113318</xdr:rowOff>
    </xdr:from>
    <xdr:to>
      <xdr:col>3</xdr:col>
      <xdr:colOff>90499</xdr:colOff>
      <xdr:row>427</xdr:row>
      <xdr:rowOff>169329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>
          <a:off x="2551988" y="76868253"/>
          <a:ext cx="130968" cy="254793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868236</xdr:colOff>
      <xdr:row>427</xdr:row>
      <xdr:rowOff>140754</xdr:rowOff>
    </xdr:from>
    <xdr:to>
      <xdr:col>3</xdr:col>
      <xdr:colOff>7155</xdr:colOff>
      <xdr:row>428</xdr:row>
      <xdr:rowOff>20553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2549606" y="77094471"/>
          <a:ext cx="50006" cy="78582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8345</xdr:colOff>
      <xdr:row>428</xdr:row>
      <xdr:rowOff>6265</xdr:rowOff>
    </xdr:from>
    <xdr:to>
      <xdr:col>3</xdr:col>
      <xdr:colOff>157174</xdr:colOff>
      <xdr:row>432</xdr:row>
      <xdr:rowOff>56479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2600802" y="77158765"/>
          <a:ext cx="148829" cy="845344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153205</xdr:colOff>
      <xdr:row>432</xdr:row>
      <xdr:rowOff>46160</xdr:rowOff>
    </xdr:from>
    <xdr:to>
      <xdr:col>3</xdr:col>
      <xdr:colOff>318305</xdr:colOff>
      <xdr:row>434</xdr:row>
      <xdr:rowOff>77219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2745662" y="77993790"/>
          <a:ext cx="165100" cy="428625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331005</xdr:colOff>
      <xdr:row>432</xdr:row>
      <xdr:rowOff>66004</xdr:rowOff>
    </xdr:from>
    <xdr:to>
      <xdr:col>3</xdr:col>
      <xdr:colOff>988230</xdr:colOff>
      <xdr:row>434</xdr:row>
      <xdr:rowOff>64520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2923462" y="78013634"/>
          <a:ext cx="657225" cy="396082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972355</xdr:colOff>
      <xdr:row>429</xdr:row>
      <xdr:rowOff>90851</xdr:rowOff>
    </xdr:from>
    <xdr:to>
      <xdr:col>4</xdr:col>
      <xdr:colOff>189683</xdr:colOff>
      <xdr:row>432</xdr:row>
      <xdr:rowOff>67308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3564812" y="77442134"/>
          <a:ext cx="227806" cy="572804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187302</xdr:colOff>
      <xdr:row>427</xdr:row>
      <xdr:rowOff>52648</xdr:rowOff>
    </xdr:from>
    <xdr:to>
      <xdr:col>4</xdr:col>
      <xdr:colOff>539727</xdr:colOff>
      <xdr:row>429</xdr:row>
      <xdr:rowOff>99582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V="1">
          <a:off x="3790237" y="77006365"/>
          <a:ext cx="352425" cy="444500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507218</xdr:colOff>
      <xdr:row>421</xdr:row>
      <xdr:rowOff>161874</xdr:rowOff>
    </xdr:from>
    <xdr:to>
      <xdr:col>4</xdr:col>
      <xdr:colOff>223021</xdr:colOff>
      <xdr:row>423</xdr:row>
      <xdr:rowOff>33391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3099675" y="75922896"/>
          <a:ext cx="726281" cy="269082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213496</xdr:colOff>
      <xdr:row>423</xdr:row>
      <xdr:rowOff>16722</xdr:rowOff>
    </xdr:from>
    <xdr:to>
      <xdr:col>4</xdr:col>
      <xdr:colOff>263502</xdr:colOff>
      <xdr:row>423</xdr:row>
      <xdr:rowOff>166741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3816431" y="76175309"/>
          <a:ext cx="50006" cy="150019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244452</xdr:colOff>
      <xdr:row>423</xdr:row>
      <xdr:rowOff>164359</xdr:rowOff>
    </xdr:from>
    <xdr:to>
      <xdr:col>4</xdr:col>
      <xdr:colOff>371384</xdr:colOff>
      <xdr:row>423</xdr:row>
      <xdr:rowOff>171503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V="1">
          <a:off x="3847387" y="76322946"/>
          <a:ext cx="126932" cy="7144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351608</xdr:colOff>
      <xdr:row>423</xdr:row>
      <xdr:rowOff>142928</xdr:rowOff>
    </xdr:from>
    <xdr:to>
      <xdr:col>4</xdr:col>
      <xdr:colOff>542108</xdr:colOff>
      <xdr:row>427</xdr:row>
      <xdr:rowOff>78842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3954543" y="76301515"/>
          <a:ext cx="190500" cy="731044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57497</xdr:colOff>
      <xdr:row>318</xdr:row>
      <xdr:rowOff>167640</xdr:rowOff>
    </xdr:from>
    <xdr:to>
      <xdr:col>17</xdr:col>
      <xdr:colOff>99754</xdr:colOff>
      <xdr:row>357</xdr:row>
      <xdr:rowOff>115686</xdr:rowOff>
    </xdr:to>
    <xdr:grpSp>
      <xdr:nvGrpSpPr>
        <xdr:cNvPr id="57" name="Group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/>
      </xdr:nvGrpSpPr>
      <xdr:grpSpPr>
        <a:xfrm>
          <a:off x="7807037" y="57828180"/>
          <a:ext cx="6054437" cy="7674726"/>
          <a:chOff x="1237774" y="745723"/>
          <a:chExt cx="5072005" cy="8098103"/>
        </a:xfrm>
      </xdr:grpSpPr>
      <xdr:pic>
        <xdr:nvPicPr>
          <xdr:cNvPr id="58" name="Picture 57" descr="https://vsjcllp.vsjadon.com/upload/insp-236730-843.jpg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4802" y="745723"/>
            <a:ext cx="3466198" cy="46280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Picture 58" descr="https://vsjcllp.vsjadon.com/upload/insp-236730-862.jpg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1109" y="5556250"/>
            <a:ext cx="1868534" cy="14033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0" name="Picture 59" descr="https://vsjcllp.vsjadon.com/upload/insp-236730-871.jpg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75717" y="5556250"/>
            <a:ext cx="1868534" cy="14033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Picture 60" descr="https://vsjcllp.vsjadon.com/upload/insp-236730-877.jpg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7774" y="7142102"/>
            <a:ext cx="2265813" cy="170172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2" name="Picture 61" descr="https://vsjcllp.vsjadon.com/upload/insp-236730-847.jpg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39643" y="7142102"/>
            <a:ext cx="1274520" cy="170172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3" name="Picture 62" descr="https://vsjcllp.vsjadon.com/upload/insp-236730-1525.jpg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35259" y="7142102"/>
            <a:ext cx="1274520" cy="170172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83820</xdr:colOff>
      <xdr:row>319</xdr:row>
      <xdr:rowOff>30480</xdr:rowOff>
    </xdr:from>
    <xdr:to>
      <xdr:col>7</xdr:col>
      <xdr:colOff>647700</xdr:colOff>
      <xdr:row>346</xdr:row>
      <xdr:rowOff>108450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4750063-AD4B-CF59-EF52-7D4F2E47BD5E}"/>
            </a:ext>
          </a:extLst>
        </xdr:cNvPr>
        <xdr:cNvGrpSpPr/>
      </xdr:nvGrpSpPr>
      <xdr:grpSpPr>
        <a:xfrm>
          <a:off x="83820" y="57889140"/>
          <a:ext cx="6393180" cy="5427210"/>
          <a:chOff x="59229" y="269499"/>
          <a:chExt cx="7150142" cy="6242550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9A96E8EF-2FFC-F626-0CCF-69963B286A25}"/>
              </a:ext>
            </a:extLst>
          </xdr:cNvPr>
          <xdr:cNvGrpSpPr/>
        </xdr:nvGrpSpPr>
        <xdr:grpSpPr>
          <a:xfrm>
            <a:off x="59229" y="4892049"/>
            <a:ext cx="7150142" cy="1620000"/>
            <a:chOff x="59229" y="4892049"/>
            <a:chExt cx="7150142" cy="1620000"/>
          </a:xfrm>
        </xdr:grpSpPr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4761F5DC-48FB-18D9-B238-C06C0532193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9229" y="4892049"/>
              <a:ext cx="2157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77429852-1E50-291E-6CC3-1A9D34FABB4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996058" y="4892049"/>
              <a:ext cx="1213313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C84158BF-F65D-8431-E0BF-1F85AD2D2E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356121" y="4892049"/>
              <a:ext cx="2157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967C3226-5019-AD24-2434-05D3C920D8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653013" y="4892049"/>
              <a:ext cx="1213313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A6E345C6-2B05-9724-A7D7-992D65A72B89}"/>
              </a:ext>
            </a:extLst>
          </xdr:cNvPr>
          <xdr:cNvGrpSpPr/>
        </xdr:nvGrpSpPr>
        <xdr:grpSpPr>
          <a:xfrm>
            <a:off x="663345" y="269499"/>
            <a:ext cx="5941911" cy="4471275"/>
            <a:chOff x="328854" y="269499"/>
            <a:chExt cx="5941911" cy="4471275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9C372D6-4966-3B82-FC70-495EBFC9511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21250"/>
            <a:stretch/>
          </xdr:blipFill>
          <xdr:spPr>
            <a:xfrm>
              <a:off x="4383388" y="2940774"/>
              <a:ext cx="188737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38FC3AE8-BB7C-E6B1-0148-1D55C8C2047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28854" y="269499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BAFE7A98-B84B-2CF9-3365-9FF39384D86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83390" y="269499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07B0FA79-A8BC-3B91-FC38-BEF2D256464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356122" y="269499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B356D899-176B-9D86-B0EB-253C993F14E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883" r="10367"/>
            <a:stretch/>
          </xdr:blipFill>
          <xdr:spPr>
            <a:xfrm>
              <a:off x="2356121" y="2940774"/>
              <a:ext cx="188737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A250CC08-5884-1BE3-A827-845784E0BE9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616" r="12349"/>
            <a:stretch/>
          </xdr:blipFill>
          <xdr:spPr>
            <a:xfrm>
              <a:off x="328854" y="2940774"/>
              <a:ext cx="188737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FxQbwL5ev8M2zFq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402"/>
  <sheetViews>
    <sheetView tabSelected="1" view="pageBreakPreview" zoomScaleNormal="100" zoomScaleSheetLayoutView="100" workbookViewId="0">
      <selection activeCell="M4" sqref="M4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6" width="11.6640625" style="40" customWidth="1"/>
    <col min="7" max="7" width="11.44140625" style="40" customWidth="1"/>
    <col min="8" max="8" width="10.554687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26" ht="46.5" customHeight="1" x14ac:dyDescent="0.3">
      <c r="A1" s="182" t="s">
        <v>162</v>
      </c>
      <c r="B1" s="182"/>
      <c r="C1" s="182"/>
      <c r="D1" s="182"/>
      <c r="E1" s="182"/>
      <c r="F1" s="182"/>
      <c r="G1" s="182"/>
      <c r="H1" s="182"/>
    </row>
    <row r="2" spans="1:26" ht="16.5" customHeight="1" x14ac:dyDescent="0.3">
      <c r="A2" s="102" t="s">
        <v>0</v>
      </c>
      <c r="B2" s="102"/>
      <c r="C2" s="102"/>
      <c r="D2" s="102"/>
      <c r="E2" s="102"/>
      <c r="F2" s="102"/>
      <c r="G2" s="102"/>
      <c r="H2" s="102"/>
    </row>
    <row r="3" spans="1:26" x14ac:dyDescent="0.3">
      <c r="A3" s="119" t="s">
        <v>1</v>
      </c>
      <c r="B3" s="119"/>
      <c r="C3" s="119"/>
      <c r="D3" s="119"/>
      <c r="E3" s="119" t="str">
        <f ca="1">TEXT(TODAY(),"DD/MM/YYYY")</f>
        <v>09/09/2025</v>
      </c>
      <c r="F3" s="119"/>
      <c r="G3" s="119"/>
      <c r="H3" s="119"/>
    </row>
    <row r="4" spans="1:26" ht="15" customHeight="1" x14ac:dyDescent="0.3">
      <c r="A4" s="119" t="s">
        <v>2</v>
      </c>
      <c r="B4" s="119"/>
      <c r="C4" s="119"/>
      <c r="D4" s="119"/>
      <c r="E4" s="119" t="s">
        <v>231</v>
      </c>
      <c r="F4" s="119"/>
      <c r="G4" s="119"/>
      <c r="H4" s="119"/>
    </row>
    <row r="5" spans="1:26" x14ac:dyDescent="0.3">
      <c r="A5" s="119" t="s">
        <v>3</v>
      </c>
      <c r="B5" s="119"/>
      <c r="C5" s="119"/>
      <c r="D5" s="119"/>
      <c r="E5" s="183">
        <v>45908</v>
      </c>
      <c r="F5" s="119"/>
      <c r="G5" s="119"/>
      <c r="H5" s="119"/>
    </row>
    <row r="6" spans="1:26" ht="16.5" customHeight="1" x14ac:dyDescent="0.3">
      <c r="A6" s="119" t="s">
        <v>4</v>
      </c>
      <c r="B6" s="119"/>
      <c r="C6" s="119"/>
      <c r="D6" s="119"/>
      <c r="E6" s="119" t="s">
        <v>232</v>
      </c>
      <c r="F6" s="119"/>
      <c r="G6" s="119"/>
      <c r="H6" s="119"/>
    </row>
    <row r="7" spans="1:26" ht="15" customHeight="1" x14ac:dyDescent="0.3">
      <c r="A7" s="119" t="s">
        <v>5</v>
      </c>
      <c r="B7" s="119"/>
      <c r="C7" s="119"/>
      <c r="D7" s="119"/>
      <c r="E7" s="119" t="str">
        <f>E6</f>
        <v>Shree Mahalaxmi Developers</v>
      </c>
      <c r="F7" s="119"/>
      <c r="G7" s="119"/>
      <c r="H7" s="119"/>
    </row>
    <row r="8" spans="1:26" x14ac:dyDescent="0.3">
      <c r="A8" s="119" t="s">
        <v>6</v>
      </c>
      <c r="B8" s="119"/>
      <c r="C8" s="119"/>
      <c r="D8" s="119"/>
      <c r="E8" s="75" t="s">
        <v>233</v>
      </c>
      <c r="F8" s="75"/>
      <c r="G8" s="75"/>
      <c r="H8" s="75"/>
    </row>
    <row r="9" spans="1:26" x14ac:dyDescent="0.3">
      <c r="A9" s="119" t="s">
        <v>165</v>
      </c>
      <c r="B9" s="119"/>
      <c r="C9" s="119"/>
      <c r="D9" s="119"/>
      <c r="E9" s="119" t="s">
        <v>234</v>
      </c>
      <c r="F9" s="119"/>
      <c r="G9" s="119"/>
      <c r="H9" s="119"/>
    </row>
    <row r="10" spans="1:26" x14ac:dyDescent="0.3">
      <c r="A10" s="119" t="s">
        <v>166</v>
      </c>
      <c r="B10" s="119"/>
      <c r="C10" s="119"/>
      <c r="D10" s="119"/>
      <c r="E10" s="119" t="s">
        <v>296</v>
      </c>
      <c r="F10" s="119"/>
      <c r="G10" s="119"/>
      <c r="H10" s="119"/>
      <c r="I10" s="119" t="s">
        <v>290</v>
      </c>
      <c r="J10" s="119"/>
      <c r="K10" s="119"/>
      <c r="L10" s="119"/>
    </row>
    <row r="11" spans="1:26" ht="65.25" customHeight="1" x14ac:dyDescent="0.3">
      <c r="A11" s="119" t="s">
        <v>7</v>
      </c>
      <c r="B11" s="119"/>
      <c r="C11" s="119"/>
      <c r="D11" s="119"/>
      <c r="E11" s="118" t="s">
        <v>285</v>
      </c>
      <c r="F11" s="119"/>
      <c r="G11" s="119"/>
      <c r="H11" s="119"/>
    </row>
    <row r="12" spans="1:26" x14ac:dyDescent="0.3">
      <c r="A12" s="119" t="s">
        <v>168</v>
      </c>
      <c r="B12" s="119"/>
      <c r="C12" s="119"/>
      <c r="D12" s="119"/>
      <c r="E12" s="119" t="s">
        <v>29</v>
      </c>
      <c r="F12" s="119"/>
      <c r="G12" s="119"/>
      <c r="H12" s="119"/>
      <c r="S12" s="56" t="s">
        <v>175</v>
      </c>
      <c r="T12" s="56" t="s">
        <v>185</v>
      </c>
      <c r="U12" s="56" t="s">
        <v>169</v>
      </c>
      <c r="V12" s="56" t="s">
        <v>190</v>
      </c>
      <c r="W12" s="56" t="s">
        <v>208</v>
      </c>
      <c r="X12"/>
      <c r="Y12" t="s">
        <v>190</v>
      </c>
      <c r="Z12" t="e">
        <f ca="1">OFFSET($S$12,1,MATCH($G19,$S$12:$W$12,0)-1,15,1)</f>
        <v>#VALUE!</v>
      </c>
    </row>
    <row r="13" spans="1:26" ht="32.25" customHeight="1" x14ac:dyDescent="0.3">
      <c r="A13" s="104" t="s">
        <v>8</v>
      </c>
      <c r="B13" s="104"/>
      <c r="C13" s="104"/>
      <c r="D13" s="104"/>
      <c r="E13" s="184" t="s">
        <v>235</v>
      </c>
      <c r="F13" s="184"/>
      <c r="G13" s="184"/>
      <c r="H13" s="184"/>
      <c r="S13" s="56" t="s">
        <v>176</v>
      </c>
      <c r="T13" s="56" t="s">
        <v>183</v>
      </c>
      <c r="U13" s="56" t="s">
        <v>205</v>
      </c>
      <c r="V13" s="56" t="s">
        <v>191</v>
      </c>
      <c r="W13" s="56" t="s">
        <v>209</v>
      </c>
      <c r="X13"/>
      <c r="Y13"/>
      <c r="Z13"/>
    </row>
    <row r="14" spans="1:26" x14ac:dyDescent="0.3">
      <c r="A14" s="104" t="s">
        <v>9</v>
      </c>
      <c r="B14" s="104"/>
      <c r="C14" s="104"/>
      <c r="D14" s="104"/>
      <c r="E14" s="118" t="s">
        <v>236</v>
      </c>
      <c r="F14" s="119"/>
      <c r="G14" s="119"/>
      <c r="H14" s="119"/>
      <c r="I14" s="97" t="e">
        <f ca="1">OFFSET($D$4,1,MATCH($J12,$D$4:$H$4,0)-1,15,1)</f>
        <v>#N/A</v>
      </c>
      <c r="J14" s="98"/>
      <c r="K14" s="98"/>
      <c r="L14" s="98"/>
      <c r="M14" s="98"/>
      <c r="N14" s="98"/>
      <c r="O14" s="98"/>
      <c r="P14" s="98"/>
      <c r="S14" s="56" t="s">
        <v>177</v>
      </c>
      <c r="T14" s="56" t="s">
        <v>184</v>
      </c>
      <c r="U14" s="56" t="s">
        <v>206</v>
      </c>
      <c r="V14" s="56" t="s">
        <v>192</v>
      </c>
      <c r="W14" s="56" t="s">
        <v>222</v>
      </c>
      <c r="X14"/>
      <c r="Y14"/>
      <c r="Z14"/>
    </row>
    <row r="15" spans="1:26" ht="46.2" customHeight="1" x14ac:dyDescent="0.3">
      <c r="A15" s="115" t="s">
        <v>10</v>
      </c>
      <c r="B15" s="115"/>
      <c r="C15" s="11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Shree Mahalaxmi Sankul, Gut No.56/1, 2 ,4/C &amp; CTS No. 1661/4, near RVV International School, Internal Road , Khopoli, Chinchavli Shekin, Lowjee East, Khalapur, Raigad - 410203.</v>
      </c>
      <c r="D15" s="115"/>
      <c r="E15" s="115"/>
      <c r="F15" s="115"/>
      <c r="G15" s="115"/>
      <c r="H15" s="115"/>
      <c r="S15" s="56" t="s">
        <v>178</v>
      </c>
      <c r="T15" s="56" t="s">
        <v>186</v>
      </c>
      <c r="U15" s="56" t="s">
        <v>207</v>
      </c>
      <c r="V15" s="56" t="s">
        <v>193</v>
      </c>
      <c r="W15" s="56" t="s">
        <v>210</v>
      </c>
      <c r="X15"/>
      <c r="Y15"/>
      <c r="Z15"/>
    </row>
    <row r="16" spans="1:26" x14ac:dyDescent="0.3">
      <c r="A16" s="118" t="s">
        <v>286</v>
      </c>
      <c r="B16" s="118"/>
      <c r="C16" s="118" t="s">
        <v>287</v>
      </c>
      <c r="D16" s="118"/>
      <c r="E16" s="118"/>
      <c r="F16" s="118"/>
      <c r="G16" s="118"/>
      <c r="H16" s="118"/>
      <c r="S16" s="56" t="s">
        <v>179</v>
      </c>
      <c r="T16" s="56" t="s">
        <v>187</v>
      </c>
      <c r="U16" s="56"/>
      <c r="V16" s="56" t="s">
        <v>194</v>
      </c>
      <c r="W16" s="56" t="s">
        <v>211</v>
      </c>
      <c r="X16"/>
      <c r="Y16"/>
      <c r="Z16"/>
    </row>
    <row r="17" spans="1:26" ht="15.75" customHeight="1" x14ac:dyDescent="0.3">
      <c r="A17" s="118" t="s">
        <v>160</v>
      </c>
      <c r="B17" s="118"/>
      <c r="C17" s="118" t="s">
        <v>243</v>
      </c>
      <c r="D17" s="118"/>
      <c r="E17" s="118"/>
      <c r="F17" s="118"/>
      <c r="G17" s="118"/>
      <c r="H17" s="118"/>
      <c r="S17" s="56" t="s">
        <v>180</v>
      </c>
      <c r="T17" s="56" t="s">
        <v>185</v>
      </c>
      <c r="U17" s="56"/>
      <c r="V17" s="56" t="s">
        <v>195</v>
      </c>
      <c r="W17" s="56" t="s">
        <v>212</v>
      </c>
      <c r="X17"/>
      <c r="Y17"/>
      <c r="Z17"/>
    </row>
    <row r="18" spans="1:26" ht="15.75" customHeight="1" x14ac:dyDescent="0.3">
      <c r="A18" s="115" t="s">
        <v>11</v>
      </c>
      <c r="B18" s="115"/>
      <c r="C18" s="119" t="s">
        <v>242</v>
      </c>
      <c r="D18" s="119"/>
      <c r="E18" s="115" t="s">
        <v>72</v>
      </c>
      <c r="F18" s="115"/>
      <c r="G18" s="118" t="s">
        <v>237</v>
      </c>
      <c r="H18" s="118"/>
      <c r="S18" s="56" t="s">
        <v>181</v>
      </c>
      <c r="T18" s="56" t="s">
        <v>188</v>
      </c>
      <c r="U18" s="56"/>
      <c r="V18" s="56" t="s">
        <v>196</v>
      </c>
      <c r="W18" s="56" t="s">
        <v>213</v>
      </c>
      <c r="X18"/>
      <c r="Y18"/>
      <c r="Z18"/>
    </row>
    <row r="19" spans="1:26" x14ac:dyDescent="0.3">
      <c r="A19" s="104" t="s">
        <v>13</v>
      </c>
      <c r="B19" s="104"/>
      <c r="C19" s="118" t="s">
        <v>240</v>
      </c>
      <c r="D19" s="118"/>
      <c r="E19" s="115" t="s">
        <v>12</v>
      </c>
      <c r="F19" s="115"/>
      <c r="G19" s="188" t="s">
        <v>190</v>
      </c>
      <c r="H19" s="188"/>
      <c r="S19" s="56" t="s">
        <v>182</v>
      </c>
      <c r="T19" s="56" t="s">
        <v>189</v>
      </c>
      <c r="U19" s="56"/>
      <c r="V19" s="56" t="s">
        <v>197</v>
      </c>
      <c r="W19" s="56" t="s">
        <v>214</v>
      </c>
      <c r="X19"/>
      <c r="Y19"/>
      <c r="Z19"/>
    </row>
    <row r="20" spans="1:26" x14ac:dyDescent="0.3">
      <c r="A20" s="104" t="s">
        <v>73</v>
      </c>
      <c r="B20" s="104"/>
      <c r="C20" s="118" t="s">
        <v>195</v>
      </c>
      <c r="D20" s="118"/>
      <c r="E20" s="115" t="s">
        <v>14</v>
      </c>
      <c r="F20" s="115"/>
      <c r="G20" s="118">
        <v>410203</v>
      </c>
      <c r="H20" s="118"/>
      <c r="S20" s="56"/>
      <c r="T20" s="56"/>
      <c r="U20" s="56"/>
      <c r="V20" s="56" t="s">
        <v>198</v>
      </c>
      <c r="W20" s="56" t="s">
        <v>215</v>
      </c>
      <c r="X20"/>
      <c r="Y20"/>
      <c r="Z20"/>
    </row>
    <row r="21" spans="1:26" ht="32.25" customHeight="1" x14ac:dyDescent="0.3">
      <c r="A21" s="104" t="s">
        <v>120</v>
      </c>
      <c r="B21" s="104"/>
      <c r="C21" s="118" t="s">
        <v>241</v>
      </c>
      <c r="D21" s="118"/>
      <c r="E21" s="115" t="s">
        <v>15</v>
      </c>
      <c r="F21" s="115"/>
      <c r="G21" s="118" t="s">
        <v>284</v>
      </c>
      <c r="H21" s="118"/>
      <c r="S21" s="56"/>
      <c r="T21" s="56"/>
      <c r="U21" s="56"/>
      <c r="V21" s="56" t="s">
        <v>199</v>
      </c>
      <c r="W21" s="56" t="s">
        <v>216</v>
      </c>
      <c r="X21"/>
      <c r="Y21"/>
      <c r="Z21"/>
    </row>
    <row r="22" spans="1:26" ht="15" customHeight="1" x14ac:dyDescent="0.3">
      <c r="A22" s="115" t="s">
        <v>74</v>
      </c>
      <c r="B22" s="115"/>
      <c r="C22" s="115"/>
      <c r="D22" s="115"/>
      <c r="E22" s="119" t="s">
        <v>16</v>
      </c>
      <c r="F22" s="119"/>
      <c r="G22" s="119"/>
      <c r="H22" s="119"/>
      <c r="S22" s="56"/>
      <c r="T22" s="56"/>
      <c r="U22" s="56"/>
      <c r="V22" s="56" t="s">
        <v>200</v>
      </c>
      <c r="W22" s="56" t="s">
        <v>217</v>
      </c>
      <c r="X22"/>
      <c r="Y22"/>
      <c r="Z22"/>
    </row>
    <row r="23" spans="1:26" ht="18.75" customHeight="1" x14ac:dyDescent="0.3">
      <c r="A23" s="115"/>
      <c r="B23" s="115"/>
      <c r="C23" s="115"/>
      <c r="D23" s="115"/>
      <c r="E23" s="119"/>
      <c r="F23" s="119"/>
      <c r="G23" s="119"/>
      <c r="H23" s="119"/>
      <c r="S23" s="56"/>
      <c r="T23" s="56"/>
      <c r="U23" s="56"/>
      <c r="V23" s="56" t="s">
        <v>201</v>
      </c>
      <c r="W23" s="56" t="s">
        <v>218</v>
      </c>
      <c r="X23"/>
      <c r="Y23"/>
      <c r="Z23"/>
    </row>
    <row r="24" spans="1:26" ht="15" customHeight="1" x14ac:dyDescent="0.3">
      <c r="A24" s="115" t="s">
        <v>17</v>
      </c>
      <c r="B24" s="115"/>
      <c r="C24" s="115"/>
      <c r="D24" s="115"/>
      <c r="E24" s="118" t="s">
        <v>18</v>
      </c>
      <c r="F24" s="118"/>
      <c r="G24" s="118"/>
      <c r="H24" s="118"/>
      <c r="S24" s="56"/>
      <c r="T24" s="56"/>
      <c r="U24" s="56"/>
      <c r="V24" s="56" t="s">
        <v>202</v>
      </c>
      <c r="W24" s="56" t="s">
        <v>219</v>
      </c>
      <c r="X24"/>
      <c r="Y24"/>
      <c r="Z24"/>
    </row>
    <row r="25" spans="1:26" ht="15" customHeight="1" x14ac:dyDescent="0.3">
      <c r="A25" s="104" t="s">
        <v>19</v>
      </c>
      <c r="B25" s="104"/>
      <c r="C25" s="104"/>
      <c r="D25" s="104"/>
      <c r="E25" s="118" t="str">
        <f>IF(AND(G19="Mumbai"),"Upper Class","Middle Class")</f>
        <v>Middle Class</v>
      </c>
      <c r="F25" s="118"/>
      <c r="G25" s="118"/>
      <c r="H25" s="118"/>
      <c r="S25" s="56"/>
      <c r="T25" s="56"/>
      <c r="U25" s="56"/>
      <c r="V25" s="56" t="s">
        <v>203</v>
      </c>
      <c r="W25" s="56" t="s">
        <v>220</v>
      </c>
      <c r="X25"/>
      <c r="Y25"/>
      <c r="Z25"/>
    </row>
    <row r="26" spans="1:26" x14ac:dyDescent="0.3">
      <c r="A26" s="104" t="s">
        <v>20</v>
      </c>
      <c r="B26" s="104"/>
      <c r="C26" s="104"/>
      <c r="D26" s="104"/>
      <c r="E26" s="118" t="s">
        <v>21</v>
      </c>
      <c r="F26" s="118"/>
      <c r="G26" s="118"/>
      <c r="H26" s="118"/>
      <c r="S26" s="56"/>
      <c r="T26" s="56"/>
      <c r="U26" s="56"/>
      <c r="V26" s="56" t="s">
        <v>204</v>
      </c>
      <c r="W26" s="56" t="s">
        <v>221</v>
      </c>
      <c r="X26"/>
      <c r="Y26"/>
      <c r="Z26"/>
    </row>
    <row r="27" spans="1:26" ht="15.75" customHeight="1" x14ac:dyDescent="0.3">
      <c r="A27" s="104" t="s">
        <v>22</v>
      </c>
      <c r="B27" s="104"/>
      <c r="C27" s="104"/>
      <c r="D27" s="104"/>
      <c r="E27" s="118" t="str">
        <f>IF(AND(G19="Mumbai"),"Developed","Developing")</f>
        <v>Developing</v>
      </c>
      <c r="F27" s="118"/>
      <c r="G27" s="118"/>
      <c r="H27" s="118"/>
    </row>
    <row r="28" spans="1:26" x14ac:dyDescent="0.3">
      <c r="A28" s="104" t="s">
        <v>23</v>
      </c>
      <c r="B28" s="104"/>
      <c r="C28" s="104"/>
      <c r="D28" s="104"/>
      <c r="E28" s="118" t="s">
        <v>24</v>
      </c>
      <c r="F28" s="118"/>
      <c r="G28" s="118"/>
      <c r="H28" s="118"/>
    </row>
    <row r="29" spans="1:26" ht="15.75" customHeight="1" x14ac:dyDescent="0.3">
      <c r="A29" s="104" t="s">
        <v>79</v>
      </c>
      <c r="B29" s="104"/>
      <c r="C29" s="104"/>
      <c r="D29" s="104"/>
      <c r="E29" s="118" t="s">
        <v>80</v>
      </c>
      <c r="F29" s="118"/>
      <c r="G29" s="118"/>
      <c r="H29" s="118"/>
    </row>
    <row r="30" spans="1:26" ht="15" customHeight="1" x14ac:dyDescent="0.3">
      <c r="A30" s="104" t="s">
        <v>32</v>
      </c>
      <c r="B30" s="104"/>
      <c r="C30" s="104"/>
      <c r="D30" s="104"/>
      <c r="E30" s="118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18"/>
      <c r="G30" s="118"/>
      <c r="H30" s="118"/>
    </row>
    <row r="31" spans="1:26" ht="15.75" customHeight="1" x14ac:dyDescent="0.3">
      <c r="A31" s="104" t="s">
        <v>91</v>
      </c>
      <c r="B31" s="104"/>
      <c r="C31" s="104"/>
      <c r="D31" s="104"/>
      <c r="E31" s="118" t="s">
        <v>33</v>
      </c>
      <c r="F31" s="118"/>
      <c r="G31" s="118"/>
      <c r="H31" s="118"/>
    </row>
    <row r="32" spans="1:26" s="22" customFormat="1" x14ac:dyDescent="0.3">
      <c r="A32" s="193" t="s">
        <v>92</v>
      </c>
      <c r="B32" s="193"/>
      <c r="C32" s="190" t="s">
        <v>170</v>
      </c>
      <c r="D32" s="191"/>
      <c r="E32" s="192"/>
      <c r="F32" s="190" t="s">
        <v>30</v>
      </c>
      <c r="G32" s="191"/>
      <c r="H32" s="192"/>
      <c r="J32" s="57"/>
      <c r="K32" s="57"/>
      <c r="L32" s="57"/>
    </row>
    <row r="33" spans="1:12" s="22" customFormat="1" x14ac:dyDescent="0.3">
      <c r="A33" s="189" t="s">
        <v>25</v>
      </c>
      <c r="B33" s="189" t="s">
        <v>29</v>
      </c>
      <c r="C33" s="185" t="s">
        <v>245</v>
      </c>
      <c r="D33" s="186"/>
      <c r="E33" s="187"/>
      <c r="F33" s="185" t="s">
        <v>247</v>
      </c>
      <c r="G33" s="186"/>
      <c r="H33" s="187"/>
      <c r="J33" s="57"/>
      <c r="K33" s="57"/>
      <c r="L33" s="57"/>
    </row>
    <row r="34" spans="1:12" x14ac:dyDescent="0.3">
      <c r="A34" s="189" t="s">
        <v>26</v>
      </c>
      <c r="B34" s="189" t="s">
        <v>29</v>
      </c>
      <c r="C34" s="185" t="s">
        <v>244</v>
      </c>
      <c r="D34" s="186"/>
      <c r="E34" s="187"/>
      <c r="F34" s="185" t="s">
        <v>246</v>
      </c>
      <c r="G34" s="186"/>
      <c r="H34" s="187"/>
      <c r="J34" s="57"/>
      <c r="K34" s="57"/>
      <c r="L34" s="57"/>
    </row>
    <row r="35" spans="1:12" s="22" customFormat="1" x14ac:dyDescent="0.3">
      <c r="A35" s="189" t="s">
        <v>28</v>
      </c>
      <c r="B35" s="189" t="s">
        <v>29</v>
      </c>
      <c r="C35" s="185" t="s">
        <v>248</v>
      </c>
      <c r="D35" s="186"/>
      <c r="E35" s="187"/>
      <c r="F35" s="185" t="s">
        <v>246</v>
      </c>
      <c r="G35" s="186"/>
      <c r="H35" s="187"/>
      <c r="J35" s="57"/>
      <c r="K35" s="57"/>
      <c r="L35" s="57"/>
    </row>
    <row r="36" spans="1:12" x14ac:dyDescent="0.3">
      <c r="A36" s="189" t="s">
        <v>27</v>
      </c>
      <c r="B36" s="189" t="s">
        <v>29</v>
      </c>
      <c r="C36" s="185" t="s">
        <v>249</v>
      </c>
      <c r="D36" s="186"/>
      <c r="E36" s="187"/>
      <c r="F36" s="185" t="s">
        <v>241</v>
      </c>
      <c r="G36" s="186"/>
      <c r="H36" s="187"/>
    </row>
    <row r="37" spans="1:12" x14ac:dyDescent="0.3">
      <c r="A37" s="104" t="s">
        <v>31</v>
      </c>
      <c r="B37" s="104"/>
      <c r="C37" s="104"/>
      <c r="D37" s="104"/>
      <c r="E37" s="104"/>
      <c r="F37" s="104"/>
      <c r="G37" s="104"/>
      <c r="H37" s="104"/>
    </row>
    <row r="38" spans="1:12" ht="15.75" customHeight="1" x14ac:dyDescent="0.3">
      <c r="A38" s="104" t="s">
        <v>163</v>
      </c>
      <c r="B38" s="104"/>
      <c r="C38" s="167" t="s">
        <v>239</v>
      </c>
      <c r="D38" s="167"/>
      <c r="E38" s="167"/>
      <c r="F38" s="167"/>
      <c r="G38" s="167"/>
      <c r="H38" s="167"/>
    </row>
    <row r="39" spans="1:12" x14ac:dyDescent="0.3">
      <c r="A39" s="104" t="s">
        <v>159</v>
      </c>
      <c r="B39" s="104"/>
      <c r="C39" s="198" t="s">
        <v>238</v>
      </c>
      <c r="D39" s="118"/>
      <c r="E39" s="118"/>
      <c r="F39" s="118"/>
      <c r="G39" s="118"/>
      <c r="H39" s="118"/>
    </row>
    <row r="40" spans="1:12" x14ac:dyDescent="0.3">
      <c r="A40" s="167" t="s">
        <v>34</v>
      </c>
      <c r="B40" s="167"/>
      <c r="C40" s="167"/>
      <c r="D40" s="167"/>
      <c r="E40" s="167"/>
      <c r="F40" s="167"/>
      <c r="G40" s="167"/>
      <c r="H40" s="167"/>
    </row>
    <row r="41" spans="1:12" x14ac:dyDescent="0.3">
      <c r="A41" s="104" t="s">
        <v>35</v>
      </c>
      <c r="B41" s="104"/>
      <c r="C41" s="104"/>
      <c r="D41" s="104"/>
      <c r="E41" s="194">
        <v>7032</v>
      </c>
      <c r="F41" s="194"/>
      <c r="G41" s="194"/>
      <c r="H41" s="194"/>
    </row>
    <row r="42" spans="1:12" x14ac:dyDescent="0.3">
      <c r="A42" s="104" t="s">
        <v>36</v>
      </c>
      <c r="B42" s="104"/>
      <c r="C42" s="104"/>
      <c r="D42" s="104"/>
      <c r="E42" s="111">
        <v>1.1000000000000001</v>
      </c>
      <c r="F42" s="111"/>
      <c r="G42" s="111"/>
      <c r="H42" s="111"/>
    </row>
    <row r="43" spans="1:12" x14ac:dyDescent="0.3">
      <c r="A43" s="104" t="s">
        <v>37</v>
      </c>
      <c r="B43" s="104"/>
      <c r="C43" s="104"/>
      <c r="D43" s="104"/>
      <c r="E43" s="111">
        <f>E45/E41-E42</f>
        <v>1.7438997440273036</v>
      </c>
      <c r="F43" s="111"/>
      <c r="G43" s="111"/>
      <c r="H43" s="111"/>
    </row>
    <row r="44" spans="1:12" x14ac:dyDescent="0.3">
      <c r="A44" s="104" t="s">
        <v>38</v>
      </c>
      <c r="B44" s="104"/>
      <c r="C44" s="104"/>
      <c r="D44" s="104"/>
      <c r="E44" s="111">
        <f>E42+E43</f>
        <v>2.8438997440273037</v>
      </c>
      <c r="F44" s="111"/>
      <c r="G44" s="111"/>
      <c r="H44" s="111"/>
    </row>
    <row r="45" spans="1:12" x14ac:dyDescent="0.3">
      <c r="A45" s="104" t="s">
        <v>90</v>
      </c>
      <c r="B45" s="104"/>
      <c r="C45" s="104"/>
      <c r="D45" s="104"/>
      <c r="E45" s="197">
        <v>19998.303</v>
      </c>
      <c r="F45" s="197"/>
      <c r="G45" s="197"/>
      <c r="H45" s="197"/>
    </row>
    <row r="46" spans="1:12" x14ac:dyDescent="0.3">
      <c r="A46" s="119" t="s">
        <v>39</v>
      </c>
      <c r="B46" s="119"/>
      <c r="C46" s="119"/>
      <c r="D46" s="119"/>
      <c r="E46" s="119" t="s">
        <v>250</v>
      </c>
      <c r="F46" s="119"/>
      <c r="G46" s="119"/>
      <c r="H46" s="119"/>
    </row>
    <row r="47" spans="1:12" x14ac:dyDescent="0.3">
      <c r="A47" s="167" t="s">
        <v>40</v>
      </c>
      <c r="B47" s="167"/>
      <c r="C47" s="167"/>
      <c r="D47" s="167"/>
      <c r="E47" s="167"/>
      <c r="F47" s="167"/>
      <c r="G47" s="167"/>
      <c r="H47" s="167"/>
    </row>
    <row r="48" spans="1:12" ht="33.75" customHeight="1" x14ac:dyDescent="0.3">
      <c r="A48" s="112" t="s">
        <v>148</v>
      </c>
      <c r="B48" s="113"/>
      <c r="C48" s="201" t="s">
        <v>251</v>
      </c>
      <c r="D48" s="202"/>
      <c r="E48" s="202"/>
      <c r="F48" s="202"/>
      <c r="G48" s="202"/>
      <c r="H48" s="203"/>
    </row>
    <row r="49" spans="1:14" ht="15.75" customHeight="1" x14ac:dyDescent="0.3">
      <c r="A49" s="112" t="s">
        <v>41</v>
      </c>
      <c r="B49" s="113"/>
      <c r="C49" s="112" t="s">
        <v>252</v>
      </c>
      <c r="D49" s="114"/>
      <c r="E49" s="113"/>
      <c r="F49" s="18" t="s">
        <v>42</v>
      </c>
      <c r="G49" s="116">
        <v>45029</v>
      </c>
      <c r="H49" s="113"/>
    </row>
    <row r="50" spans="1:14" x14ac:dyDescent="0.3">
      <c r="A50" s="112" t="s">
        <v>43</v>
      </c>
      <c r="B50" s="113"/>
      <c r="C50" s="112" t="str">
        <f>C49</f>
        <v>KMC/TP/116</v>
      </c>
      <c r="D50" s="114"/>
      <c r="E50" s="113"/>
      <c r="F50" s="18" t="s">
        <v>42</v>
      </c>
      <c r="G50" s="116">
        <f>G49</f>
        <v>45029</v>
      </c>
      <c r="H50" s="173"/>
    </row>
    <row r="51" spans="1:14" s="23" customFormat="1" ht="15.75" customHeight="1" x14ac:dyDescent="0.3">
      <c r="A51" s="121" t="s">
        <v>228</v>
      </c>
      <c r="B51" s="122"/>
      <c r="C51" s="112" t="s">
        <v>253</v>
      </c>
      <c r="D51" s="114"/>
      <c r="E51" s="113"/>
      <c r="F51" s="18" t="s">
        <v>42</v>
      </c>
      <c r="G51" s="116">
        <v>45029</v>
      </c>
      <c r="H51" s="113"/>
    </row>
    <row r="52" spans="1:14" s="23" customFormat="1" ht="33.75" customHeight="1" x14ac:dyDescent="0.3">
      <c r="A52" s="123" t="s">
        <v>229</v>
      </c>
      <c r="B52" s="124"/>
      <c r="C52" s="112" t="s">
        <v>295</v>
      </c>
      <c r="D52" s="114"/>
      <c r="E52" s="114"/>
      <c r="F52" s="114"/>
      <c r="G52" s="114"/>
      <c r="H52" s="113"/>
    </row>
    <row r="53" spans="1:14" x14ac:dyDescent="0.3">
      <c r="A53" s="105" t="s">
        <v>44</v>
      </c>
      <c r="B53" s="106"/>
      <c r="C53" s="105" t="s">
        <v>104</v>
      </c>
      <c r="D53" s="107"/>
      <c r="E53" s="106"/>
      <c r="F53" s="46" t="s">
        <v>42</v>
      </c>
      <c r="G53" s="126" t="s">
        <v>29</v>
      </c>
      <c r="H53" s="127"/>
    </row>
    <row r="54" spans="1:14" x14ac:dyDescent="0.3">
      <c r="A54" s="117" t="s">
        <v>46</v>
      </c>
      <c r="B54" s="117"/>
      <c r="C54" s="117"/>
      <c r="D54" s="117"/>
      <c r="E54" s="117"/>
      <c r="F54" s="117"/>
      <c r="G54" s="117"/>
      <c r="H54" s="117"/>
    </row>
    <row r="55" spans="1:14" x14ac:dyDescent="0.3">
      <c r="A55" s="115" t="s">
        <v>89</v>
      </c>
      <c r="B55" s="115"/>
      <c r="C55" s="115"/>
      <c r="D55" s="104">
        <f>E45</f>
        <v>19998.303</v>
      </c>
      <c r="E55" s="104"/>
      <c r="F55" s="104"/>
      <c r="G55" s="104"/>
      <c r="H55" s="104"/>
    </row>
    <row r="56" spans="1:14" x14ac:dyDescent="0.3">
      <c r="A56" s="118" t="s">
        <v>47</v>
      </c>
      <c r="B56" s="119"/>
      <c r="C56" s="119"/>
      <c r="D56" s="120" t="s">
        <v>282</v>
      </c>
      <c r="E56" s="120"/>
      <c r="F56" s="120"/>
      <c r="G56" s="120"/>
      <c r="H56" s="120"/>
      <c r="I56" s="24"/>
    </row>
    <row r="57" spans="1:14" ht="63" customHeight="1" x14ac:dyDescent="0.3">
      <c r="A57" s="170" t="s">
        <v>48</v>
      </c>
      <c r="B57" s="171"/>
      <c r="C57" s="172"/>
      <c r="D57" s="125" t="s">
        <v>261</v>
      </c>
      <c r="E57" s="169"/>
      <c r="F57" s="169"/>
      <c r="G57" s="169"/>
      <c r="H57" s="169"/>
    </row>
    <row r="58" spans="1:14" ht="15.75" customHeight="1" x14ac:dyDescent="0.3">
      <c r="A58" s="170" t="s">
        <v>87</v>
      </c>
      <c r="B58" s="171"/>
      <c r="C58" s="172"/>
      <c r="D58" s="119" t="s">
        <v>262</v>
      </c>
      <c r="E58" s="119"/>
      <c r="F58" s="119"/>
      <c r="G58" s="119"/>
      <c r="H58" s="119"/>
    </row>
    <row r="59" spans="1:14" ht="15.75" customHeight="1" x14ac:dyDescent="0.3">
      <c r="A59" s="175"/>
      <c r="B59" s="176"/>
      <c r="C59" s="177"/>
      <c r="D59" s="119" t="s">
        <v>263</v>
      </c>
      <c r="E59" s="119"/>
      <c r="F59" s="119"/>
      <c r="G59" s="119"/>
      <c r="H59" s="119"/>
    </row>
    <row r="60" spans="1:14" ht="15.75" customHeight="1" x14ac:dyDescent="0.3">
      <c r="A60" s="175"/>
      <c r="B60" s="176"/>
      <c r="C60" s="177"/>
      <c r="D60" s="119" t="s">
        <v>264</v>
      </c>
      <c r="E60" s="119"/>
      <c r="F60" s="119"/>
      <c r="G60" s="119"/>
      <c r="H60" s="119"/>
    </row>
    <row r="61" spans="1:14" ht="15.75" customHeight="1" x14ac:dyDescent="0.3">
      <c r="A61" s="178"/>
      <c r="B61" s="179"/>
      <c r="C61" s="180"/>
      <c r="D61" s="119" t="s">
        <v>265</v>
      </c>
      <c r="E61" s="119"/>
      <c r="F61" s="119"/>
      <c r="G61" s="119"/>
      <c r="H61" s="119"/>
    </row>
    <row r="62" spans="1:14" ht="15.75" customHeight="1" x14ac:dyDescent="0.3">
      <c r="A62" s="104" t="s">
        <v>45</v>
      </c>
      <c r="B62" s="104"/>
      <c r="C62" s="104"/>
      <c r="D62" s="195" t="s">
        <v>254</v>
      </c>
      <c r="E62" s="195"/>
      <c r="F62" s="195"/>
      <c r="G62" s="195"/>
      <c r="H62" s="195"/>
      <c r="J62" s="25"/>
      <c r="K62" s="24"/>
      <c r="N62" s="24"/>
    </row>
    <row r="63" spans="1:14" ht="15.75" customHeight="1" x14ac:dyDescent="0.3">
      <c r="A63" s="104" t="s">
        <v>85</v>
      </c>
      <c r="B63" s="104"/>
      <c r="C63" s="104"/>
      <c r="D63" s="196" t="str">
        <f>(IF(G53="NA","60 Years After Completion",IF(G53&lt;&gt;"NA",""&amp;60-ROUNDDOWN((E3-G53)/360,0)&amp;" Years"," ")))</f>
        <v>60 Years After Completion</v>
      </c>
      <c r="E63" s="196"/>
      <c r="F63" s="196"/>
      <c r="G63" s="196"/>
      <c r="H63" s="196"/>
      <c r="N63" s="24"/>
    </row>
    <row r="64" spans="1:14" ht="15.75" customHeight="1" x14ac:dyDescent="0.3">
      <c r="A64" s="104" t="s">
        <v>86</v>
      </c>
      <c r="B64" s="104"/>
      <c r="C64" s="104"/>
      <c r="D64" s="115" t="s">
        <v>24</v>
      </c>
      <c r="E64" s="115"/>
      <c r="F64" s="115"/>
      <c r="G64" s="115"/>
      <c r="H64" s="115"/>
      <c r="J64" s="26"/>
      <c r="K64" s="26"/>
    </row>
    <row r="65" spans="1:14" ht="31.5" customHeight="1" x14ac:dyDescent="0.3">
      <c r="A65" s="119" t="s">
        <v>230</v>
      </c>
      <c r="B65" s="119"/>
      <c r="C65" s="119"/>
      <c r="D65" s="118" t="s">
        <v>255</v>
      </c>
      <c r="E65" s="115"/>
      <c r="F65" s="115"/>
      <c r="G65" s="115"/>
      <c r="H65" s="115"/>
    </row>
    <row r="66" spans="1:14" x14ac:dyDescent="0.3">
      <c r="A66" s="115" t="s">
        <v>146</v>
      </c>
      <c r="B66" s="115"/>
      <c r="C66" s="115"/>
      <c r="D66" s="115" t="s">
        <v>29</v>
      </c>
      <c r="E66" s="115"/>
      <c r="F66" s="115"/>
      <c r="G66" s="115"/>
      <c r="H66" s="115"/>
      <c r="I66" s="27"/>
      <c r="J66" s="27"/>
      <c r="K66" s="27"/>
      <c r="L66" s="27"/>
      <c r="M66" s="27"/>
      <c r="N66" s="27"/>
    </row>
    <row r="67" spans="1:14" ht="15.75" customHeight="1" x14ac:dyDescent="0.3">
      <c r="A67" s="181" t="s">
        <v>84</v>
      </c>
      <c r="B67" s="181"/>
      <c r="C67" s="181"/>
      <c r="D67" s="125" t="str">
        <f ca="1">(IF(G73&gt;95%,"Nothing",IF(G73&gt;0%,"Cement, Aggregate, Steel, etc",IF(G73=0%,"Work not yet Started"))))</f>
        <v>Cement, Aggregate, Steel, etc</v>
      </c>
      <c r="E67" s="125"/>
      <c r="F67" s="125"/>
      <c r="G67" s="125"/>
      <c r="H67" s="125"/>
      <c r="J67" s="26"/>
    </row>
    <row r="68" spans="1:14" ht="33.75" customHeight="1" thickBot="1" x14ac:dyDescent="0.35">
      <c r="A68" s="174" t="s">
        <v>117</v>
      </c>
      <c r="B68" s="174"/>
      <c r="C68" s="174"/>
      <c r="D68" s="125" t="str">
        <f ca="1">(IF(D67="Nothing","Yes",IF(D67="Cement, Aggregate, Steel, etc","Under Construction",IF(D67="Work not yet Started","Work not yet Started"))))</f>
        <v>Under Construction</v>
      </c>
      <c r="E68" s="125"/>
      <c r="F68" s="125" t="str">
        <f ca="1">(IF(D67="Nothing","Yes",IF(D67="Cement, Aggregate, Steel, etc","Under Construction",IF(D67="Work not yet Started","Work not yet Started"))))</f>
        <v>Under Construction</v>
      </c>
      <c r="G68" s="125"/>
      <c r="H68" s="125"/>
    </row>
    <row r="69" spans="1:14" ht="15.75" customHeight="1" x14ac:dyDescent="0.3">
      <c r="A69" s="69" t="s">
        <v>138</v>
      </c>
      <c r="B69" s="70"/>
      <c r="C69" s="71" t="s">
        <v>299</v>
      </c>
      <c r="D69" s="72"/>
      <c r="E69" s="72"/>
      <c r="F69" s="72"/>
      <c r="G69" s="72"/>
      <c r="H69" s="73"/>
      <c r="I69" s="50" t="str">
        <f ca="1">IF(D82=100%,"All work Completed. Possession granted to the Building.",IF(D81=100%,"All work Completed, Waiting for OC",I70&amp;""&amp;I71&amp;""&amp;J70&amp;""&amp;J69&amp;" "&amp;J71))</f>
        <v>Excavation, Plinth, RCC Slab Completed, Brickwork upto 9 Floor, Internal Plaster upto 6 Floor, External Plaster upto 6 Floor Completed</v>
      </c>
      <c r="J69" s="51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Brickwork upto 9 Floor, Internal Plaster upto 6 Floor, External Plaster upto 6 Floor</v>
      </c>
    </row>
    <row r="70" spans="1:14" x14ac:dyDescent="0.3">
      <c r="A70" s="16" t="s">
        <v>140</v>
      </c>
      <c r="B70" s="48">
        <f>IF(AND(ISNUMBER(SEARCH("1B",C69))),1,IF(AND(ISNUMBER(SEARCH("2B",C69))),2,IF(AND(ISNUMBER(SEARCH("3B",C69))),3,IF(AND(ISNUMBER(SEARCH("4B",C69))),4,IF(ISNUMBER(SEARCH("5B",C69)),5,0)))))</f>
        <v>0</v>
      </c>
      <c r="C70" s="48" t="s">
        <v>71</v>
      </c>
      <c r="D70" s="48">
        <v>1</v>
      </c>
      <c r="E70" s="48" t="s">
        <v>70</v>
      </c>
      <c r="F70" s="48">
        <v>0</v>
      </c>
      <c r="G70" s="49" t="s">
        <v>78</v>
      </c>
      <c r="H70" s="17">
        <f ca="1">--TRIM(RIGHT(SUBSTITUTE(LEFT(C69,_xlfn.AGGREGATE(16,6,FIND({0,1,2,3,4,5,6,7,8,9},C69,ROW(INDIRECT("1:"&amp;LEN(C69)))),1))," ",REPT(" ",LEN(C69))),LEN(C69)))</f>
        <v>11</v>
      </c>
      <c r="I70" s="52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</v>
      </c>
      <c r="J70" s="53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31.2" customHeight="1" x14ac:dyDescent="0.3">
      <c r="A71" s="74" t="s">
        <v>88</v>
      </c>
      <c r="B71" s="75"/>
      <c r="C71" s="76" t="str">
        <f ca="1">I69</f>
        <v>Excavation, Plinth, RCC Slab Completed, Brickwork upto 9 Floor, Internal Plaster upto 6 Floor, External Plaster upto 6 Floor Completed</v>
      </c>
      <c r="D71" s="76"/>
      <c r="E71" s="76"/>
      <c r="F71" s="76"/>
      <c r="G71" s="76"/>
      <c r="H71" s="77"/>
      <c r="I71" s="52" t="str">
        <f ca="1">IF(I70&lt;&gt;""," Completed","")</f>
        <v xml:space="preserve"> Completed</v>
      </c>
      <c r="J71" s="53" t="str">
        <f ca="1">IF(J69&lt;&gt;"","Completed","")</f>
        <v>Completed</v>
      </c>
    </row>
    <row r="72" spans="1:14" ht="15.75" customHeight="1" x14ac:dyDescent="0.3">
      <c r="A72" s="78" t="s">
        <v>49</v>
      </c>
      <c r="B72" s="79"/>
      <c r="C72" s="44" t="s">
        <v>137</v>
      </c>
      <c r="D72" s="44" t="s">
        <v>81</v>
      </c>
      <c r="E72" s="79" t="s">
        <v>83</v>
      </c>
      <c r="F72" s="79"/>
      <c r="G72" s="79" t="s">
        <v>82</v>
      </c>
      <c r="H72" s="80"/>
      <c r="I72" s="14" t="s">
        <v>139</v>
      </c>
      <c r="J72" s="28">
        <f ca="1">H70*25%</f>
        <v>2.75</v>
      </c>
    </row>
    <row r="73" spans="1:14" x14ac:dyDescent="0.3">
      <c r="A73" s="78" t="s">
        <v>126</v>
      </c>
      <c r="B73" s="79"/>
      <c r="C73" s="44">
        <f ca="1">J74</f>
        <v>11</v>
      </c>
      <c r="D73" s="19">
        <f ca="1">((100/H70)*C73)/100</f>
        <v>1.0000000000000002</v>
      </c>
      <c r="E73" s="81">
        <f ca="1">(((C74/H70*10)+(40/(D70+F70+H70)*C75)+(7.5/(H70)*C76)+(7.5/(H70)*C77)+(10/H70*C78)+(10/H70*C79)+(5/H70*C80)+(5/H70*C81)+(5/H70*C82))/100)</f>
        <v>0.65681818181818186</v>
      </c>
      <c r="F73" s="82"/>
      <c r="G73" s="81">
        <f ca="1">((((C73/H70)*20)+((C74/H70)*25)+(30/(H70+F70+D70)*C75)+(5/H70*C76)+(5/H70*C77)+(5/H70*C78)+(5/H70*C79)+(0/H70*C80)+(0/H70*C81)+(5/H70*C82))/100)</f>
        <v>0.84545454545454557</v>
      </c>
      <c r="H73" s="87"/>
      <c r="I73" s="14" t="s">
        <v>99</v>
      </c>
      <c r="J73" s="29">
        <f ca="1">H70*50%</f>
        <v>5.5</v>
      </c>
    </row>
    <row r="74" spans="1:14" x14ac:dyDescent="0.3">
      <c r="A74" s="78" t="s">
        <v>50</v>
      </c>
      <c r="B74" s="79"/>
      <c r="C74" s="54">
        <f ca="1">J82</f>
        <v>11</v>
      </c>
      <c r="D74" s="19">
        <f ca="1">((100/H70)*C74)/100</f>
        <v>1.0000000000000002</v>
      </c>
      <c r="E74" s="83"/>
      <c r="F74" s="84"/>
      <c r="G74" s="83"/>
      <c r="H74" s="88"/>
      <c r="I74" s="14" t="s">
        <v>100</v>
      </c>
      <c r="J74" s="29">
        <f ca="1">H70</f>
        <v>11</v>
      </c>
    </row>
    <row r="75" spans="1:14" ht="15.75" customHeight="1" x14ac:dyDescent="0.3">
      <c r="A75" s="78" t="s">
        <v>127</v>
      </c>
      <c r="B75" s="79"/>
      <c r="C75" s="44">
        <v>12</v>
      </c>
      <c r="D75" s="19">
        <f ca="1">((100/(D70+F70+H70))*C75)/100</f>
        <v>1</v>
      </c>
      <c r="E75" s="83"/>
      <c r="F75" s="84"/>
      <c r="G75" s="83"/>
      <c r="H75" s="88"/>
      <c r="I75" s="14" t="s">
        <v>101</v>
      </c>
      <c r="J75" s="30">
        <f ca="1">(IF(B70&gt;1,(H70/(B70+2)),H70/4))</f>
        <v>2.75</v>
      </c>
    </row>
    <row r="76" spans="1:14" ht="15.75" customHeight="1" x14ac:dyDescent="0.3">
      <c r="A76" s="78" t="s">
        <v>134</v>
      </c>
      <c r="B76" s="79" t="s">
        <v>128</v>
      </c>
      <c r="C76" s="44">
        <v>9</v>
      </c>
      <c r="D76" s="19">
        <f ca="1">((100/H70)*C76)/100</f>
        <v>0.81818181818181823</v>
      </c>
      <c r="E76" s="83"/>
      <c r="F76" s="84"/>
      <c r="G76" s="83"/>
      <c r="H76" s="88"/>
      <c r="I76" s="14" t="s">
        <v>102</v>
      </c>
      <c r="J76" s="30">
        <f ca="1">(IF(B70&gt;1,(H70/(B70+2)+J75),H70/4+J75))</f>
        <v>5.5</v>
      </c>
    </row>
    <row r="77" spans="1:14" ht="15.75" customHeight="1" x14ac:dyDescent="0.3">
      <c r="A77" s="78" t="s">
        <v>135</v>
      </c>
      <c r="B77" s="79" t="s">
        <v>128</v>
      </c>
      <c r="C77" s="44">
        <v>6</v>
      </c>
      <c r="D77" s="19">
        <f ca="1">((100/H70)*C77)/100</f>
        <v>0.54545454545454541</v>
      </c>
      <c r="E77" s="83"/>
      <c r="F77" s="84"/>
      <c r="G77" s="83"/>
      <c r="H77" s="88"/>
      <c r="I77" s="14" t="s">
        <v>144</v>
      </c>
      <c r="J77" s="30">
        <f>(IF(B70&gt;1,(H70/(B70+2)+J76),0))</f>
        <v>0</v>
      </c>
    </row>
    <row r="78" spans="1:14" ht="15" customHeight="1" x14ac:dyDescent="0.3">
      <c r="A78" s="78" t="s">
        <v>133</v>
      </c>
      <c r="B78" s="79" t="s">
        <v>130</v>
      </c>
      <c r="C78" s="44">
        <v>6</v>
      </c>
      <c r="D78" s="19">
        <f ca="1">((100/(H70))*C78)/100</f>
        <v>0.54545454545454541</v>
      </c>
      <c r="E78" s="83"/>
      <c r="F78" s="84"/>
      <c r="G78" s="83"/>
      <c r="H78" s="88"/>
      <c r="I78" s="14" t="s">
        <v>141</v>
      </c>
      <c r="J78" s="30">
        <f>(IF(B70&gt;2,(H70/(B70+2)+J77),0))</f>
        <v>0</v>
      </c>
    </row>
    <row r="79" spans="1:14" ht="15.75" customHeight="1" x14ac:dyDescent="0.3">
      <c r="A79" s="78" t="s">
        <v>129</v>
      </c>
      <c r="B79" s="79" t="s">
        <v>129</v>
      </c>
      <c r="C79" s="44">
        <v>0</v>
      </c>
      <c r="D79" s="19">
        <f ca="1">((100/H70)*C79)/100</f>
        <v>0</v>
      </c>
      <c r="E79" s="83"/>
      <c r="F79" s="84"/>
      <c r="G79" s="83"/>
      <c r="H79" s="88"/>
      <c r="I79" s="14" t="s">
        <v>142</v>
      </c>
      <c r="J79" s="31">
        <f>(IF(B70&gt;3,(H70/(B70+2)+J78),0))</f>
        <v>0</v>
      </c>
    </row>
    <row r="80" spans="1:14" ht="15.75" customHeight="1" x14ac:dyDescent="0.3">
      <c r="A80" s="78" t="s">
        <v>136</v>
      </c>
      <c r="B80" s="79"/>
      <c r="C80" s="44">
        <v>0</v>
      </c>
      <c r="D80" s="19">
        <f ca="1">((100/H70)*C80)/100</f>
        <v>0</v>
      </c>
      <c r="E80" s="83"/>
      <c r="F80" s="84"/>
      <c r="G80" s="83"/>
      <c r="H80" s="88"/>
      <c r="I80" s="14" t="s">
        <v>143</v>
      </c>
      <c r="J80" s="30">
        <f>(IF(B70&gt;4,(H70/(B70+2)+J79),0))</f>
        <v>0</v>
      </c>
    </row>
    <row r="81" spans="1:10" ht="15.75" customHeight="1" x14ac:dyDescent="0.3">
      <c r="A81" s="78" t="s">
        <v>131</v>
      </c>
      <c r="B81" s="79" t="s">
        <v>131</v>
      </c>
      <c r="C81" s="44">
        <v>0</v>
      </c>
      <c r="D81" s="19">
        <f ca="1">((100/(H70))*C81)/100</f>
        <v>0</v>
      </c>
      <c r="E81" s="83"/>
      <c r="F81" s="84"/>
      <c r="G81" s="83"/>
      <c r="H81" s="88"/>
      <c r="I81" s="14" t="s">
        <v>145</v>
      </c>
      <c r="J81" s="30">
        <f ca="1">(IF(B70=1,(H70/(B70+3)+J76),IF(B70=0,(H70/4+J76),IF(B70&gt;1,0))))</f>
        <v>8.25</v>
      </c>
    </row>
    <row r="82" spans="1:10" ht="16.2" thickBot="1" x14ac:dyDescent="0.35">
      <c r="A82" s="90" t="s">
        <v>132</v>
      </c>
      <c r="B82" s="91"/>
      <c r="C82" s="45">
        <v>0</v>
      </c>
      <c r="D82" s="20">
        <f ca="1">((100/(H70))*C82)/100</f>
        <v>0</v>
      </c>
      <c r="E82" s="85"/>
      <c r="F82" s="86"/>
      <c r="G82" s="85"/>
      <c r="H82" s="89"/>
      <c r="I82" s="15" t="s">
        <v>103</v>
      </c>
      <c r="J82" s="32">
        <f ca="1">(IF(B70&gt;1.5,(H70/(B70+2)+J76+MAX(0,J77-J76)+MAX(0,J78-J77)+MAX(0,J79-J78)+MAX(0,J80-J79)+MAX(0,J81-J80)),IF(B70=1,(H70/(B70+3)+J81),IF(B70=0,H70/4+J81))))</f>
        <v>11</v>
      </c>
    </row>
    <row r="83" spans="1:10" ht="15.75" hidden="1" customHeight="1" x14ac:dyDescent="0.3">
      <c r="A83" s="69" t="s">
        <v>138</v>
      </c>
      <c r="B83" s="70"/>
      <c r="C83" s="71" t="s">
        <v>291</v>
      </c>
      <c r="D83" s="72"/>
      <c r="E83" s="72"/>
      <c r="F83" s="72"/>
      <c r="G83" s="72"/>
      <c r="H83" s="73"/>
      <c r="I83" s="50" t="str">
        <f ca="1">IF(D96=100%,"All work Completed. Possession granted to the Building.",IF(D95=100%,"All work Completed, Waiting for OC",I84&amp;""&amp;I85&amp;""&amp;J84&amp;""&amp;J83&amp;" "&amp;J85))</f>
        <v xml:space="preserve">Excavation, Plinth Completed </v>
      </c>
      <c r="J83" s="51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/>
      </c>
    </row>
    <row r="84" spans="1:10" hidden="1" x14ac:dyDescent="0.3">
      <c r="A84" s="16" t="s">
        <v>140</v>
      </c>
      <c r="B84" s="48">
        <f>IF(AND(ISNUMBER(SEARCH("1B",C83))),1,IF(AND(ISNUMBER(SEARCH("2B",C83))),2,IF(AND(ISNUMBER(SEARCH("3B",C83))),3,IF(AND(ISNUMBER(SEARCH("4B",C83))),4,IF(ISNUMBER(SEARCH("5B",C83)),5,0)))))</f>
        <v>0</v>
      </c>
      <c r="C84" s="48" t="s">
        <v>71</v>
      </c>
      <c r="D84" s="48">
        <v>1</v>
      </c>
      <c r="E84" s="48" t="s">
        <v>70</v>
      </c>
      <c r="F84" s="48">
        <v>0</v>
      </c>
      <c r="G84" s="49" t="s">
        <v>78</v>
      </c>
      <c r="H84" s="17">
        <f ca="1">--TRIM(RIGHT(SUBSTITUTE(LEFT(C83,_xlfn.AGGREGATE(16,6,FIND({0,1,2,3,4,5,6,7,8,9},C83,ROW(INDIRECT("1:"&amp;LEN(C83)))),1))," ",REPT(" ",LEN(C83))),LEN(C83)))</f>
        <v>11</v>
      </c>
      <c r="I84" s="52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53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idden="1" x14ac:dyDescent="0.3">
      <c r="A85" s="74" t="s">
        <v>88</v>
      </c>
      <c r="B85" s="75"/>
      <c r="C85" s="76" t="str">
        <f ca="1">I83</f>
        <v xml:space="preserve">Excavation, Plinth Completed </v>
      </c>
      <c r="D85" s="76"/>
      <c r="E85" s="76"/>
      <c r="F85" s="76"/>
      <c r="G85" s="76"/>
      <c r="H85" s="77"/>
      <c r="I85" s="52" t="str">
        <f ca="1">IF(I84&lt;&gt;""," Completed","")</f>
        <v xml:space="preserve"> Completed</v>
      </c>
      <c r="J85" s="53" t="str">
        <f ca="1">IF(J83&lt;&gt;"","Completed","")</f>
        <v/>
      </c>
    </row>
    <row r="86" spans="1:10" ht="15.75" hidden="1" customHeight="1" x14ac:dyDescent="0.3">
      <c r="A86" s="78" t="s">
        <v>49</v>
      </c>
      <c r="B86" s="79"/>
      <c r="C86" s="44" t="s">
        <v>137</v>
      </c>
      <c r="D86" s="44" t="s">
        <v>81</v>
      </c>
      <c r="E86" s="79" t="s">
        <v>83</v>
      </c>
      <c r="F86" s="79"/>
      <c r="G86" s="79" t="s">
        <v>82</v>
      </c>
      <c r="H86" s="80"/>
      <c r="I86" s="14" t="s">
        <v>139</v>
      </c>
      <c r="J86" s="28">
        <f ca="1">H84*25%</f>
        <v>2.75</v>
      </c>
    </row>
    <row r="87" spans="1:10" hidden="1" x14ac:dyDescent="0.3">
      <c r="A87" s="78" t="s">
        <v>126</v>
      </c>
      <c r="B87" s="79"/>
      <c r="C87" s="44">
        <f ca="1">J88</f>
        <v>11</v>
      </c>
      <c r="D87" s="19">
        <f ca="1">((100/H84)*C87)/100</f>
        <v>1.0000000000000002</v>
      </c>
      <c r="E87" s="81">
        <f ca="1">(((C88/H84*10)+(40/(D84+F84+H84)*C89)+(7.5/(H84)*C90)+(7.5/(H84)*C91)+(10/H84*C92)+(10/H84*C93)+(5/H84*C94)+(5/H84*C95)+(5/H84*C96))/100)</f>
        <v>0.1</v>
      </c>
      <c r="F87" s="82"/>
      <c r="G87" s="81">
        <f ca="1">((((C87/H84)*20)+((C88/H84)*25)+(30/(H84+F84+D84)*C89)+(5/H84*C90)+(5/H84*C91)+(5/H84*C92)+(5/H84*C93)+(0/H84*C94)+(0/H84*C95)+(5/H84*C96))/100)</f>
        <v>0.45</v>
      </c>
      <c r="H87" s="87"/>
      <c r="I87" s="14" t="s">
        <v>99</v>
      </c>
      <c r="J87" s="29">
        <f ca="1">H84*50%</f>
        <v>5.5</v>
      </c>
    </row>
    <row r="88" spans="1:10" hidden="1" x14ac:dyDescent="0.3">
      <c r="A88" s="78" t="s">
        <v>50</v>
      </c>
      <c r="B88" s="79"/>
      <c r="C88" s="54">
        <f ca="1">J96</f>
        <v>11</v>
      </c>
      <c r="D88" s="19">
        <f ca="1">((100/H84)*C88)/100</f>
        <v>1.0000000000000002</v>
      </c>
      <c r="E88" s="83"/>
      <c r="F88" s="84"/>
      <c r="G88" s="83"/>
      <c r="H88" s="88"/>
      <c r="I88" s="14" t="s">
        <v>100</v>
      </c>
      <c r="J88" s="29">
        <f ca="1">H84</f>
        <v>11</v>
      </c>
    </row>
    <row r="89" spans="1:10" ht="15.75" hidden="1" customHeight="1" x14ac:dyDescent="0.3">
      <c r="A89" s="78" t="s">
        <v>127</v>
      </c>
      <c r="B89" s="79"/>
      <c r="C89" s="44">
        <v>0</v>
      </c>
      <c r="D89" s="19">
        <f ca="1">((100/(D84+F84+H84))*C89)/100</f>
        <v>0</v>
      </c>
      <c r="E89" s="83"/>
      <c r="F89" s="84"/>
      <c r="G89" s="83"/>
      <c r="H89" s="88"/>
      <c r="I89" s="14" t="s">
        <v>101</v>
      </c>
      <c r="J89" s="30">
        <f ca="1">(IF(B84&gt;1,(H84/(B84+2)),H84/4))</f>
        <v>2.75</v>
      </c>
    </row>
    <row r="90" spans="1:10" ht="15.75" hidden="1" customHeight="1" x14ac:dyDescent="0.3">
      <c r="A90" s="78" t="s">
        <v>134</v>
      </c>
      <c r="B90" s="79" t="s">
        <v>128</v>
      </c>
      <c r="C90" s="44">
        <v>0</v>
      </c>
      <c r="D90" s="19">
        <f ca="1">((100/H84)*C90)/100</f>
        <v>0</v>
      </c>
      <c r="E90" s="83"/>
      <c r="F90" s="84"/>
      <c r="G90" s="83"/>
      <c r="H90" s="88"/>
      <c r="I90" s="14" t="s">
        <v>102</v>
      </c>
      <c r="J90" s="30">
        <f ca="1">(IF(B84&gt;1,(H84/(B84+2)+J89),H84/4+J89))</f>
        <v>5.5</v>
      </c>
    </row>
    <row r="91" spans="1:10" ht="15.75" hidden="1" customHeight="1" x14ac:dyDescent="0.3">
      <c r="A91" s="78" t="s">
        <v>135</v>
      </c>
      <c r="B91" s="79" t="s">
        <v>128</v>
      </c>
      <c r="C91" s="44">
        <v>0</v>
      </c>
      <c r="D91" s="19">
        <f ca="1">((100/H84)*C91)/100</f>
        <v>0</v>
      </c>
      <c r="E91" s="83"/>
      <c r="F91" s="84"/>
      <c r="G91" s="83"/>
      <c r="H91" s="88"/>
      <c r="I91" s="14" t="s">
        <v>144</v>
      </c>
      <c r="J91" s="30">
        <f>(IF(B84&gt;1,(H84/(B84+2)+J90),0))</f>
        <v>0</v>
      </c>
    </row>
    <row r="92" spans="1:10" ht="15" hidden="1" customHeight="1" x14ac:dyDescent="0.3">
      <c r="A92" s="78" t="s">
        <v>133</v>
      </c>
      <c r="B92" s="79" t="s">
        <v>130</v>
      </c>
      <c r="C92" s="44">
        <v>0</v>
      </c>
      <c r="D92" s="19">
        <f ca="1">((100/(H84))*C92)/100</f>
        <v>0</v>
      </c>
      <c r="E92" s="83"/>
      <c r="F92" s="84"/>
      <c r="G92" s="83"/>
      <c r="H92" s="88"/>
      <c r="I92" s="14" t="s">
        <v>141</v>
      </c>
      <c r="J92" s="30">
        <f>(IF(B84&gt;2,(H84/(B84+2)+J91),0))</f>
        <v>0</v>
      </c>
    </row>
    <row r="93" spans="1:10" ht="15.75" hidden="1" customHeight="1" x14ac:dyDescent="0.3">
      <c r="A93" s="78" t="s">
        <v>129</v>
      </c>
      <c r="B93" s="79" t="s">
        <v>129</v>
      </c>
      <c r="C93" s="44">
        <v>0</v>
      </c>
      <c r="D93" s="19">
        <f ca="1">((100/H84)*C93)/100</f>
        <v>0</v>
      </c>
      <c r="E93" s="83"/>
      <c r="F93" s="84"/>
      <c r="G93" s="83"/>
      <c r="H93" s="88"/>
      <c r="I93" s="14" t="s">
        <v>142</v>
      </c>
      <c r="J93" s="31">
        <f>(IF(B84&gt;3,(H84/(B84+2)+J92),0))</f>
        <v>0</v>
      </c>
    </row>
    <row r="94" spans="1:10" ht="15.75" hidden="1" customHeight="1" x14ac:dyDescent="0.3">
      <c r="A94" s="78" t="s">
        <v>136</v>
      </c>
      <c r="B94" s="79"/>
      <c r="C94" s="44">
        <v>0</v>
      </c>
      <c r="D94" s="19">
        <f ca="1">((100/H84)*C94)/100</f>
        <v>0</v>
      </c>
      <c r="E94" s="83"/>
      <c r="F94" s="84"/>
      <c r="G94" s="83"/>
      <c r="H94" s="88"/>
      <c r="I94" s="14" t="s">
        <v>143</v>
      </c>
      <c r="J94" s="30">
        <f>(IF(B84&gt;4,(H84/(B84+2)+J93),0))</f>
        <v>0</v>
      </c>
    </row>
    <row r="95" spans="1:10" ht="15.75" hidden="1" customHeight="1" x14ac:dyDescent="0.3">
      <c r="A95" s="78" t="s">
        <v>131</v>
      </c>
      <c r="B95" s="79" t="s">
        <v>131</v>
      </c>
      <c r="C95" s="44">
        <v>0</v>
      </c>
      <c r="D95" s="19">
        <f ca="1">((100/(H84))*C95)/100</f>
        <v>0</v>
      </c>
      <c r="E95" s="83"/>
      <c r="F95" s="84"/>
      <c r="G95" s="83"/>
      <c r="H95" s="88"/>
      <c r="I95" s="14" t="s">
        <v>145</v>
      </c>
      <c r="J95" s="30">
        <f ca="1">(IF(B84=1,(H84/(B84+3)+J90),IF(B84=0,(H84/4+J90),IF(B84&gt;1,0))))</f>
        <v>8.25</v>
      </c>
    </row>
    <row r="96" spans="1:10" ht="16.2" hidden="1" thickBot="1" x14ac:dyDescent="0.35">
      <c r="A96" s="90" t="s">
        <v>132</v>
      </c>
      <c r="B96" s="91"/>
      <c r="C96" s="45">
        <v>0</v>
      </c>
      <c r="D96" s="20">
        <f ca="1">((100/(H84))*C96)/100</f>
        <v>0</v>
      </c>
      <c r="E96" s="85"/>
      <c r="F96" s="86"/>
      <c r="G96" s="85"/>
      <c r="H96" s="89"/>
      <c r="I96" s="15" t="s">
        <v>103</v>
      </c>
      <c r="J96" s="32">
        <f ca="1">(IF(B84&gt;1.5,(H84/(B84+2)+J90+MAX(0,J91-J90)+MAX(0,J92-J91)+MAX(0,J93-J92)+MAX(0,J94-J93)+MAX(0,J95-J94)),IF(B84=1,(H84/(B84+3)+J95),IF(B84=0,H84/4+J95))))</f>
        <v>11</v>
      </c>
    </row>
    <row r="97" spans="1:10" ht="15.75" customHeight="1" x14ac:dyDescent="0.3">
      <c r="A97" s="69" t="s">
        <v>138</v>
      </c>
      <c r="B97" s="70"/>
      <c r="C97" s="71" t="s">
        <v>298</v>
      </c>
      <c r="D97" s="72"/>
      <c r="E97" s="72"/>
      <c r="F97" s="72"/>
      <c r="G97" s="72"/>
      <c r="H97" s="73"/>
      <c r="I97" s="50" t="str">
        <f ca="1">IF(D110=100%,"All work Completed. Possession granted to the Building.",IF(D109=100%,"All work Completed, Waiting for OC",I98&amp;""&amp;I99&amp;""&amp;J98&amp;""&amp;J97&amp;" "&amp;J99))</f>
        <v>Excavation, Plinth, RCC Slab Completed, Brickwork upto 9 Floor, Internal Plaster upto 6 Floor, External Plaster upto 6 Floor Completed</v>
      </c>
      <c r="J97" s="51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>, Brickwork upto 9 Floor, Internal Plaster upto 6 Floor, External Plaster upto 6 Floor</v>
      </c>
    </row>
    <row r="98" spans="1:10" x14ac:dyDescent="0.3">
      <c r="A98" s="16" t="s">
        <v>140</v>
      </c>
      <c r="B98" s="48">
        <f>IF(AND(ISNUMBER(SEARCH("1B",C97))),1,IF(AND(ISNUMBER(SEARCH("2B",C97))),2,IF(AND(ISNUMBER(SEARCH("3B",C97))),3,IF(AND(ISNUMBER(SEARCH("4B",C97))),4,IF(ISNUMBER(SEARCH("5B",C97)),5,0)))))</f>
        <v>0</v>
      </c>
      <c r="C98" s="48" t="s">
        <v>71</v>
      </c>
      <c r="D98" s="48">
        <v>1</v>
      </c>
      <c r="E98" s="48" t="s">
        <v>70</v>
      </c>
      <c r="F98" s="48">
        <v>0</v>
      </c>
      <c r="G98" s="49" t="s">
        <v>78</v>
      </c>
      <c r="H98" s="17">
        <f ca="1">--TRIM(RIGHT(SUBSTITUTE(LEFT(C97,_xlfn.AGGREGATE(16,6,FIND({0,1,2,3,4,5,6,7,8,9},C97,ROW(INDIRECT("1:"&amp;LEN(C97)))),1))," ",REPT(" ",LEN(C97))),LEN(C97)))</f>
        <v>11</v>
      </c>
      <c r="I98" s="52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Plinth, RCC Slab</v>
      </c>
      <c r="J98" s="53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0" ht="30.75" customHeight="1" x14ac:dyDescent="0.3">
      <c r="A99" s="74" t="s">
        <v>88</v>
      </c>
      <c r="B99" s="75"/>
      <c r="C99" s="76" t="str">
        <f ca="1">I97</f>
        <v>Excavation, Plinth, RCC Slab Completed, Brickwork upto 9 Floor, Internal Plaster upto 6 Floor, External Plaster upto 6 Floor Completed</v>
      </c>
      <c r="D99" s="76"/>
      <c r="E99" s="76"/>
      <c r="F99" s="76"/>
      <c r="G99" s="76"/>
      <c r="H99" s="77"/>
      <c r="I99" s="52" t="str">
        <f ca="1">IF(I98&lt;&gt;""," Completed","")</f>
        <v xml:space="preserve"> Completed</v>
      </c>
      <c r="J99" s="53" t="str">
        <f ca="1">IF(J97&lt;&gt;"","Completed","")</f>
        <v>Completed</v>
      </c>
    </row>
    <row r="100" spans="1:10" ht="15.75" customHeight="1" x14ac:dyDescent="0.3">
      <c r="A100" s="78" t="s">
        <v>49</v>
      </c>
      <c r="B100" s="79"/>
      <c r="C100" s="44" t="s">
        <v>137</v>
      </c>
      <c r="D100" s="44" t="s">
        <v>81</v>
      </c>
      <c r="E100" s="79" t="s">
        <v>83</v>
      </c>
      <c r="F100" s="79"/>
      <c r="G100" s="79" t="s">
        <v>82</v>
      </c>
      <c r="H100" s="80"/>
      <c r="I100" s="14" t="s">
        <v>139</v>
      </c>
      <c r="J100" s="28">
        <f ca="1">H98*25%</f>
        <v>2.75</v>
      </c>
    </row>
    <row r="101" spans="1:10" x14ac:dyDescent="0.3">
      <c r="A101" s="78" t="s">
        <v>126</v>
      </c>
      <c r="B101" s="79"/>
      <c r="C101" s="44">
        <f ca="1">J102</f>
        <v>11</v>
      </c>
      <c r="D101" s="19">
        <f ca="1">((100/H98)*C101)/100</f>
        <v>1.0000000000000002</v>
      </c>
      <c r="E101" s="81">
        <f ca="1">(((C102/H98*10)+(40/(D98+F98+H98)*C103)+(7.5/(H98)*C104)+(7.5/(H98)*C105)+(10/H98*C106)+(10/H98*C107)+(5/H98*C108)+(5/H98*C109)+(5/H98*C110))/100)</f>
        <v>0.65681818181818186</v>
      </c>
      <c r="F101" s="82"/>
      <c r="G101" s="81">
        <f ca="1">((((C101/H98)*20)+((C102/H98)*25)+(30/(H98+F98+D98)*C103)+(5/H98*C104)+(5/H98*C105)+(5/H98*C106)+(5/H98*C107)+(0/H98*C108)+(0/H98*C109)+(5/H98*C110))/100)</f>
        <v>0.84545454545454557</v>
      </c>
      <c r="H101" s="87"/>
      <c r="I101" s="14" t="s">
        <v>99</v>
      </c>
      <c r="J101" s="29">
        <f ca="1">H98*50%</f>
        <v>5.5</v>
      </c>
    </row>
    <row r="102" spans="1:10" x14ac:dyDescent="0.3">
      <c r="A102" s="78" t="s">
        <v>50</v>
      </c>
      <c r="B102" s="79"/>
      <c r="C102" s="54">
        <f ca="1">J110</f>
        <v>11</v>
      </c>
      <c r="D102" s="19">
        <f ca="1">((100/H98)*C102)/100</f>
        <v>1.0000000000000002</v>
      </c>
      <c r="E102" s="83"/>
      <c r="F102" s="84"/>
      <c r="G102" s="83"/>
      <c r="H102" s="88"/>
      <c r="I102" s="14" t="s">
        <v>100</v>
      </c>
      <c r="J102" s="29">
        <f ca="1">H98</f>
        <v>11</v>
      </c>
    </row>
    <row r="103" spans="1:10" ht="15.75" customHeight="1" x14ac:dyDescent="0.3">
      <c r="A103" s="78" t="s">
        <v>127</v>
      </c>
      <c r="B103" s="79"/>
      <c r="C103" s="44">
        <v>12</v>
      </c>
      <c r="D103" s="19">
        <f ca="1">((100/(D98+F98+H98))*C103)/100</f>
        <v>1</v>
      </c>
      <c r="E103" s="83"/>
      <c r="F103" s="84"/>
      <c r="G103" s="83"/>
      <c r="H103" s="88"/>
      <c r="I103" s="14" t="s">
        <v>101</v>
      </c>
      <c r="J103" s="30">
        <f ca="1">(IF(B98&gt;1,(H98/(B98+2)),H98/4))</f>
        <v>2.75</v>
      </c>
    </row>
    <row r="104" spans="1:10" ht="15.75" customHeight="1" x14ac:dyDescent="0.3">
      <c r="A104" s="78" t="s">
        <v>134</v>
      </c>
      <c r="B104" s="79" t="s">
        <v>128</v>
      </c>
      <c r="C104" s="44">
        <v>9</v>
      </c>
      <c r="D104" s="19">
        <f ca="1">((100/H98)*C104)/100</f>
        <v>0.81818181818181823</v>
      </c>
      <c r="E104" s="83"/>
      <c r="F104" s="84"/>
      <c r="G104" s="83"/>
      <c r="H104" s="88"/>
      <c r="I104" s="14" t="s">
        <v>102</v>
      </c>
      <c r="J104" s="30">
        <f ca="1">(IF(B98&gt;1,(H98/(B98+2)+J103),H98/4+J103))</f>
        <v>5.5</v>
      </c>
    </row>
    <row r="105" spans="1:10" ht="15.75" customHeight="1" x14ac:dyDescent="0.3">
      <c r="A105" s="78" t="s">
        <v>135</v>
      </c>
      <c r="B105" s="79" t="s">
        <v>128</v>
      </c>
      <c r="C105" s="44">
        <v>6</v>
      </c>
      <c r="D105" s="19">
        <f ca="1">((100/H98)*C105)/100</f>
        <v>0.54545454545454541</v>
      </c>
      <c r="E105" s="83"/>
      <c r="F105" s="84"/>
      <c r="G105" s="83"/>
      <c r="H105" s="88"/>
      <c r="I105" s="14" t="s">
        <v>144</v>
      </c>
      <c r="J105" s="30">
        <f>(IF(B98&gt;1,(H98/(B98+2)+J104),0))</f>
        <v>0</v>
      </c>
    </row>
    <row r="106" spans="1:10" ht="15" customHeight="1" x14ac:dyDescent="0.3">
      <c r="A106" s="78" t="s">
        <v>133</v>
      </c>
      <c r="B106" s="79" t="s">
        <v>130</v>
      </c>
      <c r="C106" s="44">
        <v>6</v>
      </c>
      <c r="D106" s="19">
        <f ca="1">((100/(H98))*C106)/100</f>
        <v>0.54545454545454541</v>
      </c>
      <c r="E106" s="83"/>
      <c r="F106" s="84"/>
      <c r="G106" s="83"/>
      <c r="H106" s="88"/>
      <c r="I106" s="14" t="s">
        <v>141</v>
      </c>
      <c r="J106" s="30">
        <f>(IF(B98&gt;2,(H98/(B98+2)+J105),0))</f>
        <v>0</v>
      </c>
    </row>
    <row r="107" spans="1:10" ht="15.75" customHeight="1" x14ac:dyDescent="0.3">
      <c r="A107" s="78" t="s">
        <v>129</v>
      </c>
      <c r="B107" s="79" t="s">
        <v>129</v>
      </c>
      <c r="C107" s="44">
        <v>0</v>
      </c>
      <c r="D107" s="19">
        <f ca="1">((100/H98)*C107)/100</f>
        <v>0</v>
      </c>
      <c r="E107" s="83"/>
      <c r="F107" s="84"/>
      <c r="G107" s="83"/>
      <c r="H107" s="88"/>
      <c r="I107" s="14" t="s">
        <v>142</v>
      </c>
      <c r="J107" s="31">
        <f>(IF(B98&gt;3,(H98/(B98+2)+J106),0))</f>
        <v>0</v>
      </c>
    </row>
    <row r="108" spans="1:10" ht="15.75" customHeight="1" x14ac:dyDescent="0.3">
      <c r="A108" s="78" t="s">
        <v>136</v>
      </c>
      <c r="B108" s="79"/>
      <c r="C108" s="44">
        <v>0</v>
      </c>
      <c r="D108" s="19">
        <f ca="1">((100/H98)*C108)/100</f>
        <v>0</v>
      </c>
      <c r="E108" s="83"/>
      <c r="F108" s="84"/>
      <c r="G108" s="83"/>
      <c r="H108" s="88"/>
      <c r="I108" s="14" t="s">
        <v>143</v>
      </c>
      <c r="J108" s="30">
        <f>(IF(B98&gt;4,(H98/(B98+2)+J107),0))</f>
        <v>0</v>
      </c>
    </row>
    <row r="109" spans="1:10" ht="15.75" customHeight="1" x14ac:dyDescent="0.3">
      <c r="A109" s="78" t="s">
        <v>131</v>
      </c>
      <c r="B109" s="79" t="s">
        <v>131</v>
      </c>
      <c r="C109" s="44">
        <v>0</v>
      </c>
      <c r="D109" s="19">
        <f ca="1">((100/(H98))*C109)/100</f>
        <v>0</v>
      </c>
      <c r="E109" s="83"/>
      <c r="F109" s="84"/>
      <c r="G109" s="83"/>
      <c r="H109" s="88"/>
      <c r="I109" s="14" t="s">
        <v>145</v>
      </c>
      <c r="J109" s="30">
        <f ca="1">(IF(B98=1,(H98/(B98+3)+J104),IF(B98=0,(H98/4+J104),IF(B98&gt;1,0))))</f>
        <v>8.25</v>
      </c>
    </row>
    <row r="110" spans="1:10" ht="16.2" thickBot="1" x14ac:dyDescent="0.35">
      <c r="A110" s="90" t="s">
        <v>132</v>
      </c>
      <c r="B110" s="91"/>
      <c r="C110" s="45">
        <v>0</v>
      </c>
      <c r="D110" s="20">
        <f ca="1">((100/(H98))*C110)/100</f>
        <v>0</v>
      </c>
      <c r="E110" s="85"/>
      <c r="F110" s="86"/>
      <c r="G110" s="85"/>
      <c r="H110" s="89"/>
      <c r="I110" s="15" t="s">
        <v>103</v>
      </c>
      <c r="J110" s="32">
        <f ca="1">(IF(B98&gt;1.5,(H98/(B98+2)+J104+MAX(0,J105-J104)+MAX(0,J106-J105)+MAX(0,J107-J106)+MAX(0,J108-J107)+MAX(0,J109-J108)),IF(B98=1,(H98/(B98+3)+J109),IF(B98=0,H98/4+J109))))</f>
        <v>11</v>
      </c>
    </row>
    <row r="111" spans="1:10" ht="51" customHeight="1" x14ac:dyDescent="0.3">
      <c r="A111" s="69" t="s">
        <v>138</v>
      </c>
      <c r="B111" s="70"/>
      <c r="C111" s="71" t="s">
        <v>297</v>
      </c>
      <c r="D111" s="72"/>
      <c r="E111" s="72"/>
      <c r="F111" s="72"/>
      <c r="G111" s="72"/>
      <c r="H111" s="73"/>
      <c r="I111" s="50" t="str">
        <f ca="1">IF(D124=100%,"All work Completed. Possession granted to the Building.",IF(D123=100%,"All work Completed, Waiting for OC",I112&amp;""&amp;I113&amp;""&amp;J112&amp;""&amp;J111&amp;" "&amp;J113))</f>
        <v xml:space="preserve">Work not yet Started. </v>
      </c>
      <c r="J111" s="51" t="str">
        <f ca="1">(IF(C117=(D112+F112+H112),"",IF(C117&gt;0,", RCC upto "&amp;C117&amp;" Slab","")))&amp;(IF(C118=H112,"",IF(C118&gt;0,", Brickwork upto "&amp;C118&amp;" Floor","")))&amp;(IF(C119=H112,"",IF(C119&gt;0,", Internal Plaster upto "&amp;C119&amp;" Floor","")))&amp;(IF(C120=H112,"",IF(C120&gt;0,", External Plaster upto "&amp;C120&amp;" Floor","")))&amp;(IF(C121=H112,"",IF(C121&gt;0,", Flooring upto "&amp;C121&amp;" Floor","")))&amp;(IF(C122=H112,"",IF(C122&gt;0,", Painting upto "&amp;C122&amp;" Floor","")))&amp;(IF(C123=H112,"",IF(C123&gt;0,", Finishing upto "&amp;C123&amp;" Floor","")))&amp;(IF(C124=H112,"",IF(C124&gt;0,", Possession upto "&amp;C124&amp;" Floor","")))</f>
        <v/>
      </c>
    </row>
    <row r="112" spans="1:10" x14ac:dyDescent="0.3">
      <c r="A112" s="16" t="s">
        <v>140</v>
      </c>
      <c r="B112" s="48">
        <f>IF(AND(ISNUMBER(SEARCH("1B",C111))),1,IF(AND(ISNUMBER(SEARCH("2B",C111))),2,IF(AND(ISNUMBER(SEARCH("3B",C111))),3,IF(AND(ISNUMBER(SEARCH("4B",C111))),4,IF(ISNUMBER(SEARCH("5B",C111)),5,0)))))</f>
        <v>0</v>
      </c>
      <c r="C112" s="48" t="s">
        <v>71</v>
      </c>
      <c r="D112" s="48">
        <v>1</v>
      </c>
      <c r="E112" s="48" t="s">
        <v>70</v>
      </c>
      <c r="F112" s="48">
        <v>0</v>
      </c>
      <c r="G112" s="49" t="s">
        <v>78</v>
      </c>
      <c r="H112" s="17">
        <f ca="1">--TRIM(RIGHT(SUBSTITUTE(LEFT(C111,_xlfn.AGGREGATE(16,6,FIND({0,1,2,3,4,5,6,7,8,9},C111,ROW(INDIRECT("1:"&amp;LEN(C111)))),1))," ",REPT(" ",LEN(C111))),LEN(C111)))</f>
        <v>10</v>
      </c>
      <c r="I112" s="52" t="str">
        <f ca="1">IF(D115=100%,"Excavation","")&amp;IF(D116=100%,", Plinth","")&amp;IF(D117=100%,", RCC Slab","")&amp;IF(D118=100%,", Brickwork","")&amp;IF(D119=100%,", Internal Plaster","")&amp;IF(D120=100%,", External Plaster","")&amp;IF(D121=100%,", Flooring","")&amp;IF(D122=100%,", Painting","")&amp;IF(D123=100%,", Building common Amenities","")</f>
        <v/>
      </c>
      <c r="J112" s="53" t="str">
        <f>(IF(C115=0,"Work not yet Started.",IF(D115=25%,"Piling work in process",IF(D115=50%,"Excavation work in process",IF(D115=100%,"","0")))))&amp;(IF(C116=0%,"",IF(C116=J117,", Footing work is process",IF(C116=J118,", Footing work Completed",IF(C116=J119,", 1st Basement Completed",IF(C116=J120,", 1st &amp; 2nd Basement Completed",IF(C116=J121,", 1st to 3rd Basement Completed",IF(C116=J122,", 1st to 4th Basement Completed",IF(C116=J123,", Plinth work is process",IF(C116=J124,"","0"))))))))))</f>
        <v>Work not yet Started.</v>
      </c>
    </row>
    <row r="113" spans="1:10" x14ac:dyDescent="0.3">
      <c r="A113" s="74" t="s">
        <v>88</v>
      </c>
      <c r="B113" s="75"/>
      <c r="C113" s="76" t="str">
        <f ca="1">(IF($G$53="NA",I111,"All work Completed. OC Received."))</f>
        <v xml:space="preserve">Work not yet Started. </v>
      </c>
      <c r="D113" s="76"/>
      <c r="E113" s="76"/>
      <c r="F113" s="76"/>
      <c r="G113" s="76"/>
      <c r="H113" s="77"/>
      <c r="I113" s="52" t="str">
        <f ca="1">IF(I112&lt;&gt;""," Completed","")</f>
        <v/>
      </c>
      <c r="J113" s="53" t="str">
        <f ca="1">IF(J111&lt;&gt;"","Completed","")</f>
        <v/>
      </c>
    </row>
    <row r="114" spans="1:10" ht="15.75" customHeight="1" x14ac:dyDescent="0.3">
      <c r="A114" s="78" t="s">
        <v>49</v>
      </c>
      <c r="B114" s="79"/>
      <c r="C114" s="44" t="s">
        <v>137</v>
      </c>
      <c r="D114" s="44" t="s">
        <v>81</v>
      </c>
      <c r="E114" s="79" t="s">
        <v>83</v>
      </c>
      <c r="F114" s="79"/>
      <c r="G114" s="79" t="s">
        <v>82</v>
      </c>
      <c r="H114" s="80"/>
      <c r="I114" s="14" t="s">
        <v>139</v>
      </c>
      <c r="J114" s="28">
        <f ca="1">H112*25%</f>
        <v>2.5</v>
      </c>
    </row>
    <row r="115" spans="1:10" x14ac:dyDescent="0.3">
      <c r="A115" s="78" t="s">
        <v>126</v>
      </c>
      <c r="B115" s="79"/>
      <c r="C115" s="44">
        <v>0</v>
      </c>
      <c r="D115" s="19">
        <f ca="1">((100/H112)*C115)/100</f>
        <v>0</v>
      </c>
      <c r="E115" s="81">
        <f ca="1">(((C116/H112*10)+(40/(D112+F112+H112)*C117)+(7.5/(H112)*C118)+(7.5/(H112)*C119)+(10/H112*C120)+(10/H112*C121)+(5/H112*C122)+(5/H112*C123)+(5/H112*C124))/100)</f>
        <v>0</v>
      </c>
      <c r="F115" s="82"/>
      <c r="G115" s="81">
        <f ca="1">((((C115/H112)*20)+((C116/H112)*25)+(30/(H112+F112+D112)*C117)+(5/H112*C118)+(5/H112*C119)+(5/H112*C120)+(5/H112*C121)+(0/H112*C122)+(0/H112*C123)+(5/H112*C124))/100)</f>
        <v>0</v>
      </c>
      <c r="H115" s="87"/>
      <c r="I115" s="14" t="s">
        <v>99</v>
      </c>
      <c r="J115" s="29">
        <f ca="1">H112*50%</f>
        <v>5</v>
      </c>
    </row>
    <row r="116" spans="1:10" x14ac:dyDescent="0.3">
      <c r="A116" s="78" t="s">
        <v>50</v>
      </c>
      <c r="B116" s="79"/>
      <c r="C116" s="54">
        <v>0</v>
      </c>
      <c r="D116" s="19">
        <f ca="1">((100/H112)*C116)/100</f>
        <v>0</v>
      </c>
      <c r="E116" s="83"/>
      <c r="F116" s="84"/>
      <c r="G116" s="83"/>
      <c r="H116" s="88"/>
      <c r="I116" s="14" t="s">
        <v>100</v>
      </c>
      <c r="J116" s="29">
        <f ca="1">H112</f>
        <v>10</v>
      </c>
    </row>
    <row r="117" spans="1:10" ht="15.75" customHeight="1" x14ac:dyDescent="0.3">
      <c r="A117" s="78" t="s">
        <v>127</v>
      </c>
      <c r="B117" s="79"/>
      <c r="C117" s="44">
        <v>0</v>
      </c>
      <c r="D117" s="19">
        <f ca="1">((100/(D112+F112+H112))*C117)/100</f>
        <v>0</v>
      </c>
      <c r="E117" s="83"/>
      <c r="F117" s="84"/>
      <c r="G117" s="83"/>
      <c r="H117" s="88"/>
      <c r="I117" s="14" t="s">
        <v>101</v>
      </c>
      <c r="J117" s="30">
        <f ca="1">(IF(B112&gt;1,(H112/(B112+2)),H112/4))</f>
        <v>2.5</v>
      </c>
    </row>
    <row r="118" spans="1:10" ht="15.75" customHeight="1" x14ac:dyDescent="0.3">
      <c r="A118" s="78" t="s">
        <v>134</v>
      </c>
      <c r="B118" s="79" t="s">
        <v>128</v>
      </c>
      <c r="C118" s="44">
        <v>0</v>
      </c>
      <c r="D118" s="19">
        <f ca="1">((100/H112)*C118)/100</f>
        <v>0</v>
      </c>
      <c r="E118" s="83"/>
      <c r="F118" s="84"/>
      <c r="G118" s="83"/>
      <c r="H118" s="88"/>
      <c r="I118" s="14" t="s">
        <v>102</v>
      </c>
      <c r="J118" s="30">
        <f ca="1">(IF(B112&gt;1,(H112/(B112+2)+J117),H112/4+J117))</f>
        <v>5</v>
      </c>
    </row>
    <row r="119" spans="1:10" ht="15.75" customHeight="1" x14ac:dyDescent="0.3">
      <c r="A119" s="78" t="s">
        <v>135</v>
      </c>
      <c r="B119" s="79" t="s">
        <v>128</v>
      </c>
      <c r="C119" s="44">
        <v>0</v>
      </c>
      <c r="D119" s="19">
        <f ca="1">((100/H112)*C119)/100</f>
        <v>0</v>
      </c>
      <c r="E119" s="83"/>
      <c r="F119" s="84"/>
      <c r="G119" s="83"/>
      <c r="H119" s="88"/>
      <c r="I119" s="14" t="s">
        <v>144</v>
      </c>
      <c r="J119" s="30">
        <f>(IF(B112&gt;1,(H112/(B112+2)+J118),0))</f>
        <v>0</v>
      </c>
    </row>
    <row r="120" spans="1:10" ht="15" customHeight="1" x14ac:dyDescent="0.3">
      <c r="A120" s="78" t="s">
        <v>133</v>
      </c>
      <c r="B120" s="79" t="s">
        <v>130</v>
      </c>
      <c r="C120" s="44">
        <v>0</v>
      </c>
      <c r="D120" s="19">
        <f ca="1">((100/(H112))*C120)/100</f>
        <v>0</v>
      </c>
      <c r="E120" s="83"/>
      <c r="F120" s="84"/>
      <c r="G120" s="83"/>
      <c r="H120" s="88"/>
      <c r="I120" s="14" t="s">
        <v>141</v>
      </c>
      <c r="J120" s="30">
        <f>(IF(B112&gt;2,(H112/(B112+2)+J119),0))</f>
        <v>0</v>
      </c>
    </row>
    <row r="121" spans="1:10" ht="15.75" customHeight="1" x14ac:dyDescent="0.3">
      <c r="A121" s="78" t="s">
        <v>129</v>
      </c>
      <c r="B121" s="79" t="s">
        <v>129</v>
      </c>
      <c r="C121" s="44">
        <v>0</v>
      </c>
      <c r="D121" s="19">
        <f ca="1">((100/H112)*C121)/100</f>
        <v>0</v>
      </c>
      <c r="E121" s="83"/>
      <c r="F121" s="84"/>
      <c r="G121" s="83"/>
      <c r="H121" s="88"/>
      <c r="I121" s="14" t="s">
        <v>142</v>
      </c>
      <c r="J121" s="31">
        <f>(IF(B112&gt;3,(H112/(B112+2)+J120),0))</f>
        <v>0</v>
      </c>
    </row>
    <row r="122" spans="1:10" ht="15.75" customHeight="1" x14ac:dyDescent="0.3">
      <c r="A122" s="78" t="s">
        <v>136</v>
      </c>
      <c r="B122" s="79"/>
      <c r="C122" s="44">
        <v>0</v>
      </c>
      <c r="D122" s="19">
        <f ca="1">((100/H112)*C122)/100</f>
        <v>0</v>
      </c>
      <c r="E122" s="83"/>
      <c r="F122" s="84"/>
      <c r="G122" s="83"/>
      <c r="H122" s="88"/>
      <c r="I122" s="14" t="s">
        <v>143</v>
      </c>
      <c r="J122" s="30">
        <f>(IF(B112&gt;4,(H112/(B112+2)+J121),0))</f>
        <v>0</v>
      </c>
    </row>
    <row r="123" spans="1:10" ht="15.75" customHeight="1" x14ac:dyDescent="0.3">
      <c r="A123" s="78" t="s">
        <v>131</v>
      </c>
      <c r="B123" s="79" t="s">
        <v>131</v>
      </c>
      <c r="C123" s="44">
        <v>0</v>
      </c>
      <c r="D123" s="19">
        <f ca="1">((100/(H112))*C123)/100</f>
        <v>0</v>
      </c>
      <c r="E123" s="83"/>
      <c r="F123" s="84"/>
      <c r="G123" s="83"/>
      <c r="H123" s="88"/>
      <c r="I123" s="14" t="s">
        <v>145</v>
      </c>
      <c r="J123" s="30">
        <f ca="1">(IF(B112=1,(H112/(B112+3)+J118),IF(B112=0,(H112/4+J118),IF(B112&gt;1,0))))</f>
        <v>7.5</v>
      </c>
    </row>
    <row r="124" spans="1:10" ht="16.2" thickBot="1" x14ac:dyDescent="0.35">
      <c r="A124" s="90" t="s">
        <v>132</v>
      </c>
      <c r="B124" s="91"/>
      <c r="C124" s="45">
        <v>0</v>
      </c>
      <c r="D124" s="20">
        <f ca="1">((100/(H112))*C124)/100</f>
        <v>0</v>
      </c>
      <c r="E124" s="85"/>
      <c r="F124" s="86"/>
      <c r="G124" s="85"/>
      <c r="H124" s="89"/>
      <c r="I124" s="15" t="s">
        <v>103</v>
      </c>
      <c r="J124" s="32">
        <f ca="1">(IF(B112&gt;1.5,(H112/(B112+2)+J118+MAX(0,J119-J118)+MAX(0,J120-J119)+MAX(0,J121-J120)+MAX(0,J122-J121)+MAX(0,J123-J122)),IF(B112=1,(H112/(B112+3)+J123),IF(B112=0,H112/4+J123))))</f>
        <v>10</v>
      </c>
    </row>
    <row r="125" spans="1:10" ht="15.75" hidden="1" customHeight="1" x14ac:dyDescent="0.3">
      <c r="A125" s="69" t="s">
        <v>138</v>
      </c>
      <c r="B125" s="70"/>
      <c r="C125" s="71" t="str">
        <f>D60</f>
        <v>Building No.3 (E + F Wing) = G + 1st to 11th Floor</v>
      </c>
      <c r="D125" s="72"/>
      <c r="E125" s="72"/>
      <c r="F125" s="72"/>
      <c r="G125" s="72"/>
      <c r="H125" s="73"/>
      <c r="I125" s="50" t="str">
        <f ca="1">IF(D138=100%,"All work Completed. Possession granted to the Building.",IF(D137=100%,"All work Completed, Waiting for OC",I126&amp;""&amp;I127&amp;""&amp;J126&amp;""&amp;J125&amp;" "&amp;J127))</f>
        <v xml:space="preserve">Work not yet Started. </v>
      </c>
      <c r="J125" s="51" t="str">
        <f ca="1">(IF(C131=(D126+F126+H126),"",IF(C131&gt;0,", RCC upto "&amp;C131&amp;" Slab","")))&amp;(IF(C132=H126,"",IF(C132&gt;0,", Brickwork upto "&amp;C132&amp;" Floor","")))&amp;(IF(C133=H126,"",IF(C133&gt;0,", Internal Plaster upto "&amp;C133&amp;" Floor","")))&amp;(IF(C134=H126,"",IF(C134&gt;0,", External Plaster upto "&amp;C134&amp;" Floor","")))&amp;(IF(C135=H126,"",IF(C135&gt;0,", Flooring upto "&amp;C135&amp;" Floor","")))&amp;(IF(C136=H126,"",IF(C136&gt;0,", Painting upto "&amp;C136&amp;" Floor","")))&amp;(IF(C137=H126,"",IF(C137&gt;0,", Finishing upto "&amp;C137&amp;" Floor","")))&amp;(IF(C138=H126,"",IF(C138&gt;0,", Possession upto "&amp;C138&amp;" Floor","")))</f>
        <v/>
      </c>
    </row>
    <row r="126" spans="1:10" hidden="1" x14ac:dyDescent="0.3">
      <c r="A126" s="16" t="s">
        <v>140</v>
      </c>
      <c r="B126" s="48">
        <f>IF(AND(ISNUMBER(SEARCH("1B",C125))),1,IF(AND(ISNUMBER(SEARCH("2B",C125))),2,IF(AND(ISNUMBER(SEARCH("3B",C125))),3,IF(AND(ISNUMBER(SEARCH("4B",C125))),4,IF(ISNUMBER(SEARCH("5B",C125)),5,0)))))</f>
        <v>0</v>
      </c>
      <c r="C126" s="48" t="s">
        <v>71</v>
      </c>
      <c r="D126" s="48">
        <v>1</v>
      </c>
      <c r="E126" s="48" t="s">
        <v>70</v>
      </c>
      <c r="F126" s="48">
        <v>0</v>
      </c>
      <c r="G126" s="49" t="s">
        <v>78</v>
      </c>
      <c r="H126" s="17">
        <f ca="1">--TRIM(RIGHT(SUBSTITUTE(LEFT(C125,_xlfn.AGGREGATE(16,6,FIND({0,1,2,3,4,5,6,7,8,9},C125,ROW(INDIRECT("1:"&amp;LEN(C125)))),1))," ",REPT(" ",LEN(C125))),LEN(C125)))</f>
        <v>11</v>
      </c>
      <c r="I126" s="52" t="str">
        <f ca="1">IF(D129=100%,"Excavation","")&amp;IF(D130=100%,", Plinth","")&amp;IF(D131=100%,", RCC Slab","")&amp;IF(D132=100%,", Brickwork","")&amp;IF(D133=100%,", Internal Plaster","")&amp;IF(D134=100%,", External Plaster","")&amp;IF(D135=100%,", Flooring","")&amp;IF(D136=100%,", Painting","")&amp;IF(D137=100%,", Building common Amenities","")</f>
        <v/>
      </c>
      <c r="J126" s="53" t="str">
        <f>(IF(C129=0,"Work not yet Started.",IF(D129=25%,"Piling work in process",IF(D129=50%,"Excavation work in process",IF(D129=100%,"","0")))))&amp;(IF(C130=0%,"",IF(C130=J131,", Footing work is process",IF(C130=J132,", Footing work Completed",IF(C130=J133,", 1st Basement Completed",IF(C130=J134,", 1st &amp; 2nd Basement Completed",IF(C130=J135,", 1st to 3rd Basement Completed",IF(C130=J136,", 1st to 4th Basement Completed",IF(C130=J137,", Plinth work is process",IF(C130=J138,"","0"))))))))))</f>
        <v>Work not yet Started.</v>
      </c>
    </row>
    <row r="127" spans="1:10" hidden="1" x14ac:dyDescent="0.3">
      <c r="A127" s="74" t="s">
        <v>88</v>
      </c>
      <c r="B127" s="75"/>
      <c r="C127" s="76" t="str">
        <f ca="1">(IF($G$53="NA",I125,"All work Completed. OC Received."))</f>
        <v xml:space="preserve">Work not yet Started. </v>
      </c>
      <c r="D127" s="76"/>
      <c r="E127" s="76"/>
      <c r="F127" s="76"/>
      <c r="G127" s="76"/>
      <c r="H127" s="77"/>
      <c r="I127" s="52" t="str">
        <f ca="1">IF(I126&lt;&gt;""," Completed","")</f>
        <v/>
      </c>
      <c r="J127" s="53" t="str">
        <f ca="1">IF(J125&lt;&gt;"","Completed","")</f>
        <v/>
      </c>
    </row>
    <row r="128" spans="1:10" ht="15.75" hidden="1" customHeight="1" x14ac:dyDescent="0.3">
      <c r="A128" s="78" t="s">
        <v>49</v>
      </c>
      <c r="B128" s="79"/>
      <c r="C128" s="44" t="s">
        <v>137</v>
      </c>
      <c r="D128" s="44" t="s">
        <v>81</v>
      </c>
      <c r="E128" s="79" t="s">
        <v>83</v>
      </c>
      <c r="F128" s="79"/>
      <c r="G128" s="79" t="s">
        <v>82</v>
      </c>
      <c r="H128" s="80"/>
      <c r="I128" s="14" t="s">
        <v>139</v>
      </c>
      <c r="J128" s="28">
        <f ca="1">H126*25%</f>
        <v>2.75</v>
      </c>
    </row>
    <row r="129" spans="1:10" hidden="1" x14ac:dyDescent="0.3">
      <c r="A129" s="78" t="s">
        <v>126</v>
      </c>
      <c r="B129" s="79"/>
      <c r="C129" s="44">
        <v>0</v>
      </c>
      <c r="D129" s="19">
        <f ca="1">((100/H126)*C129)/100</f>
        <v>0</v>
      </c>
      <c r="E129" s="81">
        <f ca="1">(((C130/H126*10)+(40/(D126+F126+H126)*C131)+(7.5/(H126)*C132)+(7.5/(H126)*C133)+(10/H126*C134)+(10/H126*C135)+(5/H126*C136)+(5/H126*C137)+(5/H126*C138))/100)</f>
        <v>0</v>
      </c>
      <c r="F129" s="82"/>
      <c r="G129" s="81">
        <f ca="1">((((C129/H126)*20)+((C130/H126)*25)+(30/(H126+F126+D126)*C131)+(5/H126*C132)+(5/H126*C133)+(5/H126*C134)+(5/H126*C135)+(0/H126*C136)+(0/H126*C137)+(5/H126*C138))/100)</f>
        <v>0</v>
      </c>
      <c r="H129" s="87"/>
      <c r="I129" s="14" t="s">
        <v>99</v>
      </c>
      <c r="J129" s="29">
        <f ca="1">H126*50%</f>
        <v>5.5</v>
      </c>
    </row>
    <row r="130" spans="1:10" hidden="1" x14ac:dyDescent="0.3">
      <c r="A130" s="78" t="s">
        <v>50</v>
      </c>
      <c r="B130" s="79"/>
      <c r="C130" s="44">
        <v>0</v>
      </c>
      <c r="D130" s="19">
        <f ca="1">((100/H126)*C130)/100</f>
        <v>0</v>
      </c>
      <c r="E130" s="83"/>
      <c r="F130" s="84"/>
      <c r="G130" s="83"/>
      <c r="H130" s="88"/>
      <c r="I130" s="14" t="s">
        <v>100</v>
      </c>
      <c r="J130" s="29">
        <f ca="1">H126</f>
        <v>11</v>
      </c>
    </row>
    <row r="131" spans="1:10" ht="15.75" hidden="1" customHeight="1" x14ac:dyDescent="0.3">
      <c r="A131" s="78" t="s">
        <v>127</v>
      </c>
      <c r="B131" s="79"/>
      <c r="C131" s="44">
        <v>0</v>
      </c>
      <c r="D131" s="19">
        <f ca="1">((100/(D126+F126+H126))*C131)/100</f>
        <v>0</v>
      </c>
      <c r="E131" s="83"/>
      <c r="F131" s="84"/>
      <c r="G131" s="83"/>
      <c r="H131" s="88"/>
      <c r="I131" s="14" t="s">
        <v>101</v>
      </c>
      <c r="J131" s="30">
        <f ca="1">(IF(B126&gt;1,(H126/(B126+2)),H126/4))</f>
        <v>2.75</v>
      </c>
    </row>
    <row r="132" spans="1:10" ht="15.75" hidden="1" customHeight="1" x14ac:dyDescent="0.3">
      <c r="A132" s="78" t="s">
        <v>134</v>
      </c>
      <c r="B132" s="79" t="s">
        <v>128</v>
      </c>
      <c r="C132" s="44">
        <v>0</v>
      </c>
      <c r="D132" s="19">
        <f ca="1">((100/H126)*C132)/100</f>
        <v>0</v>
      </c>
      <c r="E132" s="83"/>
      <c r="F132" s="84"/>
      <c r="G132" s="83"/>
      <c r="H132" s="88"/>
      <c r="I132" s="14" t="s">
        <v>102</v>
      </c>
      <c r="J132" s="30">
        <f ca="1">(IF(B126&gt;1,(H126/(B126+2)+J131),H126/4+J131))</f>
        <v>5.5</v>
      </c>
    </row>
    <row r="133" spans="1:10" ht="15.75" hidden="1" customHeight="1" x14ac:dyDescent="0.3">
      <c r="A133" s="78" t="s">
        <v>135</v>
      </c>
      <c r="B133" s="79" t="s">
        <v>128</v>
      </c>
      <c r="C133" s="44">
        <v>0</v>
      </c>
      <c r="D133" s="19">
        <f ca="1">((100/H126)*C133)/100</f>
        <v>0</v>
      </c>
      <c r="E133" s="83"/>
      <c r="F133" s="84"/>
      <c r="G133" s="83"/>
      <c r="H133" s="88"/>
      <c r="I133" s="14" t="s">
        <v>144</v>
      </c>
      <c r="J133" s="30">
        <f>(IF(B126&gt;1,(H126/(B126+2)+J132),0))</f>
        <v>0</v>
      </c>
    </row>
    <row r="134" spans="1:10" ht="15" hidden="1" customHeight="1" x14ac:dyDescent="0.3">
      <c r="A134" s="78" t="s">
        <v>133</v>
      </c>
      <c r="B134" s="79" t="s">
        <v>130</v>
      </c>
      <c r="C134" s="44">
        <v>0</v>
      </c>
      <c r="D134" s="19">
        <f ca="1">((100/(H126))*C134)/100</f>
        <v>0</v>
      </c>
      <c r="E134" s="83"/>
      <c r="F134" s="84"/>
      <c r="G134" s="83"/>
      <c r="H134" s="88"/>
      <c r="I134" s="14" t="s">
        <v>141</v>
      </c>
      <c r="J134" s="30">
        <f>(IF(B126&gt;2,(H126/(B126+2)+J133),0))</f>
        <v>0</v>
      </c>
    </row>
    <row r="135" spans="1:10" ht="15.75" hidden="1" customHeight="1" x14ac:dyDescent="0.3">
      <c r="A135" s="78" t="s">
        <v>129</v>
      </c>
      <c r="B135" s="79" t="s">
        <v>129</v>
      </c>
      <c r="C135" s="44">
        <v>0</v>
      </c>
      <c r="D135" s="19">
        <f ca="1">((100/H126)*C135)/100</f>
        <v>0</v>
      </c>
      <c r="E135" s="83"/>
      <c r="F135" s="84"/>
      <c r="G135" s="83"/>
      <c r="H135" s="88"/>
      <c r="I135" s="14" t="s">
        <v>142</v>
      </c>
      <c r="J135" s="31">
        <f>(IF(B126&gt;3,(H126/(B126+2)+J134),0))</f>
        <v>0</v>
      </c>
    </row>
    <row r="136" spans="1:10" ht="15.75" hidden="1" customHeight="1" x14ac:dyDescent="0.3">
      <c r="A136" s="78" t="s">
        <v>136</v>
      </c>
      <c r="B136" s="79"/>
      <c r="C136" s="44">
        <v>0</v>
      </c>
      <c r="D136" s="19">
        <f ca="1">((100/H126)*C136)/100</f>
        <v>0</v>
      </c>
      <c r="E136" s="83"/>
      <c r="F136" s="84"/>
      <c r="G136" s="83"/>
      <c r="H136" s="88"/>
      <c r="I136" s="14" t="s">
        <v>143</v>
      </c>
      <c r="J136" s="30">
        <f>(IF(B126&gt;4,(H126/(B126+2)+J135),0))</f>
        <v>0</v>
      </c>
    </row>
    <row r="137" spans="1:10" ht="15.75" hidden="1" customHeight="1" x14ac:dyDescent="0.3">
      <c r="A137" s="78" t="s">
        <v>131</v>
      </c>
      <c r="B137" s="79" t="s">
        <v>131</v>
      </c>
      <c r="C137" s="44">
        <v>0</v>
      </c>
      <c r="D137" s="19">
        <f ca="1">((100/(H126))*C137)/100</f>
        <v>0</v>
      </c>
      <c r="E137" s="83"/>
      <c r="F137" s="84"/>
      <c r="G137" s="83"/>
      <c r="H137" s="88"/>
      <c r="I137" s="14" t="s">
        <v>145</v>
      </c>
      <c r="J137" s="30">
        <f ca="1">(IF(B126=1,(H126/(B126+3)+J132),IF(B126=0,(H126/4+J132),IF(B126&gt;1,0))))</f>
        <v>8.25</v>
      </c>
    </row>
    <row r="138" spans="1:10" ht="16.2" hidden="1" thickBot="1" x14ac:dyDescent="0.35">
      <c r="A138" s="90" t="s">
        <v>132</v>
      </c>
      <c r="B138" s="91"/>
      <c r="C138" s="45">
        <v>0</v>
      </c>
      <c r="D138" s="20">
        <f ca="1">((100/(H126))*C138)/100</f>
        <v>0</v>
      </c>
      <c r="E138" s="85"/>
      <c r="F138" s="86"/>
      <c r="G138" s="85"/>
      <c r="H138" s="89"/>
      <c r="I138" s="15" t="s">
        <v>103</v>
      </c>
      <c r="J138" s="32">
        <f ca="1">(IF(B126&gt;1.5,(H126/(B126+2)+J132+MAX(0,J133-J132)+MAX(0,J134-J133)+MAX(0,J135-J134)+MAX(0,J136-J135)+MAX(0,J137-J136)),IF(B126=1,(H126/(B126+3)+J137),IF(B126=0,H126/4+J137))))</f>
        <v>11</v>
      </c>
    </row>
    <row r="139" spans="1:10" hidden="1" x14ac:dyDescent="0.3">
      <c r="A139" s="69" t="s">
        <v>138</v>
      </c>
      <c r="B139" s="70"/>
      <c r="C139" s="71" t="str">
        <f>D61</f>
        <v>Building No.4 (G + H Wing) = G + 1st to 10th Floor</v>
      </c>
      <c r="D139" s="72"/>
      <c r="E139" s="72"/>
      <c r="F139" s="72"/>
      <c r="G139" s="72"/>
      <c r="H139" s="73"/>
      <c r="I139" s="50" t="str">
        <f ca="1">IF(D152=100%,"All work Completed. Possession granted to the Building.",IF(D151=100%,"All work Completed, Waiting for OC",I140&amp;""&amp;I141&amp;""&amp;J140&amp;""&amp;J139&amp;" "&amp;J141))</f>
        <v xml:space="preserve">Work not yet Started. </v>
      </c>
      <c r="J139" s="51" t="str">
        <f ca="1">(IF(C145=(D140+F140+H140),"",IF(C145&gt;0,", RCC upto "&amp;C145&amp;" Slab","")))&amp;(IF(C146=H140,"",IF(C146&gt;0,", Brickwork upto "&amp;C146&amp;" Floor","")))&amp;(IF(C147=H140,"",IF(C147&gt;0,", Internal Plaster upto "&amp;C147&amp;" Floor","")))&amp;(IF(C148=H140,"",IF(C148&gt;0,", External Plaster upto "&amp;C148&amp;" Floor","")))&amp;(IF(C149=H140,"",IF(C149&gt;0,", Flooring upto "&amp;C149&amp;" Floor","")))&amp;(IF(C150=H140,"",IF(C150&gt;0,", Painting upto "&amp;C150&amp;" Floor","")))&amp;(IF(C151=H140,"",IF(C151&gt;0,", Finishing upto "&amp;C151&amp;" Floor","")))&amp;(IF(C152=H140,"",IF(C152&gt;0,", Possession upto "&amp;C152&amp;" Floor","")))</f>
        <v/>
      </c>
    </row>
    <row r="140" spans="1:10" hidden="1" x14ac:dyDescent="0.3">
      <c r="A140" s="16" t="s">
        <v>140</v>
      </c>
      <c r="B140" s="48">
        <f>IF(AND(ISNUMBER(SEARCH("1B",C139))),1,IF(AND(ISNUMBER(SEARCH("2B",C139))),2,IF(AND(ISNUMBER(SEARCH("3B",C139))),3,IF(AND(ISNUMBER(SEARCH("4B",C139))),4,IF(ISNUMBER(SEARCH("5B",C139)),5,0)))))</f>
        <v>0</v>
      </c>
      <c r="C140" s="48" t="s">
        <v>71</v>
      </c>
      <c r="D140" s="48">
        <v>1</v>
      </c>
      <c r="E140" s="48" t="s">
        <v>70</v>
      </c>
      <c r="F140" s="48">
        <v>0</v>
      </c>
      <c r="G140" s="49" t="s">
        <v>78</v>
      </c>
      <c r="H140" s="17">
        <f ca="1">--TRIM(RIGHT(SUBSTITUTE(LEFT(C139,_xlfn.AGGREGATE(16,6,FIND({0,1,2,3,4,5,6,7,8,9},C139,ROW(INDIRECT("1:"&amp;LEN(C139)))),1))," ",REPT(" ",LEN(C139))),LEN(C139)))</f>
        <v>10</v>
      </c>
      <c r="I140" s="52" t="str">
        <f ca="1">IF(D143=100%,"Excavation","")&amp;IF(D144=100%,", Plinth","")&amp;IF(D145=100%,", RCC Slab","")&amp;IF(D146=100%,", Brickwork","")&amp;IF(D147=100%,", Internal Plaster","")&amp;IF(D148=100%,", External Plaster","")&amp;IF(D149=100%,", Flooring","")&amp;IF(D150=100%,", Painting","")&amp;IF(D151=100%,", Building common Amenities","")</f>
        <v/>
      </c>
      <c r="J140" s="53" t="str">
        <f>(IF(C143=0,"Work not yet Started.",IF(D143=25%,"Piling work in process",IF(D143=50%,"Excavation work in process",IF(D143=100%,"","0")))))&amp;(IF(C144=0%,"",IF(C144=J145,", Footing work is process",IF(C144=J146,", Footing work Completed",IF(C144=J147,", 1st Basement Completed",IF(C144=J148,", 1st &amp; 2nd Basement Completed",IF(C144=J149,", 1st to 3rd Basement Completed",IF(C144=J150,", 1st to 4th Basement Completed",IF(C144=J151,", Plinth work is process",IF(C144=J152,"","0"))))))))))</f>
        <v>Work not yet Started.</v>
      </c>
    </row>
    <row r="141" spans="1:10" hidden="1" x14ac:dyDescent="0.3">
      <c r="A141" s="74" t="s">
        <v>88</v>
      </c>
      <c r="B141" s="75"/>
      <c r="C141" s="76" t="str">
        <f ca="1">(IF($G$53="NA",I139,"All work Completed. OC Received."))</f>
        <v xml:space="preserve">Work not yet Started. </v>
      </c>
      <c r="D141" s="76"/>
      <c r="E141" s="76"/>
      <c r="F141" s="76"/>
      <c r="G141" s="76"/>
      <c r="H141" s="77"/>
      <c r="I141" s="52" t="str">
        <f ca="1">IF(I140&lt;&gt;""," Completed","")</f>
        <v/>
      </c>
      <c r="J141" s="53" t="str">
        <f ca="1">IF(J139&lt;&gt;"","Completed","")</f>
        <v/>
      </c>
    </row>
    <row r="142" spans="1:10" hidden="1" x14ac:dyDescent="0.3">
      <c r="A142" s="78" t="s">
        <v>49</v>
      </c>
      <c r="B142" s="79"/>
      <c r="C142" s="44" t="s">
        <v>137</v>
      </c>
      <c r="D142" s="44" t="s">
        <v>81</v>
      </c>
      <c r="E142" s="79" t="s">
        <v>83</v>
      </c>
      <c r="F142" s="79"/>
      <c r="G142" s="79" t="s">
        <v>82</v>
      </c>
      <c r="H142" s="80"/>
      <c r="I142" s="14" t="s">
        <v>139</v>
      </c>
      <c r="J142" s="28">
        <f ca="1">H140*25%</f>
        <v>2.5</v>
      </c>
    </row>
    <row r="143" spans="1:10" s="33" customFormat="1" hidden="1" x14ac:dyDescent="0.25">
      <c r="A143" s="78" t="s">
        <v>126</v>
      </c>
      <c r="B143" s="79"/>
      <c r="C143" s="44">
        <v>0</v>
      </c>
      <c r="D143" s="19">
        <f ca="1">((100/H140)*C143)/100</f>
        <v>0</v>
      </c>
      <c r="E143" s="81">
        <f ca="1">(((C144/H140*10)+(40/(D140+F140+H140)*C145)+(7.5/(H140)*C146)+(7.5/(H140)*C147)+(10/H140*C148)+(10/H140*C149)+(5/H140*C150)+(5/H140*C151)+(5/H140*C152))/100)</f>
        <v>0</v>
      </c>
      <c r="F143" s="82"/>
      <c r="G143" s="81">
        <f ca="1">((((C143/H140)*20)+((C144/H140)*25)+(30/(H140+F140+D140)*C145)+(5/H140*C146)+(5/H140*C147)+(5/H140*C148)+(5/H140*C149)+(0/H140*C150)+(0/H140*C151)+(5/H140*C152))/100)</f>
        <v>0</v>
      </c>
      <c r="H143" s="87"/>
      <c r="I143" s="14" t="s">
        <v>99</v>
      </c>
      <c r="J143" s="29">
        <f ca="1">H140*50%</f>
        <v>5</v>
      </c>
    </row>
    <row r="144" spans="1:10" s="33" customFormat="1" hidden="1" x14ac:dyDescent="0.25">
      <c r="A144" s="78" t="s">
        <v>50</v>
      </c>
      <c r="B144" s="79"/>
      <c r="C144" s="44">
        <v>0</v>
      </c>
      <c r="D144" s="19">
        <f ca="1">((100/H140)*C144)/100</f>
        <v>0</v>
      </c>
      <c r="E144" s="83"/>
      <c r="F144" s="84"/>
      <c r="G144" s="83"/>
      <c r="H144" s="88"/>
      <c r="I144" s="14" t="s">
        <v>100</v>
      </c>
      <c r="J144" s="29">
        <f ca="1">H140</f>
        <v>10</v>
      </c>
    </row>
    <row r="145" spans="1:10" s="33" customFormat="1" hidden="1" x14ac:dyDescent="0.3">
      <c r="A145" s="78" t="s">
        <v>127</v>
      </c>
      <c r="B145" s="79"/>
      <c r="C145" s="44">
        <v>0</v>
      </c>
      <c r="D145" s="19">
        <f ca="1">((100/(D140+F140+H140))*C145)/100</f>
        <v>0</v>
      </c>
      <c r="E145" s="83"/>
      <c r="F145" s="84"/>
      <c r="G145" s="83"/>
      <c r="H145" s="88"/>
      <c r="I145" s="14" t="s">
        <v>101</v>
      </c>
      <c r="J145" s="30">
        <f ca="1">(IF(B140&gt;1,(H140/(B140+2)),H140/4))</f>
        <v>2.5</v>
      </c>
    </row>
    <row r="146" spans="1:10" s="33" customFormat="1" hidden="1" x14ac:dyDescent="0.3">
      <c r="A146" s="78" t="s">
        <v>134</v>
      </c>
      <c r="B146" s="79" t="s">
        <v>128</v>
      </c>
      <c r="C146" s="44">
        <v>0</v>
      </c>
      <c r="D146" s="19">
        <f ca="1">((100/H140)*C146)/100</f>
        <v>0</v>
      </c>
      <c r="E146" s="83"/>
      <c r="F146" s="84"/>
      <c r="G146" s="83"/>
      <c r="H146" s="88"/>
      <c r="I146" s="14" t="s">
        <v>102</v>
      </c>
      <c r="J146" s="30">
        <f ca="1">(IF(B140&gt;1,(H140/(B140+2)+J145),H140/4+J145))</f>
        <v>5</v>
      </c>
    </row>
    <row r="147" spans="1:10" s="33" customFormat="1" hidden="1" x14ac:dyDescent="0.3">
      <c r="A147" s="78" t="s">
        <v>135</v>
      </c>
      <c r="B147" s="79" t="s">
        <v>128</v>
      </c>
      <c r="C147" s="44">
        <v>0</v>
      </c>
      <c r="D147" s="19">
        <f ca="1">((100/H140)*C147)/100</f>
        <v>0</v>
      </c>
      <c r="E147" s="83"/>
      <c r="F147" s="84"/>
      <c r="G147" s="83"/>
      <c r="H147" s="88"/>
      <c r="I147" s="14" t="s">
        <v>144</v>
      </c>
      <c r="J147" s="30">
        <f>(IF(B140&gt;1,(H140/(B140+2)+J146),0))</f>
        <v>0</v>
      </c>
    </row>
    <row r="148" spans="1:10" s="33" customFormat="1" hidden="1" x14ac:dyDescent="0.3">
      <c r="A148" s="78" t="s">
        <v>133</v>
      </c>
      <c r="B148" s="79" t="s">
        <v>130</v>
      </c>
      <c r="C148" s="44">
        <v>0</v>
      </c>
      <c r="D148" s="19">
        <f ca="1">((100/(H140))*C148)/100</f>
        <v>0</v>
      </c>
      <c r="E148" s="83"/>
      <c r="F148" s="84"/>
      <c r="G148" s="83"/>
      <c r="H148" s="88"/>
      <c r="I148" s="14" t="s">
        <v>141</v>
      </c>
      <c r="J148" s="30">
        <f>(IF(B140&gt;2,(H140/(B140+2)+J147),0))</f>
        <v>0</v>
      </c>
    </row>
    <row r="149" spans="1:10" s="33" customFormat="1" hidden="1" x14ac:dyDescent="0.3">
      <c r="A149" s="78" t="s">
        <v>129</v>
      </c>
      <c r="B149" s="79" t="s">
        <v>129</v>
      </c>
      <c r="C149" s="44">
        <v>0</v>
      </c>
      <c r="D149" s="19">
        <f ca="1">((100/H140)*C149)/100</f>
        <v>0</v>
      </c>
      <c r="E149" s="83"/>
      <c r="F149" s="84"/>
      <c r="G149" s="83"/>
      <c r="H149" s="88"/>
      <c r="I149" s="14" t="s">
        <v>142</v>
      </c>
      <c r="J149" s="31">
        <f>(IF(B140&gt;3,(H140/(B140+2)+J148),0))</f>
        <v>0</v>
      </c>
    </row>
    <row r="150" spans="1:10" s="33" customFormat="1" hidden="1" x14ac:dyDescent="0.3">
      <c r="A150" s="78" t="s">
        <v>136</v>
      </c>
      <c r="B150" s="79"/>
      <c r="C150" s="44">
        <v>0</v>
      </c>
      <c r="D150" s="19">
        <f ca="1">((100/H140)*C150)/100</f>
        <v>0</v>
      </c>
      <c r="E150" s="83"/>
      <c r="F150" s="84"/>
      <c r="G150" s="83"/>
      <c r="H150" s="88"/>
      <c r="I150" s="14" t="s">
        <v>143</v>
      </c>
      <c r="J150" s="30">
        <f>(IF(B140&gt;4,(H140/(B140+2)+J149),0))</f>
        <v>0</v>
      </c>
    </row>
    <row r="151" spans="1:10" hidden="1" x14ac:dyDescent="0.3">
      <c r="A151" s="78" t="s">
        <v>131</v>
      </c>
      <c r="B151" s="79" t="s">
        <v>131</v>
      </c>
      <c r="C151" s="44">
        <v>0</v>
      </c>
      <c r="D151" s="19">
        <f ca="1">((100/(H140))*C151)/100</f>
        <v>0</v>
      </c>
      <c r="E151" s="83"/>
      <c r="F151" s="84"/>
      <c r="G151" s="83"/>
      <c r="H151" s="88"/>
      <c r="I151" s="14" t="s">
        <v>145</v>
      </c>
      <c r="J151" s="30">
        <f ca="1">(IF(B140=1,(H140/(B140+3)+J146),IF(B140=0,(H140/4+J146),IF(B140&gt;1,0))))</f>
        <v>7.5</v>
      </c>
    </row>
    <row r="152" spans="1:10" s="34" customFormat="1" ht="16.2" hidden="1" thickBot="1" x14ac:dyDescent="0.35">
      <c r="A152" s="90" t="s">
        <v>132</v>
      </c>
      <c r="B152" s="91"/>
      <c r="C152" s="45">
        <v>0</v>
      </c>
      <c r="D152" s="20">
        <f ca="1">((100/(H140))*C152)/100</f>
        <v>0</v>
      </c>
      <c r="E152" s="85"/>
      <c r="F152" s="86"/>
      <c r="G152" s="85"/>
      <c r="H152" s="89"/>
      <c r="I152" s="15" t="s">
        <v>103</v>
      </c>
      <c r="J152" s="32">
        <f ca="1">(IF(B140&gt;1.5,(H140/(B140+2)+J146+MAX(0,J147-J146)+MAX(0,J148-J147)+MAX(0,J149-J148)+MAX(0,J150-J149)+MAX(0,J151-J150)),IF(B140=1,(H140/(B140+3)+J151),IF(B140=0,H140/4+J151))))</f>
        <v>10</v>
      </c>
    </row>
    <row r="153" spans="1:10" s="35" customFormat="1" ht="15.75" customHeight="1" x14ac:dyDescent="0.3">
      <c r="A153" s="204" t="s">
        <v>153</v>
      </c>
      <c r="B153" s="204"/>
      <c r="C153" s="204"/>
      <c r="D153" s="204"/>
      <c r="E153" s="204"/>
      <c r="F153" s="147" t="s">
        <v>157</v>
      </c>
      <c r="G153" s="147"/>
      <c r="H153" s="147"/>
      <c r="I153" s="21"/>
      <c r="J153" s="21"/>
    </row>
    <row r="154" spans="1:10" s="35" customFormat="1" ht="15.75" customHeight="1" x14ac:dyDescent="0.3">
      <c r="A154" s="104" t="s">
        <v>155</v>
      </c>
      <c r="B154" s="104"/>
      <c r="C154" s="104"/>
      <c r="D154" s="104"/>
      <c r="E154" s="104"/>
      <c r="F154" s="99">
        <v>3600</v>
      </c>
      <c r="G154" s="99"/>
      <c r="H154" s="99"/>
      <c r="I154" s="21"/>
      <c r="J154" s="21"/>
    </row>
    <row r="155" spans="1:10" s="35" customFormat="1" x14ac:dyDescent="0.3">
      <c r="A155" s="104" t="s">
        <v>154</v>
      </c>
      <c r="B155" s="104"/>
      <c r="C155" s="104"/>
      <c r="D155" s="104"/>
      <c r="E155" s="104"/>
      <c r="F155" s="99">
        <v>5900</v>
      </c>
      <c r="G155" s="99"/>
      <c r="H155" s="99"/>
      <c r="I155" s="21"/>
      <c r="J155" s="21"/>
    </row>
    <row r="156" spans="1:10" s="35" customFormat="1" hidden="1" x14ac:dyDescent="0.3">
      <c r="A156" s="104" t="s">
        <v>156</v>
      </c>
      <c r="B156" s="104"/>
      <c r="C156" s="104"/>
      <c r="D156" s="104"/>
      <c r="E156" s="104"/>
      <c r="F156" s="99"/>
      <c r="G156" s="99"/>
      <c r="H156" s="99"/>
      <c r="I156" s="21"/>
      <c r="J156" s="21"/>
    </row>
    <row r="157" spans="1:10" s="35" customFormat="1" hidden="1" x14ac:dyDescent="0.25">
      <c r="A157" s="104" t="s">
        <v>172</v>
      </c>
      <c r="B157" s="104"/>
      <c r="C157" s="104"/>
      <c r="D157" s="104"/>
      <c r="E157" s="104"/>
      <c r="F157" s="99"/>
      <c r="G157" s="99"/>
      <c r="H157" s="99"/>
      <c r="I157" s="33"/>
      <c r="J157" s="33"/>
    </row>
    <row r="158" spans="1:10" s="35" customFormat="1" x14ac:dyDescent="0.25">
      <c r="A158" s="104" t="s">
        <v>93</v>
      </c>
      <c r="B158" s="104"/>
      <c r="C158" s="104"/>
      <c r="D158" s="104"/>
      <c r="E158" s="104"/>
      <c r="F158" s="99">
        <v>200000</v>
      </c>
      <c r="G158" s="99"/>
      <c r="H158" s="99"/>
      <c r="I158" s="33"/>
      <c r="J158" s="33"/>
    </row>
    <row r="159" spans="1:10" s="35" customFormat="1" ht="15.75" hidden="1" customHeight="1" x14ac:dyDescent="0.25">
      <c r="A159" s="104" t="s">
        <v>94</v>
      </c>
      <c r="B159" s="104"/>
      <c r="C159" s="104"/>
      <c r="D159" s="104"/>
      <c r="E159" s="104"/>
      <c r="F159" s="99"/>
      <c r="G159" s="99"/>
      <c r="H159" s="99"/>
      <c r="I159" s="33"/>
      <c r="J159" s="33"/>
    </row>
    <row r="160" spans="1:10" s="35" customFormat="1" hidden="1" x14ac:dyDescent="0.25">
      <c r="A160" s="104" t="s">
        <v>158</v>
      </c>
      <c r="B160" s="104"/>
      <c r="C160" s="104"/>
      <c r="D160" s="104"/>
      <c r="E160" s="104"/>
      <c r="F160" s="99"/>
      <c r="G160" s="99"/>
      <c r="H160" s="99"/>
      <c r="I160" s="33"/>
      <c r="J160" s="33"/>
    </row>
    <row r="161" spans="1:14" s="35" customFormat="1" hidden="1" x14ac:dyDescent="0.25">
      <c r="A161" s="104" t="s">
        <v>95</v>
      </c>
      <c r="B161" s="104"/>
      <c r="C161" s="104"/>
      <c r="D161" s="104"/>
      <c r="E161" s="104"/>
      <c r="F161" s="99"/>
      <c r="G161" s="99"/>
      <c r="H161" s="99"/>
      <c r="I161" s="33"/>
      <c r="J161" s="33"/>
    </row>
    <row r="162" spans="1:14" s="35" customFormat="1" hidden="1" x14ac:dyDescent="0.25">
      <c r="A162" s="104" t="s">
        <v>96</v>
      </c>
      <c r="B162" s="104"/>
      <c r="C162" s="104"/>
      <c r="D162" s="104"/>
      <c r="E162" s="104"/>
      <c r="F162" s="99"/>
      <c r="G162" s="99"/>
      <c r="H162" s="99"/>
      <c r="I162" s="33"/>
      <c r="J162" s="33"/>
    </row>
    <row r="163" spans="1:14" s="35" customFormat="1" x14ac:dyDescent="0.25">
      <c r="A163" s="104" t="s">
        <v>97</v>
      </c>
      <c r="B163" s="104"/>
      <c r="C163" s="104"/>
      <c r="D163" s="104"/>
      <c r="E163" s="104"/>
      <c r="F163" s="99">
        <v>10000</v>
      </c>
      <c r="G163" s="99"/>
      <c r="H163" s="99"/>
      <c r="I163" s="33"/>
      <c r="J163" s="33"/>
    </row>
    <row r="164" spans="1:14" s="34" customFormat="1" hidden="1" x14ac:dyDescent="0.3">
      <c r="A164" s="104" t="s">
        <v>98</v>
      </c>
      <c r="B164" s="104"/>
      <c r="C164" s="104"/>
      <c r="D164" s="104"/>
      <c r="E164" s="104"/>
      <c r="F164" s="99"/>
      <c r="G164" s="99"/>
      <c r="H164" s="99"/>
      <c r="I164" s="33"/>
      <c r="J164" s="33"/>
    </row>
    <row r="165" spans="1:14" x14ac:dyDescent="0.3">
      <c r="A165" s="104" t="s">
        <v>51</v>
      </c>
      <c r="B165" s="104"/>
      <c r="C165" s="104"/>
      <c r="D165" s="104"/>
      <c r="E165" s="104"/>
      <c r="F165" s="166">
        <v>150000</v>
      </c>
      <c r="G165" s="166"/>
      <c r="H165" s="166"/>
    </row>
    <row r="166" spans="1:14" x14ac:dyDescent="0.3">
      <c r="A166" s="167" t="s">
        <v>52</v>
      </c>
      <c r="B166" s="167"/>
      <c r="C166" s="167"/>
      <c r="D166" s="167"/>
      <c r="E166" s="167"/>
      <c r="F166" s="99">
        <f>F154*0.8</f>
        <v>2880</v>
      </c>
      <c r="G166" s="99"/>
      <c r="H166" s="99"/>
      <c r="I166" s="34"/>
      <c r="J166" s="34"/>
    </row>
    <row r="167" spans="1:14" s="37" customFormat="1" x14ac:dyDescent="0.3">
      <c r="A167" s="165" t="s">
        <v>272</v>
      </c>
      <c r="B167" s="165"/>
      <c r="C167" s="165"/>
      <c r="D167" s="165"/>
      <c r="E167" s="165"/>
      <c r="F167" s="165"/>
      <c r="G167" s="165"/>
      <c r="H167" s="165"/>
      <c r="I167" s="35"/>
      <c r="J167" s="35"/>
    </row>
    <row r="168" spans="1:14" s="37" customFormat="1" x14ac:dyDescent="0.3">
      <c r="A168" s="103" t="s">
        <v>53</v>
      </c>
      <c r="B168" s="103"/>
      <c r="C168" s="109" t="s">
        <v>76</v>
      </c>
      <c r="D168" s="109"/>
      <c r="E168" s="108" t="s">
        <v>54</v>
      </c>
      <c r="F168" s="108"/>
      <c r="G168" s="103" t="s">
        <v>55</v>
      </c>
      <c r="H168" s="103"/>
      <c r="I168" s="35"/>
      <c r="J168" s="35"/>
    </row>
    <row r="169" spans="1:14" s="37" customFormat="1" x14ac:dyDescent="0.3">
      <c r="A169" s="93" t="s">
        <v>268</v>
      </c>
      <c r="B169" s="93"/>
      <c r="C169" s="110">
        <f>COUNT(D185:D194)</f>
        <v>10</v>
      </c>
      <c r="D169" s="94"/>
      <c r="E169" s="95">
        <f>SUM(D185:D194)</f>
        <v>4183.9345079999994</v>
      </c>
      <c r="F169" s="96"/>
      <c r="G169" s="95">
        <f>SUM(F185:F194)</f>
        <v>7988</v>
      </c>
      <c r="H169" s="96"/>
      <c r="I169" s="35"/>
      <c r="J169" s="35"/>
      <c r="L169" s="92"/>
      <c r="M169" s="92"/>
      <c r="N169" s="36"/>
    </row>
    <row r="170" spans="1:14" s="37" customFormat="1" x14ac:dyDescent="0.3">
      <c r="A170" s="165" t="s">
        <v>147</v>
      </c>
      <c r="B170" s="165"/>
      <c r="C170" s="200">
        <f>C169</f>
        <v>10</v>
      </c>
      <c r="D170" s="109"/>
      <c r="E170" s="200">
        <f t="shared" ref="E170" si="0">E169</f>
        <v>4183.9345079999994</v>
      </c>
      <c r="F170" s="109"/>
      <c r="G170" s="200">
        <f t="shared" ref="G170" si="1">G169</f>
        <v>7988</v>
      </c>
      <c r="H170" s="109"/>
      <c r="I170" s="35"/>
      <c r="J170" s="35"/>
      <c r="L170" s="92"/>
      <c r="M170" s="92"/>
      <c r="N170" s="36"/>
    </row>
    <row r="171" spans="1:14" s="37" customFormat="1" x14ac:dyDescent="0.3">
      <c r="A171" s="165" t="s">
        <v>273</v>
      </c>
      <c r="B171" s="165"/>
      <c r="C171" s="165"/>
      <c r="D171" s="165"/>
      <c r="E171" s="165"/>
      <c r="F171" s="165"/>
      <c r="G171" s="165"/>
      <c r="H171" s="165"/>
      <c r="I171" s="35"/>
      <c r="J171" s="35"/>
      <c r="L171" s="92"/>
      <c r="M171" s="92"/>
      <c r="N171" s="36"/>
    </row>
    <row r="172" spans="1:14" s="37" customFormat="1" x14ac:dyDescent="0.3">
      <c r="A172" s="103" t="s">
        <v>53</v>
      </c>
      <c r="B172" s="103"/>
      <c r="C172" s="109" t="s">
        <v>76</v>
      </c>
      <c r="D172" s="109"/>
      <c r="E172" s="108" t="s">
        <v>54</v>
      </c>
      <c r="F172" s="108"/>
      <c r="G172" s="103" t="s">
        <v>55</v>
      </c>
      <c r="H172" s="103"/>
      <c r="I172" s="35"/>
      <c r="J172" s="35"/>
      <c r="N172" s="36"/>
    </row>
    <row r="173" spans="1:14" x14ac:dyDescent="0.3">
      <c r="A173" s="93" t="s">
        <v>266</v>
      </c>
      <c r="B173" s="93"/>
      <c r="C173" s="94">
        <f>COUNT(D201:D212)*10+COUNT(D214:D218,D221:D225)</f>
        <v>130</v>
      </c>
      <c r="D173" s="94"/>
      <c r="E173" s="95">
        <f>SUM(D201:D212)*10+SUM(D214:D218,D221:D225)</f>
        <v>59595.047459999994</v>
      </c>
      <c r="F173" s="95"/>
      <c r="G173" s="95">
        <f>SUM(F201:F212)*10+SUM(F214:F218,F221:F225)</f>
        <v>95290</v>
      </c>
      <c r="H173" s="95"/>
      <c r="I173" s="35"/>
      <c r="J173" s="35"/>
    </row>
    <row r="174" spans="1:14" s="37" customFormat="1" x14ac:dyDescent="0.3">
      <c r="A174" s="93" t="s">
        <v>270</v>
      </c>
      <c r="B174" s="93"/>
      <c r="C174" s="94">
        <f>COUNT(D230:D236)*10+COUNT(D238:D239,D241:D244)</f>
        <v>76</v>
      </c>
      <c r="D174" s="94"/>
      <c r="E174" s="95">
        <f>SUM(D230:D236)*10+SUM(D238:D239,D241:D244)</f>
        <v>33820.540743600002</v>
      </c>
      <c r="F174" s="95"/>
      <c r="G174" s="95">
        <f>SUM(F230:F236)*10+SUM(F238:F239,F241:F244)</f>
        <v>53849.748494079999</v>
      </c>
      <c r="H174" s="95"/>
      <c r="I174" s="35"/>
      <c r="J174" s="35"/>
    </row>
    <row r="175" spans="1:14" x14ac:dyDescent="0.3">
      <c r="A175" s="93" t="s">
        <v>269</v>
      </c>
      <c r="B175" s="93"/>
      <c r="C175" s="94">
        <f>COUNT(D248:D255)*10+COUNT(D257:D258,D260:D264)</f>
        <v>87</v>
      </c>
      <c r="D175" s="94"/>
      <c r="E175" s="95">
        <f>SUM(D248:D255)*10+SUM(D257:D258,D260:D264)</f>
        <v>37893.111714899998</v>
      </c>
      <c r="F175" s="95"/>
      <c r="G175" s="95">
        <f>SUM(F248:F255)*10+SUM(F257:F258,F260:F264)</f>
        <v>60206.309338879997</v>
      </c>
      <c r="H175" s="95"/>
      <c r="I175" s="35"/>
      <c r="J175" s="35"/>
    </row>
    <row r="176" spans="1:14" s="37" customFormat="1" x14ac:dyDescent="0.3">
      <c r="A176" s="93" t="s">
        <v>268</v>
      </c>
      <c r="B176" s="93"/>
      <c r="C176" s="94">
        <f>COUNT(D268:D275)+COUNT(D277:D284)*8+COUNT(D286:D290,D292:D293)</f>
        <v>79</v>
      </c>
      <c r="D176" s="94"/>
      <c r="E176" s="95">
        <f>SUM(D268:D275)+SUM(D277:D284)*8+SUM(D286:D290,D292:D293)</f>
        <v>34173.164539799996</v>
      </c>
      <c r="F176" s="95"/>
      <c r="G176" s="95">
        <f>SUM(F268:F275)+SUM(F277:F284)*8+SUM(F286:F290,F292:F293)</f>
        <v>55503.43025248</v>
      </c>
      <c r="H176" s="95"/>
      <c r="I176" s="35"/>
      <c r="J176" s="35"/>
    </row>
    <row r="177" spans="1:14" s="37" customFormat="1" ht="16.2" thickBot="1" x14ac:dyDescent="0.35">
      <c r="A177" s="160" t="s">
        <v>147</v>
      </c>
      <c r="B177" s="160"/>
      <c r="C177" s="137">
        <f>C173+C174+C175+C176</f>
        <v>372</v>
      </c>
      <c r="D177" s="137"/>
      <c r="E177" s="137">
        <f t="shared" ref="E177" si="2">E173+E174+E175+E176</f>
        <v>165481.8644583</v>
      </c>
      <c r="F177" s="137"/>
      <c r="G177" s="137">
        <f t="shared" ref="G177" si="3">G173+G174+G175+G176</f>
        <v>264849.48808544001</v>
      </c>
      <c r="H177" s="137"/>
      <c r="I177" s="35"/>
      <c r="J177" s="35"/>
    </row>
    <row r="178" spans="1:14" s="37" customFormat="1" ht="16.2" thickBot="1" x14ac:dyDescent="0.35">
      <c r="A178" s="148" t="s">
        <v>164</v>
      </c>
      <c r="B178" s="149"/>
      <c r="C178" s="150">
        <f>C170+C177</f>
        <v>382</v>
      </c>
      <c r="D178" s="150"/>
      <c r="E178" s="151">
        <f>E170+E177</f>
        <v>169665.7989663</v>
      </c>
      <c r="F178" s="151"/>
      <c r="G178" s="152">
        <f>G170+G177</f>
        <v>272837.48808544001</v>
      </c>
      <c r="H178" s="153"/>
      <c r="I178" s="35"/>
      <c r="J178" s="35"/>
      <c r="L178" s="92"/>
      <c r="M178" s="92"/>
      <c r="N178" s="36"/>
    </row>
    <row r="179" spans="1:14" s="37" customFormat="1" x14ac:dyDescent="0.3">
      <c r="A179" s="147" t="s">
        <v>56</v>
      </c>
      <c r="B179" s="147"/>
      <c r="C179" s="147"/>
      <c r="D179" s="147"/>
      <c r="E179" s="147"/>
      <c r="F179" s="147"/>
      <c r="G179" s="147"/>
      <c r="H179" s="147"/>
      <c r="I179" s="34"/>
      <c r="J179" s="34"/>
      <c r="L179" s="92"/>
      <c r="M179" s="92"/>
      <c r="N179" s="36"/>
    </row>
    <row r="180" spans="1:14" s="37" customFormat="1" x14ac:dyDescent="0.3">
      <c r="A180" s="102" t="s">
        <v>171</v>
      </c>
      <c r="B180" s="102"/>
      <c r="C180" s="102"/>
      <c r="D180" s="102"/>
      <c r="E180" s="102"/>
      <c r="F180" s="102"/>
      <c r="G180" s="102"/>
      <c r="H180" s="102"/>
      <c r="I180" s="21"/>
      <c r="J180" s="21"/>
      <c r="L180" s="92"/>
      <c r="M180" s="92"/>
      <c r="N180" s="36"/>
    </row>
    <row r="181" spans="1:14" s="37" customFormat="1" ht="46.8" x14ac:dyDescent="0.3">
      <c r="A181" s="129" t="s">
        <v>118</v>
      </c>
      <c r="B181" s="129" t="s">
        <v>173</v>
      </c>
      <c r="C181" s="129" t="s">
        <v>57</v>
      </c>
      <c r="D181" s="129" t="s">
        <v>58</v>
      </c>
      <c r="E181" s="131" t="s">
        <v>152</v>
      </c>
      <c r="F181" s="43" t="s">
        <v>289</v>
      </c>
      <c r="G181" s="133" t="s">
        <v>60</v>
      </c>
      <c r="H181" s="134"/>
      <c r="I181" s="21"/>
      <c r="J181" s="21"/>
      <c r="L181" s="92"/>
      <c r="M181" s="92"/>
      <c r="N181" s="36"/>
    </row>
    <row r="182" spans="1:14" s="37" customFormat="1" hidden="1" x14ac:dyDescent="0.3">
      <c r="A182" s="130"/>
      <c r="B182" s="130"/>
      <c r="C182" s="130"/>
      <c r="D182" s="130"/>
      <c r="E182" s="132"/>
      <c r="F182" s="13">
        <v>0.55000000000000004</v>
      </c>
      <c r="G182" s="135"/>
      <c r="H182" s="136"/>
      <c r="L182" s="92"/>
      <c r="M182" s="92"/>
    </row>
    <row r="183" spans="1:14" s="37" customFormat="1" x14ac:dyDescent="0.3">
      <c r="A183" s="138" t="s">
        <v>277</v>
      </c>
      <c r="B183" s="139"/>
      <c r="C183" s="139"/>
      <c r="D183" s="139"/>
      <c r="E183" s="139"/>
      <c r="F183" s="139"/>
      <c r="G183" s="139"/>
      <c r="H183" s="140"/>
      <c r="J183" s="36"/>
      <c r="N183" s="36"/>
    </row>
    <row r="184" spans="1:14" s="37" customFormat="1" x14ac:dyDescent="0.3">
      <c r="A184" s="138" t="s">
        <v>256</v>
      </c>
      <c r="B184" s="139"/>
      <c r="C184" s="139"/>
      <c r="D184" s="139"/>
      <c r="E184" s="139"/>
      <c r="F184" s="139"/>
      <c r="G184" s="139"/>
      <c r="H184" s="140"/>
      <c r="I184" s="36"/>
      <c r="N184" s="36"/>
    </row>
    <row r="185" spans="1:14" s="37" customFormat="1" ht="15.75" customHeight="1" x14ac:dyDescent="0.3">
      <c r="A185" s="100">
        <v>1</v>
      </c>
      <c r="B185" s="101"/>
      <c r="C185" s="42" t="s">
        <v>271</v>
      </c>
      <c r="D185" s="42">
        <f>(18.5572+0.75*3)*10.764</f>
        <v>223.96870079999999</v>
      </c>
      <c r="E185" s="42">
        <v>0</v>
      </c>
      <c r="F185" s="42">
        <v>449</v>
      </c>
      <c r="G185" s="154" t="str">
        <f>A184</f>
        <v>Ground Floor For Shop, Drivers Room &amp; Part Society office</v>
      </c>
      <c r="H185" s="155"/>
      <c r="I185" s="36">
        <f>18.5572</f>
        <v>18.557200000000002</v>
      </c>
      <c r="J185" s="64">
        <f>6.549*3</f>
        <v>19.647000000000002</v>
      </c>
      <c r="N185" s="36"/>
    </row>
    <row r="186" spans="1:14" s="37" customFormat="1" ht="15.75" customHeight="1" x14ac:dyDescent="0.3">
      <c r="A186" s="100">
        <f>A185+1</f>
        <v>2</v>
      </c>
      <c r="B186" s="101"/>
      <c r="C186" s="42" t="s">
        <v>271</v>
      </c>
      <c r="D186" s="42">
        <f>(19.7944)*10.764</f>
        <v>213.06692159999997</v>
      </c>
      <c r="E186" s="42">
        <v>0</v>
      </c>
      <c r="F186" s="42">
        <v>426</v>
      </c>
      <c r="G186" s="156"/>
      <c r="H186" s="157"/>
      <c r="I186" s="36"/>
      <c r="N186" s="36"/>
    </row>
    <row r="187" spans="1:14" s="37" customFormat="1" ht="15.75" customHeight="1" x14ac:dyDescent="0.3">
      <c r="A187" s="100">
        <f t="shared" ref="A187:A194" si="4">A186+1</f>
        <v>3</v>
      </c>
      <c r="B187" s="101"/>
      <c r="C187" s="42" t="s">
        <v>271</v>
      </c>
      <c r="D187" s="42">
        <f>(42.6274+0.75*(6.186+7.5))*10.764</f>
        <v>569.32841159999998</v>
      </c>
      <c r="E187" s="42">
        <v>0</v>
      </c>
      <c r="F187" s="42">
        <v>1143</v>
      </c>
      <c r="G187" s="156"/>
      <c r="H187" s="157"/>
      <c r="I187" s="36"/>
    </row>
    <row r="188" spans="1:14" s="37" customFormat="1" ht="15.75" customHeight="1" x14ac:dyDescent="0.3">
      <c r="A188" s="100">
        <f t="shared" si="4"/>
        <v>4</v>
      </c>
      <c r="B188" s="101"/>
      <c r="C188" s="42" t="s">
        <v>271</v>
      </c>
      <c r="D188" s="42">
        <f>(54.1618+0.75*4.075)*10.764</f>
        <v>615.89509019999991</v>
      </c>
      <c r="E188" s="42">
        <v>0</v>
      </c>
      <c r="F188" s="42">
        <v>1233</v>
      </c>
      <c r="G188" s="156"/>
      <c r="H188" s="157"/>
      <c r="I188" s="36"/>
      <c r="J188" s="21"/>
    </row>
    <row r="189" spans="1:14" s="37" customFormat="1" x14ac:dyDescent="0.3">
      <c r="A189" s="100">
        <f t="shared" si="4"/>
        <v>5</v>
      </c>
      <c r="B189" s="101"/>
      <c r="C189" s="42" t="s">
        <v>271</v>
      </c>
      <c r="D189" s="42">
        <f>(37.2155+2.8*0.75)*10.764</f>
        <v>423.19204199999996</v>
      </c>
      <c r="E189" s="42">
        <v>0</v>
      </c>
      <c r="F189" s="42">
        <v>848</v>
      </c>
      <c r="G189" s="156"/>
      <c r="H189" s="157"/>
      <c r="I189" s="36"/>
    </row>
    <row r="190" spans="1:14" s="37" customFormat="1" ht="15.75" customHeight="1" x14ac:dyDescent="0.3">
      <c r="A190" s="100">
        <f t="shared" si="4"/>
        <v>6</v>
      </c>
      <c r="B190" s="101"/>
      <c r="C190" s="42" t="s">
        <v>271</v>
      </c>
      <c r="D190" s="42">
        <f>(37.2155+2.8*0.75)*10.764</f>
        <v>423.19204199999996</v>
      </c>
      <c r="E190" s="42">
        <v>0</v>
      </c>
      <c r="F190" s="42">
        <v>848</v>
      </c>
      <c r="G190" s="156"/>
      <c r="H190" s="157"/>
      <c r="J190" s="36"/>
    </row>
    <row r="191" spans="1:14" s="37" customFormat="1" ht="15.75" customHeight="1" x14ac:dyDescent="0.3">
      <c r="A191" s="100">
        <f t="shared" si="4"/>
        <v>7</v>
      </c>
      <c r="B191" s="101"/>
      <c r="C191" s="42" t="s">
        <v>271</v>
      </c>
      <c r="D191" s="42">
        <f>(54.1618+4.075*0.75)*10.764</f>
        <v>615.89509019999991</v>
      </c>
      <c r="E191" s="42">
        <v>0</v>
      </c>
      <c r="F191" s="42">
        <v>1233</v>
      </c>
      <c r="G191" s="156"/>
      <c r="H191" s="157"/>
      <c r="I191" s="36">
        <f>4.075*13.291</f>
        <v>54.160825000000003</v>
      </c>
    </row>
    <row r="192" spans="1:14" s="37" customFormat="1" x14ac:dyDescent="0.3">
      <c r="A192" s="100">
        <f t="shared" si="4"/>
        <v>8</v>
      </c>
      <c r="B192" s="101"/>
      <c r="C192" s="42" t="s">
        <v>271</v>
      </c>
      <c r="D192" s="42">
        <f>(29.7931+0.75*(1.2+8.1))*10.764</f>
        <v>395.77182839999995</v>
      </c>
      <c r="E192" s="42">
        <v>0</v>
      </c>
      <c r="F192" s="42">
        <v>411</v>
      </c>
      <c r="G192" s="156"/>
      <c r="H192" s="157"/>
      <c r="I192" s="36"/>
    </row>
    <row r="193" spans="1:13" s="37" customFormat="1" x14ac:dyDescent="0.3">
      <c r="A193" s="100">
        <f t="shared" si="4"/>
        <v>9</v>
      </c>
      <c r="B193" s="101"/>
      <c r="C193" s="42" t="s">
        <v>271</v>
      </c>
      <c r="D193" s="42">
        <f>(26.5458+0.75*4.5)*10.764</f>
        <v>322.06749120000001</v>
      </c>
      <c r="E193" s="42">
        <v>0</v>
      </c>
      <c r="F193" s="42">
        <v>639</v>
      </c>
      <c r="G193" s="156"/>
      <c r="H193" s="157"/>
      <c r="I193" s="36"/>
    </row>
    <row r="194" spans="1:13" s="37" customFormat="1" x14ac:dyDescent="0.3">
      <c r="A194" s="100">
        <f t="shared" si="4"/>
        <v>10</v>
      </c>
      <c r="B194" s="101"/>
      <c r="C194" s="42" t="s">
        <v>271</v>
      </c>
      <c r="D194" s="42">
        <f>(32.2975+0.75*4.2)*10.764</f>
        <v>381.55688999999995</v>
      </c>
      <c r="E194" s="42">
        <v>0</v>
      </c>
      <c r="F194" s="42">
        <v>758</v>
      </c>
      <c r="G194" s="158"/>
      <c r="H194" s="159"/>
      <c r="I194" s="36"/>
    </row>
    <row r="195" spans="1:13" s="37" customFormat="1" x14ac:dyDescent="0.3">
      <c r="A195" s="100"/>
      <c r="B195" s="205"/>
      <c r="C195" s="205"/>
      <c r="D195" s="205"/>
      <c r="E195" s="205"/>
      <c r="F195" s="205"/>
      <c r="G195" s="205"/>
      <c r="H195" s="101"/>
      <c r="I195" s="36"/>
    </row>
    <row r="196" spans="1:13" s="37" customFormat="1" ht="46.8" x14ac:dyDescent="0.3">
      <c r="A196" s="133" t="s">
        <v>119</v>
      </c>
      <c r="B196" s="129" t="s">
        <v>174</v>
      </c>
      <c r="C196" s="129" t="s">
        <v>57</v>
      </c>
      <c r="D196" s="129" t="s">
        <v>58</v>
      </c>
      <c r="E196" s="131" t="s">
        <v>59</v>
      </c>
      <c r="F196" s="43" t="s">
        <v>289</v>
      </c>
      <c r="G196" s="133" t="s">
        <v>60</v>
      </c>
      <c r="H196" s="134"/>
      <c r="I196" s="36"/>
    </row>
    <row r="197" spans="1:13" s="37" customFormat="1" hidden="1" x14ac:dyDescent="0.3">
      <c r="A197" s="135"/>
      <c r="B197" s="130"/>
      <c r="C197" s="130"/>
      <c r="D197" s="130"/>
      <c r="E197" s="132"/>
      <c r="F197" s="13">
        <v>0.5</v>
      </c>
      <c r="G197" s="135"/>
      <c r="H197" s="136"/>
      <c r="I197" s="36"/>
    </row>
    <row r="198" spans="1:13" s="37" customFormat="1" x14ac:dyDescent="0.3">
      <c r="A198" s="138" t="s">
        <v>280</v>
      </c>
      <c r="B198" s="139"/>
      <c r="C198" s="139"/>
      <c r="D198" s="139"/>
      <c r="E198" s="139"/>
      <c r="F198" s="139"/>
      <c r="G198" s="139"/>
      <c r="H198" s="140"/>
      <c r="I198" s="36"/>
    </row>
    <row r="199" spans="1:13" s="37" customFormat="1" x14ac:dyDescent="0.3">
      <c r="A199" s="138" t="s">
        <v>267</v>
      </c>
      <c r="B199" s="139"/>
      <c r="C199" s="139"/>
      <c r="D199" s="139"/>
      <c r="E199" s="139"/>
      <c r="F199" s="139"/>
      <c r="G199" s="139"/>
      <c r="H199" s="140"/>
      <c r="I199" s="36"/>
    </row>
    <row r="200" spans="1:13" s="37" customFormat="1" x14ac:dyDescent="0.3">
      <c r="A200" s="138" t="s">
        <v>276</v>
      </c>
      <c r="B200" s="139"/>
      <c r="C200" s="139"/>
      <c r="D200" s="139"/>
      <c r="E200" s="139"/>
      <c r="F200" s="139"/>
      <c r="G200" s="139"/>
      <c r="H200" s="140"/>
      <c r="I200" s="36"/>
    </row>
    <row r="201" spans="1:13" s="37" customFormat="1" ht="15.75" customHeight="1" x14ac:dyDescent="0.3">
      <c r="A201" s="100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10^ROW(INDIRECT("1:"&amp;LEN((LEFT(A200,SUM(LEN(A200)-LEN(SUBSTITUTE(A200,{"0","1","2"},""))))))))/10))*100+1&amp;""&amp;" ,..,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",LEN(A200))),LEN(A200)))))))/10))*100+1</f>
        <v>101 ,.., 1101</v>
      </c>
      <c r="B201" s="101"/>
      <c r="C201" s="59" t="s">
        <v>257</v>
      </c>
      <c r="D201" s="42">
        <f>(34.49+(0.75*(2.75+2.75)))*10.764</f>
        <v>415.65186</v>
      </c>
      <c r="E201" s="42">
        <v>0</v>
      </c>
      <c r="F201" s="65">
        <v>660</v>
      </c>
      <c r="G201" s="154" t="str">
        <f>A200</f>
        <v>1st to 7th &amp; 9th to 11th Floor For Residential</v>
      </c>
      <c r="H201" s="155"/>
      <c r="I201" s="36">
        <f>(34.49)</f>
        <v>34.49</v>
      </c>
      <c r="J201" s="36">
        <f>(2.75*4.05+1.95*4.1+2.75*3.35+2.1*1.2+1.2*2.1+1.95*0.9+1.4*0.4+(0.75*(2.75+2.75)))*10.764</f>
        <v>428.67630000000003</v>
      </c>
      <c r="K201" s="36">
        <f>(0.75*(2.75+2.75))</f>
        <v>4.125</v>
      </c>
      <c r="L201" s="65">
        <v>660</v>
      </c>
      <c r="M201" s="37">
        <f>L201/D201</f>
        <v>1.5878673079918373</v>
      </c>
    </row>
    <row r="202" spans="1:13" s="35" customFormat="1" ht="15.75" customHeight="1" x14ac:dyDescent="0.3">
      <c r="A202" s="100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,..,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102 ,.., 1102</v>
      </c>
      <c r="B202" s="101"/>
      <c r="C202" s="59" t="s">
        <v>257</v>
      </c>
      <c r="D202" s="42">
        <f>(29.81+2.34+(0.75*(1.9+2.75)))*10.764</f>
        <v>383.60204999999991</v>
      </c>
      <c r="E202" s="42">
        <v>0</v>
      </c>
      <c r="F202" s="66">
        <v>610</v>
      </c>
      <c r="G202" s="156"/>
      <c r="H202" s="157"/>
      <c r="I202" s="36">
        <f>(29.81+2.34)</f>
        <v>32.15</v>
      </c>
      <c r="J202" s="36">
        <f>(4.05*2.75+1.95*2.7+2.75*3.15+1.2*2.1+1.1*2.2+1.95*1.2+(0.75*(1.9+2.75)))*10.764</f>
        <v>385.70102999999995</v>
      </c>
      <c r="K202" s="58">
        <f>(0.75*(1.9+2.75))</f>
        <v>3.4875000000000003</v>
      </c>
      <c r="L202" s="66">
        <v>610</v>
      </c>
      <c r="M202" s="37">
        <f t="shared" ref="M202:M212" si="5">L202/D202</f>
        <v>1.590189624899033</v>
      </c>
    </row>
    <row r="203" spans="1:13" s="35" customFormat="1" ht="15.75" customHeight="1" x14ac:dyDescent="0.3">
      <c r="A203" s="100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,..,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103 ,.., 1103</v>
      </c>
      <c r="B203" s="101"/>
      <c r="C203" s="59" t="s">
        <v>257</v>
      </c>
      <c r="D203" s="42">
        <f>(29.98+3.12+(0.75*(2.75+1.8)))*10.764</f>
        <v>393.02055000000001</v>
      </c>
      <c r="E203" s="42">
        <v>0</v>
      </c>
      <c r="F203" s="66">
        <v>630</v>
      </c>
      <c r="G203" s="156"/>
      <c r="H203" s="157"/>
      <c r="I203" s="36">
        <f>(29.98+3.12)</f>
        <v>33.1</v>
      </c>
      <c r="J203" s="37"/>
      <c r="L203" s="66">
        <v>630</v>
      </c>
      <c r="M203" s="37">
        <f t="shared" si="5"/>
        <v>1.6029696157109341</v>
      </c>
    </row>
    <row r="204" spans="1:13" s="35" customFormat="1" ht="15.75" customHeight="1" x14ac:dyDescent="0.3">
      <c r="A204" s="100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10^ROW(INDIRECT("1:"&amp;LEN((LEFT(A203,SUM(LEN(A203)-LEN(SUBSTITUTE(A203,{"0","1","2"},""))))))))/10))*1+1&amp;""&amp;" ,..,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",LEN(A203))),LEN(A203)))))))/10))*1+1</f>
        <v>104 ,.., 1104</v>
      </c>
      <c r="B204" s="101"/>
      <c r="C204" s="59" t="s">
        <v>258</v>
      </c>
      <c r="D204" s="42">
        <f>(47.1265+(0.75*(2.1+2.76+3.1+2.5)))*10.764</f>
        <v>591.71322599999996</v>
      </c>
      <c r="E204" s="42">
        <v>0</v>
      </c>
      <c r="F204" s="66">
        <v>950</v>
      </c>
      <c r="G204" s="156"/>
      <c r="H204" s="157"/>
      <c r="I204" s="36">
        <f>(47.1265)</f>
        <v>47.1265</v>
      </c>
      <c r="J204" s="36">
        <f>(2.75*4.05+2.1*3.15+2.75*3.04+3.35*3.1+1.2*2.1+1.2*2.1+2.2*0.9+3.5*0.9+(0.75*(2.1+2.76+3.1+2.5)))*10.764</f>
        <v>586.77254999999991</v>
      </c>
      <c r="K204" s="58">
        <f>(0.75*(2.1+2.76+3.1+2.5))</f>
        <v>7.8449999999999989</v>
      </c>
      <c r="L204" s="66">
        <v>950</v>
      </c>
      <c r="M204" s="37">
        <f t="shared" si="5"/>
        <v>1.6055074624950163</v>
      </c>
    </row>
    <row r="205" spans="1:13" s="35" customFormat="1" ht="15.75" customHeight="1" x14ac:dyDescent="0.3">
      <c r="A205" s="100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,..,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105 ,.., 1105</v>
      </c>
      <c r="B205" s="101"/>
      <c r="C205" s="59" t="s">
        <v>258</v>
      </c>
      <c r="D205" s="42">
        <f>(47.575+0.75*(2.9+2.75+2.15+1.8))*10.764</f>
        <v>589.59810000000004</v>
      </c>
      <c r="E205" s="42">
        <v>0</v>
      </c>
      <c r="F205" s="66">
        <v>945</v>
      </c>
      <c r="G205" s="156"/>
      <c r="H205" s="157"/>
      <c r="I205" s="36">
        <f>(47.575)</f>
        <v>47.575000000000003</v>
      </c>
      <c r="J205" s="37"/>
      <c r="L205" s="66">
        <v>945</v>
      </c>
      <c r="M205" s="37">
        <f t="shared" si="5"/>
        <v>1.6027867118296344</v>
      </c>
    </row>
    <row r="206" spans="1:13" s="35" customFormat="1" ht="15.75" customHeight="1" x14ac:dyDescent="0.3">
      <c r="A206" s="100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,..,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106 ,.., 1106</v>
      </c>
      <c r="B206" s="101"/>
      <c r="C206" s="59" t="s">
        <v>257</v>
      </c>
      <c r="D206" s="42">
        <f>(28.9+1.95+0.75*(2.75+1.8))*10.764</f>
        <v>368.80154999999991</v>
      </c>
      <c r="E206" s="42">
        <v>0</v>
      </c>
      <c r="F206" s="66">
        <v>590</v>
      </c>
      <c r="G206" s="156"/>
      <c r="H206" s="157"/>
      <c r="I206" s="36">
        <f>(28.9+1.95)</f>
        <v>30.849999999999998</v>
      </c>
      <c r="J206" s="37"/>
      <c r="L206" s="66">
        <v>590</v>
      </c>
      <c r="M206" s="37">
        <f t="shared" si="5"/>
        <v>1.5997763566883061</v>
      </c>
    </row>
    <row r="207" spans="1:13" s="35" customFormat="1" ht="15.75" customHeight="1" x14ac:dyDescent="0.3">
      <c r="A207" s="100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,..,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107 ,.., 1107</v>
      </c>
      <c r="B207" s="101"/>
      <c r="C207" s="59" t="s">
        <v>257</v>
      </c>
      <c r="D207" s="42">
        <f>(28.9012+1.95+0.75*(2.75+1.8))*10.764</f>
        <v>368.81446679999999</v>
      </c>
      <c r="E207" s="42">
        <v>0</v>
      </c>
      <c r="F207" s="66">
        <v>590</v>
      </c>
      <c r="G207" s="156"/>
      <c r="H207" s="157"/>
      <c r="I207" s="36"/>
      <c r="J207" s="37"/>
      <c r="L207" s="66">
        <v>590</v>
      </c>
      <c r="M207" s="37">
        <f t="shared" si="5"/>
        <v>1.5997203285410821</v>
      </c>
    </row>
    <row r="208" spans="1:13" s="35" customFormat="1" ht="15.75" customHeight="1" x14ac:dyDescent="0.3">
      <c r="A208" s="100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10^ROW(INDIRECT("1:"&amp;LEN((LEFT(A207,SUM(LEN(A207)-LEN(SUBSTITUTE(A207,{"0","1","2"},""))))))))/10))*1+1&amp;""&amp;" ,..,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",LEN(A207))),LEN(A207)))))))/10))*1+1</f>
        <v>108 ,.., 1108</v>
      </c>
      <c r="B208" s="101"/>
      <c r="C208" s="42" t="s">
        <v>258</v>
      </c>
      <c r="D208" s="42">
        <f>(47.575+0.75*(2.9+2.75+2.15+1.8))*10.764</f>
        <v>589.59810000000004</v>
      </c>
      <c r="E208" s="42">
        <v>0</v>
      </c>
      <c r="F208" s="66">
        <v>945</v>
      </c>
      <c r="G208" s="156"/>
      <c r="H208" s="157"/>
      <c r="I208" s="36"/>
      <c r="J208" s="37"/>
      <c r="L208" s="66">
        <v>945</v>
      </c>
      <c r="M208" s="37">
        <f t="shared" si="5"/>
        <v>1.6027867118296344</v>
      </c>
    </row>
    <row r="209" spans="1:13" s="37" customFormat="1" ht="15.75" customHeight="1" x14ac:dyDescent="0.3">
      <c r="A209" s="100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10^ROW(INDIRECT("1:"&amp;LEN((LEFT(A208,SUM(LEN(A208)-LEN(SUBSTITUTE(A208,{"0","1","2"},""))))))))/10))*1+1&amp;""&amp;" ,..,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",LEN(A208))),LEN(A208)))))))/10))*1+1</f>
        <v>109 ,.., 1109</v>
      </c>
      <c r="B209" s="101"/>
      <c r="C209" s="42" t="s">
        <v>257</v>
      </c>
      <c r="D209" s="42">
        <f>(29.98+3.12+(0.75*(2.75+1.8)))*10.764</f>
        <v>393.02055000000001</v>
      </c>
      <c r="E209" s="42">
        <v>0</v>
      </c>
      <c r="F209" s="65">
        <v>630</v>
      </c>
      <c r="G209" s="156"/>
      <c r="H209" s="157"/>
      <c r="I209" s="36"/>
      <c r="L209" s="65">
        <v>630</v>
      </c>
      <c r="M209" s="37">
        <f t="shared" si="5"/>
        <v>1.6029696157109341</v>
      </c>
    </row>
    <row r="210" spans="1:13" s="37" customFormat="1" ht="15.75" customHeight="1" x14ac:dyDescent="0.3">
      <c r="A210" s="100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10^ROW(INDIRECT("1:"&amp;LEN((LEFT(A209,SUM(LEN(A209)-LEN(SUBSTITUTE(A209,{"0","1","2"},""))))))))/10))*1+1&amp;""&amp;" ,..,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",LEN(A209))),LEN(A209)))))))/10))*1+1</f>
        <v>110 ,.., 1110</v>
      </c>
      <c r="B210" s="101"/>
      <c r="C210" s="42" t="s">
        <v>257</v>
      </c>
      <c r="D210" s="42">
        <f>(29.81+2.34+(0.75*(1.9+2.75)))*10.764</f>
        <v>383.60204999999991</v>
      </c>
      <c r="E210" s="42">
        <v>0</v>
      </c>
      <c r="F210" s="65">
        <v>610</v>
      </c>
      <c r="G210" s="156"/>
      <c r="H210" s="157"/>
      <c r="I210" s="36"/>
      <c r="L210" s="65">
        <v>610</v>
      </c>
      <c r="M210" s="37">
        <f t="shared" si="5"/>
        <v>1.590189624899033</v>
      </c>
    </row>
    <row r="211" spans="1:13" s="37" customFormat="1" ht="15.75" customHeight="1" x14ac:dyDescent="0.3">
      <c r="A211" s="100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,..,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111 ,.., 1111</v>
      </c>
      <c r="B211" s="101"/>
      <c r="C211" s="42" t="s">
        <v>257</v>
      </c>
      <c r="D211" s="42">
        <f>(34.49+(0.75*(2.75+2.75)))*10.764</f>
        <v>415.65186</v>
      </c>
      <c r="E211" s="42">
        <v>0</v>
      </c>
      <c r="F211" s="65">
        <v>660</v>
      </c>
      <c r="G211" s="156"/>
      <c r="H211" s="157"/>
      <c r="I211" s="36"/>
      <c r="L211" s="65">
        <v>660</v>
      </c>
      <c r="M211" s="37">
        <f t="shared" si="5"/>
        <v>1.5878673079918373</v>
      </c>
    </row>
    <row r="212" spans="1:13" s="37" customFormat="1" ht="15.75" customHeight="1" x14ac:dyDescent="0.3">
      <c r="A212" s="100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,..,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112 ,.., 1112</v>
      </c>
      <c r="B212" s="101"/>
      <c r="C212" s="42" t="s">
        <v>258</v>
      </c>
      <c r="D212" s="42">
        <f>(47.1265+(0.75*(2.1+2.76+3.1+2.5)))*10.764</f>
        <v>591.71322599999996</v>
      </c>
      <c r="E212" s="42">
        <v>0</v>
      </c>
      <c r="F212" s="65">
        <v>950</v>
      </c>
      <c r="G212" s="158"/>
      <c r="H212" s="159"/>
      <c r="I212" s="36"/>
      <c r="L212" s="65">
        <v>950</v>
      </c>
      <c r="M212" s="37">
        <f t="shared" si="5"/>
        <v>1.6055074624950163</v>
      </c>
    </row>
    <row r="213" spans="1:13" s="37" customFormat="1" x14ac:dyDescent="0.3">
      <c r="A213" s="168" t="s">
        <v>260</v>
      </c>
      <c r="B213" s="168"/>
      <c r="C213" s="168"/>
      <c r="D213" s="168"/>
      <c r="E213" s="168"/>
      <c r="F213" s="168"/>
      <c r="G213" s="168"/>
      <c r="H213" s="168"/>
      <c r="I213" s="36"/>
    </row>
    <row r="214" spans="1:13" s="37" customFormat="1" x14ac:dyDescent="0.3">
      <c r="A214" s="206">
        <f>LEFT(A213,SUM(LEN(A213)-LEN(SUBSTITUTE(A213,{"0","1","2","3","4","5","6","7","8","9"},""))))*100+1</f>
        <v>801</v>
      </c>
      <c r="B214" s="206"/>
      <c r="C214" s="42" t="s">
        <v>257</v>
      </c>
      <c r="D214" s="42">
        <f>(34.49+(0.75*(2.75+2.75)))*10.764</f>
        <v>415.65186</v>
      </c>
      <c r="E214" s="42">
        <v>0</v>
      </c>
      <c r="F214" s="65">
        <v>660</v>
      </c>
      <c r="G214" s="154" t="str">
        <f>A213</f>
        <v>8th Floor (Part Refuge area)</v>
      </c>
      <c r="H214" s="155"/>
      <c r="I214" s="36"/>
    </row>
    <row r="215" spans="1:13" s="35" customFormat="1" x14ac:dyDescent="0.3">
      <c r="A215" s="206">
        <f t="shared" ref="A215:A225" si="6">A214+1</f>
        <v>802</v>
      </c>
      <c r="B215" s="206"/>
      <c r="C215" s="42" t="s">
        <v>257</v>
      </c>
      <c r="D215" s="42">
        <f>(29.81+2.34+(0.75*(1.9+2.75)))*10.764</f>
        <v>383.60204999999991</v>
      </c>
      <c r="E215" s="42">
        <v>0</v>
      </c>
      <c r="F215" s="66">
        <v>610</v>
      </c>
      <c r="G215" s="156"/>
      <c r="H215" s="157"/>
      <c r="I215" s="36"/>
      <c r="J215" s="37"/>
    </row>
    <row r="216" spans="1:13" s="35" customFormat="1" x14ac:dyDescent="0.3">
      <c r="A216" s="206">
        <f t="shared" si="6"/>
        <v>803</v>
      </c>
      <c r="B216" s="206"/>
      <c r="C216" s="42" t="s">
        <v>257</v>
      </c>
      <c r="D216" s="42">
        <f>(29.98+3.12+(0.75*(2.75+1.8)))*10.764</f>
        <v>393.02055000000001</v>
      </c>
      <c r="E216" s="42">
        <v>0</v>
      </c>
      <c r="F216" s="66">
        <v>630</v>
      </c>
      <c r="G216" s="156"/>
      <c r="H216" s="157"/>
      <c r="I216" s="36"/>
      <c r="J216" s="37"/>
    </row>
    <row r="217" spans="1:13" s="35" customFormat="1" x14ac:dyDescent="0.3">
      <c r="A217" s="206">
        <f t="shared" si="6"/>
        <v>804</v>
      </c>
      <c r="B217" s="206"/>
      <c r="C217" s="42" t="s">
        <v>258</v>
      </c>
      <c r="D217" s="42">
        <f>(47.1265+(0.75*(2.1+2.76+3.1+2.5)))*10.764</f>
        <v>591.71322599999996</v>
      </c>
      <c r="E217" s="42">
        <v>0</v>
      </c>
      <c r="F217" s="66">
        <v>950</v>
      </c>
      <c r="G217" s="156"/>
      <c r="H217" s="157"/>
      <c r="I217" s="36"/>
      <c r="J217" s="37"/>
    </row>
    <row r="218" spans="1:13" s="35" customFormat="1" x14ac:dyDescent="0.3">
      <c r="A218" s="206">
        <f t="shared" si="6"/>
        <v>805</v>
      </c>
      <c r="B218" s="206"/>
      <c r="C218" s="42" t="s">
        <v>258</v>
      </c>
      <c r="D218" s="42">
        <f>(47.575+0.75*(2.9+2.75+2.15+1.8))*10.764</f>
        <v>589.59810000000004</v>
      </c>
      <c r="E218" s="42">
        <v>0</v>
      </c>
      <c r="F218" s="66">
        <v>945</v>
      </c>
      <c r="G218" s="156"/>
      <c r="H218" s="157"/>
      <c r="I218" s="36"/>
      <c r="J218" s="37"/>
    </row>
    <row r="219" spans="1:13" s="35" customFormat="1" x14ac:dyDescent="0.3">
      <c r="A219" s="206">
        <f t="shared" si="6"/>
        <v>806</v>
      </c>
      <c r="B219" s="206"/>
      <c r="C219" s="154" t="s">
        <v>259</v>
      </c>
      <c r="D219" s="161"/>
      <c r="E219" s="161"/>
      <c r="F219" s="155"/>
      <c r="G219" s="156"/>
      <c r="H219" s="157"/>
      <c r="I219" s="36"/>
      <c r="J219" s="37"/>
    </row>
    <row r="220" spans="1:13" s="35" customFormat="1" x14ac:dyDescent="0.3">
      <c r="A220" s="206">
        <f t="shared" si="6"/>
        <v>807</v>
      </c>
      <c r="B220" s="206"/>
      <c r="C220" s="158"/>
      <c r="D220" s="162"/>
      <c r="E220" s="162"/>
      <c r="F220" s="159"/>
      <c r="G220" s="156"/>
      <c r="H220" s="157"/>
      <c r="I220" s="36"/>
      <c r="J220" s="37"/>
    </row>
    <row r="221" spans="1:13" x14ac:dyDescent="0.3">
      <c r="A221" s="206">
        <f t="shared" si="6"/>
        <v>808</v>
      </c>
      <c r="B221" s="206"/>
      <c r="C221" s="42" t="s">
        <v>258</v>
      </c>
      <c r="D221" s="42">
        <f>(47.575+0.75*(2.9+2.75+2.15+1.8))*10.764</f>
        <v>589.59810000000004</v>
      </c>
      <c r="E221" s="42">
        <v>0</v>
      </c>
      <c r="F221" s="66">
        <v>945</v>
      </c>
      <c r="G221" s="156"/>
      <c r="H221" s="157"/>
      <c r="I221" s="36"/>
      <c r="J221" s="37"/>
    </row>
    <row r="222" spans="1:13" ht="15.75" customHeight="1" x14ac:dyDescent="0.3">
      <c r="A222" s="206">
        <f t="shared" si="6"/>
        <v>809</v>
      </c>
      <c r="B222" s="206"/>
      <c r="C222" s="42" t="s">
        <v>257</v>
      </c>
      <c r="D222" s="42">
        <f>(29.98+3.12+(0.75*(2.75+1.8)))*10.764</f>
        <v>393.02055000000001</v>
      </c>
      <c r="E222" s="42">
        <v>0</v>
      </c>
      <c r="F222" s="65">
        <v>630</v>
      </c>
      <c r="G222" s="156"/>
      <c r="H222" s="157"/>
      <c r="I222" s="36"/>
      <c r="J222" s="37"/>
    </row>
    <row r="223" spans="1:13" x14ac:dyDescent="0.3">
      <c r="A223" s="206">
        <f t="shared" si="6"/>
        <v>810</v>
      </c>
      <c r="B223" s="206"/>
      <c r="C223" s="42" t="s">
        <v>257</v>
      </c>
      <c r="D223" s="42">
        <f>(29.81+2.34+(0.75*(1.9+2.75)))*10.764</f>
        <v>383.60204999999991</v>
      </c>
      <c r="E223" s="42">
        <v>0</v>
      </c>
      <c r="F223" s="65">
        <v>610</v>
      </c>
      <c r="G223" s="156"/>
      <c r="H223" s="157"/>
      <c r="I223" s="35"/>
      <c r="J223" s="35"/>
    </row>
    <row r="224" spans="1:13" x14ac:dyDescent="0.3">
      <c r="A224" s="206">
        <f t="shared" si="6"/>
        <v>811</v>
      </c>
      <c r="B224" s="206"/>
      <c r="C224" s="42" t="s">
        <v>257</v>
      </c>
      <c r="D224" s="42">
        <f>(34.49+(0.75*(2.75+2.75)))*10.764</f>
        <v>415.65186</v>
      </c>
      <c r="E224" s="42">
        <v>0</v>
      </c>
      <c r="F224" s="65">
        <v>660</v>
      </c>
      <c r="G224" s="156"/>
      <c r="H224" s="157"/>
      <c r="I224" s="35"/>
      <c r="J224" s="35"/>
    </row>
    <row r="225" spans="1:13" x14ac:dyDescent="0.3">
      <c r="A225" s="206">
        <f t="shared" si="6"/>
        <v>812</v>
      </c>
      <c r="B225" s="206"/>
      <c r="C225" s="42" t="s">
        <v>258</v>
      </c>
      <c r="D225" s="42">
        <f>(47.1265+(0.75*(2.1+2.76+3.1+2.5)))*10.764</f>
        <v>591.71322599999996</v>
      </c>
      <c r="E225" s="42">
        <v>0</v>
      </c>
      <c r="F225" s="65">
        <v>950</v>
      </c>
      <c r="G225" s="158"/>
      <c r="H225" s="159"/>
      <c r="I225" s="35"/>
      <c r="J225" s="35"/>
    </row>
    <row r="226" spans="1:13" x14ac:dyDescent="0.3">
      <c r="A226" s="138" t="s">
        <v>279</v>
      </c>
      <c r="B226" s="139"/>
      <c r="C226" s="139"/>
      <c r="D226" s="139"/>
      <c r="E226" s="139"/>
      <c r="F226" s="139"/>
      <c r="G226" s="139"/>
      <c r="H226" s="140"/>
      <c r="I226" s="35"/>
      <c r="J226" s="35"/>
    </row>
    <row r="227" spans="1:13" hidden="1" x14ac:dyDescent="0.3">
      <c r="A227" s="138" t="s">
        <v>270</v>
      </c>
      <c r="B227" s="139"/>
      <c r="C227" s="139"/>
      <c r="D227" s="139"/>
      <c r="E227" s="139"/>
      <c r="F227" s="139"/>
      <c r="G227" s="139"/>
      <c r="H227" s="140"/>
      <c r="I227" s="35"/>
      <c r="J227" s="35"/>
    </row>
    <row r="228" spans="1:13" x14ac:dyDescent="0.3">
      <c r="A228" s="138" t="s">
        <v>267</v>
      </c>
      <c r="B228" s="139"/>
      <c r="C228" s="139"/>
      <c r="D228" s="139"/>
      <c r="E228" s="139"/>
      <c r="F228" s="139"/>
      <c r="G228" s="139"/>
      <c r="H228" s="140"/>
      <c r="I228" s="35"/>
      <c r="J228" s="35"/>
    </row>
    <row r="229" spans="1:13" x14ac:dyDescent="0.3">
      <c r="A229" s="138" t="s">
        <v>276</v>
      </c>
      <c r="B229" s="139"/>
      <c r="C229" s="139"/>
      <c r="D229" s="139"/>
      <c r="E229" s="139"/>
      <c r="F229" s="139"/>
      <c r="G229" s="139"/>
      <c r="H229" s="140"/>
      <c r="I229" s="35"/>
      <c r="J229" s="35"/>
    </row>
    <row r="230" spans="1:13" ht="15.75" customHeight="1" x14ac:dyDescent="0.3">
      <c r="A230" s="100" t="str">
        <f ca="1">(SUMPRODUCT(MID(0&amp;(LEFT(A229,SUM(LEN(A229)-LEN(SUBSTITUTE(A229,{"0","1","2"},""))))), LARGE(INDEX(ISNUMBER(--MID((LEFT(A229,SUM(LEN(A229)-LEN(SUBSTITUTE(A229,{"0","1","2"},""))))), ROW(INDIRECT("1:"&amp;LEN((LEFT(A229,SUM(LEN(A229)-LEN(SUBSTITUTE(A229,{"0","1","2"},"")))))))), 1)) * ROW(INDIRECT("1:"&amp;LEN((LEFT(A229,SUM(LEN(A229)-LEN(SUBSTITUTE(A229,{"0","1","2"},"")))))))), 0), ROW(INDIRECT("1:"&amp;LEN((LEFT(A229,SUM(LEN(A229)-LEN(SUBSTITUTE(A229,{"0","1","2"},"")))))))))+1, 1) * 10^ROW(INDIRECT("1:"&amp;LEN((LEFT(A229,SUM(LEN(A229)-LEN(SUBSTITUTE(A229,{"0","1","2"},""))))))))/10))*100+1&amp;""&amp;" ,.., "&amp;""&amp;(SUMPRODUCT(MID(0&amp;(--TRIM(RIGHT(SUBSTITUTE(LEFT(A229,_xlfn.AGGREGATE(16,6,FIND({0,1,2,3,4,5,6,7,8,9},A229,ROW(INDIRECT("1:"&amp;LEN(A229)))),1))," ",REPT(" ",LEN(A229))),LEN(A229)))), LARGE(INDEX(ISNUMBER(--MID((--TRIM(RIGHT(SUBSTITUTE(LEFT(A229,_xlfn.AGGREGATE(16,6,FIND({0,1,2,3,4,5,6,7,8,9},A229,ROW(INDIRECT("1:"&amp;LEN(A229)))),1))," ",REPT(" ",LEN(A229))),LEN(A229)))), ROW(INDIRECT("1:"&amp;LEN((--TRIM(RIGHT(SUBSTITUTE(LEFT(A229,_xlfn.AGGREGATE(16,6,FIND({0,1,2,3,4,5,6,7,8,9},A229,ROW(INDIRECT("1:"&amp;LEN(A229)))),1))," ",REPT(" ",LEN(A229))),LEN(A229))))))), 1)) * ROW(INDIRECT("1:"&amp;LEN((--TRIM(RIGHT(SUBSTITUTE(LEFT(A229,_xlfn.AGGREGATE(16,6,FIND({0,1,2,3,4,5,6,7,8,9},A229,ROW(INDIRECT("1:"&amp;LEN(A229)))),1))," ",REPT(" ",LEN(A229))),LEN(A229))))))), 0), ROW(INDIRECT("1:"&amp;LEN((--TRIM(RIGHT(SUBSTITUTE(LEFT(A229,_xlfn.AGGREGATE(16,6,FIND({0,1,2,3,4,5,6,7,8,9},A229,ROW(INDIRECT("1:"&amp;LEN(A229)))),1))," ",REPT(" ",LEN(A229))),LEN(A229))))))))+1, 1) * 10^ROW(INDIRECT("1:"&amp;LEN((--TRIM(RIGHT(SUBSTITUTE(LEFT(A229,_xlfn.AGGREGATE(16,6,FIND({0,1,2,3,4,5,6,7,8,9},A229,ROW(INDIRECT("1:"&amp;LEN(A229)))),1))," ",REPT(" ",LEN(A229))),LEN(A229)))))))/10))*100+1</f>
        <v>101 ,.., 1101</v>
      </c>
      <c r="B230" s="101"/>
      <c r="C230" s="42" t="s">
        <v>257</v>
      </c>
      <c r="D230" s="42">
        <f>(29.81+2.34+0.75*(1.9+2.75))*10.764</f>
        <v>383.60204999999991</v>
      </c>
      <c r="E230" s="42">
        <v>0</v>
      </c>
      <c r="F230" s="65">
        <v>610</v>
      </c>
      <c r="G230" s="154" t="str">
        <f>A229</f>
        <v>1st to 7th &amp; 9th to 11th Floor For Residential</v>
      </c>
      <c r="H230" s="161"/>
      <c r="I230" s="60">
        <f>(29.81+2.34)</f>
        <v>32.15</v>
      </c>
      <c r="J230" s="58">
        <f>(4.05*2.75+1.95*2.7+2.75*3.15+1.1*2.2+1.2*2.1+1.95*1.2)</f>
        <v>32.344999999999999</v>
      </c>
      <c r="K230" s="62">
        <f>0.75*(1.9*2.75)</f>
        <v>3.9187499999999997</v>
      </c>
      <c r="L230" s="65">
        <v>610</v>
      </c>
      <c r="M230" s="37">
        <f t="shared" ref="M230:M236" si="7">L230/D230</f>
        <v>1.590189624899033</v>
      </c>
    </row>
    <row r="231" spans="1:13" ht="15.75" customHeight="1" x14ac:dyDescent="0.3">
      <c r="A231" s="100" t="str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10^ROW(INDIRECT("1:"&amp;LEN((LEFT(A230,SUM(LEN(A230)-LEN(SUBSTITUTE(A230,{"0","1","2"},""))))))))/10))*1+1&amp;""&amp;" ,.., "&amp;""&amp;(SUMPRODUCT(MID(0&amp;(--TRIM(RIGHT(SUBSTITUTE(LEFT(A230,_xlfn.AGGREGATE(16,6,FIND({0,1,2,3,4,5,6,7,8,9},A230,ROW(INDIRECT("1:"&amp;LEN(A230)))),1)),"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",LEN(A230))),LEN(A230)))))))/10))*1+1</f>
        <v>102 ,.., 1102</v>
      </c>
      <c r="B231" s="101"/>
      <c r="C231" s="42" t="s">
        <v>257</v>
      </c>
      <c r="D231" s="42">
        <f>(29.988+3.12+0.75*(2.75+1.8))*10.764</f>
        <v>393.10666199999997</v>
      </c>
      <c r="E231" s="42">
        <v>0</v>
      </c>
      <c r="F231" s="65">
        <v>630</v>
      </c>
      <c r="G231" s="156"/>
      <c r="H231" s="157"/>
      <c r="I231" s="35"/>
      <c r="J231" s="35"/>
      <c r="L231" s="65">
        <v>630</v>
      </c>
      <c r="M231" s="37">
        <f t="shared" si="7"/>
        <v>1.6026184771195764</v>
      </c>
    </row>
    <row r="232" spans="1:13" ht="15.75" customHeight="1" x14ac:dyDescent="0.3">
      <c r="A232" s="100" t="str">
        <f ca="1">(SUMPRODUCT(MID(0&amp;(LEFT(A231,SUM(LEN(A231)-LEN(SUBSTITUTE(A231,{"0","1","2"},""))))), LARGE(INDEX(ISNUMBER(--MID((LEFT(A231,SUM(LEN(A231)-LEN(SUBSTITUTE(A231,{"0","1","2"},""))))), ROW(INDIRECT("1:"&amp;LEN((LEFT(A231,SUM(LEN(A231)-LEN(SUBSTITUTE(A231,{"0","1","2"},"")))))))), 1)) * ROW(INDIRECT("1:"&amp;LEN((LEFT(A231,SUM(LEN(A231)-LEN(SUBSTITUTE(A231,{"0","1","2"},"")))))))), 0), ROW(INDIRECT("1:"&amp;LEN((LEFT(A231,SUM(LEN(A231)-LEN(SUBSTITUTE(A231,{"0","1","2"},"")))))))))+1, 1) * 10^ROW(INDIRECT("1:"&amp;LEN((LEFT(A231,SUM(LEN(A231)-LEN(SUBSTITUTE(A231,{"0","1","2"},""))))))))/10))*1+1&amp;""&amp;" ,.., "&amp;""&amp;(SUMPRODUCT(MID(0&amp;(--TRIM(RIGHT(SUBSTITUTE(LEFT(A231,_xlfn.AGGREGATE(16,6,FIND({0,1,2,3,4,5,6,7,8,9},A231,ROW(INDIRECT("1:"&amp;LEN(A231)))),1)),"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",LEN(A231))),LEN(A231)))))))/10))*1+1</f>
        <v>103 ,.., 1103</v>
      </c>
      <c r="B232" s="101"/>
      <c r="C232" s="42" t="s">
        <v>258</v>
      </c>
      <c r="D232" s="42">
        <f>(47.4435+0.75*(3.35+2.75+2.15+1.8))*10.764</f>
        <v>591.81548399999997</v>
      </c>
      <c r="E232" s="42">
        <v>0</v>
      </c>
      <c r="F232" s="65">
        <v>945</v>
      </c>
      <c r="G232" s="156"/>
      <c r="H232" s="157"/>
      <c r="I232" s="58">
        <f>(47.4435+3.12)</f>
        <v>50.563499999999998</v>
      </c>
      <c r="J232" s="58">
        <f>(4.65*3+2.15*3.14+2.75*3.04+3.35*2.9+1.2*2+2.1*1.2+2.75*0.9)</f>
        <v>46.170999999999999</v>
      </c>
      <c r="K232" s="21">
        <f>0.75*(2.15+2.75+3.35)</f>
        <v>6.1875</v>
      </c>
      <c r="L232" s="65">
        <v>945</v>
      </c>
      <c r="M232" s="37">
        <f t="shared" si="7"/>
        <v>1.5967814725172012</v>
      </c>
    </row>
    <row r="233" spans="1:13" ht="15.75" customHeight="1" x14ac:dyDescent="0.3">
      <c r="A233" s="100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10^ROW(INDIRECT("1:"&amp;LEN((LEFT(A232,SUM(LEN(A232)-LEN(SUBSTITUTE(A232,{"0","1","2"},""))))))))/10))*1+1&amp;""&amp;" ,..,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",LEN(A232))),LEN(A232)))))))/10))*1+1</f>
        <v>104 ,.., 1104</v>
      </c>
      <c r="B233" s="101"/>
      <c r="C233" s="42" t="s">
        <v>257</v>
      </c>
      <c r="D233" s="42">
        <f>(29.988+2.535+0.75*(2.75+1.8))*10.764</f>
        <v>386.80972199999997</v>
      </c>
      <c r="E233" s="42">
        <v>0</v>
      </c>
      <c r="F233" s="65">
        <v>620</v>
      </c>
      <c r="G233" s="156"/>
      <c r="H233" s="157"/>
      <c r="L233" s="65">
        <v>620</v>
      </c>
      <c r="M233" s="37">
        <f t="shared" si="7"/>
        <v>1.6028552663937441</v>
      </c>
    </row>
    <row r="234" spans="1:13" ht="15" customHeight="1" x14ac:dyDescent="0.3">
      <c r="A234" s="100" t="str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10^ROW(INDIRECT("1:"&amp;LEN((LEFT(A233,SUM(LEN(A233)-LEN(SUBSTITUTE(A233,{"0","1","2"},""))))))))/10))*1+1&amp;""&amp;" ,.., "&amp;""&amp;(SUMPRODUCT(MID(0&amp;(--TRIM(RIGHT(SUBSTITUTE(LEFT(A233,_xlfn.AGGREGATE(16,6,FIND({0,1,2,3,4,5,6,7,8,9},A233,ROW(INDIRECT("1:"&amp;LEN(A233)))),1)),"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",LEN(A233))),LEN(A233)))))))/10))*1+1</f>
        <v>105 ,.., 1105</v>
      </c>
      <c r="B234" s="101"/>
      <c r="C234" s="42" t="s">
        <v>257</v>
      </c>
      <c r="D234" s="42">
        <f>(29.835+2.53+0.75*(1.9*2.75))*10.764</f>
        <v>390.55828500000001</v>
      </c>
      <c r="E234" s="42">
        <v>0</v>
      </c>
      <c r="F234" s="65">
        <v>615</v>
      </c>
      <c r="G234" s="156"/>
      <c r="H234" s="157"/>
      <c r="L234" s="65">
        <v>615</v>
      </c>
      <c r="M234" s="37">
        <f t="shared" si="7"/>
        <v>1.5746689383378463</v>
      </c>
    </row>
    <row r="235" spans="1:13" ht="15.75" customHeight="1" x14ac:dyDescent="0.3">
      <c r="A235" s="100" t="str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10^ROW(INDIRECT("1:"&amp;LEN((LEFT(A234,SUM(LEN(A234)-LEN(SUBSTITUTE(A234,{"0","1","2"},""))))))))/10))*1+1&amp;""&amp;" ,.., "&amp;""&amp;(SUMPRODUCT(MID(0&amp;(--TRIM(RIGHT(SUBSTITUTE(LEFT(A234,_xlfn.AGGREGATE(16,6,FIND({0,1,2,3,4,5,6,7,8,9},A234,ROW(INDIRECT("1:"&amp;LEN(A234)))),1)),"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",LEN(A234))),LEN(A234)))))))/10))*1+1</f>
        <v>106 ,.., 1106</v>
      </c>
      <c r="B235" s="101"/>
      <c r="C235" s="42" t="s">
        <v>258</v>
      </c>
      <c r="D235" s="42">
        <f>(47.4435+0.75*(3.35+2.75+2.16+1.8))*10.764</f>
        <v>591.89621399999999</v>
      </c>
      <c r="E235" s="42">
        <v>0</v>
      </c>
      <c r="F235" s="65">
        <v>945</v>
      </c>
      <c r="G235" s="156"/>
      <c r="H235" s="157"/>
      <c r="J235" s="63">
        <f>(4.65*3+2.16*3.14+2.75*3.04+3.35*2.9+1.2*2+2.1*1.2+2.75*0.9)</f>
        <v>46.202400000000004</v>
      </c>
      <c r="L235" s="65">
        <v>945</v>
      </c>
      <c r="M235" s="37">
        <f t="shared" si="7"/>
        <v>1.5965636840515423</v>
      </c>
    </row>
    <row r="236" spans="1:13" ht="15.75" customHeight="1" x14ac:dyDescent="0.3">
      <c r="A236" s="100" t="str">
        <f ca="1">(SUMPRODUCT(MID(0&amp;(LEFT(A235,SUM(LEN(A235)-LEN(SUBSTITUTE(A235,{"0","1","2"},""))))), LARGE(INDEX(ISNUMBER(--MID((LEFT(A235,SUM(LEN(A235)-LEN(SUBSTITUTE(A235,{"0","1","2"},""))))), ROW(INDIRECT("1:"&amp;LEN((LEFT(A235,SUM(LEN(A235)-LEN(SUBSTITUTE(A235,{"0","1","2"},"")))))))), 1)) * ROW(INDIRECT("1:"&amp;LEN((LEFT(A235,SUM(LEN(A235)-LEN(SUBSTITUTE(A235,{"0","1","2"},"")))))))), 0), ROW(INDIRECT("1:"&amp;LEN((LEFT(A235,SUM(LEN(A235)-LEN(SUBSTITUTE(A235,{"0","1","2"},"")))))))))+1, 1) * 10^ROW(INDIRECT("1:"&amp;LEN((LEFT(A235,SUM(LEN(A235)-LEN(SUBSTITUTE(A235,{"0","1","2"},""))))))))/10))*1+1&amp;""&amp;" ,.., "&amp;""&amp;(SUMPRODUCT(MID(0&amp;(--TRIM(RIGHT(SUBSTITUTE(LEFT(A235,_xlfn.AGGREGATE(16,6,FIND({0,1,2,3,4,5,6,7,8,9},A235,ROW(INDIRECT("1:"&amp;LEN(A235)))),1))," ",REPT(" ",LEN(A235))),LEN(A235)))), LARGE(INDEX(ISNUMBER(--MID((--TRIM(RIGHT(SUBSTITUTE(LEFT(A235,_xlfn.AGGREGATE(16,6,FIND({0,1,2,3,4,5,6,7,8,9},A235,ROW(INDIRECT("1:"&amp;LEN(A235)))),1))," ",REPT(" ",LEN(A235))),LEN(A235)))), ROW(INDIRECT("1:"&amp;LEN((--TRIM(RIGHT(SUBSTITUTE(LEFT(A235,_xlfn.AGGREGATE(16,6,FIND({0,1,2,3,4,5,6,7,8,9},A235,ROW(INDIRECT("1:"&amp;LEN(A235)))),1))," ",REPT(" ",LEN(A235))),LEN(A235))))))), 1)) * ROW(INDIRECT("1:"&amp;LEN((--TRIM(RIGHT(SUBSTITUTE(LEFT(A235,_xlfn.AGGREGATE(16,6,FIND({0,1,2,3,4,5,6,7,8,9},A235,ROW(INDIRECT("1:"&amp;LEN(A235)))),1))," ",REPT(" ",LEN(A235))),LEN(A235))))))), 0), ROW(INDIRECT("1:"&amp;LEN((--TRIM(RIGHT(SUBSTITUTE(LEFT(A235,_xlfn.AGGREGATE(16,6,FIND({0,1,2,3,4,5,6,7,8,9},A235,ROW(INDIRECT("1:"&amp;LEN(A235)))),1))," ",REPT(" ",LEN(A235))),LEN(A235))))))))+1, 1) * 10^ROW(INDIRECT("1:"&amp;LEN((--TRIM(RIGHT(SUBSTITUTE(LEFT(A235,_xlfn.AGGREGATE(16,6,FIND({0,1,2,3,4,5,6,7,8,9},A235,ROW(INDIRECT("1:"&amp;LEN(A235)))),1))," ",REPT(" ",LEN(A235))),LEN(A235)))))))/10))*1+1</f>
        <v>107 ,.., 1107</v>
      </c>
      <c r="B236" s="101"/>
      <c r="C236" s="42" t="s">
        <v>257</v>
      </c>
      <c r="D236" s="42">
        <f>(28.9072+1.95*1.2+0.75*(1.9+2.775))*10.764</f>
        <v>374.08613579999997</v>
      </c>
      <c r="E236" s="42">
        <v>0</v>
      </c>
      <c r="F236" s="65">
        <v>590</v>
      </c>
      <c r="G236" s="158"/>
      <c r="H236" s="159"/>
      <c r="L236" s="65">
        <v>590</v>
      </c>
      <c r="M236" s="37">
        <f t="shared" si="7"/>
        <v>1.5771768679378042</v>
      </c>
    </row>
    <row r="237" spans="1:13" x14ac:dyDescent="0.3">
      <c r="A237" s="168" t="s">
        <v>260</v>
      </c>
      <c r="B237" s="168"/>
      <c r="C237" s="168"/>
      <c r="D237" s="168"/>
      <c r="E237" s="168"/>
      <c r="F237" s="168"/>
      <c r="G237" s="168"/>
      <c r="H237" s="168"/>
    </row>
    <row r="238" spans="1:13" ht="15.75" customHeight="1" x14ac:dyDescent="0.3">
      <c r="A238" s="206">
        <f>LEFT(A237,SUM(LEN(A237)-LEN(SUBSTITUTE(A237,{"0","1","2","3","4","5","6","7","8","9"},""))))*100+1</f>
        <v>801</v>
      </c>
      <c r="B238" s="206"/>
      <c r="C238" s="42" t="s">
        <v>257</v>
      </c>
      <c r="D238" s="42">
        <f>(29.81+2.34+0.75*(1.9+2.75))*10.764</f>
        <v>383.60204999999991</v>
      </c>
      <c r="E238" s="42">
        <v>0</v>
      </c>
      <c r="F238" s="65">
        <v>610</v>
      </c>
      <c r="G238" s="154" t="str">
        <f>A237</f>
        <v>8th Floor (Part Refuge area)</v>
      </c>
      <c r="H238" s="155"/>
      <c r="J238" s="61">
        <f>1.95*1.2</f>
        <v>2.34</v>
      </c>
    </row>
    <row r="239" spans="1:13" ht="15.75" customHeight="1" x14ac:dyDescent="0.3">
      <c r="A239" s="206">
        <f t="shared" ref="A239:A244" si="8">A238+1</f>
        <v>802</v>
      </c>
      <c r="B239" s="206"/>
      <c r="C239" s="42" t="s">
        <v>258</v>
      </c>
      <c r="D239" s="42">
        <f>(48.4917+0.75*(2.75+1.8+2))*10.764</f>
        <v>574.84280879999994</v>
      </c>
      <c r="E239" s="42">
        <v>0</v>
      </c>
      <c r="F239" s="67">
        <f>D239*1.6+E239</f>
        <v>919.74849408</v>
      </c>
      <c r="G239" s="156"/>
      <c r="H239" s="157"/>
      <c r="J239" s="61">
        <f>(1.95*1.3)</f>
        <v>2.5350000000000001</v>
      </c>
    </row>
    <row r="240" spans="1:13" ht="15.75" customHeight="1" x14ac:dyDescent="0.3">
      <c r="A240" s="206">
        <f t="shared" si="8"/>
        <v>803</v>
      </c>
      <c r="B240" s="206"/>
      <c r="C240" s="100" t="s">
        <v>259</v>
      </c>
      <c r="D240" s="205"/>
      <c r="E240" s="205"/>
      <c r="F240" s="101"/>
      <c r="G240" s="156"/>
      <c r="H240" s="157"/>
    </row>
    <row r="241" spans="1:12" ht="15.75" customHeight="1" x14ac:dyDescent="0.3">
      <c r="A241" s="206">
        <f t="shared" si="8"/>
        <v>804</v>
      </c>
      <c r="B241" s="206"/>
      <c r="C241" s="42" t="s">
        <v>257</v>
      </c>
      <c r="D241" s="42">
        <f>(29.988+2.535+0.75*(2.75+1.8))*10.764</f>
        <v>386.80972199999997</v>
      </c>
      <c r="E241" s="42">
        <v>0</v>
      </c>
      <c r="F241" s="65">
        <v>620</v>
      </c>
      <c r="G241" s="156"/>
      <c r="H241" s="157"/>
    </row>
    <row r="242" spans="1:12" ht="15.75" customHeight="1" x14ac:dyDescent="0.3">
      <c r="A242" s="206">
        <f t="shared" si="8"/>
        <v>805</v>
      </c>
      <c r="B242" s="206"/>
      <c r="C242" s="42" t="s">
        <v>257</v>
      </c>
      <c r="D242" s="42">
        <f>(29.835+2.53+0.75*(1.9*2.75))*10.764</f>
        <v>390.55828500000001</v>
      </c>
      <c r="E242" s="42">
        <v>0</v>
      </c>
      <c r="F242" s="65">
        <v>615</v>
      </c>
      <c r="G242" s="156"/>
      <c r="H242" s="157"/>
    </row>
    <row r="243" spans="1:12" ht="15.75" customHeight="1" x14ac:dyDescent="0.3">
      <c r="A243" s="206">
        <f t="shared" si="8"/>
        <v>806</v>
      </c>
      <c r="B243" s="206"/>
      <c r="C243" s="42" t="s">
        <v>258</v>
      </c>
      <c r="D243" s="42">
        <f>(47.4435+0.75*(3.35+2.75+2.16+1.8))*10.764</f>
        <v>591.89621399999999</v>
      </c>
      <c r="E243" s="42">
        <v>0</v>
      </c>
      <c r="F243" s="65">
        <v>945</v>
      </c>
      <c r="G243" s="156"/>
      <c r="H243" s="157"/>
    </row>
    <row r="244" spans="1:12" ht="15.75" customHeight="1" x14ac:dyDescent="0.3">
      <c r="A244" s="206">
        <f t="shared" si="8"/>
        <v>807</v>
      </c>
      <c r="B244" s="206"/>
      <c r="C244" s="42" t="s">
        <v>257</v>
      </c>
      <c r="D244" s="42">
        <f>(28.9072+1.95*1.2+0.75*(1.9+2.775))*10.764</f>
        <v>374.08613579999997</v>
      </c>
      <c r="E244" s="42">
        <v>0</v>
      </c>
      <c r="F244" s="65">
        <v>590</v>
      </c>
      <c r="G244" s="158"/>
      <c r="H244" s="159"/>
    </row>
    <row r="245" spans="1:12" x14ac:dyDescent="0.3">
      <c r="A245" s="138" t="s">
        <v>278</v>
      </c>
      <c r="B245" s="139"/>
      <c r="C245" s="139"/>
      <c r="D245" s="139"/>
      <c r="E245" s="139"/>
      <c r="F245" s="139"/>
      <c r="G245" s="139"/>
      <c r="H245" s="140"/>
    </row>
    <row r="246" spans="1:12" x14ac:dyDescent="0.3">
      <c r="A246" s="138" t="s">
        <v>267</v>
      </c>
      <c r="B246" s="139"/>
      <c r="C246" s="139"/>
      <c r="D246" s="139"/>
      <c r="E246" s="139"/>
      <c r="F246" s="139"/>
      <c r="G246" s="139"/>
      <c r="H246" s="140"/>
    </row>
    <row r="247" spans="1:12" x14ac:dyDescent="0.3">
      <c r="A247" s="138" t="s">
        <v>276</v>
      </c>
      <c r="B247" s="139"/>
      <c r="C247" s="139"/>
      <c r="D247" s="139"/>
      <c r="E247" s="139"/>
      <c r="F247" s="139"/>
      <c r="G247" s="139"/>
      <c r="H247" s="140"/>
    </row>
    <row r="248" spans="1:12" ht="15.75" customHeight="1" x14ac:dyDescent="0.3">
      <c r="A248" s="100" t="str">
        <f ca="1">(SUMPRODUCT(MID(0&amp;(LEFT(A247,SUM(LEN(A247)-LEN(SUBSTITUTE(A247,{"0","1","2"},""))))), LARGE(INDEX(ISNUMBER(--MID((LEFT(A247,SUM(LEN(A247)-LEN(SUBSTITUTE(A247,{"0","1","2"},""))))), ROW(INDIRECT("1:"&amp;LEN((LEFT(A247,SUM(LEN(A247)-LEN(SUBSTITUTE(A247,{"0","1","2"},"")))))))), 1)) * ROW(INDIRECT("1:"&amp;LEN((LEFT(A247,SUM(LEN(A247)-LEN(SUBSTITUTE(A247,{"0","1","2"},"")))))))), 0), ROW(INDIRECT("1:"&amp;LEN((LEFT(A247,SUM(LEN(A247)-LEN(SUBSTITUTE(A247,{"0","1","2"},"")))))))))+1, 1) * 10^ROW(INDIRECT("1:"&amp;LEN((LEFT(A247,SUM(LEN(A247)-LEN(SUBSTITUTE(A247,{"0","1","2"},""))))))))/10))*100+1&amp;""&amp;" ,.., "&amp;""&amp;(SUMPRODUCT(MID(0&amp;(--TRIM(RIGHT(SUBSTITUTE(LEFT(A247,_xlfn.AGGREGATE(16,6,FIND({0,1,2,3,4,5,6,7,8,9},A247,ROW(INDIRECT("1:"&amp;LEN(A247)))),1))," ",REPT(" ",LEN(A247))),LEN(A247)))), LARGE(INDEX(ISNUMBER(--MID((--TRIM(RIGHT(SUBSTITUTE(LEFT(A247,_xlfn.AGGREGATE(16,6,FIND({0,1,2,3,4,5,6,7,8,9},A247,ROW(INDIRECT("1:"&amp;LEN(A247)))),1))," ",REPT(" ",LEN(A247))),LEN(A247)))), ROW(INDIRECT("1:"&amp;LEN((--TRIM(RIGHT(SUBSTITUTE(LEFT(A247,_xlfn.AGGREGATE(16,6,FIND({0,1,2,3,4,5,6,7,8,9},A247,ROW(INDIRECT("1:"&amp;LEN(A247)))),1))," ",REPT(" ",LEN(A247))),LEN(A247))))))), 1)) * ROW(INDIRECT("1:"&amp;LEN((--TRIM(RIGHT(SUBSTITUTE(LEFT(A247,_xlfn.AGGREGATE(16,6,FIND({0,1,2,3,4,5,6,7,8,9},A247,ROW(INDIRECT("1:"&amp;LEN(A247)))),1))," ",REPT(" ",LEN(A247))),LEN(A247))))))), 0), ROW(INDIRECT("1:"&amp;LEN((--TRIM(RIGHT(SUBSTITUTE(LEFT(A247,_xlfn.AGGREGATE(16,6,FIND({0,1,2,3,4,5,6,7,8,9},A247,ROW(INDIRECT("1:"&amp;LEN(A247)))),1))," ",REPT(" ",LEN(A247))),LEN(A247))))))))+1, 1) * 10^ROW(INDIRECT("1:"&amp;LEN((--TRIM(RIGHT(SUBSTITUTE(LEFT(A247,_xlfn.AGGREGATE(16,6,FIND({0,1,2,3,4,5,6,7,8,9},A247,ROW(INDIRECT("1:"&amp;LEN(A247)))),1))," ",REPT(" ",LEN(A247))),LEN(A247)))))))/10))*100+1</f>
        <v>101 ,.., 1101</v>
      </c>
      <c r="B248" s="101"/>
      <c r="C248" s="42" t="s">
        <v>257</v>
      </c>
      <c r="D248" s="42">
        <f>(29.9012+1.95+0.5*(1.8+2.775))*10.764</f>
        <v>367.46896679999998</v>
      </c>
      <c r="E248" s="42">
        <v>0</v>
      </c>
      <c r="F248" s="65">
        <v>590</v>
      </c>
      <c r="G248" s="154" t="str">
        <f>A247</f>
        <v>1st to 7th &amp; 9th to 11th Floor For Residential</v>
      </c>
      <c r="H248" s="155"/>
      <c r="I248" s="24">
        <f>(29.9012+1.95)</f>
        <v>31.851199999999999</v>
      </c>
      <c r="J248" s="24">
        <f>(4.05*2.75+1.95*2.9+2.775*3.15+1.2*0.9+1.2*1.2+1.95*1+1.2*0.9)</f>
        <v>31.083749999999995</v>
      </c>
      <c r="K248" s="65">
        <v>590</v>
      </c>
      <c r="L248" s="37">
        <f>K248/D248</f>
        <v>1.6055777584100472</v>
      </c>
    </row>
    <row r="249" spans="1:12" ht="15.75" customHeight="1" x14ac:dyDescent="0.3">
      <c r="A249" s="100" t="str">
        <f ca="1">(SUMPRODUCT(MID(0&amp;(LEFT(A248,SUM(LEN(A248)-LEN(SUBSTITUTE(A248,{"0","1","2"},""))))), LARGE(INDEX(ISNUMBER(--MID((LEFT(A248,SUM(LEN(A248)-LEN(SUBSTITUTE(A248,{"0","1","2"},""))))), ROW(INDIRECT("1:"&amp;LEN((LEFT(A248,SUM(LEN(A248)-LEN(SUBSTITUTE(A248,{"0","1","2"},"")))))))), 1)) * ROW(INDIRECT("1:"&amp;LEN((LEFT(A248,SUM(LEN(A248)-LEN(SUBSTITUTE(A248,{"0","1","2"},"")))))))), 0), ROW(INDIRECT("1:"&amp;LEN((LEFT(A248,SUM(LEN(A248)-LEN(SUBSTITUTE(A248,{"0","1","2"},"")))))))))+1, 1) * 10^ROW(INDIRECT("1:"&amp;LEN((LEFT(A248,SUM(LEN(A248)-LEN(SUBSTITUTE(A248,{"0","1","2"},""))))))))/10))*1+1&amp;""&amp;" ,.., "&amp;""&amp;(SUMPRODUCT(MID(0&amp;(--TRIM(RIGHT(SUBSTITUTE(LEFT(A248,_xlfn.AGGREGATE(16,6,FIND({0,1,2,3,4,5,6,7,8,9},A248,ROW(INDIRECT("1:"&amp;LEN(A248)))),1))," ",REPT(" ",LEN(A248))),LEN(A248)))), LARGE(INDEX(ISNUMBER(--MID((--TRIM(RIGHT(SUBSTITUTE(LEFT(A248,_xlfn.AGGREGATE(16,6,FIND({0,1,2,3,4,5,6,7,8,9},A248,ROW(INDIRECT("1:"&amp;LEN(A248)))),1))," ",REPT(" ",LEN(A248))),LEN(A248)))), ROW(INDIRECT("1:"&amp;LEN((--TRIM(RIGHT(SUBSTITUTE(LEFT(A248,_xlfn.AGGREGATE(16,6,FIND({0,1,2,3,4,5,6,7,8,9},A248,ROW(INDIRECT("1:"&amp;LEN(A248)))),1))," ",REPT(" ",LEN(A248))),LEN(A248))))))), 1)) * ROW(INDIRECT("1:"&amp;LEN((--TRIM(RIGHT(SUBSTITUTE(LEFT(A248,_xlfn.AGGREGATE(16,6,FIND({0,1,2,3,4,5,6,7,8,9},A248,ROW(INDIRECT("1:"&amp;LEN(A248)))),1))," ",REPT(" ",LEN(A248))),LEN(A248))))))), 0), ROW(INDIRECT("1:"&amp;LEN((--TRIM(RIGHT(SUBSTITUTE(LEFT(A248,_xlfn.AGGREGATE(16,6,FIND({0,1,2,3,4,5,6,7,8,9},A248,ROW(INDIRECT("1:"&amp;LEN(A248)))),1))," ",REPT(" ",LEN(A248))),LEN(A248))))))))+1, 1) * 10^ROW(INDIRECT("1:"&amp;LEN((--TRIM(RIGHT(SUBSTITUTE(LEFT(A248,_xlfn.AGGREGATE(16,6,FIND({0,1,2,3,4,5,6,7,8,9},A248,ROW(INDIRECT("1:"&amp;LEN(A248)))),1))," ",REPT(" ",LEN(A248))),LEN(A248)))))))/10))*1+1</f>
        <v>102 ,.., 1102</v>
      </c>
      <c r="B249" s="101"/>
      <c r="C249" s="42" t="s">
        <v>257</v>
      </c>
      <c r="D249" s="42">
        <f>(29.81+1.95*1.2+0.75*(1.8+2.75))*10.764</f>
        <v>382.79474999999996</v>
      </c>
      <c r="E249" s="42">
        <v>0</v>
      </c>
      <c r="F249" s="65">
        <v>610</v>
      </c>
      <c r="G249" s="156"/>
      <c r="H249" s="157"/>
      <c r="I249" s="24">
        <f>(29.81)</f>
        <v>29.81</v>
      </c>
      <c r="K249" s="65">
        <v>610</v>
      </c>
      <c r="L249" s="37">
        <f t="shared" ref="L249:L255" si="9">K249/D249</f>
        <v>1.5935432761290484</v>
      </c>
    </row>
    <row r="250" spans="1:12" ht="15.75" customHeight="1" x14ac:dyDescent="0.3">
      <c r="A250" s="100" t="str">
        <f ca="1">(SUMPRODUCT(MID(0&amp;(LEFT(A249,SUM(LEN(A249)-LEN(SUBSTITUTE(A249,{"0","1","2"},""))))), LARGE(INDEX(ISNUMBER(--MID((LEFT(A249,SUM(LEN(A249)-LEN(SUBSTITUTE(A249,{"0","1","2"},""))))), ROW(INDIRECT("1:"&amp;LEN((LEFT(A249,SUM(LEN(A249)-LEN(SUBSTITUTE(A249,{"0","1","2"},"")))))))), 1)) * ROW(INDIRECT("1:"&amp;LEN((LEFT(A249,SUM(LEN(A249)-LEN(SUBSTITUTE(A249,{"0","1","2"},"")))))))), 0), ROW(INDIRECT("1:"&amp;LEN((LEFT(A249,SUM(LEN(A249)-LEN(SUBSTITUTE(A249,{"0","1","2"},"")))))))))+1, 1) * 10^ROW(INDIRECT("1:"&amp;LEN((LEFT(A249,SUM(LEN(A249)-LEN(SUBSTITUTE(A249,{"0","1","2"},""))))))))/10))*1+1&amp;""&amp;" ,.., "&amp;""&amp;(SUMPRODUCT(MID(0&amp;(--TRIM(RIGHT(SUBSTITUTE(LEFT(A249,_xlfn.AGGREGATE(16,6,FIND({0,1,2,3,4,5,6,7,8,9},A249,ROW(INDIRECT("1:"&amp;LEN(A249)))),1))," ",REPT(" ",LEN(A249))),LEN(A249)))), LARGE(INDEX(ISNUMBER(--MID((--TRIM(RIGHT(SUBSTITUTE(LEFT(A249,_xlfn.AGGREGATE(16,6,FIND({0,1,2,3,4,5,6,7,8,9},A249,ROW(INDIRECT("1:"&amp;LEN(A249)))),1))," ",REPT(" ",LEN(A249))),LEN(A249)))), ROW(INDIRECT("1:"&amp;LEN((--TRIM(RIGHT(SUBSTITUTE(LEFT(A249,_xlfn.AGGREGATE(16,6,FIND({0,1,2,3,4,5,6,7,8,9},A249,ROW(INDIRECT("1:"&amp;LEN(A249)))),1))," ",REPT(" ",LEN(A249))),LEN(A249))))))), 1)) * ROW(INDIRECT("1:"&amp;LEN((--TRIM(RIGHT(SUBSTITUTE(LEFT(A249,_xlfn.AGGREGATE(16,6,FIND({0,1,2,3,4,5,6,7,8,9},A249,ROW(INDIRECT("1:"&amp;LEN(A249)))),1))," ",REPT(" ",LEN(A249))),LEN(A249))))))), 0), ROW(INDIRECT("1:"&amp;LEN((--TRIM(RIGHT(SUBSTITUTE(LEFT(A249,_xlfn.AGGREGATE(16,6,FIND({0,1,2,3,4,5,6,7,8,9},A249,ROW(INDIRECT("1:"&amp;LEN(A249)))),1))," ",REPT(" ",LEN(A249))),LEN(A249))))))))+1, 1) * 10^ROW(INDIRECT("1:"&amp;LEN((--TRIM(RIGHT(SUBSTITUTE(LEFT(A249,_xlfn.AGGREGATE(16,6,FIND({0,1,2,3,4,5,6,7,8,9},A249,ROW(INDIRECT("1:"&amp;LEN(A249)))),1))," ",REPT(" ",LEN(A249))),LEN(A249)))))))/10))*1+1</f>
        <v>103 ,.., 1103</v>
      </c>
      <c r="B250" s="101"/>
      <c r="C250" s="42" t="s">
        <v>258</v>
      </c>
      <c r="D250" s="42">
        <f>(47.4435+0.75*(3.35+2.75*2.15+1.8))*10.764</f>
        <v>599.9893965</v>
      </c>
      <c r="E250" s="42">
        <v>0</v>
      </c>
      <c r="F250" s="65">
        <v>945</v>
      </c>
      <c r="G250" s="156"/>
      <c r="H250" s="157"/>
      <c r="I250" s="24">
        <f>(47.4435)</f>
        <v>47.4435</v>
      </c>
      <c r="K250" s="65">
        <v>945</v>
      </c>
      <c r="L250" s="37">
        <f t="shared" si="9"/>
        <v>1.5750278346794084</v>
      </c>
    </row>
    <row r="251" spans="1:12" ht="15.75" customHeight="1" x14ac:dyDescent="0.3">
      <c r="A251" s="100" t="str">
        <f ca="1">(SUMPRODUCT(MID(0&amp;(LEFT(A250,SUM(LEN(A250)-LEN(SUBSTITUTE(A250,{"0","1","2"},""))))), LARGE(INDEX(ISNUMBER(--MID((LEFT(A250,SUM(LEN(A250)-LEN(SUBSTITUTE(A250,{"0","1","2"},""))))), ROW(INDIRECT("1:"&amp;LEN((LEFT(A250,SUM(LEN(A250)-LEN(SUBSTITUTE(A250,{"0","1","2"},"")))))))), 1)) * ROW(INDIRECT("1:"&amp;LEN((LEFT(A250,SUM(LEN(A250)-LEN(SUBSTITUTE(A250,{"0","1","2"},"")))))))), 0), ROW(INDIRECT("1:"&amp;LEN((LEFT(A250,SUM(LEN(A250)-LEN(SUBSTITUTE(A250,{"0","1","2"},"")))))))))+1, 1) * 10^ROW(INDIRECT("1:"&amp;LEN((LEFT(A250,SUM(LEN(A250)-LEN(SUBSTITUTE(A250,{"0","1","2"},""))))))))/10))*1+1&amp;""&amp;" ,.., "&amp;""&amp;(SUMPRODUCT(MID(0&amp;(--TRIM(RIGHT(SUBSTITUTE(LEFT(A250,_xlfn.AGGREGATE(16,6,FIND({0,1,2,3,4,5,6,7,8,9},A250,ROW(INDIRECT("1:"&amp;LEN(A250)))),1))," ",REPT(" ",LEN(A250))),LEN(A250)))), LARGE(INDEX(ISNUMBER(--MID((--TRIM(RIGHT(SUBSTITUTE(LEFT(A250,_xlfn.AGGREGATE(16,6,FIND({0,1,2,3,4,5,6,7,8,9},A250,ROW(INDIRECT("1:"&amp;LEN(A250)))),1))," ",REPT(" ",LEN(A250))),LEN(A250)))), ROW(INDIRECT("1:"&amp;LEN((--TRIM(RIGHT(SUBSTITUTE(LEFT(A250,_xlfn.AGGREGATE(16,6,FIND({0,1,2,3,4,5,6,7,8,9},A250,ROW(INDIRECT("1:"&amp;LEN(A250)))),1))," ",REPT(" ",LEN(A250))),LEN(A250))))))), 1)) * ROW(INDIRECT("1:"&amp;LEN((--TRIM(RIGHT(SUBSTITUTE(LEFT(A250,_xlfn.AGGREGATE(16,6,FIND({0,1,2,3,4,5,6,7,8,9},A250,ROW(INDIRECT("1:"&amp;LEN(A250)))),1))," ",REPT(" ",LEN(A250))),LEN(A250))))))), 0), ROW(INDIRECT("1:"&amp;LEN((--TRIM(RIGHT(SUBSTITUTE(LEFT(A250,_xlfn.AGGREGATE(16,6,FIND({0,1,2,3,4,5,6,7,8,9},A250,ROW(INDIRECT("1:"&amp;LEN(A250)))),1))," ",REPT(" ",LEN(A250))),LEN(A250))))))))+1, 1) * 10^ROW(INDIRECT("1:"&amp;LEN((--TRIM(RIGHT(SUBSTITUTE(LEFT(A250,_xlfn.AGGREGATE(16,6,FIND({0,1,2,3,4,5,6,7,8,9},A250,ROW(INDIRECT("1:"&amp;LEN(A250)))),1))," ",REPT(" ",LEN(A250))),LEN(A250)))))))/10))*1+1</f>
        <v>104 ,.., 1104</v>
      </c>
      <c r="B251" s="101"/>
      <c r="C251" s="42" t="s">
        <v>257</v>
      </c>
      <c r="D251" s="42">
        <f>(29.988+3.12+0.75*(1.8+2.75))*10.764</f>
        <v>393.10666199999997</v>
      </c>
      <c r="E251" s="42">
        <v>0</v>
      </c>
      <c r="F251" s="65">
        <v>630</v>
      </c>
      <c r="G251" s="156"/>
      <c r="H251" s="157"/>
      <c r="I251" s="24">
        <f>(29.988+3.12)</f>
        <v>33.107999999999997</v>
      </c>
      <c r="K251" s="65">
        <v>630</v>
      </c>
      <c r="L251" s="37">
        <f t="shared" si="9"/>
        <v>1.6026184771195764</v>
      </c>
    </row>
    <row r="252" spans="1:12" ht="15.75" customHeight="1" x14ac:dyDescent="0.3">
      <c r="A252" s="100" t="str">
        <f ca="1">(SUMPRODUCT(MID(0&amp;(LEFT(A251,SUM(LEN(A251)-LEN(SUBSTITUTE(A251,{"0","1","2"},""))))), LARGE(INDEX(ISNUMBER(--MID((LEFT(A251,SUM(LEN(A251)-LEN(SUBSTITUTE(A251,{"0","1","2"},""))))), ROW(INDIRECT("1:"&amp;LEN((LEFT(A251,SUM(LEN(A251)-LEN(SUBSTITUTE(A251,{"0","1","2"},"")))))))), 1)) * ROW(INDIRECT("1:"&amp;LEN((LEFT(A251,SUM(LEN(A251)-LEN(SUBSTITUTE(A251,{"0","1","2"},"")))))))), 0), ROW(INDIRECT("1:"&amp;LEN((LEFT(A251,SUM(LEN(A251)-LEN(SUBSTITUTE(A251,{"0","1","2"},"")))))))))+1, 1) * 10^ROW(INDIRECT("1:"&amp;LEN((LEFT(A251,SUM(LEN(A251)-LEN(SUBSTITUTE(A251,{"0","1","2"},""))))))))/10))*1+1&amp;""&amp;" ,.., "&amp;""&amp;(SUMPRODUCT(MID(0&amp;(--TRIM(RIGHT(SUBSTITUTE(LEFT(A251,_xlfn.AGGREGATE(16,6,FIND({0,1,2,3,4,5,6,7,8,9},A251,ROW(INDIRECT("1:"&amp;LEN(A251)))),1))," ",REPT(" ",LEN(A251))),LEN(A251)))), LARGE(INDEX(ISNUMBER(--MID((--TRIM(RIGHT(SUBSTITUTE(LEFT(A251,_xlfn.AGGREGATE(16,6,FIND({0,1,2,3,4,5,6,7,8,9},A251,ROW(INDIRECT("1:"&amp;LEN(A251)))),1))," ",REPT(" ",LEN(A251))),LEN(A251)))), ROW(INDIRECT("1:"&amp;LEN((--TRIM(RIGHT(SUBSTITUTE(LEFT(A251,_xlfn.AGGREGATE(16,6,FIND({0,1,2,3,4,5,6,7,8,9},A251,ROW(INDIRECT("1:"&amp;LEN(A251)))),1))," ",REPT(" ",LEN(A251))),LEN(A251))))))), 1)) * ROW(INDIRECT("1:"&amp;LEN((--TRIM(RIGHT(SUBSTITUTE(LEFT(A251,_xlfn.AGGREGATE(16,6,FIND({0,1,2,3,4,5,6,7,8,9},A251,ROW(INDIRECT("1:"&amp;LEN(A251)))),1))," ",REPT(" ",LEN(A251))),LEN(A251))))))), 0), ROW(INDIRECT("1:"&amp;LEN((--TRIM(RIGHT(SUBSTITUTE(LEFT(A251,_xlfn.AGGREGATE(16,6,FIND({0,1,2,3,4,5,6,7,8,9},A251,ROW(INDIRECT("1:"&amp;LEN(A251)))),1))," ",REPT(" ",LEN(A251))),LEN(A251))))))))+1, 1) * 10^ROW(INDIRECT("1:"&amp;LEN((--TRIM(RIGHT(SUBSTITUTE(LEFT(A251,_xlfn.AGGREGATE(16,6,FIND({0,1,2,3,4,5,6,7,8,9},A251,ROW(INDIRECT("1:"&amp;LEN(A251)))),1))," ",REPT(" ",LEN(A251))),LEN(A251)))))))/10))*1+1</f>
        <v>105 ,.., 1105</v>
      </c>
      <c r="B252" s="101"/>
      <c r="C252" s="42" t="s">
        <v>257</v>
      </c>
      <c r="D252" s="42">
        <f>(29.988+3.12+0.75*(1.8+2.75))*10.764</f>
        <v>393.10666199999997</v>
      </c>
      <c r="E252" s="42">
        <v>0</v>
      </c>
      <c r="F252" s="65">
        <v>630</v>
      </c>
      <c r="G252" s="156"/>
      <c r="H252" s="157"/>
      <c r="K252" s="65">
        <v>630</v>
      </c>
      <c r="L252" s="37">
        <f t="shared" si="9"/>
        <v>1.6026184771195764</v>
      </c>
    </row>
    <row r="253" spans="1:12" ht="15.75" customHeight="1" x14ac:dyDescent="0.3">
      <c r="A253" s="100" t="str">
        <f ca="1">(SUMPRODUCT(MID(0&amp;(LEFT(A252,SUM(LEN(A252)-LEN(SUBSTITUTE(A252,{"0","1","2"},""))))), LARGE(INDEX(ISNUMBER(--MID((LEFT(A252,SUM(LEN(A252)-LEN(SUBSTITUTE(A252,{"0","1","2"},""))))), ROW(INDIRECT("1:"&amp;LEN((LEFT(A252,SUM(LEN(A252)-LEN(SUBSTITUTE(A252,{"0","1","2"},"")))))))), 1)) * ROW(INDIRECT("1:"&amp;LEN((LEFT(A252,SUM(LEN(A252)-LEN(SUBSTITUTE(A252,{"0","1","2"},"")))))))), 0), ROW(INDIRECT("1:"&amp;LEN((LEFT(A252,SUM(LEN(A252)-LEN(SUBSTITUTE(A252,{"0","1","2"},"")))))))))+1, 1) * 10^ROW(INDIRECT("1:"&amp;LEN((LEFT(A252,SUM(LEN(A252)-LEN(SUBSTITUTE(A252,{"0","1","2"},""))))))))/10))*1+1&amp;""&amp;" ,.., "&amp;""&amp;(SUMPRODUCT(MID(0&amp;(--TRIM(RIGHT(SUBSTITUTE(LEFT(A252,_xlfn.AGGREGATE(16,6,FIND({0,1,2,3,4,5,6,7,8,9},A252,ROW(INDIRECT("1:"&amp;LEN(A252)))),1))," ",REPT(" ",LEN(A252))),LEN(A252)))), LARGE(INDEX(ISNUMBER(--MID((--TRIM(RIGHT(SUBSTITUTE(LEFT(A252,_xlfn.AGGREGATE(16,6,FIND({0,1,2,3,4,5,6,7,8,9},A252,ROW(INDIRECT("1:"&amp;LEN(A252)))),1))," ",REPT(" ",LEN(A252))),LEN(A252)))), ROW(INDIRECT("1:"&amp;LEN((--TRIM(RIGHT(SUBSTITUTE(LEFT(A252,_xlfn.AGGREGATE(16,6,FIND({0,1,2,3,4,5,6,7,8,9},A252,ROW(INDIRECT("1:"&amp;LEN(A252)))),1))," ",REPT(" ",LEN(A252))),LEN(A252))))))), 1)) * ROW(INDIRECT("1:"&amp;LEN((--TRIM(RIGHT(SUBSTITUTE(LEFT(A252,_xlfn.AGGREGATE(16,6,FIND({0,1,2,3,4,5,6,7,8,9},A252,ROW(INDIRECT("1:"&amp;LEN(A252)))),1))," ",REPT(" ",LEN(A252))),LEN(A252))))))), 0), ROW(INDIRECT("1:"&amp;LEN((--TRIM(RIGHT(SUBSTITUTE(LEFT(A252,_xlfn.AGGREGATE(16,6,FIND({0,1,2,3,4,5,6,7,8,9},A252,ROW(INDIRECT("1:"&amp;LEN(A252)))),1))," ",REPT(" ",LEN(A252))),LEN(A252))))))))+1, 1) * 10^ROW(INDIRECT("1:"&amp;LEN((--TRIM(RIGHT(SUBSTITUTE(LEFT(A252,_xlfn.AGGREGATE(16,6,FIND({0,1,2,3,4,5,6,7,8,9},A252,ROW(INDIRECT("1:"&amp;LEN(A252)))),1))," ",REPT(" ",LEN(A252))),LEN(A252)))))))/10))*1+1</f>
        <v>106 ,.., 1106</v>
      </c>
      <c r="B253" s="101"/>
      <c r="C253" s="42" t="s">
        <v>258</v>
      </c>
      <c r="D253" s="42">
        <f>(47.4435+0.75*(3.35+2.75*2.15+1.8))*10.764</f>
        <v>599.9893965</v>
      </c>
      <c r="E253" s="42">
        <v>0</v>
      </c>
      <c r="F253" s="65">
        <v>945</v>
      </c>
      <c r="G253" s="156"/>
      <c r="H253" s="157"/>
      <c r="K253" s="65">
        <v>945</v>
      </c>
      <c r="L253" s="37">
        <f t="shared" si="9"/>
        <v>1.5750278346794084</v>
      </c>
    </row>
    <row r="254" spans="1:12" ht="15.75" customHeight="1" x14ac:dyDescent="0.3">
      <c r="A254" s="100" t="str">
        <f ca="1">(SUMPRODUCT(MID(0&amp;(LEFT(A253,SUM(LEN(A253)-LEN(SUBSTITUTE(A253,{"0","1","2"},""))))), LARGE(INDEX(ISNUMBER(--MID((LEFT(A253,SUM(LEN(A253)-LEN(SUBSTITUTE(A253,{"0","1","2"},""))))), ROW(INDIRECT("1:"&amp;LEN((LEFT(A253,SUM(LEN(A253)-LEN(SUBSTITUTE(A253,{"0","1","2"},"")))))))), 1)) * ROW(INDIRECT("1:"&amp;LEN((LEFT(A253,SUM(LEN(A253)-LEN(SUBSTITUTE(A253,{"0","1","2"},"")))))))), 0), ROW(INDIRECT("1:"&amp;LEN((LEFT(A253,SUM(LEN(A253)-LEN(SUBSTITUTE(A253,{"0","1","2"},"")))))))))+1, 1) * 10^ROW(INDIRECT("1:"&amp;LEN((LEFT(A253,SUM(LEN(A253)-LEN(SUBSTITUTE(A253,{"0","1","2"},""))))))))/10))*1+1&amp;""&amp;" ,.., "&amp;""&amp;(SUMPRODUCT(MID(0&amp;(--TRIM(RIGHT(SUBSTITUTE(LEFT(A253,_xlfn.AGGREGATE(16,6,FIND({0,1,2,3,4,5,6,7,8,9},A253,ROW(INDIRECT("1:"&amp;LEN(A253)))),1))," ",REPT(" ",LEN(A253))),LEN(A253)))), LARGE(INDEX(ISNUMBER(--MID((--TRIM(RIGHT(SUBSTITUTE(LEFT(A253,_xlfn.AGGREGATE(16,6,FIND({0,1,2,3,4,5,6,7,8,9},A253,ROW(INDIRECT("1:"&amp;LEN(A253)))),1))," ",REPT(" ",LEN(A253))),LEN(A253)))), ROW(INDIRECT("1:"&amp;LEN((--TRIM(RIGHT(SUBSTITUTE(LEFT(A253,_xlfn.AGGREGATE(16,6,FIND({0,1,2,3,4,5,6,7,8,9},A253,ROW(INDIRECT("1:"&amp;LEN(A253)))),1))," ",REPT(" ",LEN(A253))),LEN(A253))))))), 1)) * ROW(INDIRECT("1:"&amp;LEN((--TRIM(RIGHT(SUBSTITUTE(LEFT(A253,_xlfn.AGGREGATE(16,6,FIND({0,1,2,3,4,5,6,7,8,9},A253,ROW(INDIRECT("1:"&amp;LEN(A253)))),1))," ",REPT(" ",LEN(A253))),LEN(A253))))))), 0), ROW(INDIRECT("1:"&amp;LEN((--TRIM(RIGHT(SUBSTITUTE(LEFT(A253,_xlfn.AGGREGATE(16,6,FIND({0,1,2,3,4,5,6,7,8,9},A253,ROW(INDIRECT("1:"&amp;LEN(A253)))),1))," ",REPT(" ",LEN(A253))),LEN(A253))))))))+1, 1) * 10^ROW(INDIRECT("1:"&amp;LEN((--TRIM(RIGHT(SUBSTITUTE(LEFT(A253,_xlfn.AGGREGATE(16,6,FIND({0,1,2,3,4,5,6,7,8,9},A253,ROW(INDIRECT("1:"&amp;LEN(A253)))),1))," ",REPT(" ",LEN(A253))),LEN(A253)))))))/10))*1+1</f>
        <v>107 ,.., 1107</v>
      </c>
      <c r="B254" s="101"/>
      <c r="C254" s="42" t="s">
        <v>257</v>
      </c>
      <c r="D254" s="42">
        <f>(29.835+1.95+0.75*(1.8+2.75))*10.764</f>
        <v>378.86588999999998</v>
      </c>
      <c r="E254" s="42">
        <v>0</v>
      </c>
      <c r="F254" s="65">
        <v>605</v>
      </c>
      <c r="G254" s="156"/>
      <c r="H254" s="157"/>
      <c r="K254" s="65">
        <v>605</v>
      </c>
      <c r="L254" s="37">
        <f t="shared" si="9"/>
        <v>1.5968711250305485</v>
      </c>
    </row>
    <row r="255" spans="1:12" ht="15.75" customHeight="1" x14ac:dyDescent="0.3">
      <c r="A255" s="100" t="str">
        <f ca="1">(SUMPRODUCT(MID(0&amp;(LEFT(A254,SUM(LEN(A254)-LEN(SUBSTITUTE(A254,{"0","1","2"},""))))), LARGE(INDEX(ISNUMBER(--MID((LEFT(A254,SUM(LEN(A254)-LEN(SUBSTITUTE(A254,{"0","1","2"},""))))), ROW(INDIRECT("1:"&amp;LEN((LEFT(A254,SUM(LEN(A254)-LEN(SUBSTITUTE(A254,{"0","1","2"},"")))))))), 1)) * ROW(INDIRECT("1:"&amp;LEN((LEFT(A254,SUM(LEN(A254)-LEN(SUBSTITUTE(A254,{"0","1","2"},"")))))))), 0), ROW(INDIRECT("1:"&amp;LEN((LEFT(A254,SUM(LEN(A254)-LEN(SUBSTITUTE(A254,{"0","1","2"},"")))))))))+1, 1) * 10^ROW(INDIRECT("1:"&amp;LEN((LEFT(A254,SUM(LEN(A254)-LEN(SUBSTITUTE(A254,{"0","1","2"},""))))))))/10))*1+1&amp;""&amp;" ,.., "&amp;""&amp;(SUMPRODUCT(MID(0&amp;(--TRIM(RIGHT(SUBSTITUTE(LEFT(A254,_xlfn.AGGREGATE(16,6,FIND({0,1,2,3,4,5,6,7,8,9},A254,ROW(INDIRECT("1:"&amp;LEN(A254)))),1))," ",REPT(" ",LEN(A254))),LEN(A254)))), LARGE(INDEX(ISNUMBER(--MID((--TRIM(RIGHT(SUBSTITUTE(LEFT(A254,_xlfn.AGGREGATE(16,6,FIND({0,1,2,3,4,5,6,7,8,9},A254,ROW(INDIRECT("1:"&amp;LEN(A254)))),1))," ",REPT(" ",LEN(A254))),LEN(A254)))), ROW(INDIRECT("1:"&amp;LEN((--TRIM(RIGHT(SUBSTITUTE(LEFT(A254,_xlfn.AGGREGATE(16,6,FIND({0,1,2,3,4,5,6,7,8,9},A254,ROW(INDIRECT("1:"&amp;LEN(A254)))),1))," ",REPT(" ",LEN(A254))),LEN(A254))))))), 1)) * ROW(INDIRECT("1:"&amp;LEN((--TRIM(RIGHT(SUBSTITUTE(LEFT(A254,_xlfn.AGGREGATE(16,6,FIND({0,1,2,3,4,5,6,7,8,9},A254,ROW(INDIRECT("1:"&amp;LEN(A254)))),1))," ",REPT(" ",LEN(A254))),LEN(A254))))))), 0), ROW(INDIRECT("1:"&amp;LEN((--TRIM(RIGHT(SUBSTITUTE(LEFT(A254,_xlfn.AGGREGATE(16,6,FIND({0,1,2,3,4,5,6,7,8,9},A254,ROW(INDIRECT("1:"&amp;LEN(A254)))),1))," ",REPT(" ",LEN(A254))),LEN(A254))))))))+1, 1) * 10^ROW(INDIRECT("1:"&amp;LEN((--TRIM(RIGHT(SUBSTITUTE(LEFT(A254,_xlfn.AGGREGATE(16,6,FIND({0,1,2,3,4,5,6,7,8,9},A254,ROW(INDIRECT("1:"&amp;LEN(A254)))),1))," ",REPT(" ",LEN(A254))),LEN(A254)))))))/10))*1+1</f>
        <v>108 ,.., 1108</v>
      </c>
      <c r="B255" s="101"/>
      <c r="C255" s="42" t="s">
        <v>257</v>
      </c>
      <c r="D255" s="42">
        <f>(28.9012+2.535+0.75*(1.8+2.75))*10.764</f>
        <v>375.1114068</v>
      </c>
      <c r="E255" s="42">
        <v>0</v>
      </c>
      <c r="F255" s="65">
        <v>590</v>
      </c>
      <c r="G255" s="158"/>
      <c r="H255" s="159"/>
      <c r="K255" s="65">
        <v>590</v>
      </c>
      <c r="L255" s="37">
        <f t="shared" si="9"/>
        <v>1.5728660587348473</v>
      </c>
    </row>
    <row r="256" spans="1:12" x14ac:dyDescent="0.3">
      <c r="A256" s="168" t="s">
        <v>260</v>
      </c>
      <c r="B256" s="168"/>
      <c r="C256" s="168"/>
      <c r="D256" s="168"/>
      <c r="E256" s="168"/>
      <c r="F256" s="168"/>
      <c r="G256" s="168"/>
      <c r="H256" s="168"/>
    </row>
    <row r="257" spans="1:12" ht="15.75" customHeight="1" x14ac:dyDescent="0.3">
      <c r="A257" s="206">
        <f>LEFT(A256,SUM(LEN(A256)-LEN(SUBSTITUTE(A256,{"0","1","2","3","4","5","6","7","8","9"},""))))*100+1</f>
        <v>801</v>
      </c>
      <c r="B257" s="206"/>
      <c r="C257" s="42" t="s">
        <v>257</v>
      </c>
      <c r="D257" s="42">
        <f>(29.9012+1.95+0.5*(1.8+2.775))*10.764</f>
        <v>367.46896679999998</v>
      </c>
      <c r="E257" s="42">
        <v>0</v>
      </c>
      <c r="F257" s="65">
        <v>590</v>
      </c>
      <c r="G257" s="154" t="str">
        <f>A256</f>
        <v>8th Floor (Part Refuge area)</v>
      </c>
      <c r="H257" s="155"/>
    </row>
    <row r="258" spans="1:12" ht="15.75" customHeight="1" x14ac:dyDescent="0.3">
      <c r="A258" s="206">
        <f t="shared" ref="A258:A264" si="10">A257+1</f>
        <v>802</v>
      </c>
      <c r="B258" s="206"/>
      <c r="C258" s="42" t="s">
        <v>257</v>
      </c>
      <c r="D258" s="42">
        <f>(29.81+1.95*1.2+0.75*(1.8+2.75))*10.764</f>
        <v>382.79474999999996</v>
      </c>
      <c r="E258" s="42">
        <v>0</v>
      </c>
      <c r="F258" s="65">
        <v>610</v>
      </c>
      <c r="G258" s="156"/>
      <c r="H258" s="157"/>
    </row>
    <row r="259" spans="1:12" ht="15.75" customHeight="1" x14ac:dyDescent="0.3">
      <c r="A259" s="206">
        <f t="shared" si="10"/>
        <v>803</v>
      </c>
      <c r="B259" s="206"/>
      <c r="C259" s="100" t="s">
        <v>259</v>
      </c>
      <c r="D259" s="205"/>
      <c r="E259" s="205"/>
      <c r="F259" s="101"/>
      <c r="G259" s="156"/>
      <c r="H259" s="157"/>
    </row>
    <row r="260" spans="1:12" ht="15.75" customHeight="1" x14ac:dyDescent="0.3">
      <c r="A260" s="206">
        <f t="shared" si="10"/>
        <v>804</v>
      </c>
      <c r="B260" s="206"/>
      <c r="C260" s="42" t="s">
        <v>258</v>
      </c>
      <c r="D260" s="42">
        <f>(42.2437+0.75*(1.8+2.75))*10.764</f>
        <v>491.44333679999994</v>
      </c>
      <c r="E260" s="42">
        <v>0</v>
      </c>
      <c r="F260" s="67">
        <f>D260*1.6+E260</f>
        <v>786.30933887999993</v>
      </c>
      <c r="G260" s="156"/>
      <c r="H260" s="157"/>
    </row>
    <row r="261" spans="1:12" ht="15.75" customHeight="1" x14ac:dyDescent="0.3">
      <c r="A261" s="206">
        <f t="shared" si="10"/>
        <v>805</v>
      </c>
      <c r="B261" s="206"/>
      <c r="C261" s="42" t="s">
        <v>257</v>
      </c>
      <c r="D261" s="42">
        <f>(29.988+3.12+0.75*(1.8+2.75))*10.764</f>
        <v>393.10666199999997</v>
      </c>
      <c r="E261" s="42">
        <v>0</v>
      </c>
      <c r="F261" s="65">
        <v>630</v>
      </c>
      <c r="G261" s="156"/>
      <c r="H261" s="157"/>
    </row>
    <row r="262" spans="1:12" ht="15.75" customHeight="1" x14ac:dyDescent="0.3">
      <c r="A262" s="206">
        <f t="shared" si="10"/>
        <v>806</v>
      </c>
      <c r="B262" s="206"/>
      <c r="C262" s="42" t="s">
        <v>258</v>
      </c>
      <c r="D262" s="42">
        <f>(47.4435+0.75*(3.35+2.75*2.15+1.8))*10.764</f>
        <v>599.9893965</v>
      </c>
      <c r="E262" s="42">
        <v>0</v>
      </c>
      <c r="F262" s="65">
        <v>945</v>
      </c>
      <c r="G262" s="156"/>
      <c r="H262" s="157"/>
    </row>
    <row r="263" spans="1:12" ht="15.75" customHeight="1" x14ac:dyDescent="0.3">
      <c r="A263" s="206">
        <f t="shared" si="10"/>
        <v>807</v>
      </c>
      <c r="B263" s="206"/>
      <c r="C263" s="42" t="s">
        <v>257</v>
      </c>
      <c r="D263" s="42">
        <f>(29.835+1.95+0.75*(1.8+2.75))*10.764</f>
        <v>378.86588999999998</v>
      </c>
      <c r="E263" s="42">
        <v>0</v>
      </c>
      <c r="F263" s="65">
        <v>605</v>
      </c>
      <c r="G263" s="156"/>
      <c r="H263" s="157"/>
    </row>
    <row r="264" spans="1:12" ht="15.75" customHeight="1" x14ac:dyDescent="0.3">
      <c r="A264" s="206">
        <f t="shared" si="10"/>
        <v>808</v>
      </c>
      <c r="B264" s="206"/>
      <c r="C264" s="42" t="s">
        <v>257</v>
      </c>
      <c r="D264" s="42">
        <f>(28.9012+2.535+0.75*(1.8+2.75))*10.764</f>
        <v>375.1114068</v>
      </c>
      <c r="E264" s="42">
        <v>0</v>
      </c>
      <c r="F264" s="65">
        <v>590</v>
      </c>
      <c r="G264" s="158"/>
      <c r="H264" s="159"/>
    </row>
    <row r="265" spans="1:12" x14ac:dyDescent="0.3">
      <c r="A265" s="138" t="s">
        <v>277</v>
      </c>
      <c r="B265" s="139"/>
      <c r="C265" s="139"/>
      <c r="D265" s="139"/>
      <c r="E265" s="139"/>
      <c r="F265" s="139"/>
      <c r="G265" s="139"/>
      <c r="H265" s="140"/>
    </row>
    <row r="266" spans="1:12" x14ac:dyDescent="0.3">
      <c r="A266" s="138" t="s">
        <v>281</v>
      </c>
      <c r="B266" s="139"/>
      <c r="C266" s="139"/>
      <c r="D266" s="139"/>
      <c r="E266" s="139"/>
      <c r="F266" s="139"/>
      <c r="G266" s="139"/>
      <c r="H266" s="140"/>
    </row>
    <row r="267" spans="1:12" x14ac:dyDescent="0.3">
      <c r="A267" s="138" t="s">
        <v>275</v>
      </c>
      <c r="B267" s="139"/>
      <c r="C267" s="139"/>
      <c r="D267" s="139"/>
      <c r="E267" s="139"/>
      <c r="F267" s="139"/>
      <c r="G267" s="139"/>
      <c r="H267" s="140"/>
    </row>
    <row r="268" spans="1:12" ht="15.75" customHeight="1" x14ac:dyDescent="0.3">
      <c r="A268" s="100">
        <v>101</v>
      </c>
      <c r="B268" s="101"/>
      <c r="C268" s="42" t="s">
        <v>258</v>
      </c>
      <c r="D268" s="42">
        <f>(47.4435+0.75*(1.8+2.15+2.75+2.9))*10.764</f>
        <v>588.18263400000001</v>
      </c>
      <c r="E268" s="42">
        <v>0</v>
      </c>
      <c r="F268" s="68">
        <v>945</v>
      </c>
      <c r="G268" s="154" t="str">
        <f>A267</f>
        <v>1st Floor For Residential</v>
      </c>
      <c r="H268" s="155"/>
      <c r="I268" s="24">
        <f>(47.4435)</f>
        <v>47.4435</v>
      </c>
      <c r="J268" s="24">
        <f>(4.65*3+2.15*3.14+2.75*3.04+2.9*3.35+2.1*1.2+1.2*2.1+2.75*0.9)</f>
        <v>46.291000000000004</v>
      </c>
      <c r="K268" s="21">
        <f>(0.75*(1.8+2.15+2.75+2.9))</f>
        <v>7.1999999999999993</v>
      </c>
    </row>
    <row r="269" spans="1:12" ht="15.75" customHeight="1" x14ac:dyDescent="0.3">
      <c r="A269" s="100">
        <f>A268+1</f>
        <v>102</v>
      </c>
      <c r="B269" s="101"/>
      <c r="C269" s="42" t="s">
        <v>257</v>
      </c>
      <c r="D269" s="42">
        <f>(29.9888+3.12)*10.764</f>
        <v>356.3831232</v>
      </c>
      <c r="E269" s="42">
        <f>(6.6*6.5+2.4*0.6+1.7*2.8)*10.764</f>
        <v>528.51239999999996</v>
      </c>
      <c r="F269" s="42">
        <f>D269*1.6+E269/3</f>
        <v>746.38379712000005</v>
      </c>
      <c r="G269" s="156"/>
      <c r="H269" s="157"/>
      <c r="I269" s="24">
        <f>(29.9888+3.12)</f>
        <v>33.108800000000002</v>
      </c>
      <c r="J269" s="24">
        <f>(2.75*4.05+1.95*2.3+2.775*3.15+1.2*1.8+1.2*2.1+1.2*0.9+1.95*1.6)</f>
        <v>33.243749999999991</v>
      </c>
      <c r="K269" s="24">
        <f>(6.6*6.5+2.4*0.6+1.7*2.8)</f>
        <v>49.099999999999994</v>
      </c>
      <c r="L269" s="21">
        <f>D269*1.6+E269/3</f>
        <v>746.38379712000005</v>
      </c>
    </row>
    <row r="270" spans="1:12" ht="15.75" customHeight="1" x14ac:dyDescent="0.3">
      <c r="A270" s="100">
        <f t="shared" ref="A270:A275" si="11">A269+1</f>
        <v>103</v>
      </c>
      <c r="B270" s="101"/>
      <c r="C270" s="42" t="s">
        <v>257</v>
      </c>
      <c r="D270" s="42">
        <f>(28.9013+1.95)*10.764</f>
        <v>332.08339319999999</v>
      </c>
      <c r="E270" s="42">
        <f>(6.6*6.5+2.4*0.6+1.7*2.8)*10.764</f>
        <v>528.51239999999996</v>
      </c>
      <c r="F270" s="42">
        <f>D270*1.6+E270/3</f>
        <v>707.50422911999999</v>
      </c>
      <c r="G270" s="156"/>
      <c r="H270" s="157"/>
      <c r="I270" s="24">
        <f>(28.9013+1.95)</f>
        <v>30.851299999999998</v>
      </c>
    </row>
    <row r="271" spans="1:12" ht="15.75" customHeight="1" x14ac:dyDescent="0.3">
      <c r="A271" s="100">
        <f t="shared" si="11"/>
        <v>104</v>
      </c>
      <c r="B271" s="101"/>
      <c r="C271" s="42" t="s">
        <v>257</v>
      </c>
      <c r="D271" s="42">
        <f>(29.9325+2.4375+0.75*(1.8+2.75))*10.764</f>
        <v>385.16283000000004</v>
      </c>
      <c r="E271" s="42">
        <v>0</v>
      </c>
      <c r="F271" s="68">
        <v>615</v>
      </c>
      <c r="G271" s="156"/>
      <c r="H271" s="157"/>
      <c r="I271" s="24">
        <f>(29.9325+2.4375)</f>
        <v>32.370000000000005</v>
      </c>
    </row>
    <row r="272" spans="1:12" ht="15.75" customHeight="1" x14ac:dyDescent="0.3">
      <c r="A272" s="100">
        <f t="shared" si="11"/>
        <v>105</v>
      </c>
      <c r="B272" s="101"/>
      <c r="C272" s="42" t="s">
        <v>257</v>
      </c>
      <c r="D272" s="42">
        <f>(29.7125+2.4375+0.75*(1.8+2.75))*10.764</f>
        <v>382.79474999999996</v>
      </c>
      <c r="E272" s="42">
        <v>0</v>
      </c>
      <c r="F272" s="68">
        <v>615</v>
      </c>
      <c r="G272" s="156"/>
      <c r="H272" s="157"/>
      <c r="I272" s="24">
        <f>(29.7125+2.4375)</f>
        <v>32.15</v>
      </c>
    </row>
    <row r="273" spans="1:12" ht="15.75" customHeight="1" x14ac:dyDescent="0.3">
      <c r="A273" s="100">
        <f t="shared" si="11"/>
        <v>106</v>
      </c>
      <c r="B273" s="101"/>
      <c r="C273" s="42" t="s">
        <v>257</v>
      </c>
      <c r="D273" s="42">
        <f>(28.9013+1.95)*10.764</f>
        <v>332.08339319999999</v>
      </c>
      <c r="E273" s="42">
        <f>(6.6*6.5+2.4*0.6+1.7*2.8)*10.764</f>
        <v>528.51239999999996</v>
      </c>
      <c r="F273" s="42">
        <f>D273*1.6+E273/3</f>
        <v>707.50422911999999</v>
      </c>
      <c r="G273" s="156"/>
      <c r="H273" s="157"/>
      <c r="I273" s="24">
        <f>(28.9013+1.95)</f>
        <v>30.851299999999998</v>
      </c>
    </row>
    <row r="274" spans="1:12" ht="15.75" customHeight="1" x14ac:dyDescent="0.3">
      <c r="A274" s="100">
        <f t="shared" si="11"/>
        <v>107</v>
      </c>
      <c r="B274" s="101"/>
      <c r="C274" s="42" t="s">
        <v>257</v>
      </c>
      <c r="D274" s="42">
        <f>(29.9888+3.12)*10.764</f>
        <v>356.3831232</v>
      </c>
      <c r="E274" s="42">
        <f>(1.8*9.5+(1/2*5*6.5)+(1/2*5.5*6.8)+(1.5*2.8))*10.764</f>
        <v>605.47499999999991</v>
      </c>
      <c r="F274" s="42">
        <f>D274*1.6+E274/3</f>
        <v>772.03799712</v>
      </c>
      <c r="G274" s="156"/>
      <c r="H274" s="157"/>
      <c r="I274" s="24">
        <f>(29.9888+3.12)</f>
        <v>33.108800000000002</v>
      </c>
    </row>
    <row r="275" spans="1:12" ht="15.75" customHeight="1" x14ac:dyDescent="0.3">
      <c r="A275" s="100">
        <f t="shared" si="11"/>
        <v>108</v>
      </c>
      <c r="B275" s="101"/>
      <c r="C275" s="42" t="s">
        <v>258</v>
      </c>
      <c r="D275" s="42">
        <f>(47.4435+0.75*(1.8+2.15+2.75+2.9))*10.764</f>
        <v>588.18263400000001</v>
      </c>
      <c r="E275" s="42">
        <v>0</v>
      </c>
      <c r="F275" s="68">
        <v>945</v>
      </c>
      <c r="G275" s="158"/>
      <c r="H275" s="159"/>
      <c r="I275" s="24">
        <f>(47.4435)</f>
        <v>47.4435</v>
      </c>
    </row>
    <row r="276" spans="1:12" ht="15.75" customHeight="1" x14ac:dyDescent="0.3">
      <c r="A276" s="138" t="s">
        <v>274</v>
      </c>
      <c r="B276" s="139"/>
      <c r="C276" s="139"/>
      <c r="D276" s="139"/>
      <c r="E276" s="139"/>
      <c r="F276" s="139"/>
      <c r="G276" s="139"/>
      <c r="H276" s="140"/>
    </row>
    <row r="277" spans="1:12" ht="15.75" customHeight="1" x14ac:dyDescent="0.3">
      <c r="A277" s="100" t="str">
        <f ca="1">(SUMPRODUCT(MID(0&amp;(LEFT(A276,SUM(LEN(A276)-LEN(SUBSTITUTE(A276,{"0","1","2"},""))))), LARGE(INDEX(ISNUMBER(--MID((LEFT(A276,SUM(LEN(A276)-LEN(SUBSTITUTE(A276,{"0","1","2"},""))))), ROW(INDIRECT("1:"&amp;LEN((LEFT(A276,SUM(LEN(A276)-LEN(SUBSTITUTE(A276,{"0","1","2"},"")))))))), 1)) * ROW(INDIRECT("1:"&amp;LEN((LEFT(A276,SUM(LEN(A276)-LEN(SUBSTITUTE(A276,{"0","1","2"},"")))))))), 0), ROW(INDIRECT("1:"&amp;LEN((LEFT(A276,SUM(LEN(A276)-LEN(SUBSTITUTE(A276,{"0","1","2"},"")))))))))+1, 1) * 10^ROW(INDIRECT("1:"&amp;LEN((LEFT(A276,SUM(LEN(A276)-LEN(SUBSTITUTE(A276,{"0","1","2"},""))))))))/10))*100+1&amp;""&amp;" ,.., "&amp;""&amp;(SUMPRODUCT(MID(0&amp;(--TRIM(RIGHT(SUBSTITUTE(LEFT(A276,_xlfn.AGGREGATE(16,6,FIND({0,1,2,3,4,5,6,7,8,9},A276,ROW(INDIRECT("1:"&amp;LEN(A276)))),1))," ",REPT(" ",LEN(A276))),LEN(A276)))), LARGE(INDEX(ISNUMBER(--MID((--TRIM(RIGHT(SUBSTITUTE(LEFT(A276,_xlfn.AGGREGATE(16,6,FIND({0,1,2,3,4,5,6,7,8,9},A276,ROW(INDIRECT("1:"&amp;LEN(A276)))),1))," ",REPT(" ",LEN(A276))),LEN(A276)))), ROW(INDIRECT("1:"&amp;LEN((--TRIM(RIGHT(SUBSTITUTE(LEFT(A276,_xlfn.AGGREGATE(16,6,FIND({0,1,2,3,4,5,6,7,8,9},A276,ROW(INDIRECT("1:"&amp;LEN(A276)))),1))," ",REPT(" ",LEN(A276))),LEN(A276))))))), 1)) * ROW(INDIRECT("1:"&amp;LEN((--TRIM(RIGHT(SUBSTITUTE(LEFT(A276,_xlfn.AGGREGATE(16,6,FIND({0,1,2,3,4,5,6,7,8,9},A276,ROW(INDIRECT("1:"&amp;LEN(A276)))),1))," ",REPT(" ",LEN(A276))),LEN(A276))))))), 0), ROW(INDIRECT("1:"&amp;LEN((--TRIM(RIGHT(SUBSTITUTE(LEFT(A276,_xlfn.AGGREGATE(16,6,FIND({0,1,2,3,4,5,6,7,8,9},A276,ROW(INDIRECT("1:"&amp;LEN(A276)))),1))," ",REPT(" ",LEN(A276))),LEN(A276))))))))+1, 1) * 10^ROW(INDIRECT("1:"&amp;LEN((--TRIM(RIGHT(SUBSTITUTE(LEFT(A276,_xlfn.AGGREGATE(16,6,FIND({0,1,2,3,4,5,6,7,8,9},A276,ROW(INDIRECT("1:"&amp;LEN(A276)))),1))," ",REPT(" ",LEN(A276))),LEN(A276)))))))/10))*100+1</f>
        <v>201 ,.., 1001</v>
      </c>
      <c r="B277" s="101"/>
      <c r="C277" s="42" t="s">
        <v>258</v>
      </c>
      <c r="D277" s="42">
        <f>(47.4435+0.75*(1.8+2.15+2.75+2.9))*10.764</f>
        <v>588.18263400000001</v>
      </c>
      <c r="E277" s="42">
        <v>0</v>
      </c>
      <c r="F277" s="68">
        <v>945</v>
      </c>
      <c r="G277" s="154" t="str">
        <f>A276</f>
        <v>2nd to 7th &amp; 9th to 10th Floor</v>
      </c>
      <c r="H277" s="155"/>
      <c r="K277" s="68">
        <v>945</v>
      </c>
      <c r="L277" s="21">
        <f>K277/D277</f>
        <v>1.6066438302903039</v>
      </c>
    </row>
    <row r="278" spans="1:12" ht="15.75" customHeight="1" x14ac:dyDescent="0.3">
      <c r="A278" s="100" t="str">
        <f ca="1">(SUMPRODUCT(MID(0&amp;(LEFT(A277,SUM(LEN(A277)-LEN(SUBSTITUTE(A277,{"0","1","2"},""))))), LARGE(INDEX(ISNUMBER(--MID((LEFT(A277,SUM(LEN(A277)-LEN(SUBSTITUTE(A277,{"0","1","2"},""))))), ROW(INDIRECT("1:"&amp;LEN((LEFT(A277,SUM(LEN(A277)-LEN(SUBSTITUTE(A277,{"0","1","2"},"")))))))), 1)) * ROW(INDIRECT("1:"&amp;LEN((LEFT(A277,SUM(LEN(A277)-LEN(SUBSTITUTE(A277,{"0","1","2"},"")))))))), 0), ROW(INDIRECT("1:"&amp;LEN((LEFT(A277,SUM(LEN(A277)-LEN(SUBSTITUTE(A277,{"0","1","2"},"")))))))))+1, 1) * 10^ROW(INDIRECT("1:"&amp;LEN((LEFT(A277,SUM(LEN(A277)-LEN(SUBSTITUTE(A277,{"0","1","2"},""))))))))/10))*1+1&amp;""&amp;" ,.., "&amp;""&amp;(SUMPRODUCT(MID(0&amp;(--TRIM(RIGHT(SUBSTITUTE(LEFT(A277,_xlfn.AGGREGATE(16,6,FIND({0,1,2,3,4,5,6,7,8,9},A277,ROW(INDIRECT("1:"&amp;LEN(A277)))),1))," ",REPT(" ",LEN(A277))),LEN(A277)))), LARGE(INDEX(ISNUMBER(--MID((--TRIM(RIGHT(SUBSTITUTE(LEFT(A277,_xlfn.AGGREGATE(16,6,FIND({0,1,2,3,4,5,6,7,8,9},A277,ROW(INDIRECT("1:"&amp;LEN(A277)))),1))," ",REPT(" ",LEN(A277))),LEN(A277)))), ROW(INDIRECT("1:"&amp;LEN((--TRIM(RIGHT(SUBSTITUTE(LEFT(A277,_xlfn.AGGREGATE(16,6,FIND({0,1,2,3,4,5,6,7,8,9},A277,ROW(INDIRECT("1:"&amp;LEN(A277)))),1))," ",REPT(" ",LEN(A277))),LEN(A277))))))), 1)) * ROW(INDIRECT("1:"&amp;LEN((--TRIM(RIGHT(SUBSTITUTE(LEFT(A277,_xlfn.AGGREGATE(16,6,FIND({0,1,2,3,4,5,6,7,8,9},A277,ROW(INDIRECT("1:"&amp;LEN(A277)))),1))," ",REPT(" ",LEN(A277))),LEN(A277))))))), 0), ROW(INDIRECT("1:"&amp;LEN((--TRIM(RIGHT(SUBSTITUTE(LEFT(A277,_xlfn.AGGREGATE(16,6,FIND({0,1,2,3,4,5,6,7,8,9},A277,ROW(INDIRECT("1:"&amp;LEN(A277)))),1))," ",REPT(" ",LEN(A277))),LEN(A277))))))))+1, 1) * 10^ROW(INDIRECT("1:"&amp;LEN((--TRIM(RIGHT(SUBSTITUTE(LEFT(A277,_xlfn.AGGREGATE(16,6,FIND({0,1,2,3,4,5,6,7,8,9},A277,ROW(INDIRECT("1:"&amp;LEN(A277)))),1))," ",REPT(" ",LEN(A277))),LEN(A277)))))))/10))*1+1</f>
        <v>202 ,.., 1002</v>
      </c>
      <c r="B278" s="101"/>
      <c r="C278" s="42" t="s">
        <v>257</v>
      </c>
      <c r="D278" s="42">
        <f>(29.9888+3.12+0.75*(1.8+2.775))*10.764</f>
        <v>393.31709819999998</v>
      </c>
      <c r="E278" s="42">
        <v>0</v>
      </c>
      <c r="F278" s="68">
        <v>630</v>
      </c>
      <c r="G278" s="156"/>
      <c r="H278" s="157"/>
      <c r="K278" s="68">
        <v>630</v>
      </c>
      <c r="L278" s="21">
        <f t="shared" ref="L278:L284" si="12">K278/D278</f>
        <v>1.6017610291623983</v>
      </c>
    </row>
    <row r="279" spans="1:12" ht="15.75" customHeight="1" x14ac:dyDescent="0.3">
      <c r="A279" s="100" t="str">
        <f ca="1">(SUMPRODUCT(MID(0&amp;(LEFT(A278,SUM(LEN(A278)-LEN(SUBSTITUTE(A278,{"0","1","2"},""))))), LARGE(INDEX(ISNUMBER(--MID((LEFT(A278,SUM(LEN(A278)-LEN(SUBSTITUTE(A278,{"0","1","2"},""))))), ROW(INDIRECT("1:"&amp;LEN((LEFT(A278,SUM(LEN(A278)-LEN(SUBSTITUTE(A278,{"0","1","2"},"")))))))), 1)) * ROW(INDIRECT("1:"&amp;LEN((LEFT(A278,SUM(LEN(A278)-LEN(SUBSTITUTE(A278,{"0","1","2"},"")))))))), 0), ROW(INDIRECT("1:"&amp;LEN((LEFT(A278,SUM(LEN(A278)-LEN(SUBSTITUTE(A278,{"0","1","2"},"")))))))))+1, 1) * 10^ROW(INDIRECT("1:"&amp;LEN((LEFT(A278,SUM(LEN(A278)-LEN(SUBSTITUTE(A278,{"0","1","2"},""))))))))/10))*1+1&amp;""&amp;" ,.., "&amp;""&amp;(SUMPRODUCT(MID(0&amp;(--TRIM(RIGHT(SUBSTITUTE(LEFT(A278,_xlfn.AGGREGATE(16,6,FIND({0,1,2,3,4,5,6,7,8,9},A278,ROW(INDIRECT("1:"&amp;LEN(A278)))),1))," ",REPT(" ",LEN(A278))),LEN(A278)))), LARGE(INDEX(ISNUMBER(--MID((--TRIM(RIGHT(SUBSTITUTE(LEFT(A278,_xlfn.AGGREGATE(16,6,FIND({0,1,2,3,4,5,6,7,8,9},A278,ROW(INDIRECT("1:"&amp;LEN(A278)))),1))," ",REPT(" ",LEN(A278))),LEN(A278)))), ROW(INDIRECT("1:"&amp;LEN((--TRIM(RIGHT(SUBSTITUTE(LEFT(A278,_xlfn.AGGREGATE(16,6,FIND({0,1,2,3,4,5,6,7,8,9},A278,ROW(INDIRECT("1:"&amp;LEN(A278)))),1))," ",REPT(" ",LEN(A278))),LEN(A278))))))), 1)) * ROW(INDIRECT("1:"&amp;LEN((--TRIM(RIGHT(SUBSTITUTE(LEFT(A278,_xlfn.AGGREGATE(16,6,FIND({0,1,2,3,4,5,6,7,8,9},A278,ROW(INDIRECT("1:"&amp;LEN(A278)))),1))," ",REPT(" ",LEN(A278))),LEN(A278))))))), 0), ROW(INDIRECT("1:"&amp;LEN((--TRIM(RIGHT(SUBSTITUTE(LEFT(A278,_xlfn.AGGREGATE(16,6,FIND({0,1,2,3,4,5,6,7,8,9},A278,ROW(INDIRECT("1:"&amp;LEN(A278)))),1))," ",REPT(" ",LEN(A278))),LEN(A278))))))))+1, 1) * 10^ROW(INDIRECT("1:"&amp;LEN((--TRIM(RIGHT(SUBSTITUTE(LEFT(A278,_xlfn.AGGREGATE(16,6,FIND({0,1,2,3,4,5,6,7,8,9},A278,ROW(INDIRECT("1:"&amp;LEN(A278)))),1))," ",REPT(" ",LEN(A278))),LEN(A278)))))))/10))*1+1</f>
        <v>203 ,.., 1003</v>
      </c>
      <c r="B279" s="101"/>
      <c r="C279" s="42" t="s">
        <v>257</v>
      </c>
      <c r="D279" s="42">
        <f>(28.9013+1.95+0.75*(1.8+2.775))*10.764</f>
        <v>369.01736819999996</v>
      </c>
      <c r="E279" s="42">
        <v>0</v>
      </c>
      <c r="F279" s="68">
        <v>590</v>
      </c>
      <c r="G279" s="156"/>
      <c r="H279" s="157"/>
      <c r="K279" s="68">
        <v>590</v>
      </c>
      <c r="L279" s="21">
        <f t="shared" si="12"/>
        <v>1.598840734456249</v>
      </c>
    </row>
    <row r="280" spans="1:12" ht="15.75" customHeight="1" x14ac:dyDescent="0.3">
      <c r="A280" s="100" t="str">
        <f ca="1">(SUMPRODUCT(MID(0&amp;(LEFT(A279,SUM(LEN(A279)-LEN(SUBSTITUTE(A279,{"0","1","2"},""))))), LARGE(INDEX(ISNUMBER(--MID((LEFT(A279,SUM(LEN(A279)-LEN(SUBSTITUTE(A279,{"0","1","2"},""))))), ROW(INDIRECT("1:"&amp;LEN((LEFT(A279,SUM(LEN(A279)-LEN(SUBSTITUTE(A279,{"0","1","2"},"")))))))), 1)) * ROW(INDIRECT("1:"&amp;LEN((LEFT(A279,SUM(LEN(A279)-LEN(SUBSTITUTE(A279,{"0","1","2"},"")))))))), 0), ROW(INDIRECT("1:"&amp;LEN((LEFT(A279,SUM(LEN(A279)-LEN(SUBSTITUTE(A279,{"0","1","2"},"")))))))))+1, 1) * 10^ROW(INDIRECT("1:"&amp;LEN((LEFT(A279,SUM(LEN(A279)-LEN(SUBSTITUTE(A279,{"0","1","2"},""))))))))/10))*1+1&amp;""&amp;" ,.., "&amp;""&amp;(SUMPRODUCT(MID(0&amp;(--TRIM(RIGHT(SUBSTITUTE(LEFT(A279,_xlfn.AGGREGATE(16,6,FIND({0,1,2,3,4,5,6,7,8,9},A279,ROW(INDIRECT("1:"&amp;LEN(A279)))),1))," ",REPT(" ",LEN(A279))),LEN(A279)))), LARGE(INDEX(ISNUMBER(--MID((--TRIM(RIGHT(SUBSTITUTE(LEFT(A279,_xlfn.AGGREGATE(16,6,FIND({0,1,2,3,4,5,6,7,8,9},A279,ROW(INDIRECT("1:"&amp;LEN(A279)))),1))," ",REPT(" ",LEN(A279))),LEN(A279)))), ROW(INDIRECT("1:"&amp;LEN((--TRIM(RIGHT(SUBSTITUTE(LEFT(A279,_xlfn.AGGREGATE(16,6,FIND({0,1,2,3,4,5,6,7,8,9},A279,ROW(INDIRECT("1:"&amp;LEN(A279)))),1))," ",REPT(" ",LEN(A279))),LEN(A279))))))), 1)) * ROW(INDIRECT("1:"&amp;LEN((--TRIM(RIGHT(SUBSTITUTE(LEFT(A279,_xlfn.AGGREGATE(16,6,FIND({0,1,2,3,4,5,6,7,8,9},A279,ROW(INDIRECT("1:"&amp;LEN(A279)))),1))," ",REPT(" ",LEN(A279))),LEN(A279))))))), 0), ROW(INDIRECT("1:"&amp;LEN((--TRIM(RIGHT(SUBSTITUTE(LEFT(A279,_xlfn.AGGREGATE(16,6,FIND({0,1,2,3,4,5,6,7,8,9},A279,ROW(INDIRECT("1:"&amp;LEN(A279)))),1))," ",REPT(" ",LEN(A279))),LEN(A279))))))))+1, 1) * 10^ROW(INDIRECT("1:"&amp;LEN((--TRIM(RIGHT(SUBSTITUTE(LEFT(A279,_xlfn.AGGREGATE(16,6,FIND({0,1,2,3,4,5,6,7,8,9},A279,ROW(INDIRECT("1:"&amp;LEN(A279)))),1))," ",REPT(" ",LEN(A279))),LEN(A279)))))))/10))*1+1</f>
        <v>204 ,.., 1004</v>
      </c>
      <c r="B280" s="101"/>
      <c r="C280" s="42" t="s">
        <v>257</v>
      </c>
      <c r="D280" s="42">
        <f>(29.9325+2.4375+0.75*(1.8+2.75))*10.764</f>
        <v>385.16283000000004</v>
      </c>
      <c r="E280" s="42">
        <v>0</v>
      </c>
      <c r="F280" s="68">
        <v>615</v>
      </c>
      <c r="G280" s="156"/>
      <c r="H280" s="157"/>
      <c r="K280" s="68">
        <v>615</v>
      </c>
      <c r="L280" s="21">
        <f t="shared" si="12"/>
        <v>1.5967272854444441</v>
      </c>
    </row>
    <row r="281" spans="1:12" ht="15.75" customHeight="1" x14ac:dyDescent="0.3">
      <c r="A281" s="100" t="str">
        <f ca="1">(SUMPRODUCT(MID(0&amp;(LEFT(A280,SUM(LEN(A280)-LEN(SUBSTITUTE(A280,{"0","1","2"},""))))), LARGE(INDEX(ISNUMBER(--MID((LEFT(A280,SUM(LEN(A280)-LEN(SUBSTITUTE(A280,{"0","1","2"},""))))), ROW(INDIRECT("1:"&amp;LEN((LEFT(A280,SUM(LEN(A280)-LEN(SUBSTITUTE(A280,{"0","1","2"},"")))))))), 1)) * ROW(INDIRECT("1:"&amp;LEN((LEFT(A280,SUM(LEN(A280)-LEN(SUBSTITUTE(A280,{"0","1","2"},"")))))))), 0), ROW(INDIRECT("1:"&amp;LEN((LEFT(A280,SUM(LEN(A280)-LEN(SUBSTITUTE(A280,{"0","1","2"},"")))))))))+1, 1) * 10^ROW(INDIRECT("1:"&amp;LEN((LEFT(A280,SUM(LEN(A280)-LEN(SUBSTITUTE(A280,{"0","1","2"},""))))))))/10))*1+1&amp;""&amp;" ,.., "&amp;""&amp;(SUMPRODUCT(MID(0&amp;(--TRIM(RIGHT(SUBSTITUTE(LEFT(A280,_xlfn.AGGREGATE(16,6,FIND({0,1,2,3,4,5,6,7,8,9},A280,ROW(INDIRECT("1:"&amp;LEN(A280)))),1))," ",REPT(" ",LEN(A280))),LEN(A280)))), LARGE(INDEX(ISNUMBER(--MID((--TRIM(RIGHT(SUBSTITUTE(LEFT(A280,_xlfn.AGGREGATE(16,6,FIND({0,1,2,3,4,5,6,7,8,9},A280,ROW(INDIRECT("1:"&amp;LEN(A280)))),1))," ",REPT(" ",LEN(A280))),LEN(A280)))), ROW(INDIRECT("1:"&amp;LEN((--TRIM(RIGHT(SUBSTITUTE(LEFT(A280,_xlfn.AGGREGATE(16,6,FIND({0,1,2,3,4,5,6,7,8,9},A280,ROW(INDIRECT("1:"&amp;LEN(A280)))),1))," ",REPT(" ",LEN(A280))),LEN(A280))))))), 1)) * ROW(INDIRECT("1:"&amp;LEN((--TRIM(RIGHT(SUBSTITUTE(LEFT(A280,_xlfn.AGGREGATE(16,6,FIND({0,1,2,3,4,5,6,7,8,9},A280,ROW(INDIRECT("1:"&amp;LEN(A280)))),1))," ",REPT(" ",LEN(A280))),LEN(A280))))))), 0), ROW(INDIRECT("1:"&amp;LEN((--TRIM(RIGHT(SUBSTITUTE(LEFT(A280,_xlfn.AGGREGATE(16,6,FIND({0,1,2,3,4,5,6,7,8,9},A280,ROW(INDIRECT("1:"&amp;LEN(A280)))),1))," ",REPT(" ",LEN(A280))),LEN(A280))))))))+1, 1) * 10^ROW(INDIRECT("1:"&amp;LEN((--TRIM(RIGHT(SUBSTITUTE(LEFT(A280,_xlfn.AGGREGATE(16,6,FIND({0,1,2,3,4,5,6,7,8,9},A280,ROW(INDIRECT("1:"&amp;LEN(A280)))),1))," ",REPT(" ",LEN(A280))),LEN(A280)))))))/10))*1+1</f>
        <v>205 ,.., 1005</v>
      </c>
      <c r="B281" s="101"/>
      <c r="C281" s="42" t="s">
        <v>257</v>
      </c>
      <c r="D281" s="42">
        <f>(29.7125+2.4375+0.75*(1.8+2.75))*10.764</f>
        <v>382.79474999999996</v>
      </c>
      <c r="E281" s="42">
        <v>0</v>
      </c>
      <c r="F281" s="68">
        <v>615</v>
      </c>
      <c r="G281" s="156"/>
      <c r="H281" s="157"/>
      <c r="K281" s="68">
        <v>615</v>
      </c>
      <c r="L281" s="21">
        <f t="shared" si="12"/>
        <v>1.6066051062612536</v>
      </c>
    </row>
    <row r="282" spans="1:12" ht="15.75" customHeight="1" x14ac:dyDescent="0.3">
      <c r="A282" s="100" t="str">
        <f ca="1">(SUMPRODUCT(MID(0&amp;(LEFT(A281,SUM(LEN(A281)-LEN(SUBSTITUTE(A281,{"0","1","2"},""))))), LARGE(INDEX(ISNUMBER(--MID((LEFT(A281,SUM(LEN(A281)-LEN(SUBSTITUTE(A281,{"0","1","2"},""))))), ROW(INDIRECT("1:"&amp;LEN((LEFT(A281,SUM(LEN(A281)-LEN(SUBSTITUTE(A281,{"0","1","2"},"")))))))), 1)) * ROW(INDIRECT("1:"&amp;LEN((LEFT(A281,SUM(LEN(A281)-LEN(SUBSTITUTE(A281,{"0","1","2"},"")))))))), 0), ROW(INDIRECT("1:"&amp;LEN((LEFT(A281,SUM(LEN(A281)-LEN(SUBSTITUTE(A281,{"0","1","2"},"")))))))))+1, 1) * 10^ROW(INDIRECT("1:"&amp;LEN((LEFT(A281,SUM(LEN(A281)-LEN(SUBSTITUTE(A281,{"0","1","2"},""))))))))/10))*1+1&amp;""&amp;" ,.., "&amp;""&amp;(SUMPRODUCT(MID(0&amp;(--TRIM(RIGHT(SUBSTITUTE(LEFT(A281,_xlfn.AGGREGATE(16,6,FIND({0,1,2,3,4,5,6,7,8,9},A281,ROW(INDIRECT("1:"&amp;LEN(A281)))),1))," ",REPT(" ",LEN(A281))),LEN(A281)))), LARGE(INDEX(ISNUMBER(--MID((--TRIM(RIGHT(SUBSTITUTE(LEFT(A281,_xlfn.AGGREGATE(16,6,FIND({0,1,2,3,4,5,6,7,8,9},A281,ROW(INDIRECT("1:"&amp;LEN(A281)))),1))," ",REPT(" ",LEN(A281))),LEN(A281)))), ROW(INDIRECT("1:"&amp;LEN((--TRIM(RIGHT(SUBSTITUTE(LEFT(A281,_xlfn.AGGREGATE(16,6,FIND({0,1,2,3,4,5,6,7,8,9},A281,ROW(INDIRECT("1:"&amp;LEN(A281)))),1))," ",REPT(" ",LEN(A281))),LEN(A281))))))), 1)) * ROW(INDIRECT("1:"&amp;LEN((--TRIM(RIGHT(SUBSTITUTE(LEFT(A281,_xlfn.AGGREGATE(16,6,FIND({0,1,2,3,4,5,6,7,8,9},A281,ROW(INDIRECT("1:"&amp;LEN(A281)))),1))," ",REPT(" ",LEN(A281))),LEN(A281))))))), 0), ROW(INDIRECT("1:"&amp;LEN((--TRIM(RIGHT(SUBSTITUTE(LEFT(A281,_xlfn.AGGREGATE(16,6,FIND({0,1,2,3,4,5,6,7,8,9},A281,ROW(INDIRECT("1:"&amp;LEN(A281)))),1))," ",REPT(" ",LEN(A281))),LEN(A281))))))))+1, 1) * 10^ROW(INDIRECT("1:"&amp;LEN((--TRIM(RIGHT(SUBSTITUTE(LEFT(A281,_xlfn.AGGREGATE(16,6,FIND({0,1,2,3,4,5,6,7,8,9},A281,ROW(INDIRECT("1:"&amp;LEN(A281)))),1))," ",REPT(" ",LEN(A281))),LEN(A281)))))))/10))*1+1</f>
        <v>206 ,.., 1006</v>
      </c>
      <c r="B282" s="101"/>
      <c r="C282" s="42" t="s">
        <v>257</v>
      </c>
      <c r="D282" s="42">
        <f>(28.9013+1.95+0.75*(1.8+2.775))*10.764</f>
        <v>369.01736819999996</v>
      </c>
      <c r="E282" s="42">
        <v>0</v>
      </c>
      <c r="F282" s="68">
        <v>590</v>
      </c>
      <c r="G282" s="156"/>
      <c r="H282" s="157"/>
      <c r="K282" s="68">
        <v>590</v>
      </c>
      <c r="L282" s="21">
        <f t="shared" si="12"/>
        <v>1.598840734456249</v>
      </c>
    </row>
    <row r="283" spans="1:12" ht="15.75" customHeight="1" x14ac:dyDescent="0.3">
      <c r="A283" s="100" t="str">
        <f ca="1">(SUMPRODUCT(MID(0&amp;(LEFT(A282,SUM(LEN(A282)-LEN(SUBSTITUTE(A282,{"0","1","2"},""))))), LARGE(INDEX(ISNUMBER(--MID((LEFT(A282,SUM(LEN(A282)-LEN(SUBSTITUTE(A282,{"0","1","2"},""))))), ROW(INDIRECT("1:"&amp;LEN((LEFT(A282,SUM(LEN(A282)-LEN(SUBSTITUTE(A282,{"0","1","2"},"")))))))), 1)) * ROW(INDIRECT("1:"&amp;LEN((LEFT(A282,SUM(LEN(A282)-LEN(SUBSTITUTE(A282,{"0","1","2"},"")))))))), 0), ROW(INDIRECT("1:"&amp;LEN((LEFT(A282,SUM(LEN(A282)-LEN(SUBSTITUTE(A282,{"0","1","2"},"")))))))))+1, 1) * 10^ROW(INDIRECT("1:"&amp;LEN((LEFT(A282,SUM(LEN(A282)-LEN(SUBSTITUTE(A282,{"0","1","2"},""))))))))/10))*1+1&amp;""&amp;" ,.., "&amp;""&amp;(SUMPRODUCT(MID(0&amp;(--TRIM(RIGHT(SUBSTITUTE(LEFT(A282,_xlfn.AGGREGATE(16,6,FIND({0,1,2,3,4,5,6,7,8,9},A282,ROW(INDIRECT("1:"&amp;LEN(A282)))),1))," ",REPT(" ",LEN(A282))),LEN(A282)))), LARGE(INDEX(ISNUMBER(--MID((--TRIM(RIGHT(SUBSTITUTE(LEFT(A282,_xlfn.AGGREGATE(16,6,FIND({0,1,2,3,4,5,6,7,8,9},A282,ROW(INDIRECT("1:"&amp;LEN(A282)))),1))," ",REPT(" ",LEN(A282))),LEN(A282)))), ROW(INDIRECT("1:"&amp;LEN((--TRIM(RIGHT(SUBSTITUTE(LEFT(A282,_xlfn.AGGREGATE(16,6,FIND({0,1,2,3,4,5,6,7,8,9},A282,ROW(INDIRECT("1:"&amp;LEN(A282)))),1))," ",REPT(" ",LEN(A282))),LEN(A282))))))), 1)) * ROW(INDIRECT("1:"&amp;LEN((--TRIM(RIGHT(SUBSTITUTE(LEFT(A282,_xlfn.AGGREGATE(16,6,FIND({0,1,2,3,4,5,6,7,8,9},A282,ROW(INDIRECT("1:"&amp;LEN(A282)))),1))," ",REPT(" ",LEN(A282))),LEN(A282))))))), 0), ROW(INDIRECT("1:"&amp;LEN((--TRIM(RIGHT(SUBSTITUTE(LEFT(A282,_xlfn.AGGREGATE(16,6,FIND({0,1,2,3,4,5,6,7,8,9},A282,ROW(INDIRECT("1:"&amp;LEN(A282)))),1))," ",REPT(" ",LEN(A282))),LEN(A282))))))))+1, 1) * 10^ROW(INDIRECT("1:"&amp;LEN((--TRIM(RIGHT(SUBSTITUTE(LEFT(A282,_xlfn.AGGREGATE(16,6,FIND({0,1,2,3,4,5,6,7,8,9},A282,ROW(INDIRECT("1:"&amp;LEN(A282)))),1))," ",REPT(" ",LEN(A282))),LEN(A282)))))))/10))*1+1</f>
        <v>207 ,.., 1007</v>
      </c>
      <c r="B283" s="101"/>
      <c r="C283" s="42" t="s">
        <v>257</v>
      </c>
      <c r="D283" s="42">
        <f>(29.9888+3.12+0.75*(1.8+2.775))*10.764</f>
        <v>393.31709819999998</v>
      </c>
      <c r="E283" s="42">
        <v>0</v>
      </c>
      <c r="F283" s="68">
        <v>630</v>
      </c>
      <c r="G283" s="156"/>
      <c r="H283" s="157"/>
      <c r="K283" s="68">
        <v>630</v>
      </c>
      <c r="L283" s="21">
        <f t="shared" si="12"/>
        <v>1.6017610291623983</v>
      </c>
    </row>
    <row r="284" spans="1:12" ht="15.75" customHeight="1" x14ac:dyDescent="0.3">
      <c r="A284" s="100" t="str">
        <f ca="1">(SUMPRODUCT(MID(0&amp;(LEFT(A283,SUM(LEN(A283)-LEN(SUBSTITUTE(A283,{"0","1","2"},""))))), LARGE(INDEX(ISNUMBER(--MID((LEFT(A283,SUM(LEN(A283)-LEN(SUBSTITUTE(A283,{"0","1","2"},""))))), ROW(INDIRECT("1:"&amp;LEN((LEFT(A283,SUM(LEN(A283)-LEN(SUBSTITUTE(A283,{"0","1","2"},"")))))))), 1)) * ROW(INDIRECT("1:"&amp;LEN((LEFT(A283,SUM(LEN(A283)-LEN(SUBSTITUTE(A283,{"0","1","2"},"")))))))), 0), ROW(INDIRECT("1:"&amp;LEN((LEFT(A283,SUM(LEN(A283)-LEN(SUBSTITUTE(A283,{"0","1","2"},"")))))))))+1, 1) * 10^ROW(INDIRECT("1:"&amp;LEN((LEFT(A283,SUM(LEN(A283)-LEN(SUBSTITUTE(A283,{"0","1","2"},""))))))))/10))*1+1&amp;""&amp;" ,.., "&amp;""&amp;(SUMPRODUCT(MID(0&amp;(--TRIM(RIGHT(SUBSTITUTE(LEFT(A283,_xlfn.AGGREGATE(16,6,FIND({0,1,2,3,4,5,6,7,8,9},A283,ROW(INDIRECT("1:"&amp;LEN(A283)))),1))," ",REPT(" ",LEN(A283))),LEN(A283)))), LARGE(INDEX(ISNUMBER(--MID((--TRIM(RIGHT(SUBSTITUTE(LEFT(A283,_xlfn.AGGREGATE(16,6,FIND({0,1,2,3,4,5,6,7,8,9},A283,ROW(INDIRECT("1:"&amp;LEN(A283)))),1))," ",REPT(" ",LEN(A283))),LEN(A283)))), ROW(INDIRECT("1:"&amp;LEN((--TRIM(RIGHT(SUBSTITUTE(LEFT(A283,_xlfn.AGGREGATE(16,6,FIND({0,1,2,3,4,5,6,7,8,9},A283,ROW(INDIRECT("1:"&amp;LEN(A283)))),1))," ",REPT(" ",LEN(A283))),LEN(A283))))))), 1)) * ROW(INDIRECT("1:"&amp;LEN((--TRIM(RIGHT(SUBSTITUTE(LEFT(A283,_xlfn.AGGREGATE(16,6,FIND({0,1,2,3,4,5,6,7,8,9},A283,ROW(INDIRECT("1:"&amp;LEN(A283)))),1))," ",REPT(" ",LEN(A283))),LEN(A283))))))), 0), ROW(INDIRECT("1:"&amp;LEN((--TRIM(RIGHT(SUBSTITUTE(LEFT(A283,_xlfn.AGGREGATE(16,6,FIND({0,1,2,3,4,5,6,7,8,9},A283,ROW(INDIRECT("1:"&amp;LEN(A283)))),1))," ",REPT(" ",LEN(A283))),LEN(A283))))))))+1, 1) * 10^ROW(INDIRECT("1:"&amp;LEN((--TRIM(RIGHT(SUBSTITUTE(LEFT(A283,_xlfn.AGGREGATE(16,6,FIND({0,1,2,3,4,5,6,7,8,9},A283,ROW(INDIRECT("1:"&amp;LEN(A283)))),1))," ",REPT(" ",LEN(A283))),LEN(A283)))))))/10))*1+1</f>
        <v>208 ,.., 1008</v>
      </c>
      <c r="B284" s="101"/>
      <c r="C284" s="42" t="s">
        <v>258</v>
      </c>
      <c r="D284" s="42">
        <f>(47.4435+0.75*(1.8+2.15+2.75+2.9))*10.764</f>
        <v>588.18263400000001</v>
      </c>
      <c r="E284" s="42">
        <v>0</v>
      </c>
      <c r="F284" s="68">
        <v>945</v>
      </c>
      <c r="G284" s="158"/>
      <c r="H284" s="159"/>
      <c r="K284" s="68">
        <v>945</v>
      </c>
      <c r="L284" s="21">
        <f t="shared" si="12"/>
        <v>1.6066438302903039</v>
      </c>
    </row>
    <row r="285" spans="1:12" x14ac:dyDescent="0.3">
      <c r="A285" s="168" t="s">
        <v>260</v>
      </c>
      <c r="B285" s="168"/>
      <c r="C285" s="168"/>
      <c r="D285" s="168"/>
      <c r="E285" s="168"/>
      <c r="F285" s="168"/>
      <c r="G285" s="168"/>
      <c r="H285" s="168"/>
    </row>
    <row r="286" spans="1:12" x14ac:dyDescent="0.3">
      <c r="A286" s="206">
        <f>LEFT(A285,SUM(LEN(A285)-LEN(SUBSTITUTE(A285,{"0","1","2","3","4","5","6","7","8","9"},""))))*100+1</f>
        <v>801</v>
      </c>
      <c r="B286" s="206"/>
      <c r="C286" s="42" t="s">
        <v>258</v>
      </c>
      <c r="D286" s="42">
        <f>(47.4435+0.75*(1.8+2.15+2.75+2.9))*10.764</f>
        <v>588.18263400000001</v>
      </c>
      <c r="E286" s="42">
        <v>0</v>
      </c>
      <c r="F286" s="68">
        <v>945</v>
      </c>
      <c r="G286" s="154" t="str">
        <f>A285</f>
        <v>8th Floor (Part Refuge area)</v>
      </c>
      <c r="H286" s="155"/>
    </row>
    <row r="287" spans="1:12" x14ac:dyDescent="0.3">
      <c r="A287" s="206">
        <f t="shared" ref="A287:A293" si="13">A286+1</f>
        <v>802</v>
      </c>
      <c r="B287" s="206"/>
      <c r="C287" s="42" t="s">
        <v>257</v>
      </c>
      <c r="D287" s="42">
        <f>(29.9888+3.12+0.75*(1.8+2.775))*10.764</f>
        <v>393.31709819999998</v>
      </c>
      <c r="E287" s="42">
        <v>0</v>
      </c>
      <c r="F287" s="68">
        <v>630</v>
      </c>
      <c r="G287" s="156"/>
      <c r="H287" s="157"/>
    </row>
    <row r="288" spans="1:12" x14ac:dyDescent="0.3">
      <c r="A288" s="206">
        <f t="shared" si="13"/>
        <v>803</v>
      </c>
      <c r="B288" s="206"/>
      <c r="C288" s="42" t="s">
        <v>257</v>
      </c>
      <c r="D288" s="42">
        <f>(28.9013+1.95+0.75*(1.8+2.775))*10.764</f>
        <v>369.01736819999996</v>
      </c>
      <c r="E288" s="42">
        <v>0</v>
      </c>
      <c r="F288" s="68">
        <v>590</v>
      </c>
      <c r="G288" s="156"/>
      <c r="H288" s="157"/>
    </row>
    <row r="289" spans="1:8" x14ac:dyDescent="0.3">
      <c r="A289" s="206">
        <f t="shared" si="13"/>
        <v>804</v>
      </c>
      <c r="B289" s="206"/>
      <c r="C289" s="42" t="s">
        <v>257</v>
      </c>
      <c r="D289" s="42">
        <f>(29.9325+2.4375+0.75*(1.8+2.75))*10.764</f>
        <v>385.16283000000004</v>
      </c>
      <c r="E289" s="42">
        <v>0</v>
      </c>
      <c r="F289" s="68">
        <v>615</v>
      </c>
      <c r="G289" s="156"/>
      <c r="H289" s="157"/>
    </row>
    <row r="290" spans="1:8" x14ac:dyDescent="0.3">
      <c r="A290" s="206">
        <f t="shared" si="13"/>
        <v>805</v>
      </c>
      <c r="B290" s="206"/>
      <c r="C290" s="42" t="s">
        <v>257</v>
      </c>
      <c r="D290" s="42">
        <f>(29.7125+2.4375+0.75*(1.8+2.75))*10.764</f>
        <v>382.79474999999996</v>
      </c>
      <c r="E290" s="42">
        <v>0</v>
      </c>
      <c r="F290" s="68">
        <v>615</v>
      </c>
      <c r="G290" s="156"/>
      <c r="H290" s="157"/>
    </row>
    <row r="291" spans="1:8" x14ac:dyDescent="0.3">
      <c r="A291" s="206">
        <f t="shared" si="13"/>
        <v>806</v>
      </c>
      <c r="B291" s="206"/>
      <c r="C291" s="100" t="s">
        <v>259</v>
      </c>
      <c r="D291" s="205"/>
      <c r="E291" s="205"/>
      <c r="F291" s="101"/>
      <c r="G291" s="156"/>
      <c r="H291" s="157"/>
    </row>
    <row r="292" spans="1:8" x14ac:dyDescent="0.3">
      <c r="A292" s="206">
        <f t="shared" si="13"/>
        <v>807</v>
      </c>
      <c r="B292" s="206"/>
      <c r="C292" s="42" t="s">
        <v>257</v>
      </c>
      <c r="D292" s="42">
        <f>(29.9888+3.12+0.75*(1.8+2.775))*10.764</f>
        <v>393.31709819999998</v>
      </c>
      <c r="E292" s="42">
        <v>0</v>
      </c>
      <c r="F292" s="68">
        <v>630</v>
      </c>
      <c r="G292" s="156"/>
      <c r="H292" s="157"/>
    </row>
    <row r="293" spans="1:8" x14ac:dyDescent="0.3">
      <c r="A293" s="206">
        <f t="shared" si="13"/>
        <v>808</v>
      </c>
      <c r="B293" s="206"/>
      <c r="C293" s="42" t="s">
        <v>258</v>
      </c>
      <c r="D293" s="42">
        <f>(47.4435+0.75*(1.8+2.15+2.75+2.9))*10.764</f>
        <v>588.18263400000001</v>
      </c>
      <c r="E293" s="42">
        <v>0</v>
      </c>
      <c r="F293" s="68">
        <v>945</v>
      </c>
      <c r="G293" s="158"/>
      <c r="H293" s="159"/>
    </row>
    <row r="294" spans="1:8" x14ac:dyDescent="0.3">
      <c r="A294" s="199" t="s">
        <v>68</v>
      </c>
      <c r="B294" s="199"/>
      <c r="C294" s="199"/>
      <c r="D294" s="199"/>
      <c r="E294" s="199"/>
      <c r="F294" s="199"/>
      <c r="G294" s="199"/>
      <c r="H294" s="199"/>
    </row>
    <row r="295" spans="1:8" ht="30.9" customHeight="1" x14ac:dyDescent="0.3">
      <c r="A295" s="47" t="s">
        <v>150</v>
      </c>
      <c r="B295" s="144" t="s">
        <v>292</v>
      </c>
      <c r="C295" s="145"/>
      <c r="D295" s="145"/>
      <c r="E295" s="145"/>
      <c r="F295" s="145"/>
      <c r="G295" s="145"/>
      <c r="H295" s="146"/>
    </row>
    <row r="296" spans="1:8" x14ac:dyDescent="0.3">
      <c r="A296" s="47" t="s">
        <v>150</v>
      </c>
      <c r="B296" s="144" t="str">
        <f>(IF(F196="Saleable area Loading :","We have considered Saleable area of Flats as per our Calculation.","We considered Saleable area of Flat as per Builder area Sheet."))</f>
        <v>We considered Saleable area of Flat as per Builder area Sheet.</v>
      </c>
      <c r="C296" s="145"/>
      <c r="D296" s="145"/>
      <c r="E296" s="145"/>
      <c r="F296" s="145"/>
      <c r="G296" s="145"/>
      <c r="H296" s="146"/>
    </row>
    <row r="297" spans="1:8" x14ac:dyDescent="0.3">
      <c r="A297" s="47" t="s">
        <v>150</v>
      </c>
      <c r="B297" s="144" t="str">
        <f>(IF(F181="Saleable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97" s="145"/>
      <c r="D297" s="145"/>
      <c r="E297" s="145"/>
      <c r="F297" s="145"/>
      <c r="G297" s="145"/>
      <c r="H297" s="146"/>
    </row>
    <row r="298" spans="1:8" x14ac:dyDescent="0.3">
      <c r="A298" s="47" t="s">
        <v>150</v>
      </c>
      <c r="B298" s="141" t="s">
        <v>121</v>
      </c>
      <c r="C298" s="142"/>
      <c r="D298" s="142"/>
      <c r="E298" s="142"/>
      <c r="F298" s="142"/>
      <c r="G298" s="142"/>
      <c r="H298" s="143"/>
    </row>
    <row r="299" spans="1:8" x14ac:dyDescent="0.3">
      <c r="A299" s="47" t="s">
        <v>150</v>
      </c>
      <c r="B299" s="141" t="s">
        <v>283</v>
      </c>
      <c r="C299" s="142"/>
      <c r="D299" s="142"/>
      <c r="E299" s="142"/>
      <c r="F299" s="142"/>
      <c r="G299" s="142"/>
      <c r="H299" s="143"/>
    </row>
    <row r="300" spans="1:8" x14ac:dyDescent="0.3">
      <c r="A300" s="47" t="s">
        <v>150</v>
      </c>
      <c r="B300" s="141" t="s">
        <v>149</v>
      </c>
      <c r="C300" s="142"/>
      <c r="D300" s="142"/>
      <c r="E300" s="142"/>
      <c r="F300" s="142"/>
      <c r="G300" s="142"/>
      <c r="H300" s="143"/>
    </row>
    <row r="301" spans="1:8" x14ac:dyDescent="0.3">
      <c r="A301" s="47" t="s">
        <v>150</v>
      </c>
      <c r="B301" s="141" t="s">
        <v>122</v>
      </c>
      <c r="C301" s="142"/>
      <c r="D301" s="142"/>
      <c r="E301" s="142"/>
      <c r="F301" s="142"/>
      <c r="G301" s="142"/>
      <c r="H301" s="143"/>
    </row>
    <row r="302" spans="1:8" hidden="1" x14ac:dyDescent="0.3">
      <c r="A302" s="47" t="s">
        <v>150</v>
      </c>
      <c r="B302" s="141" t="s">
        <v>151</v>
      </c>
      <c r="C302" s="142"/>
      <c r="D302" s="142"/>
      <c r="E302" s="142"/>
      <c r="F302" s="142"/>
      <c r="G302" s="142"/>
      <c r="H302" s="143"/>
    </row>
    <row r="303" spans="1:8" x14ac:dyDescent="0.3">
      <c r="A303" s="47" t="s">
        <v>150</v>
      </c>
      <c r="B303" s="141" t="s">
        <v>123</v>
      </c>
      <c r="C303" s="142"/>
      <c r="D303" s="142"/>
      <c r="E303" s="142"/>
      <c r="F303" s="142"/>
      <c r="G303" s="142"/>
      <c r="H303" s="143"/>
    </row>
    <row r="304" spans="1:8" x14ac:dyDescent="0.3">
      <c r="A304" s="47" t="s">
        <v>150</v>
      </c>
      <c r="B304" s="141" t="s">
        <v>288</v>
      </c>
      <c r="C304" s="142"/>
      <c r="D304" s="142"/>
      <c r="E304" s="142"/>
      <c r="F304" s="142"/>
      <c r="G304" s="142"/>
      <c r="H304" s="143"/>
    </row>
    <row r="305" spans="1:8" ht="33.6" hidden="1" customHeight="1" x14ac:dyDescent="0.3">
      <c r="A305" s="47" t="s">
        <v>150</v>
      </c>
      <c r="B305" s="141" t="s">
        <v>293</v>
      </c>
      <c r="C305" s="142"/>
      <c r="D305" s="142"/>
      <c r="E305" s="142"/>
      <c r="F305" s="142"/>
      <c r="G305" s="142"/>
      <c r="H305" s="143"/>
    </row>
    <row r="306" spans="1:8" x14ac:dyDescent="0.3">
      <c r="A306" s="117" t="s">
        <v>61</v>
      </c>
      <c r="B306" s="117"/>
      <c r="C306" s="117"/>
      <c r="D306" s="117"/>
      <c r="E306" s="117"/>
      <c r="F306" s="117"/>
      <c r="G306" s="117"/>
      <c r="H306" s="117"/>
    </row>
    <row r="307" spans="1:8" x14ac:dyDescent="0.3">
      <c r="A307" s="104" t="s">
        <v>62</v>
      </c>
      <c r="B307" s="104"/>
      <c r="C307" s="104"/>
      <c r="D307" s="104"/>
      <c r="E307" s="104"/>
      <c r="F307" s="104"/>
      <c r="G307" s="104"/>
      <c r="H307" s="104"/>
    </row>
    <row r="308" spans="1:8" x14ac:dyDescent="0.3">
      <c r="A308" s="128" t="s">
        <v>63</v>
      </c>
      <c r="B308" s="128"/>
      <c r="C308" s="128"/>
      <c r="D308" s="128"/>
      <c r="E308" s="128"/>
      <c r="F308" s="128"/>
      <c r="G308" s="128"/>
      <c r="H308" s="128"/>
    </row>
    <row r="309" spans="1:8" x14ac:dyDescent="0.3">
      <c r="A309" s="104" t="s">
        <v>64</v>
      </c>
      <c r="B309" s="104"/>
      <c r="C309" s="104"/>
      <c r="D309" s="104"/>
      <c r="E309" s="104"/>
      <c r="F309" s="104"/>
      <c r="G309" s="104"/>
      <c r="H309" s="104"/>
    </row>
    <row r="310" spans="1:8" x14ac:dyDescent="0.3">
      <c r="A310" s="104" t="s">
        <v>65</v>
      </c>
      <c r="B310" s="104"/>
      <c r="C310" s="104"/>
      <c r="D310" s="104"/>
      <c r="E310" s="104"/>
      <c r="F310" s="104"/>
      <c r="G310" s="104"/>
      <c r="H310" s="104"/>
    </row>
    <row r="311" spans="1:8" x14ac:dyDescent="0.3">
      <c r="A311" s="104" t="s">
        <v>124</v>
      </c>
      <c r="B311" s="104"/>
      <c r="C311" s="104"/>
      <c r="D311" s="104"/>
      <c r="E311" s="104"/>
      <c r="F311" s="104"/>
      <c r="G311" s="104"/>
      <c r="H311" s="104"/>
    </row>
    <row r="312" spans="1:8" ht="33" customHeight="1" x14ac:dyDescent="0.3">
      <c r="A312" s="115" t="s">
        <v>125</v>
      </c>
      <c r="B312" s="115"/>
      <c r="C312" s="115"/>
      <c r="D312" s="115"/>
      <c r="E312" s="115"/>
      <c r="F312" s="115"/>
      <c r="G312" s="115"/>
      <c r="H312" s="115"/>
    </row>
    <row r="313" spans="1:8" x14ac:dyDescent="0.3">
      <c r="A313" s="164" t="s">
        <v>75</v>
      </c>
      <c r="B313" s="164"/>
      <c r="C313" s="164" t="s">
        <v>294</v>
      </c>
      <c r="D313" s="164"/>
      <c r="E313" s="164" t="s">
        <v>105</v>
      </c>
      <c r="F313" s="164"/>
      <c r="G313" s="164" t="s">
        <v>300</v>
      </c>
      <c r="H313" s="164"/>
    </row>
    <row r="314" spans="1:8" x14ac:dyDescent="0.3">
      <c r="A314" s="163" t="s">
        <v>77</v>
      </c>
      <c r="B314" s="163"/>
      <c r="C314" s="163"/>
      <c r="D314" s="163"/>
      <c r="E314" s="163"/>
      <c r="F314" s="163"/>
      <c r="G314" s="163"/>
      <c r="H314" s="163"/>
    </row>
    <row r="315" spans="1:8" x14ac:dyDescent="0.3">
      <c r="A315" s="163"/>
      <c r="B315" s="163"/>
      <c r="C315" s="163"/>
      <c r="D315" s="163"/>
      <c r="E315" s="163"/>
      <c r="F315" s="163"/>
      <c r="G315" s="163"/>
      <c r="H315" s="163"/>
    </row>
    <row r="316" spans="1:8" x14ac:dyDescent="0.3">
      <c r="A316" s="163"/>
      <c r="B316" s="163"/>
      <c r="C316" s="163"/>
      <c r="D316" s="163"/>
      <c r="E316" s="163"/>
      <c r="F316" s="163"/>
      <c r="G316" s="163"/>
      <c r="H316" s="163"/>
    </row>
    <row r="317" spans="1:8" x14ac:dyDescent="0.3">
      <c r="A317" s="163"/>
      <c r="B317" s="163"/>
      <c r="C317" s="163"/>
      <c r="D317" s="163"/>
      <c r="E317" s="163"/>
      <c r="F317" s="163"/>
      <c r="G317" s="163"/>
      <c r="H317" s="163"/>
    </row>
    <row r="318" spans="1:8" x14ac:dyDescent="0.3">
      <c r="A318" s="38" t="s">
        <v>66</v>
      </c>
      <c r="B318" s="39"/>
      <c r="C318" s="39"/>
      <c r="D318" s="38" t="str">
        <f>E8</f>
        <v>Shree Mahalaxmi Sankul</v>
      </c>
      <c r="F318" s="39"/>
      <c r="G318" s="39"/>
      <c r="H318" s="39"/>
    </row>
    <row r="319" spans="1:8" x14ac:dyDescent="0.3">
      <c r="A319" s="39"/>
      <c r="B319" s="39"/>
      <c r="C319" s="39"/>
      <c r="D319" s="39"/>
      <c r="E319" s="39"/>
      <c r="F319" s="39"/>
      <c r="G319" s="39"/>
      <c r="H319" s="39"/>
    </row>
    <row r="320" spans="1:8" x14ac:dyDescent="0.3">
      <c r="A320" s="39"/>
      <c r="B320" s="39"/>
      <c r="C320" s="39"/>
      <c r="D320" s="39"/>
      <c r="E320" s="39"/>
      <c r="F320" s="39"/>
      <c r="G320" s="39"/>
      <c r="H320" s="39"/>
    </row>
    <row r="360" spans="1:1" x14ac:dyDescent="0.3">
      <c r="A360" s="41" t="s">
        <v>161</v>
      </c>
    </row>
    <row r="402" spans="1:1" x14ac:dyDescent="0.3">
      <c r="A402" s="41" t="s">
        <v>67</v>
      </c>
    </row>
  </sheetData>
  <mergeCells count="497">
    <mergeCell ref="I10:L10"/>
    <mergeCell ref="B305:H305"/>
    <mergeCell ref="B304:H304"/>
    <mergeCell ref="A290:B290"/>
    <mergeCell ref="A291:B291"/>
    <mergeCell ref="A292:B292"/>
    <mergeCell ref="A293:B293"/>
    <mergeCell ref="C291:F291"/>
    <mergeCell ref="A285:H285"/>
    <mergeCell ref="A286:B286"/>
    <mergeCell ref="A287:B287"/>
    <mergeCell ref="A288:B288"/>
    <mergeCell ref="A289:B289"/>
    <mergeCell ref="G286:H293"/>
    <mergeCell ref="A280:B280"/>
    <mergeCell ref="A281:B281"/>
    <mergeCell ref="A282:B282"/>
    <mergeCell ref="A283:B283"/>
    <mergeCell ref="A284:B284"/>
    <mergeCell ref="A265:H265"/>
    <mergeCell ref="A266:H266"/>
    <mergeCell ref="A276:H276"/>
    <mergeCell ref="A277:B277"/>
    <mergeCell ref="A278:B278"/>
    <mergeCell ref="A279:B279"/>
    <mergeCell ref="A271:B271"/>
    <mergeCell ref="A272:B272"/>
    <mergeCell ref="A273:B273"/>
    <mergeCell ref="A274:B274"/>
    <mergeCell ref="A275:B275"/>
    <mergeCell ref="G277:H284"/>
    <mergeCell ref="A261:B261"/>
    <mergeCell ref="A262:B262"/>
    <mergeCell ref="A263:B263"/>
    <mergeCell ref="A255:B255"/>
    <mergeCell ref="A264:B264"/>
    <mergeCell ref="A256:H256"/>
    <mergeCell ref="A257:B257"/>
    <mergeCell ref="A258:B258"/>
    <mergeCell ref="A259:B259"/>
    <mergeCell ref="A260:B260"/>
    <mergeCell ref="G248:H255"/>
    <mergeCell ref="G257:H264"/>
    <mergeCell ref="C259:F259"/>
    <mergeCell ref="A250:B250"/>
    <mergeCell ref="A251:B251"/>
    <mergeCell ref="A252:B252"/>
    <mergeCell ref="A253:B253"/>
    <mergeCell ref="A254:B254"/>
    <mergeCell ref="A244:B244"/>
    <mergeCell ref="C240:F240"/>
    <mergeCell ref="A245:H245"/>
    <mergeCell ref="A246:H246"/>
    <mergeCell ref="A247:H247"/>
    <mergeCell ref="A248:B248"/>
    <mergeCell ref="A249:B249"/>
    <mergeCell ref="G238:H244"/>
    <mergeCell ref="A239:B239"/>
    <mergeCell ref="A240:B240"/>
    <mergeCell ref="A241:B241"/>
    <mergeCell ref="A242:B242"/>
    <mergeCell ref="A243:B243"/>
    <mergeCell ref="A235:B235"/>
    <mergeCell ref="A236:B236"/>
    <mergeCell ref="A237:H237"/>
    <mergeCell ref="A238:B238"/>
    <mergeCell ref="G230:H236"/>
    <mergeCell ref="A222:B222"/>
    <mergeCell ref="A223:B223"/>
    <mergeCell ref="A224:B224"/>
    <mergeCell ref="A225:B225"/>
    <mergeCell ref="G214:H225"/>
    <mergeCell ref="A217:B217"/>
    <mergeCell ref="A218:B218"/>
    <mergeCell ref="A219:B219"/>
    <mergeCell ref="A220:B220"/>
    <mergeCell ref="A221:B221"/>
    <mergeCell ref="A214:B214"/>
    <mergeCell ref="A215:B215"/>
    <mergeCell ref="A216:B216"/>
    <mergeCell ref="A227:H227"/>
    <mergeCell ref="A139:B139"/>
    <mergeCell ref="C139:H139"/>
    <mergeCell ref="A158:E158"/>
    <mergeCell ref="A203:B203"/>
    <mergeCell ref="A201:B201"/>
    <mergeCell ref="A188:B188"/>
    <mergeCell ref="A187:B187"/>
    <mergeCell ref="A185:B185"/>
    <mergeCell ref="A195:H195"/>
    <mergeCell ref="A181:A182"/>
    <mergeCell ref="A192:B192"/>
    <mergeCell ref="A193:B193"/>
    <mergeCell ref="A194:B194"/>
    <mergeCell ref="A174:B174"/>
    <mergeCell ref="F153:H153"/>
    <mergeCell ref="F158:H158"/>
    <mergeCell ref="G169:H169"/>
    <mergeCell ref="C174:D174"/>
    <mergeCell ref="E174:F174"/>
    <mergeCell ref="G174:H174"/>
    <mergeCell ref="A143:B143"/>
    <mergeCell ref="E143:F152"/>
    <mergeCell ref="G143:H152"/>
    <mergeCell ref="A144:B144"/>
    <mergeCell ref="A211:B211"/>
    <mergeCell ref="G185:H194"/>
    <mergeCell ref="G201:H212"/>
    <mergeCell ref="A206:B206"/>
    <mergeCell ref="A207:B207"/>
    <mergeCell ref="A208:B208"/>
    <mergeCell ref="A209:B209"/>
    <mergeCell ref="A210:B210"/>
    <mergeCell ref="A212:B212"/>
    <mergeCell ref="A189:B189"/>
    <mergeCell ref="A190:B190"/>
    <mergeCell ref="A191:B191"/>
    <mergeCell ref="C196:C197"/>
    <mergeCell ref="A205:B205"/>
    <mergeCell ref="A145:B145"/>
    <mergeCell ref="A146:B146"/>
    <mergeCell ref="A147:B147"/>
    <mergeCell ref="A150:B150"/>
    <mergeCell ref="A151:B151"/>
    <mergeCell ref="A152:B152"/>
    <mergeCell ref="A48:B48"/>
    <mergeCell ref="C48:H48"/>
    <mergeCell ref="B300:H300"/>
    <mergeCell ref="A130:B130"/>
    <mergeCell ref="A131:B131"/>
    <mergeCell ref="G115:H124"/>
    <mergeCell ref="A116:B116"/>
    <mergeCell ref="A117:B117"/>
    <mergeCell ref="A118:B118"/>
    <mergeCell ref="F155:H155"/>
    <mergeCell ref="A155:E155"/>
    <mergeCell ref="D181:D182"/>
    <mergeCell ref="A157:E157"/>
    <mergeCell ref="A134:B134"/>
    <mergeCell ref="A136:B136"/>
    <mergeCell ref="A137:B137"/>
    <mergeCell ref="A156:E156"/>
    <mergeCell ref="A153:E153"/>
    <mergeCell ref="F157:H157"/>
    <mergeCell ref="G128:H128"/>
    <mergeCell ref="A127:B127"/>
    <mergeCell ref="C52:H52"/>
    <mergeCell ref="D61:H61"/>
    <mergeCell ref="A124:B124"/>
    <mergeCell ref="L180:M180"/>
    <mergeCell ref="B298:H298"/>
    <mergeCell ref="B299:H299"/>
    <mergeCell ref="A294:H294"/>
    <mergeCell ref="A229:H229"/>
    <mergeCell ref="A204:B204"/>
    <mergeCell ref="L182:M182"/>
    <mergeCell ref="A164:E164"/>
    <mergeCell ref="G177:H177"/>
    <mergeCell ref="E170:F170"/>
    <mergeCell ref="G170:H170"/>
    <mergeCell ref="A170:B170"/>
    <mergeCell ref="C170:D170"/>
    <mergeCell ref="A199:H199"/>
    <mergeCell ref="A198:H198"/>
    <mergeCell ref="A226:H226"/>
    <mergeCell ref="A228:H228"/>
    <mergeCell ref="A183:H183"/>
    <mergeCell ref="L181:M181"/>
    <mergeCell ref="L178:M178"/>
    <mergeCell ref="A202:B202"/>
    <mergeCell ref="A38:B38"/>
    <mergeCell ref="C38:H38"/>
    <mergeCell ref="A45:D45"/>
    <mergeCell ref="L171:M171"/>
    <mergeCell ref="L170:M170"/>
    <mergeCell ref="A80:B80"/>
    <mergeCell ref="C173:D173"/>
    <mergeCell ref="E173:F173"/>
    <mergeCell ref="G173:H173"/>
    <mergeCell ref="F160:H160"/>
    <mergeCell ref="A154:E154"/>
    <mergeCell ref="A125:B125"/>
    <mergeCell ref="C125:H125"/>
    <mergeCell ref="A184:H184"/>
    <mergeCell ref="E181:E182"/>
    <mergeCell ref="A148:B148"/>
    <mergeCell ref="A149:B149"/>
    <mergeCell ref="L179:M179"/>
    <mergeCell ref="C113:H113"/>
    <mergeCell ref="A44:D44"/>
    <mergeCell ref="A46:D46"/>
    <mergeCell ref="A37:H37"/>
    <mergeCell ref="A36:B36"/>
    <mergeCell ref="C36:E36"/>
    <mergeCell ref="G129:H138"/>
    <mergeCell ref="A41:D41"/>
    <mergeCell ref="E41:H41"/>
    <mergeCell ref="A40:H40"/>
    <mergeCell ref="A62:C62"/>
    <mergeCell ref="A63:C63"/>
    <mergeCell ref="D62:H62"/>
    <mergeCell ref="E73:F82"/>
    <mergeCell ref="G73:H82"/>
    <mergeCell ref="A81:B81"/>
    <mergeCell ref="A82:B82"/>
    <mergeCell ref="D63:H63"/>
    <mergeCell ref="A43:D43"/>
    <mergeCell ref="E43:H43"/>
    <mergeCell ref="E44:H44"/>
    <mergeCell ref="E45:H45"/>
    <mergeCell ref="A114:B114"/>
    <mergeCell ref="E46:H46"/>
    <mergeCell ref="A113:B113"/>
    <mergeCell ref="A39:B39"/>
    <mergeCell ref="C39:H39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3:H33"/>
    <mergeCell ref="F34:H34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47:H47"/>
    <mergeCell ref="D57:H57"/>
    <mergeCell ref="A57:C57"/>
    <mergeCell ref="G50:H50"/>
    <mergeCell ref="A79:B79"/>
    <mergeCell ref="A72:B72"/>
    <mergeCell ref="A75:B75"/>
    <mergeCell ref="A71:B71"/>
    <mergeCell ref="A69:B69"/>
    <mergeCell ref="C69:H69"/>
    <mergeCell ref="A77:B77"/>
    <mergeCell ref="A64:C64"/>
    <mergeCell ref="D64:H64"/>
    <mergeCell ref="C71:H71"/>
    <mergeCell ref="A74:B74"/>
    <mergeCell ref="A76:B76"/>
    <mergeCell ref="E72:F72"/>
    <mergeCell ref="A65:C65"/>
    <mergeCell ref="D65:H65"/>
    <mergeCell ref="A68:C68"/>
    <mergeCell ref="D68:H68"/>
    <mergeCell ref="A66:C66"/>
    <mergeCell ref="A58:C61"/>
    <mergeCell ref="A67:C67"/>
    <mergeCell ref="A314:H317"/>
    <mergeCell ref="A313:B313"/>
    <mergeCell ref="E313:F313"/>
    <mergeCell ref="C313:D313"/>
    <mergeCell ref="G313:H313"/>
    <mergeCell ref="A167:H167"/>
    <mergeCell ref="A165:E165"/>
    <mergeCell ref="F165:H165"/>
    <mergeCell ref="A166:E166"/>
    <mergeCell ref="F166:H166"/>
    <mergeCell ref="A213:H213"/>
    <mergeCell ref="A173:B173"/>
    <mergeCell ref="A232:B232"/>
    <mergeCell ref="A309:H309"/>
    <mergeCell ref="A171:H171"/>
    <mergeCell ref="A312:H312"/>
    <mergeCell ref="A310:H310"/>
    <mergeCell ref="A306:H306"/>
    <mergeCell ref="G172:H172"/>
    <mergeCell ref="A234:B234"/>
    <mergeCell ref="C181:C182"/>
    <mergeCell ref="B196:B197"/>
    <mergeCell ref="G181:H182"/>
    <mergeCell ref="B181:B182"/>
    <mergeCell ref="E114:F114"/>
    <mergeCell ref="G114:H114"/>
    <mergeCell ref="A159:E159"/>
    <mergeCell ref="F159:H159"/>
    <mergeCell ref="A160:E160"/>
    <mergeCell ref="A162:E162"/>
    <mergeCell ref="F156:H156"/>
    <mergeCell ref="A161:E161"/>
    <mergeCell ref="A132:B132"/>
    <mergeCell ref="A133:B133"/>
    <mergeCell ref="E115:F124"/>
    <mergeCell ref="A122:B122"/>
    <mergeCell ref="A123:B123"/>
    <mergeCell ref="E128:F128"/>
    <mergeCell ref="E129:F138"/>
    <mergeCell ref="A115:B115"/>
    <mergeCell ref="A129:B129"/>
    <mergeCell ref="C127:H127"/>
    <mergeCell ref="A128:B128"/>
    <mergeCell ref="A141:B141"/>
    <mergeCell ref="C141:H141"/>
    <mergeCell ref="A142:B142"/>
    <mergeCell ref="E142:F142"/>
    <mergeCell ref="G142:H142"/>
    <mergeCell ref="A307:H307"/>
    <mergeCell ref="E172:F172"/>
    <mergeCell ref="B303:H303"/>
    <mergeCell ref="B301:H301"/>
    <mergeCell ref="B297:H297"/>
    <mergeCell ref="A179:H179"/>
    <mergeCell ref="B295:H295"/>
    <mergeCell ref="B296:H296"/>
    <mergeCell ref="A178:B178"/>
    <mergeCell ref="C178:D178"/>
    <mergeCell ref="E178:F178"/>
    <mergeCell ref="G178:H178"/>
    <mergeCell ref="A267:H267"/>
    <mergeCell ref="A268:B268"/>
    <mergeCell ref="G268:H275"/>
    <mergeCell ref="A269:B269"/>
    <mergeCell ref="A270:B270"/>
    <mergeCell ref="A196:A197"/>
    <mergeCell ref="A233:B233"/>
    <mergeCell ref="A230:B230"/>
    <mergeCell ref="B302:H302"/>
    <mergeCell ref="A177:B177"/>
    <mergeCell ref="E177:F177"/>
    <mergeCell ref="C219:F220"/>
    <mergeCell ref="D67:H67"/>
    <mergeCell ref="A73:B73"/>
    <mergeCell ref="G72:H72"/>
    <mergeCell ref="D58:H58"/>
    <mergeCell ref="D59:H59"/>
    <mergeCell ref="C50:E50"/>
    <mergeCell ref="G53:H53"/>
    <mergeCell ref="D60:H60"/>
    <mergeCell ref="A311:H311"/>
    <mergeCell ref="A308:H308"/>
    <mergeCell ref="A172:B172"/>
    <mergeCell ref="D196:D197"/>
    <mergeCell ref="E196:E197"/>
    <mergeCell ref="G196:H197"/>
    <mergeCell ref="A119:B119"/>
    <mergeCell ref="A120:B120"/>
    <mergeCell ref="A121:B121"/>
    <mergeCell ref="A135:B135"/>
    <mergeCell ref="F154:H154"/>
    <mergeCell ref="A138:B138"/>
    <mergeCell ref="F161:H161"/>
    <mergeCell ref="C168:D168"/>
    <mergeCell ref="C177:D177"/>
    <mergeCell ref="A200:H200"/>
    <mergeCell ref="D66:H66"/>
    <mergeCell ref="G49:H49"/>
    <mergeCell ref="G51:H51"/>
    <mergeCell ref="A50:B50"/>
    <mergeCell ref="A54:H54"/>
    <mergeCell ref="A55:C55"/>
    <mergeCell ref="A56:C56"/>
    <mergeCell ref="D56:H56"/>
    <mergeCell ref="A51:B51"/>
    <mergeCell ref="A52:B52"/>
    <mergeCell ref="C51:E51"/>
    <mergeCell ref="I14:P14"/>
    <mergeCell ref="F164:H164"/>
    <mergeCell ref="F162:H162"/>
    <mergeCell ref="A231:B231"/>
    <mergeCell ref="A180:H180"/>
    <mergeCell ref="G168:H168"/>
    <mergeCell ref="A163:E163"/>
    <mergeCell ref="A186:B186"/>
    <mergeCell ref="A53:B53"/>
    <mergeCell ref="C53:E53"/>
    <mergeCell ref="D55:H55"/>
    <mergeCell ref="F163:H163"/>
    <mergeCell ref="E168:F168"/>
    <mergeCell ref="A168:B168"/>
    <mergeCell ref="C172:D172"/>
    <mergeCell ref="A169:B169"/>
    <mergeCell ref="C169:D169"/>
    <mergeCell ref="E42:H42"/>
    <mergeCell ref="A42:D42"/>
    <mergeCell ref="A111:B111"/>
    <mergeCell ref="C111:H111"/>
    <mergeCell ref="A78:B78"/>
    <mergeCell ref="A49:B49"/>
    <mergeCell ref="C49:E49"/>
    <mergeCell ref="L169:M169"/>
    <mergeCell ref="A175:B175"/>
    <mergeCell ref="C175:D175"/>
    <mergeCell ref="E175:F175"/>
    <mergeCell ref="G175:H175"/>
    <mergeCell ref="A176:B176"/>
    <mergeCell ref="C176:D176"/>
    <mergeCell ref="E176:F176"/>
    <mergeCell ref="G176:H176"/>
    <mergeCell ref="E169:F169"/>
    <mergeCell ref="A83:B83"/>
    <mergeCell ref="C83:H83"/>
    <mergeCell ref="A85:B85"/>
    <mergeCell ref="C85:H85"/>
    <mergeCell ref="A86:B86"/>
    <mergeCell ref="E86:F86"/>
    <mergeCell ref="G86:H86"/>
    <mergeCell ref="A87:B87"/>
    <mergeCell ref="E87:F96"/>
    <mergeCell ref="G87:H96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C97:H97"/>
    <mergeCell ref="A99:B99"/>
    <mergeCell ref="C99:H99"/>
    <mergeCell ref="A100:B100"/>
    <mergeCell ref="E100:F100"/>
    <mergeCell ref="G100:H100"/>
    <mergeCell ref="A101:B101"/>
    <mergeCell ref="E101:F110"/>
    <mergeCell ref="G101:H110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</mergeCells>
  <dataValidations count="12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81:E182" xr:uid="{00000000-0002-0000-0000-000003000000}">
      <formula1>"Attached Loft area,Attached Terrace area,Attached Mezzanine area"</formula1>
    </dataValidation>
    <dataValidation type="list" allowBlank="1" showInputMessage="1" showErrorMessage="1" sqref="F197 F182" xr:uid="{00000000-0002-0000-0000-000004000000}">
      <formula1>"45%,50%,55%,60%"</formula1>
    </dataValidation>
    <dataValidation type="list" allowBlank="1" showInputMessage="1" showErrorMessage="1" sqref="F153:H153" xr:uid="{00000000-0002-0000-0000-000005000000}">
      <formula1>"On Saleable Area,On Builtup Area,On Carpet Area,On Plot Area"</formula1>
    </dataValidation>
    <dataValidation type="list" allowBlank="1" showInputMessage="1" showErrorMessage="1" sqref="F165:H165" xr:uid="{00000000-0002-0000-0000-000006000000}">
      <formula1>"100000,150000,200000,250000,300000,350000,400000,500000,600000,700000,800000,900000,1000000,1200000,1400000,1500000"</formula1>
    </dataValidation>
    <dataValidation type="list" allowBlank="1" showInputMessage="1" showErrorMessage="1" sqref="F181 F196" xr:uid="{00000000-0002-0000-0000-000007000000}">
      <formula1>"Saleable area Loading :,Builder Saleable area"</formula1>
    </dataValidation>
    <dataValidation type="list" allowBlank="1" showInputMessage="1" showErrorMessage="1" sqref="B181:B182" xr:uid="{00000000-0002-0000-0000-000008000000}">
      <formula1>"Shop No. (Sale Plan),Sale / Rehab,Sale / Mhada"</formula1>
    </dataValidation>
    <dataValidation type="list" allowBlank="1" showInputMessage="1" showErrorMessage="1" sqref="B196:B197" xr:uid="{00000000-0002-0000-0000-000009000000}">
      <formula1>"Flat No. (Sale Plan),Sale / Rehab,Sale / Mhada"</formula1>
    </dataValidation>
    <dataValidation type="list" allowBlank="1" showInputMessage="1" showErrorMessage="1" sqref="C20:D20" xr:uid="{00000000-0002-0000-0000-00000A000000}">
      <formula1>OFFSET($S$12,1,MATCH($G19,$S$12:$W$12,0)-1,15,1)</formula1>
    </dataValidation>
    <dataValidation type="list" allowBlank="1" showInputMessage="1" showErrorMessage="1" sqref="Y12" xr:uid="{00000000-0002-0000-0000-00000B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8" max="16383" man="1"/>
    <brk id="317" max="7" man="1"/>
    <brk id="359" max="16383" man="1"/>
    <brk id="401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7" t="s">
        <v>106</v>
      </c>
      <c r="C3" s="207"/>
      <c r="D3" s="207"/>
      <c r="E3" s="207"/>
      <c r="F3" s="207"/>
      <c r="G3" s="207"/>
      <c r="H3" s="207"/>
    </row>
    <row r="4" spans="1:9" x14ac:dyDescent="0.3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55"/>
      <c r="C4" s="55" t="s">
        <v>12</v>
      </c>
      <c r="D4" s="56" t="s">
        <v>175</v>
      </c>
      <c r="E4" s="56" t="s">
        <v>185</v>
      </c>
      <c r="F4" s="56" t="s">
        <v>169</v>
      </c>
      <c r="G4" s="56" t="s">
        <v>190</v>
      </c>
      <c r="H4" s="56" t="s">
        <v>208</v>
      </c>
      <c r="J4" t="s">
        <v>190</v>
      </c>
      <c r="K4" t="s">
        <v>206</v>
      </c>
    </row>
    <row r="5" spans="2:11" x14ac:dyDescent="0.3">
      <c r="B5" s="55"/>
      <c r="C5" s="55"/>
      <c r="D5" s="56" t="s">
        <v>176</v>
      </c>
      <c r="E5" s="56" t="s">
        <v>183</v>
      </c>
      <c r="F5" s="56" t="s">
        <v>205</v>
      </c>
      <c r="G5" s="56" t="s">
        <v>191</v>
      </c>
      <c r="H5" s="56" t="s">
        <v>209</v>
      </c>
    </row>
    <row r="6" spans="2:11" x14ac:dyDescent="0.3">
      <c r="B6" s="55"/>
      <c r="C6" s="55"/>
      <c r="D6" s="56" t="s">
        <v>177</v>
      </c>
      <c r="E6" s="56" t="s">
        <v>184</v>
      </c>
      <c r="F6" s="56" t="s">
        <v>206</v>
      </c>
      <c r="G6" s="56" t="s">
        <v>192</v>
      </c>
      <c r="H6" s="56" t="s">
        <v>222</v>
      </c>
    </row>
    <row r="7" spans="2:11" x14ac:dyDescent="0.3">
      <c r="B7" s="55"/>
      <c r="C7" s="55"/>
      <c r="D7" s="56" t="s">
        <v>178</v>
      </c>
      <c r="E7" s="56" t="s">
        <v>186</v>
      </c>
      <c r="F7" s="56" t="s">
        <v>207</v>
      </c>
      <c r="G7" s="56" t="s">
        <v>193</v>
      </c>
      <c r="H7" s="56" t="s">
        <v>210</v>
      </c>
    </row>
    <row r="8" spans="2:11" x14ac:dyDescent="0.3">
      <c r="B8" s="55"/>
      <c r="C8" s="55"/>
      <c r="D8" s="56" t="s">
        <v>179</v>
      </c>
      <c r="E8" s="56" t="s">
        <v>187</v>
      </c>
      <c r="F8" s="56"/>
      <c r="G8" s="56" t="s">
        <v>194</v>
      </c>
      <c r="H8" s="56" t="s">
        <v>211</v>
      </c>
    </row>
    <row r="9" spans="2:11" x14ac:dyDescent="0.3">
      <c r="B9" s="55"/>
      <c r="C9" s="55"/>
      <c r="D9" s="56" t="s">
        <v>180</v>
      </c>
      <c r="E9" s="56" t="s">
        <v>185</v>
      </c>
      <c r="F9" s="56"/>
      <c r="G9" s="56" t="s">
        <v>195</v>
      </c>
      <c r="H9" s="56" t="s">
        <v>212</v>
      </c>
    </row>
    <row r="10" spans="2:11" x14ac:dyDescent="0.3">
      <c r="B10" s="55"/>
      <c r="C10" s="55"/>
      <c r="D10" s="56" t="s">
        <v>181</v>
      </c>
      <c r="E10" s="56" t="s">
        <v>188</v>
      </c>
      <c r="F10" s="56"/>
      <c r="G10" s="56" t="s">
        <v>196</v>
      </c>
      <c r="H10" s="56" t="s">
        <v>213</v>
      </c>
    </row>
    <row r="11" spans="2:11" x14ac:dyDescent="0.3">
      <c r="B11" s="55"/>
      <c r="C11" s="55"/>
      <c r="D11" s="56" t="s">
        <v>182</v>
      </c>
      <c r="E11" s="56" t="s">
        <v>189</v>
      </c>
      <c r="F11" s="56"/>
      <c r="G11" s="56" t="s">
        <v>197</v>
      </c>
      <c r="H11" s="56" t="s">
        <v>214</v>
      </c>
    </row>
    <row r="12" spans="2:11" x14ac:dyDescent="0.3">
      <c r="B12" s="55"/>
      <c r="C12" s="55"/>
      <c r="D12" s="56"/>
      <c r="E12" s="56"/>
      <c r="F12" s="56"/>
      <c r="G12" s="56" t="s">
        <v>198</v>
      </c>
      <c r="H12" s="56" t="s">
        <v>215</v>
      </c>
    </row>
    <row r="13" spans="2:11" x14ac:dyDescent="0.3">
      <c r="B13" s="55"/>
      <c r="C13" s="55"/>
      <c r="D13" s="56"/>
      <c r="E13" s="56"/>
      <c r="F13" s="56"/>
      <c r="G13" s="56" t="s">
        <v>199</v>
      </c>
      <c r="H13" s="56" t="s">
        <v>216</v>
      </c>
    </row>
    <row r="14" spans="2:11" x14ac:dyDescent="0.3">
      <c r="B14" s="55"/>
      <c r="C14" s="55"/>
      <c r="D14" s="56"/>
      <c r="E14" s="56"/>
      <c r="F14" s="56"/>
      <c r="G14" s="56" t="s">
        <v>200</v>
      </c>
      <c r="H14" s="56" t="s">
        <v>217</v>
      </c>
    </row>
    <row r="15" spans="2:11" x14ac:dyDescent="0.3">
      <c r="B15" s="55"/>
      <c r="C15" s="55"/>
      <c r="D15" s="56"/>
      <c r="E15" s="56"/>
      <c r="F15" s="56"/>
      <c r="G15" s="56" t="s">
        <v>201</v>
      </c>
      <c r="H15" s="56" t="s">
        <v>218</v>
      </c>
    </row>
    <row r="16" spans="2:11" x14ac:dyDescent="0.3">
      <c r="B16" s="55"/>
      <c r="C16" s="55"/>
      <c r="D16" s="56"/>
      <c r="E16" s="56"/>
      <c r="F16" s="56"/>
      <c r="G16" s="56" t="s">
        <v>202</v>
      </c>
      <c r="H16" s="56" t="s">
        <v>219</v>
      </c>
    </row>
    <row r="17" spans="2:8" x14ac:dyDescent="0.3">
      <c r="B17" s="55"/>
      <c r="C17" s="55"/>
      <c r="D17" s="56"/>
      <c r="E17" s="56"/>
      <c r="F17" s="56"/>
      <c r="G17" s="56" t="s">
        <v>203</v>
      </c>
      <c r="H17" s="56" t="s">
        <v>220</v>
      </c>
    </row>
    <row r="18" spans="2:8" x14ac:dyDescent="0.3">
      <c r="B18" s="55"/>
      <c r="C18" s="55"/>
      <c r="D18" s="56"/>
      <c r="E18" s="56"/>
      <c r="F18" s="56"/>
      <c r="G18" s="56" t="s">
        <v>204</v>
      </c>
      <c r="H18" s="56" t="s">
        <v>221</v>
      </c>
    </row>
    <row r="24" spans="2:8" x14ac:dyDescent="0.3">
      <c r="C24" t="s">
        <v>167</v>
      </c>
    </row>
    <row r="25" spans="2:8" x14ac:dyDescent="0.3">
      <c r="C25" t="s">
        <v>223</v>
      </c>
    </row>
    <row r="26" spans="2:8" x14ac:dyDescent="0.3">
      <c r="C26" t="s">
        <v>224</v>
      </c>
    </row>
    <row r="27" spans="2:8" x14ac:dyDescent="0.3">
      <c r="C27" t="s">
        <v>225</v>
      </c>
    </row>
    <row r="28" spans="2:8" x14ac:dyDescent="0.3">
      <c r="C28" t="s">
        <v>226</v>
      </c>
    </row>
    <row r="29" spans="2:8" x14ac:dyDescent="0.3">
      <c r="C29" t="s">
        <v>227</v>
      </c>
    </row>
    <row r="30" spans="2:8" x14ac:dyDescent="0.3">
      <c r="C30" t="s">
        <v>167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2025-09-09T10:57:06Z</cp:lastPrinted>
  <dcterms:created xsi:type="dcterms:W3CDTF">2019-07-16T09:29:46Z</dcterms:created>
  <dcterms:modified xsi:type="dcterms:W3CDTF">2025-09-09T10:57:58Z</dcterms:modified>
</cp:coreProperties>
</file>