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D:\Kunal\Sept 25\Axis\Dump\"/>
    </mc:Choice>
  </mc:AlternateContent>
  <xr:revisionPtr revIDLastSave="0" documentId="13_ncr:1_{5B92427D-E410-4060-8B34-99C76F77601E}"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Research" sheetId="4" r:id="rId3"/>
    <sheet name="Remarks" sheetId="6" r:id="rId4"/>
  </sheets>
  <definedNames>
    <definedName name="_xlnm.Print_Area" localSheetId="0">Report!$A$1:$H$345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4" i="1" l="1"/>
  <c r="E175" i="1" l="1"/>
  <c r="E173" i="1"/>
  <c r="J191" i="1" l="1"/>
  <c r="G195" i="1"/>
  <c r="E195" i="1"/>
  <c r="D195" i="1"/>
  <c r="J190" i="1"/>
  <c r="G194" i="1"/>
  <c r="E194" i="1"/>
  <c r="D194" i="1"/>
  <c r="J189" i="1"/>
  <c r="G193" i="1"/>
  <c r="E193" i="1"/>
  <c r="D193" i="1"/>
  <c r="A193" i="1"/>
  <c r="A194" i="1" s="1"/>
  <c r="A195" i="1" s="1"/>
  <c r="J188" i="1"/>
  <c r="I188" i="1"/>
  <c r="G192" i="1"/>
  <c r="E192" i="1"/>
  <c r="D192" i="1"/>
  <c r="F192" i="1" l="1"/>
  <c r="F193" i="1"/>
  <c r="H193" i="1" s="1"/>
  <c r="F194" i="1"/>
  <c r="H194" i="1" s="1"/>
  <c r="F195" i="1"/>
  <c r="H195" i="1" s="1"/>
  <c r="E46" i="1"/>
  <c r="D62" i="1" s="1"/>
  <c r="H192" i="1" l="1"/>
  <c r="G152" i="1" s="1"/>
  <c r="C152" i="1"/>
  <c r="E152" i="1"/>
  <c r="C118" i="1"/>
  <c r="J186" i="1"/>
  <c r="J185" i="1"/>
  <c r="J184" i="1"/>
  <c r="J183" i="1"/>
  <c r="I183" i="1"/>
  <c r="J179" i="1"/>
  <c r="J178" i="1"/>
  <c r="J177" i="1"/>
  <c r="J176" i="1"/>
  <c r="I178" i="1"/>
  <c r="I176" i="1"/>
  <c r="D190" i="1"/>
  <c r="D188" i="1"/>
  <c r="E190" i="1"/>
  <c r="E189" i="1"/>
  <c r="E188" i="1"/>
  <c r="E187" i="1"/>
  <c r="D187" i="1"/>
  <c r="D189" i="1"/>
  <c r="D181" i="1"/>
  <c r="D183" i="1"/>
  <c r="D182" i="1"/>
  <c r="E182" i="1"/>
  <c r="E181" i="1"/>
  <c r="E180" i="1"/>
  <c r="D180" i="1"/>
  <c r="G190" i="1"/>
  <c r="G183" i="1"/>
  <c r="E183" i="1"/>
  <c r="G189" i="1"/>
  <c r="G188" i="1"/>
  <c r="A188" i="1"/>
  <c r="A189" i="1" s="1"/>
  <c r="A190" i="1" s="1"/>
  <c r="G187" i="1"/>
  <c r="G182" i="1"/>
  <c r="G181" i="1"/>
  <c r="A181" i="1"/>
  <c r="A182" i="1" s="1"/>
  <c r="A183" i="1" s="1"/>
  <c r="G180" i="1"/>
  <c r="F182" i="1" l="1"/>
  <c r="H182" i="1" s="1"/>
  <c r="F190" i="1"/>
  <c r="H190" i="1" s="1"/>
  <c r="F180" i="1"/>
  <c r="F181" i="1"/>
  <c r="H181" i="1" s="1"/>
  <c r="F187" i="1"/>
  <c r="F188" i="1"/>
  <c r="H188" i="1" s="1"/>
  <c r="F189" i="1"/>
  <c r="H189" i="1" s="1"/>
  <c r="F183" i="1"/>
  <c r="H183" i="1" s="1"/>
  <c r="G175" i="1"/>
  <c r="G174" i="1"/>
  <c r="G173" i="1"/>
  <c r="G169" i="1"/>
  <c r="G168" i="1"/>
  <c r="G167" i="1"/>
  <c r="E174" i="1"/>
  <c r="E169" i="1"/>
  <c r="E168" i="1"/>
  <c r="E167" i="1"/>
  <c r="J170" i="1"/>
  <c r="J171" i="1"/>
  <c r="I171" i="1"/>
  <c r="I169" i="1"/>
  <c r="D174" i="1"/>
  <c r="D173" i="1"/>
  <c r="A174" i="1"/>
  <c r="A175" i="1" s="1"/>
  <c r="D169" i="1"/>
  <c r="A168" i="1"/>
  <c r="A169" i="1" s="1"/>
  <c r="E156" i="1" l="1"/>
  <c r="E157" i="1" s="1"/>
  <c r="E151" i="1"/>
  <c r="C151" i="1"/>
  <c r="C156" i="1"/>
  <c r="C157" i="1" s="1"/>
  <c r="H187" i="1"/>
  <c r="G156" i="1" s="1"/>
  <c r="G157" i="1" s="1"/>
  <c r="H180" i="1"/>
  <c r="G151" i="1" s="1"/>
  <c r="D175" i="1"/>
  <c r="F175" i="1" s="1"/>
  <c r="F174" i="1"/>
  <c r="F173" i="1"/>
  <c r="J157" i="1"/>
  <c r="D168" i="1"/>
  <c r="D167" i="1"/>
  <c r="J169" i="1"/>
  <c r="G51" i="1"/>
  <c r="E150" i="1" l="1"/>
  <c r="C150" i="1"/>
  <c r="H175" i="1"/>
  <c r="H174" i="1"/>
  <c r="H173" i="1"/>
  <c r="C16" i="1"/>
  <c r="G150" i="1" l="1"/>
  <c r="E8" i="1"/>
  <c r="E3" i="1"/>
  <c r="B198" i="1" l="1"/>
  <c r="G58" i="1" l="1"/>
  <c r="C58" i="1"/>
  <c r="G56" i="1"/>
  <c r="C56" i="1"/>
  <c r="C54" i="1"/>
  <c r="S33" i="1" l="1"/>
  <c r="F11" i="5" l="1"/>
  <c r="G11" i="5" s="1"/>
  <c r="F10" i="5"/>
  <c r="G10" i="5" s="1"/>
  <c r="F9" i="5"/>
  <c r="G9" i="5" s="1"/>
  <c r="F8" i="5"/>
  <c r="G8" i="5" s="1"/>
  <c r="F7" i="5"/>
  <c r="G7" i="5" s="1"/>
  <c r="F6" i="5"/>
  <c r="G6" i="5" s="1"/>
  <c r="F5" i="5"/>
  <c r="G5" i="5" s="1"/>
  <c r="G12" i="5" s="1"/>
  <c r="D220" i="1"/>
  <c r="F169" i="1"/>
  <c r="H169" i="1" s="1"/>
  <c r="K169" i="1" s="1"/>
  <c r="F168" i="1"/>
  <c r="H168" i="1" s="1"/>
  <c r="K168" i="1" s="1"/>
  <c r="F167" i="1"/>
  <c r="F141" i="1"/>
  <c r="C90" i="1"/>
  <c r="C76" i="1"/>
  <c r="D70" i="1"/>
  <c r="G52" i="1"/>
  <c r="C51" i="1"/>
  <c r="C52" i="1" s="1"/>
  <c r="E44" i="1"/>
  <c r="E45" i="1" s="1"/>
  <c r="E31" i="1"/>
  <c r="E28" i="1"/>
  <c r="E26" i="1"/>
  <c r="I15" i="1"/>
  <c r="Z13" i="1"/>
  <c r="H91" i="1"/>
  <c r="H77" i="1"/>
  <c r="E149" i="1" l="1"/>
  <c r="E153" i="1" s="1"/>
  <c r="E158" i="1" s="1"/>
  <c r="C149" i="1"/>
  <c r="C153" i="1" s="1"/>
  <c r="C158" i="1" s="1"/>
  <c r="H167" i="1"/>
  <c r="J76" i="1"/>
  <c r="J78" i="1" s="1"/>
  <c r="J79" i="1"/>
  <c r="J80" i="1"/>
  <c r="J81" i="1"/>
  <c r="C80" i="1" s="1"/>
  <c r="J95" i="1"/>
  <c r="D99" i="1"/>
  <c r="D101" i="1"/>
  <c r="J94" i="1"/>
  <c r="D100" i="1"/>
  <c r="J90" i="1"/>
  <c r="J92" i="1" s="1"/>
  <c r="D98" i="1"/>
  <c r="J93" i="1"/>
  <c r="D97" i="1"/>
  <c r="D103" i="1"/>
  <c r="D102" i="1"/>
  <c r="D96" i="1"/>
  <c r="D84" i="1"/>
  <c r="D86" i="1"/>
  <c r="D85" i="1"/>
  <c r="D89" i="1"/>
  <c r="D83" i="1"/>
  <c r="D88" i="1"/>
  <c r="D82" i="1"/>
  <c r="D87" i="1"/>
  <c r="B91" i="1"/>
  <c r="B77" i="1"/>
  <c r="J82" i="1" s="1"/>
  <c r="G149" i="1" l="1"/>
  <c r="L166" i="1"/>
  <c r="M166" i="1" s="1"/>
  <c r="K167" i="1"/>
  <c r="J167" i="1"/>
  <c r="B119" i="1"/>
  <c r="G153" i="1"/>
  <c r="G158" i="1" s="1"/>
  <c r="C94" i="1"/>
  <c r="D94" i="1" s="1"/>
  <c r="D80" i="1"/>
  <c r="J101" i="1"/>
  <c r="J98" i="1"/>
  <c r="J100" i="1"/>
  <c r="J99" i="1"/>
  <c r="J96" i="1"/>
  <c r="J86" i="1"/>
  <c r="J84" i="1"/>
  <c r="J85" i="1"/>
  <c r="J83" i="1"/>
  <c r="J88" i="1" s="1"/>
  <c r="J89" i="1" s="1"/>
  <c r="C81" i="1" s="1"/>
  <c r="J87" i="1"/>
  <c r="H119" i="1"/>
  <c r="J123" i="1" l="1"/>
  <c r="C122" i="1" s="1"/>
  <c r="D122" i="1" s="1"/>
  <c r="J121" i="1"/>
  <c r="J118" i="1"/>
  <c r="J120" i="1" s="1"/>
  <c r="D131" i="1"/>
  <c r="D130" i="1"/>
  <c r="D129" i="1"/>
  <c r="D128" i="1"/>
  <c r="D127" i="1"/>
  <c r="D126" i="1"/>
  <c r="D125" i="1"/>
  <c r="D124" i="1"/>
  <c r="J122" i="1"/>
  <c r="J129" i="1"/>
  <c r="J128" i="1"/>
  <c r="J127" i="1"/>
  <c r="J126" i="1"/>
  <c r="J124" i="1"/>
  <c r="J125" i="1" s="1"/>
  <c r="J97" i="1"/>
  <c r="J102" i="1" s="1"/>
  <c r="J103" i="1" s="1"/>
  <c r="C95" i="1" s="1"/>
  <c r="G94" i="1" s="1"/>
  <c r="J77" i="1"/>
  <c r="E80" i="1"/>
  <c r="D81" i="1"/>
  <c r="I77" i="1" s="1"/>
  <c r="G80" i="1"/>
  <c r="D74" i="1" s="1"/>
  <c r="J130" i="1" l="1"/>
  <c r="J131" i="1" s="1"/>
  <c r="C123" i="1"/>
  <c r="E122" i="1" s="1"/>
  <c r="J91" i="1"/>
  <c r="D95" i="1"/>
  <c r="E94" i="1"/>
  <c r="F75" i="1"/>
  <c r="D75" i="1"/>
  <c r="I78" i="1"/>
  <c r="I76" i="1" s="1"/>
  <c r="C78" i="1" s="1"/>
  <c r="J119" i="1" l="1"/>
  <c r="D123" i="1"/>
  <c r="I119" i="1" s="1"/>
  <c r="I120" i="1" s="1"/>
  <c r="G122" i="1"/>
  <c r="I91" i="1"/>
  <c r="I92" i="1" s="1"/>
  <c r="I118" i="1" l="1"/>
  <c r="C120" i="1" s="1"/>
  <c r="I90" i="1"/>
  <c r="C92" i="1" s="1"/>
  <c r="B105" i="1"/>
  <c r="H105" i="1"/>
  <c r="D117" i="1" l="1"/>
  <c r="D116" i="1"/>
  <c r="D115" i="1"/>
  <c r="D114" i="1"/>
  <c r="D113" i="1"/>
  <c r="D112" i="1"/>
  <c r="D111" i="1"/>
  <c r="D110" i="1"/>
  <c r="J108" i="1"/>
  <c r="J109" i="1"/>
  <c r="C108" i="1" s="1"/>
  <c r="D108" i="1" s="1"/>
  <c r="J107" i="1"/>
  <c r="J104" i="1"/>
  <c r="J106" i="1" s="1"/>
  <c r="J115" i="1"/>
  <c r="J114" i="1"/>
  <c r="J113" i="1"/>
  <c r="J112" i="1"/>
  <c r="J110" i="1"/>
  <c r="J111" i="1" l="1"/>
  <c r="J116" i="1" l="1"/>
  <c r="J117" i="1" s="1"/>
  <c r="C109" i="1" s="1"/>
  <c r="D109" i="1" l="1"/>
  <c r="I105" i="1" s="1"/>
  <c r="I106" i="1" s="1"/>
  <c r="E108" i="1"/>
  <c r="J105" i="1"/>
  <c r="G108" i="1"/>
  <c r="I104" i="1" l="1"/>
  <c r="C10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5" authorId="1" shapeId="0" xr:uid="{00000000-0006-0000-0000-000003000000}">
      <text>
        <r>
          <rPr>
            <b/>
            <sz val="9"/>
            <color indexed="81"/>
            <rFont val="Tahoma"/>
            <family val="2"/>
          </rPr>
          <t>SACHIN:</t>
        </r>
        <r>
          <rPr>
            <sz val="9"/>
            <color indexed="81"/>
            <rFont val="Tahoma"/>
            <family val="2"/>
          </rPr>
          <t xml:space="preserve">
Floor with height</t>
        </r>
      </text>
    </comment>
    <comment ref="C57" authorId="1" shapeId="0" xr:uid="{00000000-0006-0000-0000-000004000000}">
      <text>
        <r>
          <rPr>
            <b/>
            <sz val="9"/>
            <color indexed="81"/>
            <rFont val="Tahoma"/>
            <family val="2"/>
          </rPr>
          <t>SACHIN:</t>
        </r>
        <r>
          <rPr>
            <sz val="9"/>
            <color indexed="81"/>
            <rFont val="Tahoma"/>
            <family val="2"/>
          </rPr>
          <t xml:space="preserve">
Survey Nos.</t>
        </r>
      </text>
    </comment>
    <comment ref="C59" authorId="1" shapeId="0" xr:uid="{00000000-0006-0000-0000-000005000000}">
      <text>
        <r>
          <rPr>
            <b/>
            <sz val="9"/>
            <color indexed="81"/>
            <rFont val="Tahoma"/>
            <family val="2"/>
          </rPr>
          <t>SACHIN:</t>
        </r>
        <r>
          <rPr>
            <sz val="9"/>
            <color indexed="81"/>
            <rFont val="Tahoma"/>
            <family val="2"/>
          </rPr>
          <t xml:space="preserve">
Height from AMSL</t>
        </r>
      </text>
    </comment>
    <comment ref="D62"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134" authorId="1" shapeId="0" xr:uid="{00000000-0006-0000-0000-000007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62" authorId="1" shapeId="0" xr:uid="{00000000-0006-0000-0000-000008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<sst xmlns="http://schemas.openxmlformats.org/spreadsheetml/2006/main" count="679" uniqueCount="352">
  <si>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</si>
  <si>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</si>
  <si>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</si>
  <si>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</si>
  <si>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</si>
  <si>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</si>
  <si>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</si>
  <si>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</si>
  <si>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</si>
  <si>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</si>
  <si>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</si>
  <si>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</si>
  <si>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</si>
  <si>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</si>
  <si>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</si>
  <si>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</si>
  <si>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</si>
  <si>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</si>
  <si>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</si>
  <si>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</si>
  <si>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</si>
  <si>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</si>
  <si>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</si>
  <si>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</si>
  <si>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</si>
  <si>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</si>
  <si>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</si>
  <si>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</si>
  <si>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</si>
  <si>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</si>
  <si>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</si>
  <si>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</si>
  <si>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</si>
  <si>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</si>
  <si>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</si>
  <si>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</si>
  <si>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</si>
  <si>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</si>
  <si>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</si>
  <si>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</si>
  <si>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</si>
  <si>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</si>
  <si>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</si>
  <si>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</si>
  <si>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</si>
  <si>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</si>
  <si>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</si>
  <si>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</si>
  <si>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</si>
  <si>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</si>
  <si>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</si>
  <si>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</si>
  <si>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</si>
  <si>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</si>
  <si>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</si>
  <si>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</si>
  <si>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</si>
  <si>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</si>
  <si>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</si>
  <si>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</si>
  <si>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</si>
  <si>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</si>
  <si>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</si>
  <si>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</si>
  <si>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</si>
  <si>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</si>
  <si>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</si>
  <si>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</si>
  <si>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</si>
  <si>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</si>
  <si>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</si>
  <si>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</si>
  <si>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</si>
  <si>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</si>
  <si>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</si>
  <si>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</si>
  <si>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</si>
  <si>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</si>
  <si>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</si>
  <si>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</si>
  <si>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</si>
  <si>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</si>
  <si>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</si>
  <si>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</si>
  <si>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</si>
  <si>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</si>
  <si>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</si>
  <si>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</si>
  <si>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</si>
  <si>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</si>
  <si>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</si>
  <si>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</si>
  <si>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</si>
  <si>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</si>
  <si>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</si>
  <si>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</si>
  <si>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</si>
  <si>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</si>
  <si>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</si>
  <si>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</si>
  <si>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</si>
  <si>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</si>
  <si>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</si>
  <si>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</si>
  <si>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</si>
  <si>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</si>
  <si>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</si>
  <si>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</si>
  <si>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</si>
  <si>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</si>
  <si>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</si>
  <si>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</si>
  <si>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</si>
  <si>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</si>
  <si>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</si>
  <si>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</si>
  <si>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</si>
  <si>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</si>
  <si>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</si>
  <si>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</si>
  <si>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</si>
  <si>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</si>
  <si>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</si>
  <si>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</si>
  <si>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</si>
  <si>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</si>
  <si>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</si>
  <si>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</si>
  <si>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</si>
  <si>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</si>
  <si>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</si>
  <si>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</si>
  <si>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</si>
  <si>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</si>
  <si>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</si>
  <si>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</si>
  <si>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</si>
  <si>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</si>
  <si>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</si>
  <si>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</si>
  <si>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</si>
  <si>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</si>
  <si>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</si>
  <si>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</si>
  <si>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</si>
  <si>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</si>
  <si>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</si>
  <si>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</si>
  <si>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Recommended Rates of the Property : </t>
  </si>
  <si>
    <t>Recommended rate of the Flat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</si>
  <si>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</si>
  <si>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</si>
  <si>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</si>
  <si>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</si>
  <si>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</si>
  <si>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</si>
  <si>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</si>
  <si>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</si>
  <si>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</si>
  <si>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</si>
  <si>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</si>
  <si>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</si>
  <si>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</si>
  <si>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</si>
  <si>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</si>
  <si>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</si>
  <si>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</si>
  <si>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</si>
  <si>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</si>
  <si>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</si>
  <si>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</si>
  <si>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</si>
  <si>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</si>
  <si>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</si>
  <si>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</si>
  <si>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</si>
  <si>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</si>
  <si>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</si>
  <si>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</si>
  <si>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</si>
  <si>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</si>
  <si>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</si>
  <si>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</si>
  <si>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</si>
  <si>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</si>
  <si>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</si>
  <si>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</si>
  <si>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</si>
  <si>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</si>
  <si>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</si>
  <si>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</si>
  <si>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</si>
  <si>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</si>
  <si>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</si>
  <si>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</si>
  <si>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</si>
  <si>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</si>
  <si>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</si>
  <si>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</si>
  <si>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</si>
  <si>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</si>
  <si>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</si>
  <si>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</si>
  <si>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</si>
  <si>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</si>
  <si>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</si>
  <si>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</si>
  <si>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</si>
  <si>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</si>
  <si>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</si>
  <si>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</si>
  <si>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</si>
  <si>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</si>
  <si>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</si>
  <si>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</si>
  <si>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</si>
  <si>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</si>
  <si>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</si>
  <si>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</si>
  <si>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</si>
  <si>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</si>
  <si>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</si>
  <si>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</si>
  <si>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</si>
  <si>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</si>
  <si>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</si>
  <si>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</si>
  <si>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</si>
  <si>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</si>
  <si>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</si>
  <si>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</si>
  <si>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</si>
  <si>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</si>
  <si>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</si>
  <si>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</si>
  <si>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</si>
  <si>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</si>
  <si>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</si>
  <si>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</si>
  <si>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</si>
  <si>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</si>
  <si>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</si>
  <si>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</si>
  <si>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</si>
  <si>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</si>
  <si>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</si>
  <si>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</si>
  <si>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</si>
  <si>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</si>
  <si>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</si>
  <si>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</si>
  <si>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</si>
  <si>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</si>
  <si>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</si>
  <si>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</si>
  <si>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</si>
  <si>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</si>
  <si>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</si>
  <si>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</si>
  <si>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</si>
  <si>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</si>
  <si>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</si>
  <si>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</si>
  <si>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</si>
  <si>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</si>
  <si>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</si>
  <si>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</si>
  <si>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</si>
  <si>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</si>
  <si>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</si>
  <si>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</si>
  <si>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</si>
  <si>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</si>
  <si>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</si>
  <si>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</si>
  <si>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</si>
  <si>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</si>
  <si>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</si>
  <si>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</si>
  <si>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</si>
  <si>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</si>
  <si>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</si>
  <si>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Shanti Developers</t>
  </si>
  <si>
    <t>P52000052940</t>
  </si>
  <si>
    <t>Survey No</t>
  </si>
  <si>
    <t>5/1/1</t>
  </si>
  <si>
    <t>Harigram</t>
  </si>
  <si>
    <t>Ram Krishnaa Academy (Vidyadhiraj Charitable Trust)</t>
  </si>
  <si>
    <t>Internal Road</t>
  </si>
  <si>
    <t>Panvel East</t>
  </si>
  <si>
    <t>5.7KM from Panvel Railway Station</t>
  </si>
  <si>
    <t>Shanti Skyraa</t>
  </si>
  <si>
    <t>Survey No. 4/0</t>
  </si>
  <si>
    <t>Survey No. 5/1/2</t>
  </si>
  <si>
    <t>Survey No. 5/3</t>
  </si>
  <si>
    <t>Panvel Pride</t>
  </si>
  <si>
    <t>Open Plot</t>
  </si>
  <si>
    <t>Houses</t>
  </si>
  <si>
    <t>Meenakshi &amp; Gangadhar Bhat Memorial Hospital (Vidyadhiraj Charitable Trust)</t>
  </si>
  <si>
    <t>Total Permissible Builtup area of the project (Sq.Mt)</t>
  </si>
  <si>
    <t xml:space="preserve">Commencement-CC No
Valid Up to: </t>
  </si>
  <si>
    <t>As per RERA - 31/12/2026</t>
  </si>
  <si>
    <t>Yoga Meditation Area, Jogging Track, Senior Citizen Zone, Gazebo Area, Gym &amp; Kids Play Area.</t>
  </si>
  <si>
    <r>
      <t xml:space="preserve">Proposed Amenities :                                                                                                                                                                                                                         </t>
    </r>
    <r>
      <rPr>
        <b/>
        <sz val="12"/>
        <rFont val="Times New Roman"/>
        <family val="1"/>
      </rPr>
      <t xml:space="preserve">                                               </t>
    </r>
  </si>
  <si>
    <t>Wing A</t>
  </si>
  <si>
    <t>1BHK</t>
  </si>
  <si>
    <t>Sale / EWS</t>
  </si>
  <si>
    <t>Sale</t>
  </si>
  <si>
    <t>Wing B</t>
  </si>
  <si>
    <t>Building No. 1</t>
  </si>
  <si>
    <t>Residential Area Details : Sale Flats</t>
  </si>
  <si>
    <t xml:space="preserve">Construction work is in process at the time of Visit (labour found)
</t>
  </si>
  <si>
    <t>Approved Plans, CC, Cost Sheet</t>
  </si>
  <si>
    <t>2BHK</t>
  </si>
  <si>
    <t>Balcony Area</t>
  </si>
  <si>
    <t>Ground Floor for Parking, Society Office, Meter Room, Entrance Lobby</t>
  </si>
  <si>
    <t>Ground Floor for Parking, Drivers Room, Entrance Lobby</t>
  </si>
  <si>
    <t>1st to 7th Floor For Residential</t>
  </si>
  <si>
    <t>CIDCO/NAINA/Panvel/Harigram/BP-00657/ACC/2025/0772</t>
  </si>
  <si>
    <t>19.0206827,73.1552385</t>
  </si>
  <si>
    <t>https://maps.app.goo.gl/M5r1twmQnMo3kXnH6</t>
  </si>
  <si>
    <t xml:space="preserve">Details of Residential in Building   </t>
  </si>
  <si>
    <t>6.00 Mt. Wide Existing Road</t>
  </si>
  <si>
    <t>Mr. Gorakhnath Dubey 9867368872</t>
  </si>
  <si>
    <t>Building No. 2</t>
  </si>
  <si>
    <t>Wing C</t>
  </si>
  <si>
    <t>Wing D</t>
  </si>
  <si>
    <t>1st to 5th Floor For Residential</t>
  </si>
  <si>
    <t>EWS</t>
  </si>
  <si>
    <t>Building No.1 (Wing A &amp; B)
Building No.2 (Wing C &amp; D)</t>
  </si>
  <si>
    <t>1st to 4th Floor For Residential</t>
  </si>
  <si>
    <t>5th Floor</t>
  </si>
  <si>
    <t>Sale Flats - 66, EWS Flats - 16</t>
  </si>
  <si>
    <t>Building No.1 (A Wing) = G + 1st to 7th Floor
Building No.1 (B Wing) = G + 1st to 7th Floor
Building No.2 (C Wing) = G + 1st to 5th Floor
Building No.2 (D Wing) = G + 1st to 5th Floor</t>
  </si>
  <si>
    <t>Building No.1 (A Wing) = G + 1st to 7th Floor</t>
  </si>
  <si>
    <t>Building No.1 (B Wing) = G + 1st to 7th Floor</t>
  </si>
  <si>
    <t>Residential Area Details : EWS Flats</t>
  </si>
  <si>
    <t xml:space="preserve">Wing D </t>
  </si>
  <si>
    <t>Grand Total</t>
  </si>
  <si>
    <t>Building Details Floor Wise</t>
  </si>
  <si>
    <t>We considered Gross carpet area = Net carpet + Balcony Area</t>
  </si>
  <si>
    <t>Building No.1 (A &amp; B Wing) = G + 1st to 7th Floor
Building No.2 (C &amp; D Wing) = G + 1st to 5th Floor
Total BUA = 3970.884 Sq. M
Sale Unit = 66 &amp; EWS Unit =16</t>
  </si>
  <si>
    <t>Building No.2 (C Wing) = G + 1st to 7th Floor</t>
  </si>
  <si>
    <t>Building No.2 (D Wing) = G + 1st to 7th Floor</t>
  </si>
  <si>
    <t>We have added Building No.2 on 12/03/2025</t>
  </si>
  <si>
    <t>We have updated approved plan &amp; CC for Building No.1 on 12/03/2025</t>
  </si>
  <si>
    <t>04 Wings</t>
  </si>
  <si>
    <t>Rate Revised by Smith 24/03/2025</t>
  </si>
  <si>
    <t>Recommended Rates of the Property have been revised as per market inquiry on 12/03/2025 &amp; 24/03/2025</t>
  </si>
  <si>
    <t>Building No.2 (C Wing) = G + 1st to 7th Floor
Building No.2 (D Wing) = G + 1st to 7th Floor</t>
  </si>
  <si>
    <t>Ravindra</t>
  </si>
  <si>
    <t>Kunal Kadam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</si>
</sst>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s>
  <fills count="4">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6" fillId="0" borderId="0" applyNumberFormat="0" applyFill="0" applyBorder="0" applyAlignment="0" applyProtection="0"/>
  </cellStyleXfs>
  <cellXfs count="214">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0" fontId="17" fillId="0" borderId="0" xfId="0" applyFont="1" applyProtection="1">
      <protection hidden="1"/>
    </xf>
    <xf numFmtId="0" fontId="17"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24" fillId="2" borderId="30" xfId="0" applyFont="1" applyFill="1" applyBorder="1"/>
    <xf numFmtId="0" fontId="25" fillId="0" borderId="31" xfId="0" applyFont="1" applyBorder="1"/>
    <xf numFmtId="0" fontId="25" fillId="0" borderId="1" xfId="0" applyFont="1" applyBorder="1"/>
    <xf numFmtId="0" fontId="25" fillId="0" borderId="5" xfId="0" applyFont="1" applyBorder="1"/>
    <xf numFmtId="0" fontId="12"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8" fillId="0" borderId="3" xfId="1" applyNumberFormat="1" applyFont="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15" fillId="0" borderId="0" xfId="1" applyFont="1" applyAlignment="1">
      <alignment vertical="center"/>
    </xf>
    <xf numFmtId="1" fontId="7" fillId="0" borderId="1" xfId="1" applyNumberFormat="1" applyFont="1" applyBorder="1" applyAlignment="1">
      <alignment horizontal="center" vertical="center"/>
    </xf>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1" fontId="12" fillId="0" borderId="1" xfId="1" applyNumberFormat="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9" fontId="12" fillId="0" borderId="7" xfId="8" applyFont="1" applyFill="1" applyBorder="1" applyAlignment="1" applyProtection="1">
      <alignment horizontal="center" vertical="top" wrapText="1"/>
      <protection locked="0"/>
    </xf>
    <xf numFmtId="9" fontId="13" fillId="0" borderId="16" xfId="8" applyFont="1" applyFill="1" applyBorder="1" applyAlignment="1" applyProtection="1">
      <alignment horizontal="center" vertical="top" wrapText="1"/>
      <protection locked="0"/>
    </xf>
    <xf numFmtId="1" fontId="12" fillId="0" borderId="1" xfId="0" applyNumberFormat="1" applyFont="1" applyBorder="1" applyAlignment="1" applyProtection="1">
      <alignment horizontal="center" vertical="center" wrapText="1"/>
      <protection locked="0"/>
    </xf>
    <xf numFmtId="0" fontId="12" fillId="0" borderId="0" xfId="0" applyFont="1" applyAlignment="1">
      <alignment horizontal="center" vertical="center"/>
    </xf>
    <xf numFmtId="0" fontId="12" fillId="0" borderId="0" xfId="1" applyFont="1" applyAlignment="1">
      <alignment horizontal="center" vertical="center"/>
    </xf>
    <xf numFmtId="0" fontId="24" fillId="0" borderId="1" xfId="0" applyFont="1" applyBorder="1" applyAlignment="1">
      <alignment horizontal="center" vertical="center"/>
    </xf>
    <xf numFmtId="0" fontId="24" fillId="0" borderId="0" xfId="0" applyFont="1"/>
    <xf numFmtId="167" fontId="16" fillId="0" borderId="0" xfId="1" applyNumberFormat="1" applyFont="1"/>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8"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1" fontId="10" fillId="0" borderId="1" xfId="0" applyNumberFormat="1" applyFont="1" applyBorder="1" applyAlignment="1" applyProtection="1">
      <alignment horizontal="center" vertical="top" wrapText="1"/>
      <protection locked="0"/>
    </xf>
    <xf numFmtId="0" fontId="10" fillId="0" borderId="1" xfId="0"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top" wrapText="1"/>
      <protection locked="0"/>
    </xf>
    <xf numFmtId="0" fontId="7" fillId="0" borderId="0" xfId="1" applyFont="1" applyAlignment="1">
      <alignment horizontal="center" vertical="center"/>
    </xf>
    <xf numFmtId="1" fontId="6"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1" fontId="7" fillId="0" borderId="1"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0" fontId="6" fillId="0" borderId="1" xfId="1" applyFont="1" applyBorder="1" applyAlignment="1" applyProtection="1">
      <alignment horizontal="left" vertical="top"/>
      <protection locked="0"/>
    </xf>
    <xf numFmtId="0" fontId="7"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0" fontId="10" fillId="0" borderId="1" xfId="0" applyFont="1" applyBorder="1" applyAlignment="1" applyProtection="1">
      <alignment horizontal="center" vertical="center" wrapText="1"/>
      <protection locked="0"/>
    </xf>
    <xf numFmtId="0" fontId="26"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0" fontId="12" fillId="0" borderId="1" xfId="1" applyFont="1" applyBorder="1" applyAlignment="1" applyProtection="1">
      <alignment horizontal="left" vertical="top"/>
      <protection locked="0"/>
    </xf>
    <xf numFmtId="0" fontId="8" fillId="0" borderId="1" xfId="1" applyFont="1" applyBorder="1" applyAlignment="1" applyProtection="1">
      <alignment horizontal="left" vertical="top"/>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12" fillId="0" borderId="4"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2" fillId="0" borderId="5" xfId="1" applyFont="1" applyBorder="1" applyAlignment="1" applyProtection="1">
      <alignment horizontal="center" vertical="top" wrapText="1"/>
      <protection locked="0"/>
    </xf>
    <xf numFmtId="9" fontId="12" fillId="0" borderId="17" xfId="8" applyFont="1" applyFill="1" applyBorder="1" applyAlignment="1" applyProtection="1">
      <alignment horizontal="center" vertical="center" wrapText="1"/>
      <protection locked="0"/>
    </xf>
    <xf numFmtId="9" fontId="12" fillId="0" borderId="18"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9" fontId="12" fillId="0" borderId="26" xfId="8" applyFont="1" applyFill="1" applyBorder="1" applyAlignment="1" applyProtection="1">
      <alignment horizontal="center" vertical="center" wrapText="1"/>
      <protection locked="0"/>
    </xf>
    <xf numFmtId="9" fontId="12" fillId="0" borderId="28" xfId="8" applyFont="1" applyFill="1" applyBorder="1" applyAlignment="1" applyProtection="1">
      <alignment horizontal="center" vertical="center" wrapText="1"/>
      <protection locked="0"/>
    </xf>
    <xf numFmtId="9" fontId="12" fillId="0" borderId="29" xfId="8" applyFont="1" applyFill="1" applyBorder="1" applyAlignment="1" applyProtection="1">
      <alignment horizontal="center" vertical="center" wrapText="1"/>
      <protection locked="0"/>
    </xf>
    <xf numFmtId="9" fontId="12" fillId="0" borderId="27" xfId="8" applyFont="1" applyFill="1" applyBorder="1" applyAlignment="1" applyProtection="1">
      <alignment horizontal="center" vertical="center" wrapText="1"/>
      <protection locked="0"/>
    </xf>
    <xf numFmtId="9" fontId="12" fillId="0" borderId="10" xfId="8" applyFont="1" applyFill="1" applyBorder="1" applyAlignment="1" applyProtection="1">
      <alignment horizontal="center" vertical="center" wrapText="1"/>
      <protection locked="0"/>
    </xf>
    <xf numFmtId="9" fontId="12" fillId="0" borderId="12" xfId="8" applyFont="1" applyFill="1" applyBorder="1" applyAlignment="1" applyProtection="1">
      <alignment horizontal="center" vertical="center"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3" fillId="0" borderId="22" xfId="1" applyFont="1" applyBorder="1" applyAlignment="1" applyProtection="1">
      <alignment horizontal="left" vertical="top" wrapText="1"/>
      <protection locked="0"/>
    </xf>
    <xf numFmtId="0" fontId="13" fillId="0" borderId="15" xfId="1" applyFont="1" applyBorder="1" applyAlignment="1" applyProtection="1">
      <alignment horizontal="left" vertical="top" wrapText="1"/>
      <protection locked="0"/>
    </xf>
    <xf numFmtId="0" fontId="13" fillId="0" borderId="13"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13" fillId="0" borderId="23" xfId="1" applyFont="1" applyBorder="1" applyAlignment="1" applyProtection="1">
      <alignment horizontal="left" vertical="top" wrapText="1"/>
      <protection locked="0"/>
    </xf>
    <xf numFmtId="0" fontId="8" fillId="0" borderId="16" xfId="1" applyFont="1" applyBorder="1" applyAlignment="1" applyProtection="1">
      <alignment horizontal="left" vertical="top"/>
      <protection locked="0"/>
    </xf>
    <xf numFmtId="0" fontId="12" fillId="0" borderId="6" xfId="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0" fontId="12"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12"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2" fontId="6" fillId="0" borderId="1" xfId="1" applyNumberFormat="1" applyFont="1" applyBorder="1" applyAlignment="1" applyProtection="1">
      <alignment horizontal="left" vertical="top" wrapText="1"/>
      <protection locked="0"/>
    </xf>
    <xf numFmtId="0" fontId="12" fillId="0" borderId="16"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6" fillId="0" borderId="21" xfId="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0" fontId="12" fillId="0" borderId="8" xfId="1" applyFont="1" applyBorder="1" applyAlignment="1" applyProtection="1">
      <alignment horizontal="left" vertical="top" wrapText="1"/>
      <protection locked="0"/>
    </xf>
    <xf numFmtId="0" fontId="12" fillId="0" borderId="21" xfId="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2" fillId="0" borderId="1" xfId="1" applyFont="1" applyBorder="1" applyAlignment="1" applyProtection="1">
      <alignment horizontal="center" vertical="center"/>
      <protection locked="0"/>
    </xf>
    <xf numFmtId="0" fontId="13" fillId="0" borderId="1" xfId="1" applyFont="1" applyBorder="1" applyAlignment="1" applyProtection="1">
      <alignment horizontal="center"/>
      <protection locked="0"/>
    </xf>
    <xf numFmtId="0" fontId="12" fillId="0" borderId="8" xfId="1" applyFont="1" applyBorder="1" applyAlignment="1" applyProtection="1">
      <alignment horizontal="center" vertical="center"/>
      <protection locked="0"/>
    </xf>
    <xf numFmtId="0" fontId="12" fillId="0" borderId="21" xfId="1" applyFont="1" applyBorder="1" applyAlignment="1" applyProtection="1">
      <alignment horizontal="center" vertical="center"/>
      <protection locked="0"/>
    </xf>
    <xf numFmtId="0" fontId="12" fillId="0" borderId="9" xfId="1" applyFont="1" applyBorder="1" applyAlignment="1" applyProtection="1">
      <alignment horizontal="center" vertical="center"/>
      <protection locked="0"/>
    </xf>
    <xf numFmtId="0" fontId="12" fillId="0" borderId="8" xfId="1" applyFont="1" applyBorder="1" applyAlignment="1" applyProtection="1">
      <alignment horizontal="center" vertical="center" wrapText="1"/>
      <protection locked="0"/>
    </xf>
    <xf numFmtId="0" fontId="12" fillId="0" borderId="21" xfId="1" applyFont="1" applyBorder="1" applyAlignment="1" applyProtection="1">
      <alignment horizontal="center" vertical="center" wrapText="1"/>
      <protection locked="0"/>
    </xf>
    <xf numFmtId="0" fontId="12" fillId="0" borderId="9" xfId="1" applyFont="1" applyBorder="1" applyAlignment="1" applyProtection="1">
      <alignment horizontal="center" vertical="center" wrapText="1"/>
      <protection locked="0"/>
    </xf>
    <xf numFmtId="0" fontId="12" fillId="0" borderId="1" xfId="1" applyFont="1" applyBorder="1" applyAlignment="1" applyProtection="1">
      <alignment horizontal="left"/>
      <protection locked="0"/>
    </xf>
    <xf numFmtId="49" fontId="12" fillId="0" borderId="1" xfId="1" applyNumberFormat="1" applyFont="1" applyBorder="1" applyAlignment="1" applyProtection="1">
      <alignment horizontal="left" vertical="top" wrapText="1"/>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67" fontId="12" fillId="0" borderId="1" xfId="9" applyNumberFormat="1" applyFont="1" applyFill="1" applyBorder="1" applyAlignment="1" applyProtection="1">
      <alignment horizontal="left" vertical="top"/>
      <protection locked="0"/>
    </xf>
    <xf numFmtId="0" fontId="8" fillId="0" borderId="1" xfId="1" applyFont="1" applyBorder="1" applyAlignment="1" applyProtection="1">
      <alignment vertical="top"/>
      <protection locked="0"/>
    </xf>
    <xf numFmtId="0" fontId="8" fillId="0" borderId="16" xfId="1" applyFont="1" applyBorder="1" applyAlignment="1" applyProtection="1">
      <alignment horizontal="center" vertical="top"/>
      <protection locked="0"/>
    </xf>
    <xf numFmtId="0" fontId="6" fillId="0" borderId="1" xfId="1" applyFont="1" applyBorder="1" applyAlignment="1" applyProtection="1">
      <alignment vertical="top"/>
      <protection locked="0"/>
    </xf>
    <xf numFmtId="1" fontId="8" fillId="3" borderId="8" xfId="1" applyNumberFormat="1" applyFont="1" applyFill="1" applyBorder="1" applyAlignment="1" applyProtection="1">
      <alignment horizontal="center" vertical="center" wrapText="1"/>
      <protection locked="0"/>
    </xf>
    <xf numFmtId="1" fontId="8" fillId="3" borderId="21" xfId="1" applyNumberFormat="1" applyFont="1" applyFill="1" applyBorder="1" applyAlignment="1" applyProtection="1">
      <alignment horizontal="center" vertical="center" wrapText="1"/>
      <protection locked="0"/>
    </xf>
    <xf numFmtId="1" fontId="8" fillId="3" borderId="9" xfId="1" applyNumberFormat="1" applyFont="1" applyFill="1" applyBorder="1" applyAlignment="1" applyProtection="1">
      <alignment horizontal="center" vertical="center" wrapText="1"/>
      <protection locked="0"/>
    </xf>
    <xf numFmtId="1" fontId="8" fillId="0" borderId="1" xfId="0" applyNumberFormat="1" applyFont="1" applyBorder="1" applyAlignment="1" applyProtection="1">
      <alignment horizontal="left" vertical="top" wrapText="1"/>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7" fillId="0" borderId="25" xfId="1" applyFont="1" applyBorder="1" applyAlignment="1">
      <alignment horizontal="center"/>
    </xf>
    <xf numFmtId="0" fontId="7" fillId="0" borderId="0" xfId="1" applyFont="1" applyAlignment="1">
      <alignment horizontal="center"/>
    </xf>
    <xf numFmtId="0" fontId="13" fillId="0" borderId="1" xfId="1" applyFont="1" applyBorder="1" applyAlignment="1" applyProtection="1">
      <alignment horizontal="center"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12" fillId="0" borderId="25" xfId="1" applyFont="1" applyBorder="1" applyAlignment="1" applyProtection="1">
      <alignment horizontal="left" vertical="top"/>
      <protection locked="0"/>
    </xf>
    <xf numFmtId="0" fontId="12" fillId="0" borderId="0" xfId="1" applyFont="1" applyAlignment="1" applyProtection="1">
      <alignment horizontal="left" vertical="top"/>
      <protection locked="0"/>
    </xf>
    <xf numFmtId="0" fontId="12" fillId="0" borderId="26" xfId="1" applyFont="1" applyBorder="1" applyAlignment="1" applyProtection="1">
      <alignment horizontal="left" vertical="top"/>
      <protection locked="0"/>
    </xf>
    <xf numFmtId="0" fontId="12" fillId="0" borderId="19" xfId="1" applyFont="1" applyBorder="1" applyAlignment="1" applyProtection="1">
      <alignment horizontal="left" vertical="top"/>
      <protection locked="0"/>
    </xf>
    <xf numFmtId="0" fontId="12" fillId="0" borderId="2" xfId="1" applyFont="1" applyBorder="1" applyAlignment="1" applyProtection="1">
      <alignment horizontal="left" vertical="top"/>
      <protection locked="0"/>
    </xf>
    <xf numFmtId="0" fontId="12" fillId="0" borderId="20" xfId="1" applyFont="1" applyBorder="1" applyAlignment="1" applyProtection="1">
      <alignment horizontal="left" vertical="top"/>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26"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12" fillId="0" borderId="17" xfId="1" applyFont="1" applyBorder="1" applyAlignment="1" applyProtection="1">
      <alignment horizontal="left" vertical="top"/>
      <protection locked="0"/>
    </xf>
    <xf numFmtId="0" fontId="12" fillId="0" borderId="24" xfId="1" applyFont="1" applyBorder="1" applyAlignment="1" applyProtection="1">
      <alignment horizontal="left" vertical="top"/>
      <protection locked="0"/>
    </xf>
    <xf numFmtId="0" fontId="12" fillId="0" borderId="18" xfId="1" applyFont="1" applyBorder="1" applyAlignment="1" applyProtection="1">
      <alignment horizontal="left" vertical="top"/>
      <protection locked="0"/>
    </xf>
    <xf numFmtId="0" fontId="9" fillId="0" borderId="1" xfId="5" applyFont="1" applyBorder="1" applyAlignment="1">
      <alignment horizontal="left"/>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jpe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10" Type="http://schemas.openxmlformats.org/officeDocument/2006/relationships/image" Target="../media/image10.png"/><Relationship Id="rId19" Type="http://schemas.openxmlformats.org/officeDocument/2006/relationships/image" Target="../media/image19.jpeg"/><Relationship Id="rId31" Type="http://schemas.openxmlformats.org/officeDocument/2006/relationships/image" Target="../media/image31.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6.png"/><Relationship Id="rId2" Type="http://schemas.openxmlformats.org/officeDocument/2006/relationships/image" Target="../media/image35.png"/><Relationship Id="rId1" Type="http://schemas.openxmlformats.org/officeDocument/2006/relationships/image" Target="../media/image34.jpeg"/><Relationship Id="rId5" Type="http://schemas.openxmlformats.org/officeDocument/2006/relationships/image" Target="../media/image38.png"/><Relationship Id="rId4" Type="http://schemas.openxmlformats.org/officeDocument/2006/relationships/image" Target="../media/image37.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32.png"/></Relationships>
</file>

<file path=xl/drawings/drawing1.xml><?xml version="1.0" encoding="utf-8"?>
<xdr:wsDr xmlns:xdr="http://schemas.openxmlformats.org/drawingml/2006/spreadsheetDrawing" xmlns:a="http://schemas.openxmlformats.org/drawingml/2006/main">
  <xdr:twoCellAnchor>
    <xdr:from>
      <xdr:col>8</xdr:col>
      <xdr:colOff>1136650</xdr:colOff>
      <xdr:row>224</xdr:row>
      <xdr:rowOff>25400</xdr:rowOff>
    </xdr:from>
    <xdr:to>
      <xdr:col>10</xdr:col>
      <xdr:colOff>385389</xdr:colOff>
      <xdr:row>225</xdr:row>
      <xdr:rowOff>93110</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7759700" y="40405050"/>
          <a:ext cx="126803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a:t>Bldg No.1 (A Wing)</a:t>
          </a:r>
        </a:p>
      </xdr:txBody>
    </xdr:sp>
    <xdr:clientData/>
  </xdr:twoCellAnchor>
  <xdr:twoCellAnchor editAs="oneCell">
    <xdr:from>
      <xdr:col>8</xdr:col>
      <xdr:colOff>345847</xdr:colOff>
      <xdr:row>183</xdr:row>
      <xdr:rowOff>120827</xdr:rowOff>
    </xdr:from>
    <xdr:to>
      <xdr:col>15</xdr:col>
      <xdr:colOff>99810</xdr:colOff>
      <xdr:row>193</xdr:row>
      <xdr:rowOff>55028</xdr:rowOff>
    </xdr:to>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6665477" y="39322414"/>
          <a:ext cx="5742290" cy="1922027"/>
        </a:xfrm>
        <a:prstGeom prst="rect">
          <a:avLst/>
        </a:prstGeom>
      </xdr:spPr>
    </xdr:pic>
    <xdr:clientData/>
  </xdr:twoCellAnchor>
  <xdr:twoCellAnchor>
    <xdr:from>
      <xdr:col>0</xdr:col>
      <xdr:colOff>123264</xdr:colOff>
      <xdr:row>304</xdr:row>
      <xdr:rowOff>190500</xdr:rowOff>
    </xdr:from>
    <xdr:to>
      <xdr:col>7</xdr:col>
      <xdr:colOff>616323</xdr:colOff>
      <xdr:row>343</xdr:row>
      <xdr:rowOff>112059</xdr:rowOff>
    </xdr:to>
    <xdr:grpSp>
      <xdr:nvGrpSpPr>
        <xdr:cNvPr id="38" name="Group 37">
          <a:extLst>
            <a:ext uri="{FF2B5EF4-FFF2-40B4-BE49-F238E27FC236}">
              <a16:creationId xmlns:a16="http://schemas.microsoft.com/office/drawing/2014/main" id="{00000000-0008-0000-0000-000026000000}"/>
            </a:ext>
          </a:extLst>
        </xdr:cNvPr>
        <xdr:cNvGrpSpPr/>
      </xdr:nvGrpSpPr>
      <xdr:grpSpPr>
        <a:xfrm>
          <a:off x="123264" y="60792360"/>
          <a:ext cx="6223299" cy="7648239"/>
          <a:chOff x="266700" y="163413"/>
          <a:chExt cx="6324600" cy="8042951"/>
        </a:xfrm>
      </xdr:grpSpPr>
      <xdr:grpSp>
        <xdr:nvGrpSpPr>
          <xdr:cNvPr id="39" name="Group 38">
            <a:extLst>
              <a:ext uri="{FF2B5EF4-FFF2-40B4-BE49-F238E27FC236}">
                <a16:creationId xmlns:a16="http://schemas.microsoft.com/office/drawing/2014/main" id="{00000000-0008-0000-0000-000027000000}"/>
              </a:ext>
            </a:extLst>
          </xdr:cNvPr>
          <xdr:cNvGrpSpPr/>
        </xdr:nvGrpSpPr>
        <xdr:grpSpPr>
          <a:xfrm>
            <a:off x="266700" y="4246364"/>
            <a:ext cx="6324600" cy="3960000"/>
            <a:chOff x="334795" y="228600"/>
            <a:chExt cx="6324600" cy="5238750"/>
          </a:xfrm>
        </xdr:grpSpPr>
        <xdr:pic>
          <xdr:nvPicPr>
            <xdr:cNvPr id="41" name="Picture 40">
              <a:extLst>
                <a:ext uri="{FF2B5EF4-FFF2-40B4-BE49-F238E27FC236}">
                  <a16:creationId xmlns:a16="http://schemas.microsoft.com/office/drawing/2014/main" id="{00000000-0008-0000-0000-000029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334795" y="228600"/>
              <a:ext cx="6324600" cy="5238750"/>
            </a:xfrm>
            <a:prstGeom prst="rect">
              <a:avLst/>
            </a:prstGeom>
            <a:ln>
              <a:solidFill>
                <a:schemeClr val="tx1"/>
              </a:solidFill>
            </a:ln>
          </xdr:spPr>
        </xdr:pic>
        <xdr:sp macro="" textlink="">
          <xdr:nvSpPr>
            <xdr:cNvPr id="42" name="Freeform 41">
              <a:extLst>
                <a:ext uri="{FF2B5EF4-FFF2-40B4-BE49-F238E27FC236}">
                  <a16:creationId xmlns:a16="http://schemas.microsoft.com/office/drawing/2014/main" id="{00000000-0008-0000-0000-00002A000000}"/>
                </a:ext>
              </a:extLst>
            </xdr:cNvPr>
            <xdr:cNvSpPr/>
          </xdr:nvSpPr>
          <xdr:spPr>
            <a:xfrm>
              <a:off x="836337" y="2035959"/>
              <a:ext cx="4171950" cy="2654300"/>
            </a:xfrm>
            <a:custGeom>
              <a:avLst/>
              <a:gdLst>
                <a:gd name="connsiteX0" fmla="*/ 0 w 4171950"/>
                <a:gd name="connsiteY0" fmla="*/ 1924050 h 2657475"/>
                <a:gd name="connsiteX1" fmla="*/ 1962150 w 4171950"/>
                <a:gd name="connsiteY1" fmla="*/ 2657475 h 2657475"/>
                <a:gd name="connsiteX2" fmla="*/ 3571875 w 4171950"/>
                <a:gd name="connsiteY2" fmla="*/ 1162050 h 2657475"/>
                <a:gd name="connsiteX3" fmla="*/ 4171950 w 4171950"/>
                <a:gd name="connsiteY3" fmla="*/ 1095375 h 2657475"/>
                <a:gd name="connsiteX4" fmla="*/ 4124325 w 4171950"/>
                <a:gd name="connsiteY4" fmla="*/ 0 h 2657475"/>
                <a:gd name="connsiteX5" fmla="*/ 838200 w 4171950"/>
                <a:gd name="connsiteY5" fmla="*/ 1152525 h 2657475"/>
                <a:gd name="connsiteX6" fmla="*/ 866775 w 4171950"/>
                <a:gd name="connsiteY6" fmla="*/ 1704975 h 2657475"/>
                <a:gd name="connsiteX7" fmla="*/ 0 w 4171950"/>
                <a:gd name="connsiteY7" fmla="*/ 1924050 h 26574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4171950" h="2657475">
                  <a:moveTo>
                    <a:pt x="0" y="1924050"/>
                  </a:moveTo>
                  <a:lnTo>
                    <a:pt x="1962150" y="2657475"/>
                  </a:lnTo>
                  <a:lnTo>
                    <a:pt x="3571875" y="1162050"/>
                  </a:lnTo>
                  <a:lnTo>
                    <a:pt x="4171950" y="1095375"/>
                  </a:lnTo>
                  <a:lnTo>
                    <a:pt x="4124325" y="0"/>
                  </a:lnTo>
                  <a:lnTo>
                    <a:pt x="838200" y="1152525"/>
                  </a:lnTo>
                  <a:lnTo>
                    <a:pt x="866775" y="1704975"/>
                  </a:lnTo>
                  <a:lnTo>
                    <a:pt x="0" y="1924050"/>
                  </a:lnTo>
                  <a:close/>
                </a:path>
              </a:pathLst>
            </a:cu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grpSp>
      <xdr:pic>
        <xdr:nvPicPr>
          <xdr:cNvPr id="40" name="Picture 39">
            <a:extLst>
              <a:ext uri="{FF2B5EF4-FFF2-40B4-BE49-F238E27FC236}">
                <a16:creationId xmlns:a16="http://schemas.microsoft.com/office/drawing/2014/main" id="{00000000-0008-0000-0000-000028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776405" y="163413"/>
            <a:ext cx="5305191" cy="3960000"/>
          </a:xfrm>
          <a:prstGeom prst="rect">
            <a:avLst/>
          </a:prstGeom>
          <a:ln>
            <a:solidFill>
              <a:schemeClr val="tx1"/>
            </a:solidFill>
          </a:ln>
        </xdr:spPr>
      </xdr:pic>
    </xdr:grpSp>
    <xdr:clientData/>
  </xdr:twoCellAnchor>
  <xdr:twoCellAnchor editAs="oneCell">
    <xdr:from>
      <xdr:col>8</xdr:col>
      <xdr:colOff>342900</xdr:colOff>
      <xdr:row>46</xdr:row>
      <xdr:rowOff>104775</xdr:rowOff>
    </xdr:from>
    <xdr:to>
      <xdr:col>9</xdr:col>
      <xdr:colOff>397795</xdr:colOff>
      <xdr:row>49</xdr:row>
      <xdr:rowOff>356100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6657975" y="10972800"/>
          <a:ext cx="1216945" cy="1080000"/>
        </a:xfrm>
        <a:prstGeom prst="rect">
          <a:avLst/>
        </a:prstGeom>
      </xdr:spPr>
    </xdr:pic>
    <xdr:clientData/>
  </xdr:twoCellAnchor>
  <xdr:twoCellAnchor editAs="oneCell">
    <xdr:from>
      <xdr:col>9</xdr:col>
      <xdr:colOff>561976</xdr:colOff>
      <xdr:row>48</xdr:row>
      <xdr:rowOff>219075</xdr:rowOff>
    </xdr:from>
    <xdr:to>
      <xdr:col>12</xdr:col>
      <xdr:colOff>509190</xdr:colOff>
      <xdr:row>51</xdr:row>
      <xdr:rowOff>70350</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8039101" y="11487150"/>
          <a:ext cx="2337989" cy="1080000"/>
        </a:xfrm>
        <a:prstGeom prst="rect">
          <a:avLst/>
        </a:prstGeom>
      </xdr:spPr>
    </xdr:pic>
    <xdr:clientData/>
  </xdr:twoCellAnchor>
  <xdr:twoCellAnchor>
    <xdr:from>
      <xdr:col>8</xdr:col>
      <xdr:colOff>447675</xdr:colOff>
      <xdr:row>277</xdr:row>
      <xdr:rowOff>69804</xdr:rowOff>
    </xdr:from>
    <xdr:to>
      <xdr:col>15</xdr:col>
      <xdr:colOff>398840</xdr:colOff>
      <xdr:row>293</xdr:row>
      <xdr:rowOff>109404</xdr:rowOff>
    </xdr:to>
    <xdr:grpSp>
      <xdr:nvGrpSpPr>
        <xdr:cNvPr id="44" name="Group 43">
          <a:extLst>
            <a:ext uri="{FF2B5EF4-FFF2-40B4-BE49-F238E27FC236}">
              <a16:creationId xmlns:a16="http://schemas.microsoft.com/office/drawing/2014/main" id="{00000000-0008-0000-0000-00002C000000}"/>
            </a:ext>
          </a:extLst>
        </xdr:cNvPr>
        <xdr:cNvGrpSpPr/>
      </xdr:nvGrpSpPr>
      <xdr:grpSpPr>
        <a:xfrm>
          <a:off x="6932295" y="55322424"/>
          <a:ext cx="6115745" cy="3209520"/>
          <a:chOff x="152400" y="51723879"/>
          <a:chExt cx="5942390" cy="3240000"/>
        </a:xfrm>
      </xdr:grpSpPr>
      <xdr:pic>
        <xdr:nvPicPr>
          <xdr:cNvPr id="45" name="Picture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6"/>
          <a:stretch>
            <a:fillRect/>
          </a:stretch>
        </xdr:blipFill>
        <xdr:spPr>
          <a:xfrm>
            <a:off x="152400" y="51723879"/>
            <a:ext cx="5942390" cy="3240000"/>
          </a:xfrm>
          <a:prstGeom prst="rect">
            <a:avLst/>
          </a:prstGeom>
          <a:ln>
            <a:solidFill>
              <a:schemeClr val="tx1"/>
            </a:solidFill>
          </a:ln>
        </xdr:spPr>
      </xdr:pic>
      <xdr:sp macro="" textlink="">
        <xdr:nvSpPr>
          <xdr:cNvPr id="46" name="TextBox 45">
            <a:extLst>
              <a:ext uri="{FF2B5EF4-FFF2-40B4-BE49-F238E27FC236}">
                <a16:creationId xmlns:a16="http://schemas.microsoft.com/office/drawing/2014/main" id="{00000000-0008-0000-0000-00002E000000}"/>
              </a:ext>
            </a:extLst>
          </xdr:cNvPr>
          <xdr:cNvSpPr txBox="1"/>
        </xdr:nvSpPr>
        <xdr:spPr>
          <a:xfrm rot="19183549">
            <a:off x="1009649" y="53320950"/>
            <a:ext cx="1552575" cy="857250"/>
          </a:xfrm>
          <a:prstGeom prst="rect">
            <a:avLst/>
          </a:prstGeom>
          <a:no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IN" sz="1100"/>
          </a:p>
        </xdr:txBody>
      </xdr:sp>
      <xdr:sp macro="" textlink="">
        <xdr:nvSpPr>
          <xdr:cNvPr id="47" name="TextBox 46">
            <a:extLst>
              <a:ext uri="{FF2B5EF4-FFF2-40B4-BE49-F238E27FC236}">
                <a16:creationId xmlns:a16="http://schemas.microsoft.com/office/drawing/2014/main" id="{00000000-0008-0000-0000-00002F000000}"/>
              </a:ext>
            </a:extLst>
          </xdr:cNvPr>
          <xdr:cNvSpPr txBox="1"/>
        </xdr:nvSpPr>
        <xdr:spPr>
          <a:xfrm rot="18959918">
            <a:off x="1647826" y="54006750"/>
            <a:ext cx="1226811" cy="5306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1">
                <a:solidFill>
                  <a:srgbClr val="FF0000"/>
                </a:solidFill>
              </a:rPr>
              <a:t>Building No. 1</a:t>
            </a:r>
          </a:p>
          <a:p>
            <a:r>
              <a:rPr lang="en-IN" sz="1400" b="1">
                <a:solidFill>
                  <a:srgbClr val="FF0000"/>
                </a:solidFill>
              </a:rPr>
              <a:t>Wing A &amp; B</a:t>
            </a:r>
          </a:p>
        </xdr:txBody>
      </xdr:sp>
    </xdr:grpSp>
    <xdr:clientData/>
  </xdr:twoCellAnchor>
  <xdr:twoCellAnchor editAs="oneCell">
    <xdr:from>
      <xdr:col>8</xdr:col>
      <xdr:colOff>581025</xdr:colOff>
      <xdr:row>301</xdr:row>
      <xdr:rowOff>180975</xdr:rowOff>
    </xdr:from>
    <xdr:to>
      <xdr:col>15</xdr:col>
      <xdr:colOff>353200</xdr:colOff>
      <xdr:row>321</xdr:row>
      <xdr:rowOff>160144</xdr:rowOff>
    </xdr:to>
    <xdr:pic>
      <xdr:nvPicPr>
        <xdr:cNvPr id="48" name="Picture 47">
          <a:extLst>
            <a:ext uri="{FF2B5EF4-FFF2-40B4-BE49-F238E27FC236}">
              <a16:creationId xmlns:a16="http://schemas.microsoft.com/office/drawing/2014/main" id="{00000000-0008-0000-0000-000030000000}"/>
            </a:ext>
          </a:extLst>
        </xdr:cNvPr>
        <xdr:cNvPicPr>
          <a:picLocks noChangeAspect="1"/>
        </xdr:cNvPicPr>
      </xdr:nvPicPr>
      <xdr:blipFill rotWithShape="1">
        <a:blip xmlns:r="http://schemas.openxmlformats.org/officeDocument/2006/relationships" r:embed="rId7" cstate="screen">
          <a:extLst>
            <a:ext uri="{28A0092B-C50C-407E-A947-70E740481C1C}">
              <a14:useLocalDpi xmlns:a14="http://schemas.microsoft.com/office/drawing/2010/main"/>
            </a:ext>
          </a:extLst>
        </a:blip>
        <a:srcRect/>
        <a:stretch/>
      </xdr:blipFill>
      <xdr:spPr>
        <a:xfrm>
          <a:off x="6896100" y="51063525"/>
          <a:ext cx="5763400" cy="3979670"/>
        </a:xfrm>
        <a:prstGeom prst="rect">
          <a:avLst/>
        </a:prstGeom>
        <a:ln>
          <a:solidFill>
            <a:schemeClr val="tx1"/>
          </a:solidFill>
        </a:ln>
      </xdr:spPr>
    </xdr:pic>
    <xdr:clientData/>
  </xdr:twoCellAnchor>
  <xdr:twoCellAnchor>
    <xdr:from>
      <xdr:col>8</xdr:col>
      <xdr:colOff>693748</xdr:colOff>
      <xdr:row>321</xdr:row>
      <xdr:rowOff>100758</xdr:rowOff>
    </xdr:from>
    <xdr:to>
      <xdr:col>15</xdr:col>
      <xdr:colOff>276106</xdr:colOff>
      <xdr:row>341</xdr:row>
      <xdr:rowOff>108131</xdr:rowOff>
    </xdr:to>
    <xdr:grpSp>
      <xdr:nvGrpSpPr>
        <xdr:cNvPr id="49" name="Group 48">
          <a:extLst>
            <a:ext uri="{FF2B5EF4-FFF2-40B4-BE49-F238E27FC236}">
              <a16:creationId xmlns:a16="http://schemas.microsoft.com/office/drawing/2014/main" id="{00000000-0008-0000-0000-000031000000}"/>
            </a:ext>
          </a:extLst>
        </xdr:cNvPr>
        <xdr:cNvGrpSpPr/>
      </xdr:nvGrpSpPr>
      <xdr:grpSpPr>
        <a:xfrm>
          <a:off x="7178368" y="64070658"/>
          <a:ext cx="5746938" cy="3969773"/>
          <a:chOff x="323850" y="60775008"/>
          <a:chExt cx="5573583" cy="4007873"/>
        </a:xfrm>
      </xdr:grpSpPr>
      <xdr:pic>
        <xdr:nvPicPr>
          <xdr:cNvPr id="50" name="Picture 49">
            <a:extLst>
              <a:ext uri="{FF2B5EF4-FFF2-40B4-BE49-F238E27FC236}">
                <a16:creationId xmlns:a16="http://schemas.microsoft.com/office/drawing/2014/main" id="{00000000-0008-0000-0000-000032000000}"/>
              </a:ext>
            </a:extLst>
          </xdr:cNvPr>
          <xdr:cNvPicPr>
            <a:picLocks noChangeAspect="1"/>
          </xdr:cNvPicPr>
        </xdr:nvPicPr>
        <xdr:blipFill rotWithShape="1">
          <a:blip xmlns:r="http://schemas.openxmlformats.org/officeDocument/2006/relationships" r:embed="rId8" cstate="screen">
            <a:extLst>
              <a:ext uri="{28A0092B-C50C-407E-A947-70E740481C1C}">
                <a14:useLocalDpi xmlns:a14="http://schemas.microsoft.com/office/drawing/2010/main"/>
              </a:ext>
            </a:extLst>
          </a:blip>
          <a:srcRect/>
          <a:stretch/>
        </xdr:blipFill>
        <xdr:spPr>
          <a:xfrm>
            <a:off x="338483" y="60775008"/>
            <a:ext cx="5558950" cy="4007873"/>
          </a:xfrm>
          <a:prstGeom prst="rect">
            <a:avLst/>
          </a:prstGeom>
          <a:ln>
            <a:solidFill>
              <a:schemeClr val="tx1"/>
            </a:solidFill>
          </a:ln>
        </xdr:spPr>
      </xdr:pic>
      <xdr:sp macro="" textlink="">
        <xdr:nvSpPr>
          <xdr:cNvPr id="51" name="Freeform 50">
            <a:extLst>
              <a:ext uri="{FF2B5EF4-FFF2-40B4-BE49-F238E27FC236}">
                <a16:creationId xmlns:a16="http://schemas.microsoft.com/office/drawing/2014/main" id="{00000000-0008-0000-0000-000033000000}"/>
              </a:ext>
            </a:extLst>
          </xdr:cNvPr>
          <xdr:cNvSpPr/>
        </xdr:nvSpPr>
        <xdr:spPr>
          <a:xfrm>
            <a:off x="323850" y="61807725"/>
            <a:ext cx="4171950" cy="2654300"/>
          </a:xfrm>
          <a:custGeom>
            <a:avLst/>
            <a:gdLst>
              <a:gd name="connsiteX0" fmla="*/ 0 w 4171950"/>
              <a:gd name="connsiteY0" fmla="*/ 1924050 h 2657475"/>
              <a:gd name="connsiteX1" fmla="*/ 1962150 w 4171950"/>
              <a:gd name="connsiteY1" fmla="*/ 2657475 h 2657475"/>
              <a:gd name="connsiteX2" fmla="*/ 3571875 w 4171950"/>
              <a:gd name="connsiteY2" fmla="*/ 1162050 h 2657475"/>
              <a:gd name="connsiteX3" fmla="*/ 4171950 w 4171950"/>
              <a:gd name="connsiteY3" fmla="*/ 1095375 h 2657475"/>
              <a:gd name="connsiteX4" fmla="*/ 4124325 w 4171950"/>
              <a:gd name="connsiteY4" fmla="*/ 0 h 2657475"/>
              <a:gd name="connsiteX5" fmla="*/ 838200 w 4171950"/>
              <a:gd name="connsiteY5" fmla="*/ 1152525 h 2657475"/>
              <a:gd name="connsiteX6" fmla="*/ 866775 w 4171950"/>
              <a:gd name="connsiteY6" fmla="*/ 1704975 h 2657475"/>
              <a:gd name="connsiteX7" fmla="*/ 0 w 4171950"/>
              <a:gd name="connsiteY7" fmla="*/ 1924050 h 26574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4171950" h="2657475">
                <a:moveTo>
                  <a:pt x="0" y="1924050"/>
                </a:moveTo>
                <a:lnTo>
                  <a:pt x="1962150" y="2657475"/>
                </a:lnTo>
                <a:lnTo>
                  <a:pt x="3571875" y="1162050"/>
                </a:lnTo>
                <a:lnTo>
                  <a:pt x="4171950" y="1095375"/>
                </a:lnTo>
                <a:lnTo>
                  <a:pt x="4124325" y="0"/>
                </a:lnTo>
                <a:lnTo>
                  <a:pt x="838200" y="1152525"/>
                </a:lnTo>
                <a:lnTo>
                  <a:pt x="866775" y="1704975"/>
                </a:lnTo>
                <a:lnTo>
                  <a:pt x="0" y="1924050"/>
                </a:lnTo>
                <a:close/>
              </a:path>
            </a:pathLst>
          </a:cu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xdr:from>
      <xdr:col>0</xdr:col>
      <xdr:colOff>95250</xdr:colOff>
      <xdr:row>262</xdr:row>
      <xdr:rowOff>114300</xdr:rowOff>
    </xdr:from>
    <xdr:to>
      <xdr:col>7</xdr:col>
      <xdr:colOff>676275</xdr:colOff>
      <xdr:row>301</xdr:row>
      <xdr:rowOff>89646</xdr:rowOff>
    </xdr:to>
    <xdr:grpSp>
      <xdr:nvGrpSpPr>
        <xdr:cNvPr id="52" name="Group 51">
          <a:extLst>
            <a:ext uri="{FF2B5EF4-FFF2-40B4-BE49-F238E27FC236}">
              <a16:creationId xmlns:a16="http://schemas.microsoft.com/office/drawing/2014/main" id="{00000000-0008-0000-0000-000034000000}"/>
            </a:ext>
          </a:extLst>
        </xdr:cNvPr>
        <xdr:cNvGrpSpPr/>
      </xdr:nvGrpSpPr>
      <xdr:grpSpPr>
        <a:xfrm>
          <a:off x="95250" y="52395120"/>
          <a:ext cx="6311265" cy="7702026"/>
          <a:chOff x="347662" y="1418262"/>
          <a:chExt cx="6162675" cy="7775569"/>
        </a:xfrm>
      </xdr:grpSpPr>
      <xdr:pic>
        <xdr:nvPicPr>
          <xdr:cNvPr id="53" name="Picture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347662" y="1418262"/>
            <a:ext cx="6162675" cy="3379764"/>
          </a:xfrm>
          <a:prstGeom prst="rect">
            <a:avLst/>
          </a:prstGeom>
          <a:ln>
            <a:solidFill>
              <a:schemeClr val="tx1"/>
            </a:solidFill>
          </a:ln>
        </xdr:spPr>
      </xdr:pic>
      <xdr:sp macro="" textlink="">
        <xdr:nvSpPr>
          <xdr:cNvPr id="54" name="Rectangle 53">
            <a:extLst>
              <a:ext uri="{FF2B5EF4-FFF2-40B4-BE49-F238E27FC236}">
                <a16:creationId xmlns:a16="http://schemas.microsoft.com/office/drawing/2014/main" id="{00000000-0008-0000-0000-000036000000}"/>
              </a:ext>
            </a:extLst>
          </xdr:cNvPr>
          <xdr:cNvSpPr/>
        </xdr:nvSpPr>
        <xdr:spPr>
          <a:xfrm rot="19265282">
            <a:off x="1553473" y="3356029"/>
            <a:ext cx="767442" cy="70967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55" name="Rectangle 54">
            <a:extLst>
              <a:ext uri="{FF2B5EF4-FFF2-40B4-BE49-F238E27FC236}">
                <a16:creationId xmlns:a16="http://schemas.microsoft.com/office/drawing/2014/main" id="{00000000-0008-0000-0000-000037000000}"/>
              </a:ext>
            </a:extLst>
          </xdr:cNvPr>
          <xdr:cNvSpPr/>
        </xdr:nvSpPr>
        <xdr:spPr>
          <a:xfrm rot="19265282">
            <a:off x="2119105" y="2845037"/>
            <a:ext cx="794450" cy="71063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56" name="TextBox 5">
            <a:extLst>
              <a:ext uri="{FF2B5EF4-FFF2-40B4-BE49-F238E27FC236}">
                <a16:creationId xmlns:a16="http://schemas.microsoft.com/office/drawing/2014/main" id="{00000000-0008-0000-0000-000038000000}"/>
              </a:ext>
            </a:extLst>
          </xdr:cNvPr>
          <xdr:cNvSpPr txBox="1"/>
        </xdr:nvSpPr>
        <xdr:spPr>
          <a:xfrm rot="18952146">
            <a:off x="657619" y="2970345"/>
            <a:ext cx="1423592" cy="65594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b="1">
                <a:solidFill>
                  <a:srgbClr val="FF0000"/>
                </a:solidFill>
              </a:rPr>
              <a:t>Building 1 </a:t>
            </a:r>
          </a:p>
          <a:p>
            <a:pPr algn="ctr"/>
            <a:r>
              <a:rPr lang="en-US" b="1">
                <a:solidFill>
                  <a:srgbClr val="FF0000"/>
                </a:solidFill>
              </a:rPr>
              <a:t>Wing- B</a:t>
            </a:r>
            <a:endParaRPr lang="en-IN" b="1">
              <a:solidFill>
                <a:srgbClr val="FF0000"/>
              </a:solidFill>
            </a:endParaRPr>
          </a:p>
        </xdr:txBody>
      </xdr:sp>
      <xdr:sp macro="" textlink="">
        <xdr:nvSpPr>
          <xdr:cNvPr id="57" name="TextBox 7">
            <a:extLst>
              <a:ext uri="{FF2B5EF4-FFF2-40B4-BE49-F238E27FC236}">
                <a16:creationId xmlns:a16="http://schemas.microsoft.com/office/drawing/2014/main" id="{00000000-0008-0000-0000-000039000000}"/>
              </a:ext>
            </a:extLst>
          </xdr:cNvPr>
          <xdr:cNvSpPr txBox="1"/>
        </xdr:nvSpPr>
        <xdr:spPr>
          <a:xfrm rot="19072031">
            <a:off x="2597913" y="2215197"/>
            <a:ext cx="1283524" cy="65594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Building 1 </a:t>
            </a:r>
          </a:p>
          <a:p>
            <a:r>
              <a:rPr lang="en-US" b="1">
                <a:solidFill>
                  <a:srgbClr val="FF0000"/>
                </a:solidFill>
              </a:rPr>
              <a:t>Wing- A</a:t>
            </a:r>
            <a:endParaRPr lang="en-IN" b="1">
              <a:solidFill>
                <a:srgbClr val="FF0000"/>
              </a:solidFill>
            </a:endParaRPr>
          </a:p>
        </xdr:txBody>
      </xdr:sp>
      <xdr:pic>
        <xdr:nvPicPr>
          <xdr:cNvPr id="58" name="Picture 57">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5988664" y="4245051"/>
            <a:ext cx="521673" cy="552975"/>
          </a:xfrm>
          <a:prstGeom prst="rect">
            <a:avLst/>
          </a:prstGeom>
        </xdr:spPr>
      </xdr:pic>
      <xdr:pic>
        <xdr:nvPicPr>
          <xdr:cNvPr id="59" name="Picture 58">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11"/>
          <a:stretch>
            <a:fillRect/>
          </a:stretch>
        </xdr:blipFill>
        <xdr:spPr>
          <a:xfrm>
            <a:off x="1469315" y="4926889"/>
            <a:ext cx="3864811" cy="4266942"/>
          </a:xfrm>
          <a:prstGeom prst="rect">
            <a:avLst/>
          </a:prstGeom>
          <a:ln>
            <a:solidFill>
              <a:schemeClr val="tx1"/>
            </a:solidFill>
          </a:ln>
        </xdr:spPr>
      </xdr:pic>
      <xdr:sp macro="" textlink="">
        <xdr:nvSpPr>
          <xdr:cNvPr id="60" name="Rectangle 59">
            <a:extLst>
              <a:ext uri="{FF2B5EF4-FFF2-40B4-BE49-F238E27FC236}">
                <a16:creationId xmlns:a16="http://schemas.microsoft.com/office/drawing/2014/main" id="{00000000-0008-0000-0000-00003C000000}"/>
              </a:ext>
            </a:extLst>
          </xdr:cNvPr>
          <xdr:cNvSpPr/>
        </xdr:nvSpPr>
        <xdr:spPr>
          <a:xfrm rot="19131431">
            <a:off x="3046587" y="3108233"/>
            <a:ext cx="832162" cy="710634"/>
          </a:xfrm>
          <a:prstGeom prst="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solidFill>
                <a:srgbClr val="0070C0"/>
              </a:solidFill>
            </a:endParaRPr>
          </a:p>
        </xdr:txBody>
      </xdr:sp>
      <xdr:sp macro="" textlink="">
        <xdr:nvSpPr>
          <xdr:cNvPr id="61" name="Rectangle 60">
            <a:extLst>
              <a:ext uri="{FF2B5EF4-FFF2-40B4-BE49-F238E27FC236}">
                <a16:creationId xmlns:a16="http://schemas.microsoft.com/office/drawing/2014/main" id="{00000000-0008-0000-0000-00003D000000}"/>
              </a:ext>
            </a:extLst>
          </xdr:cNvPr>
          <xdr:cNvSpPr/>
        </xdr:nvSpPr>
        <xdr:spPr>
          <a:xfrm rot="19131431">
            <a:off x="2342568" y="3684540"/>
            <a:ext cx="914590" cy="710634"/>
          </a:xfrm>
          <a:prstGeom prst="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solidFill>
                <a:srgbClr val="0070C0"/>
              </a:solidFill>
            </a:endParaRPr>
          </a:p>
        </xdr:txBody>
      </xdr:sp>
      <xdr:sp macro="" textlink="">
        <xdr:nvSpPr>
          <xdr:cNvPr id="62" name="TextBox 5">
            <a:extLst>
              <a:ext uri="{FF2B5EF4-FFF2-40B4-BE49-F238E27FC236}">
                <a16:creationId xmlns:a16="http://schemas.microsoft.com/office/drawing/2014/main" id="{00000000-0008-0000-0000-00003E000000}"/>
              </a:ext>
            </a:extLst>
          </xdr:cNvPr>
          <xdr:cNvSpPr txBox="1"/>
        </xdr:nvSpPr>
        <xdr:spPr>
          <a:xfrm>
            <a:off x="1283193" y="4227405"/>
            <a:ext cx="1290242" cy="650403"/>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0070C0"/>
                </a:solidFill>
              </a:rPr>
              <a:t>Building 2 </a:t>
            </a:r>
          </a:p>
          <a:p>
            <a:r>
              <a:rPr lang="en-US" b="1">
                <a:solidFill>
                  <a:srgbClr val="0070C0"/>
                </a:solidFill>
              </a:rPr>
              <a:t>Wing- D</a:t>
            </a:r>
            <a:endParaRPr lang="en-IN" b="1">
              <a:solidFill>
                <a:srgbClr val="0070C0"/>
              </a:solidFill>
            </a:endParaRPr>
          </a:p>
        </xdr:txBody>
      </xdr:sp>
      <xdr:sp macro="" textlink="">
        <xdr:nvSpPr>
          <xdr:cNvPr id="63" name="TextBox 5">
            <a:extLst>
              <a:ext uri="{FF2B5EF4-FFF2-40B4-BE49-F238E27FC236}">
                <a16:creationId xmlns:a16="http://schemas.microsoft.com/office/drawing/2014/main" id="{00000000-0008-0000-0000-00003F000000}"/>
              </a:ext>
            </a:extLst>
          </xdr:cNvPr>
          <xdr:cNvSpPr txBox="1"/>
        </xdr:nvSpPr>
        <xdr:spPr>
          <a:xfrm rot="2989338">
            <a:off x="3590228" y="2701563"/>
            <a:ext cx="1290242" cy="656068"/>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0070C0"/>
                </a:solidFill>
              </a:rPr>
              <a:t>Building 2 </a:t>
            </a:r>
          </a:p>
          <a:p>
            <a:r>
              <a:rPr lang="en-US" b="1">
                <a:solidFill>
                  <a:srgbClr val="0070C0"/>
                </a:solidFill>
              </a:rPr>
              <a:t>Wing- C</a:t>
            </a:r>
            <a:endParaRPr lang="en-IN" b="1">
              <a:solidFill>
                <a:srgbClr val="0070C0"/>
              </a:solidFill>
            </a:endParaRPr>
          </a:p>
        </xdr:txBody>
      </xdr:sp>
    </xdr:grpSp>
    <xdr:clientData/>
  </xdr:twoCellAnchor>
  <xdr:twoCellAnchor editAs="oneCell">
    <xdr:from>
      <xdr:col>8</xdr:col>
      <xdr:colOff>291353</xdr:colOff>
      <xdr:row>51</xdr:row>
      <xdr:rowOff>358588</xdr:rowOff>
    </xdr:from>
    <xdr:to>
      <xdr:col>17</xdr:col>
      <xdr:colOff>127635</xdr:colOff>
      <xdr:row>52</xdr:row>
      <xdr:rowOff>650598</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2"/>
        <a:stretch>
          <a:fillRect/>
        </a:stretch>
      </xdr:blipFill>
      <xdr:spPr>
        <a:xfrm>
          <a:off x="6600265" y="13133294"/>
          <a:ext cx="7220958" cy="695422"/>
        </a:xfrm>
        <a:prstGeom prst="rect">
          <a:avLst/>
        </a:prstGeom>
      </xdr:spPr>
    </xdr:pic>
    <xdr:clientData/>
  </xdr:twoCellAnchor>
  <xdr:twoCellAnchor editAs="oneCell">
    <xdr:from>
      <xdr:col>10</xdr:col>
      <xdr:colOff>381000</xdr:colOff>
      <xdr:row>63</xdr:row>
      <xdr:rowOff>145677</xdr:rowOff>
    </xdr:from>
    <xdr:to>
      <xdr:col>16</xdr:col>
      <xdr:colOff>518918</xdr:colOff>
      <xdr:row>79</xdr:row>
      <xdr:rowOff>189626</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3"/>
        <a:stretch>
          <a:fillRect/>
        </a:stretch>
      </xdr:blipFill>
      <xdr:spPr>
        <a:xfrm>
          <a:off x="8617324" y="14993471"/>
          <a:ext cx="4990065" cy="4593537"/>
        </a:xfrm>
        <a:prstGeom prst="rect">
          <a:avLst/>
        </a:prstGeom>
      </xdr:spPr>
    </xdr:pic>
    <xdr:clientData/>
  </xdr:twoCellAnchor>
  <xdr:twoCellAnchor>
    <xdr:from>
      <xdr:col>8</xdr:col>
      <xdr:colOff>1013460</xdr:colOff>
      <xdr:row>217</xdr:row>
      <xdr:rowOff>32385</xdr:rowOff>
    </xdr:from>
    <xdr:to>
      <xdr:col>16</xdr:col>
      <xdr:colOff>45720</xdr:colOff>
      <xdr:row>248</xdr:row>
      <xdr:rowOff>50852</xdr:rowOff>
    </xdr:to>
    <xdr:grpSp>
      <xdr:nvGrpSpPr>
        <xdr:cNvPr id="69" name="Group 68">
          <a:extLst>
            <a:ext uri="{FF2B5EF4-FFF2-40B4-BE49-F238E27FC236}">
              <a16:creationId xmlns:a16="http://schemas.microsoft.com/office/drawing/2014/main" id="{38B80EA7-3114-4CC6-852D-E9F0DEC12C1A}"/>
            </a:ext>
          </a:extLst>
        </xdr:cNvPr>
        <xdr:cNvGrpSpPr/>
      </xdr:nvGrpSpPr>
      <xdr:grpSpPr>
        <a:xfrm>
          <a:off x="7498080" y="43405425"/>
          <a:ext cx="5996940" cy="6152567"/>
          <a:chOff x="197171" y="724980"/>
          <a:chExt cx="6437610" cy="6402122"/>
        </a:xfrm>
      </xdr:grpSpPr>
      <xdr:grpSp>
        <xdr:nvGrpSpPr>
          <xdr:cNvPr id="77" name="Group 76">
            <a:extLst>
              <a:ext uri="{FF2B5EF4-FFF2-40B4-BE49-F238E27FC236}">
                <a16:creationId xmlns:a16="http://schemas.microsoft.com/office/drawing/2014/main" id="{C112AC2D-DACE-45FE-B2A9-4EFAC32538D3}"/>
              </a:ext>
            </a:extLst>
          </xdr:cNvPr>
          <xdr:cNvGrpSpPr/>
        </xdr:nvGrpSpPr>
        <xdr:grpSpPr>
          <a:xfrm>
            <a:off x="267232" y="724980"/>
            <a:ext cx="6367549" cy="6402122"/>
            <a:chOff x="267232" y="724980"/>
            <a:chExt cx="6367549" cy="6402122"/>
          </a:xfrm>
        </xdr:grpSpPr>
        <xdr:pic>
          <xdr:nvPicPr>
            <xdr:cNvPr id="92" name="Picture 91">
              <a:extLst>
                <a:ext uri="{FF2B5EF4-FFF2-40B4-BE49-F238E27FC236}">
                  <a16:creationId xmlns:a16="http://schemas.microsoft.com/office/drawing/2014/main" id="{71D46FCF-088D-43FE-887D-3554A7ABAA7C}"/>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4125303" y="724980"/>
              <a:ext cx="2465464" cy="2520000"/>
            </a:xfrm>
            <a:prstGeom prst="rect">
              <a:avLst/>
            </a:prstGeom>
            <a:ln>
              <a:solidFill>
                <a:schemeClr val="tx1"/>
              </a:solidFill>
            </a:ln>
          </xdr:spPr>
        </xdr:pic>
        <xdr:pic>
          <xdr:nvPicPr>
            <xdr:cNvPr id="93" name="Picture 92">
              <a:extLst>
                <a:ext uri="{FF2B5EF4-FFF2-40B4-BE49-F238E27FC236}">
                  <a16:creationId xmlns:a16="http://schemas.microsoft.com/office/drawing/2014/main" id="{18015C3B-C86F-4965-9FCA-A16E3C0B81C0}"/>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267233" y="724980"/>
              <a:ext cx="3699258" cy="2520000"/>
            </a:xfrm>
            <a:prstGeom prst="rect">
              <a:avLst/>
            </a:prstGeom>
            <a:ln>
              <a:solidFill>
                <a:schemeClr val="tx1"/>
              </a:solidFill>
            </a:ln>
          </xdr:spPr>
        </xdr:pic>
        <xdr:pic>
          <xdr:nvPicPr>
            <xdr:cNvPr id="94" name="Picture 93">
              <a:extLst>
                <a:ext uri="{FF2B5EF4-FFF2-40B4-BE49-F238E27FC236}">
                  <a16:creationId xmlns:a16="http://schemas.microsoft.com/office/drawing/2014/main" id="{CE41427B-421C-40CD-BD5F-8313BF4A7C7C}"/>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267232" y="3386041"/>
              <a:ext cx="1348594" cy="1800000"/>
            </a:xfrm>
            <a:prstGeom prst="rect">
              <a:avLst/>
            </a:prstGeom>
            <a:ln>
              <a:solidFill>
                <a:schemeClr val="tx1"/>
              </a:solidFill>
            </a:ln>
          </xdr:spPr>
        </xdr:pic>
        <xdr:pic>
          <xdr:nvPicPr>
            <xdr:cNvPr id="95" name="Picture 94">
              <a:extLst>
                <a:ext uri="{FF2B5EF4-FFF2-40B4-BE49-F238E27FC236}">
                  <a16:creationId xmlns:a16="http://schemas.microsoft.com/office/drawing/2014/main" id="{4E8FE185-C6F1-49D9-BF2A-3D00E15BE8A3}"/>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1727525" y="3386041"/>
              <a:ext cx="2397778" cy="1800000"/>
            </a:xfrm>
            <a:prstGeom prst="rect">
              <a:avLst/>
            </a:prstGeom>
            <a:ln>
              <a:solidFill>
                <a:schemeClr val="tx1"/>
              </a:solidFill>
            </a:ln>
          </xdr:spPr>
        </xdr:pic>
        <xdr:pic>
          <xdr:nvPicPr>
            <xdr:cNvPr id="96" name="Picture 95">
              <a:extLst>
                <a:ext uri="{FF2B5EF4-FFF2-40B4-BE49-F238E27FC236}">
                  <a16:creationId xmlns:a16="http://schemas.microsoft.com/office/drawing/2014/main" id="{70E8BE01-5A94-4F41-9073-43CB3FA5CAA8}"/>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4237003" y="3386041"/>
              <a:ext cx="2397778" cy="1800000"/>
            </a:xfrm>
            <a:prstGeom prst="rect">
              <a:avLst/>
            </a:prstGeom>
            <a:ln>
              <a:solidFill>
                <a:schemeClr val="tx1"/>
              </a:solidFill>
            </a:ln>
          </xdr:spPr>
        </xdr:pic>
        <xdr:pic>
          <xdr:nvPicPr>
            <xdr:cNvPr id="97" name="Picture 96">
              <a:extLst>
                <a:ext uri="{FF2B5EF4-FFF2-40B4-BE49-F238E27FC236}">
                  <a16:creationId xmlns:a16="http://schemas.microsoft.com/office/drawing/2014/main" id="{91DEFA39-6EE4-48F7-8E3D-320FC3D11FCC}"/>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700426" y="5327102"/>
              <a:ext cx="1348594" cy="1800000"/>
            </a:xfrm>
            <a:prstGeom prst="rect">
              <a:avLst/>
            </a:prstGeom>
            <a:ln>
              <a:solidFill>
                <a:schemeClr val="tx1"/>
              </a:solidFill>
            </a:ln>
          </xdr:spPr>
        </xdr:pic>
        <xdr:pic>
          <xdr:nvPicPr>
            <xdr:cNvPr id="98" name="Picture 97">
              <a:extLst>
                <a:ext uri="{FF2B5EF4-FFF2-40B4-BE49-F238E27FC236}">
                  <a16:creationId xmlns:a16="http://schemas.microsoft.com/office/drawing/2014/main" id="{2FE4F0DC-D0D7-4EC2-AB59-C98ECD631DD3}"/>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2157991" y="5327102"/>
              <a:ext cx="1348594" cy="1800000"/>
            </a:xfrm>
            <a:prstGeom prst="rect">
              <a:avLst/>
            </a:prstGeom>
            <a:ln>
              <a:solidFill>
                <a:schemeClr val="tx1"/>
              </a:solidFill>
            </a:ln>
          </xdr:spPr>
        </xdr:pic>
        <xdr:pic>
          <xdr:nvPicPr>
            <xdr:cNvPr id="99" name="Picture 98">
              <a:extLst>
                <a:ext uri="{FF2B5EF4-FFF2-40B4-BE49-F238E27FC236}">
                  <a16:creationId xmlns:a16="http://schemas.microsoft.com/office/drawing/2014/main" id="{24C459C1-7DA4-4B0A-81E0-3A862E8538CA}"/>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3615556" y="5327102"/>
              <a:ext cx="2397778" cy="1800000"/>
            </a:xfrm>
            <a:prstGeom prst="rect">
              <a:avLst/>
            </a:prstGeom>
            <a:ln>
              <a:solidFill>
                <a:schemeClr val="tx1"/>
              </a:solidFill>
            </a:ln>
          </xdr:spPr>
        </xdr:pic>
      </xdr:grpSp>
      <xdr:sp macro="" textlink="">
        <xdr:nvSpPr>
          <xdr:cNvPr id="78" name="TextBox 103">
            <a:extLst>
              <a:ext uri="{FF2B5EF4-FFF2-40B4-BE49-F238E27FC236}">
                <a16:creationId xmlns:a16="http://schemas.microsoft.com/office/drawing/2014/main" id="{7A140B24-FA6C-4458-872A-E6FE7B0740B8}"/>
              </a:ext>
            </a:extLst>
          </xdr:cNvPr>
          <xdr:cNvSpPr txBox="1"/>
        </xdr:nvSpPr>
        <xdr:spPr>
          <a:xfrm>
            <a:off x="564137" y="906700"/>
            <a:ext cx="593158" cy="38561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1B</a:t>
            </a:r>
            <a:endParaRPr lang="en-IN" b="1">
              <a:solidFill>
                <a:srgbClr val="FF0000"/>
              </a:solidFill>
            </a:endParaRPr>
          </a:p>
        </xdr:txBody>
      </xdr:sp>
      <xdr:sp macro="" textlink="">
        <xdr:nvSpPr>
          <xdr:cNvPr id="80" name="TextBox 104">
            <a:extLst>
              <a:ext uri="{FF2B5EF4-FFF2-40B4-BE49-F238E27FC236}">
                <a16:creationId xmlns:a16="http://schemas.microsoft.com/office/drawing/2014/main" id="{58C23594-FA69-4A9D-9CBE-DC4DCB9C2518}"/>
              </a:ext>
            </a:extLst>
          </xdr:cNvPr>
          <xdr:cNvSpPr txBox="1"/>
        </xdr:nvSpPr>
        <xdr:spPr>
          <a:xfrm>
            <a:off x="3059496" y="724980"/>
            <a:ext cx="565678" cy="38561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1A</a:t>
            </a:r>
            <a:endParaRPr lang="en-IN" b="1">
              <a:solidFill>
                <a:srgbClr val="FF0000"/>
              </a:solidFill>
            </a:endParaRPr>
          </a:p>
        </xdr:txBody>
      </xdr:sp>
      <xdr:sp macro="" textlink="">
        <xdr:nvSpPr>
          <xdr:cNvPr id="82" name="TextBox 105">
            <a:extLst>
              <a:ext uri="{FF2B5EF4-FFF2-40B4-BE49-F238E27FC236}">
                <a16:creationId xmlns:a16="http://schemas.microsoft.com/office/drawing/2014/main" id="{E3FF8DC9-D303-4CE0-B30A-207D4AE1325F}"/>
              </a:ext>
            </a:extLst>
          </xdr:cNvPr>
          <xdr:cNvSpPr txBox="1"/>
        </xdr:nvSpPr>
        <xdr:spPr>
          <a:xfrm>
            <a:off x="5953275" y="724980"/>
            <a:ext cx="619712" cy="38561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1A</a:t>
            </a:r>
            <a:endParaRPr lang="en-IN" b="1">
              <a:solidFill>
                <a:srgbClr val="FF0000"/>
              </a:solidFill>
            </a:endParaRPr>
          </a:p>
        </xdr:txBody>
      </xdr:sp>
      <xdr:sp macro="" textlink="">
        <xdr:nvSpPr>
          <xdr:cNvPr id="84" name="TextBox 106">
            <a:extLst>
              <a:ext uri="{FF2B5EF4-FFF2-40B4-BE49-F238E27FC236}">
                <a16:creationId xmlns:a16="http://schemas.microsoft.com/office/drawing/2014/main" id="{6E173B96-4E77-48C5-AAAF-3ACE1F7A813E}"/>
              </a:ext>
            </a:extLst>
          </xdr:cNvPr>
          <xdr:cNvSpPr txBox="1"/>
        </xdr:nvSpPr>
        <xdr:spPr>
          <a:xfrm>
            <a:off x="197171" y="3386041"/>
            <a:ext cx="524235" cy="38561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1B</a:t>
            </a:r>
            <a:endParaRPr lang="en-IN" b="1">
              <a:solidFill>
                <a:srgbClr val="FF0000"/>
              </a:solidFill>
            </a:endParaRPr>
          </a:p>
        </xdr:txBody>
      </xdr:sp>
      <xdr:sp macro="" textlink="">
        <xdr:nvSpPr>
          <xdr:cNvPr id="90" name="TextBox 107">
            <a:extLst>
              <a:ext uri="{FF2B5EF4-FFF2-40B4-BE49-F238E27FC236}">
                <a16:creationId xmlns:a16="http://schemas.microsoft.com/office/drawing/2014/main" id="{07322135-4561-4C47-824B-18C312070AA7}"/>
              </a:ext>
            </a:extLst>
          </xdr:cNvPr>
          <xdr:cNvSpPr txBox="1"/>
        </xdr:nvSpPr>
        <xdr:spPr>
          <a:xfrm>
            <a:off x="2094903" y="4675500"/>
            <a:ext cx="496413" cy="38561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2C</a:t>
            </a:r>
            <a:endParaRPr lang="en-IN" b="1">
              <a:solidFill>
                <a:srgbClr val="FF0000"/>
              </a:solidFill>
            </a:endParaRPr>
          </a:p>
        </xdr:txBody>
      </xdr:sp>
      <xdr:sp macro="" textlink="">
        <xdr:nvSpPr>
          <xdr:cNvPr id="91" name="TextBox 108">
            <a:extLst>
              <a:ext uri="{FF2B5EF4-FFF2-40B4-BE49-F238E27FC236}">
                <a16:creationId xmlns:a16="http://schemas.microsoft.com/office/drawing/2014/main" id="{49E1E130-A145-4200-8167-19B5496ADB4C}"/>
              </a:ext>
            </a:extLst>
          </xdr:cNvPr>
          <xdr:cNvSpPr txBox="1"/>
        </xdr:nvSpPr>
        <xdr:spPr>
          <a:xfrm>
            <a:off x="4936258" y="4675500"/>
            <a:ext cx="523677" cy="38561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2D</a:t>
            </a:r>
            <a:endParaRPr lang="en-IN" b="1">
              <a:solidFill>
                <a:srgbClr val="FF0000"/>
              </a:solidFill>
            </a:endParaRPr>
          </a:p>
        </xdr:txBody>
      </xdr:sp>
    </xdr:grpSp>
    <xdr:clientData/>
  </xdr:twoCellAnchor>
  <xdr:twoCellAnchor>
    <xdr:from>
      <xdr:col>0</xdr:col>
      <xdr:colOff>579120</xdr:colOff>
      <xdr:row>221</xdr:row>
      <xdr:rowOff>7620</xdr:rowOff>
    </xdr:from>
    <xdr:to>
      <xdr:col>7</xdr:col>
      <xdr:colOff>42398</xdr:colOff>
      <xdr:row>260</xdr:row>
      <xdr:rowOff>1199</xdr:rowOff>
    </xdr:to>
    <xdr:grpSp>
      <xdr:nvGrpSpPr>
        <xdr:cNvPr id="8" name="Group 7">
          <a:extLst>
            <a:ext uri="{FF2B5EF4-FFF2-40B4-BE49-F238E27FC236}">
              <a16:creationId xmlns:a16="http://schemas.microsoft.com/office/drawing/2014/main" id="{19535A7C-CEF7-88B4-5758-86B2C4E467E8}"/>
            </a:ext>
          </a:extLst>
        </xdr:cNvPr>
        <xdr:cNvGrpSpPr/>
      </xdr:nvGrpSpPr>
      <xdr:grpSpPr>
        <a:xfrm>
          <a:off x="579120" y="44165520"/>
          <a:ext cx="5193518" cy="7720259"/>
          <a:chOff x="832241" y="145779"/>
          <a:chExt cx="5193518" cy="7720259"/>
        </a:xfrm>
      </xdr:grpSpPr>
      <xdr:grpSp>
        <xdr:nvGrpSpPr>
          <xdr:cNvPr id="9" name="Group 8">
            <a:extLst>
              <a:ext uri="{FF2B5EF4-FFF2-40B4-BE49-F238E27FC236}">
                <a16:creationId xmlns:a16="http://schemas.microsoft.com/office/drawing/2014/main" id="{D62E3EB1-942E-FCA7-9DEA-689E26F275A6}"/>
              </a:ext>
            </a:extLst>
          </xdr:cNvPr>
          <xdr:cNvGrpSpPr/>
        </xdr:nvGrpSpPr>
        <xdr:grpSpPr>
          <a:xfrm>
            <a:off x="1465059" y="4689019"/>
            <a:ext cx="3927883" cy="1620000"/>
            <a:chOff x="1389148" y="4678221"/>
            <a:chExt cx="3927883" cy="1620000"/>
          </a:xfrm>
        </xdr:grpSpPr>
        <xdr:pic>
          <xdr:nvPicPr>
            <xdr:cNvPr id="26" name="Picture 25">
              <a:extLst>
                <a:ext uri="{FF2B5EF4-FFF2-40B4-BE49-F238E27FC236}">
                  <a16:creationId xmlns:a16="http://schemas.microsoft.com/office/drawing/2014/main" id="{ECE0CE15-2C1D-E429-5036-D87E3C7C9283}"/>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1389148" y="4678221"/>
              <a:ext cx="1213735" cy="1620000"/>
            </a:xfrm>
            <a:prstGeom prst="rect">
              <a:avLst/>
            </a:prstGeom>
            <a:ln>
              <a:solidFill>
                <a:schemeClr val="tx1"/>
              </a:solidFill>
            </a:ln>
          </xdr:spPr>
        </xdr:pic>
        <xdr:pic>
          <xdr:nvPicPr>
            <xdr:cNvPr id="27" name="Picture 26">
              <a:extLst>
                <a:ext uri="{FF2B5EF4-FFF2-40B4-BE49-F238E27FC236}">
                  <a16:creationId xmlns:a16="http://schemas.microsoft.com/office/drawing/2014/main" id="{167DB73C-9471-B13D-F131-E6AF1042BAF5}"/>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2746222" y="4678221"/>
              <a:ext cx="1213735" cy="1620000"/>
            </a:xfrm>
            <a:prstGeom prst="rect">
              <a:avLst/>
            </a:prstGeom>
            <a:ln>
              <a:solidFill>
                <a:schemeClr val="tx1"/>
              </a:solidFill>
            </a:ln>
          </xdr:spPr>
        </xdr:pic>
        <xdr:pic>
          <xdr:nvPicPr>
            <xdr:cNvPr id="28" name="Picture 27">
              <a:extLst>
                <a:ext uri="{FF2B5EF4-FFF2-40B4-BE49-F238E27FC236}">
                  <a16:creationId xmlns:a16="http://schemas.microsoft.com/office/drawing/2014/main" id="{87584D9A-A745-0586-892A-B88CC136261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4103296" y="4678221"/>
              <a:ext cx="1213735" cy="1620000"/>
            </a:xfrm>
            <a:prstGeom prst="rect">
              <a:avLst/>
            </a:prstGeom>
            <a:ln>
              <a:solidFill>
                <a:schemeClr val="tx1"/>
              </a:solidFill>
            </a:ln>
          </xdr:spPr>
        </xdr:pic>
      </xdr:grpSp>
      <xdr:grpSp>
        <xdr:nvGrpSpPr>
          <xdr:cNvPr id="10" name="Group 9">
            <a:extLst>
              <a:ext uri="{FF2B5EF4-FFF2-40B4-BE49-F238E27FC236}">
                <a16:creationId xmlns:a16="http://schemas.microsoft.com/office/drawing/2014/main" id="{D405D138-3CD0-5C66-627A-5139F184E1A1}"/>
              </a:ext>
            </a:extLst>
          </xdr:cNvPr>
          <xdr:cNvGrpSpPr/>
        </xdr:nvGrpSpPr>
        <xdr:grpSpPr>
          <a:xfrm>
            <a:off x="1461877" y="145779"/>
            <a:ext cx="3934247" cy="2520000"/>
            <a:chOff x="1382784" y="145779"/>
            <a:chExt cx="3934247" cy="2520000"/>
          </a:xfrm>
        </xdr:grpSpPr>
        <xdr:pic>
          <xdr:nvPicPr>
            <xdr:cNvPr id="23" name="Picture 22">
              <a:extLst>
                <a:ext uri="{FF2B5EF4-FFF2-40B4-BE49-F238E27FC236}">
                  <a16:creationId xmlns:a16="http://schemas.microsoft.com/office/drawing/2014/main" id="{5651CDAA-2047-D11D-6298-1583FECC15B2}"/>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3429000" y="145779"/>
              <a:ext cx="1888031" cy="2520000"/>
            </a:xfrm>
            <a:prstGeom prst="rect">
              <a:avLst/>
            </a:prstGeom>
            <a:ln>
              <a:solidFill>
                <a:schemeClr val="tx1"/>
              </a:solidFill>
            </a:ln>
          </xdr:spPr>
        </xdr:pic>
        <xdr:pic>
          <xdr:nvPicPr>
            <xdr:cNvPr id="24" name="Picture 23">
              <a:extLst>
                <a:ext uri="{FF2B5EF4-FFF2-40B4-BE49-F238E27FC236}">
                  <a16:creationId xmlns:a16="http://schemas.microsoft.com/office/drawing/2014/main" id="{906804E0-D750-BA1E-5433-A50904ED2CD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382784" y="145779"/>
              <a:ext cx="1888031" cy="2520000"/>
            </a:xfrm>
            <a:prstGeom prst="rect">
              <a:avLst/>
            </a:prstGeom>
            <a:ln>
              <a:solidFill>
                <a:schemeClr val="tx1"/>
              </a:solidFill>
            </a:ln>
          </xdr:spPr>
        </xdr:pic>
      </xdr:grpSp>
      <xdr:grpSp>
        <xdr:nvGrpSpPr>
          <xdr:cNvPr id="11" name="Group 10">
            <a:extLst>
              <a:ext uri="{FF2B5EF4-FFF2-40B4-BE49-F238E27FC236}">
                <a16:creationId xmlns:a16="http://schemas.microsoft.com/office/drawing/2014/main" id="{B2200608-172F-40ED-384D-53C7FCAD1E35}"/>
              </a:ext>
            </a:extLst>
          </xdr:cNvPr>
          <xdr:cNvGrpSpPr/>
        </xdr:nvGrpSpPr>
        <xdr:grpSpPr>
          <a:xfrm>
            <a:off x="952130" y="2772000"/>
            <a:ext cx="4953741" cy="1800000"/>
            <a:chOff x="873037" y="2772000"/>
            <a:chExt cx="4953741" cy="1800000"/>
          </a:xfrm>
        </xdr:grpSpPr>
        <xdr:pic>
          <xdr:nvPicPr>
            <xdr:cNvPr id="21" name="Picture 20">
              <a:extLst>
                <a:ext uri="{FF2B5EF4-FFF2-40B4-BE49-F238E27FC236}">
                  <a16:creationId xmlns:a16="http://schemas.microsoft.com/office/drawing/2014/main" id="{1AA18CA7-C27D-6D11-FB10-F92FC1D584C7}"/>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873037" y="2772000"/>
              <a:ext cx="2397778" cy="1800000"/>
            </a:xfrm>
            <a:prstGeom prst="rect">
              <a:avLst/>
            </a:prstGeom>
            <a:ln>
              <a:solidFill>
                <a:schemeClr val="tx1"/>
              </a:solidFill>
            </a:ln>
          </xdr:spPr>
        </xdr:pic>
        <xdr:pic>
          <xdr:nvPicPr>
            <xdr:cNvPr id="22" name="Picture 21">
              <a:extLst>
                <a:ext uri="{FF2B5EF4-FFF2-40B4-BE49-F238E27FC236}">
                  <a16:creationId xmlns:a16="http://schemas.microsoft.com/office/drawing/2014/main" id="{0EE1FF17-97CF-EB3F-587E-D70B6B2A96AF}"/>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3429000" y="2772000"/>
              <a:ext cx="2397778" cy="1800000"/>
            </a:xfrm>
            <a:prstGeom prst="rect">
              <a:avLst/>
            </a:prstGeom>
            <a:ln>
              <a:solidFill>
                <a:schemeClr val="tx1"/>
              </a:solidFill>
            </a:ln>
          </xdr:spPr>
        </xdr:pic>
      </xdr:grpSp>
      <xdr:grpSp>
        <xdr:nvGrpSpPr>
          <xdr:cNvPr id="13" name="Group 12">
            <a:extLst>
              <a:ext uri="{FF2B5EF4-FFF2-40B4-BE49-F238E27FC236}">
                <a16:creationId xmlns:a16="http://schemas.microsoft.com/office/drawing/2014/main" id="{6BC10952-2516-408D-C96F-8361CB2EA014}"/>
              </a:ext>
            </a:extLst>
          </xdr:cNvPr>
          <xdr:cNvGrpSpPr/>
        </xdr:nvGrpSpPr>
        <xdr:grpSpPr>
          <a:xfrm>
            <a:off x="832241" y="6426038"/>
            <a:ext cx="5193518" cy="1440000"/>
            <a:chOff x="684661" y="6404442"/>
            <a:chExt cx="5193518" cy="1440000"/>
          </a:xfrm>
        </xdr:grpSpPr>
        <xdr:pic>
          <xdr:nvPicPr>
            <xdr:cNvPr id="18" name="Picture 17">
              <a:extLst>
                <a:ext uri="{FF2B5EF4-FFF2-40B4-BE49-F238E27FC236}">
                  <a16:creationId xmlns:a16="http://schemas.microsoft.com/office/drawing/2014/main" id="{A09CC3E5-5776-EB85-368F-78BC6428558E}"/>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684661" y="6404442"/>
              <a:ext cx="1918222" cy="1440000"/>
            </a:xfrm>
            <a:prstGeom prst="rect">
              <a:avLst/>
            </a:prstGeom>
            <a:ln>
              <a:solidFill>
                <a:schemeClr val="tx1"/>
              </a:solidFill>
            </a:ln>
          </xdr:spPr>
        </xdr:pic>
        <xdr:pic>
          <xdr:nvPicPr>
            <xdr:cNvPr id="19" name="Picture 18">
              <a:extLst>
                <a:ext uri="{FF2B5EF4-FFF2-40B4-BE49-F238E27FC236}">
                  <a16:creationId xmlns:a16="http://schemas.microsoft.com/office/drawing/2014/main" id="{9504F327-1F69-2C2F-C7D3-1A0E7E42606C}"/>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2741982" y="6404442"/>
              <a:ext cx="1078875" cy="1440000"/>
            </a:xfrm>
            <a:prstGeom prst="rect">
              <a:avLst/>
            </a:prstGeom>
            <a:ln>
              <a:solidFill>
                <a:schemeClr val="tx1"/>
              </a:solidFill>
            </a:ln>
          </xdr:spPr>
        </xdr:pic>
        <xdr:pic>
          <xdr:nvPicPr>
            <xdr:cNvPr id="20" name="Picture 19">
              <a:extLst>
                <a:ext uri="{FF2B5EF4-FFF2-40B4-BE49-F238E27FC236}">
                  <a16:creationId xmlns:a16="http://schemas.microsoft.com/office/drawing/2014/main" id="{73A19052-7097-11E7-CE06-B5DDC1F35E3C}"/>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3959957" y="6404442"/>
              <a:ext cx="1918222" cy="1440000"/>
            </a:xfrm>
            <a:prstGeom prst="rect">
              <a:avLst/>
            </a:prstGeom>
            <a:ln>
              <a:solidFill>
                <a:schemeClr val="tx1"/>
              </a:solidFill>
            </a:ln>
          </xdr:spPr>
        </xdr:pic>
      </xdr:grpSp>
      <xdr:sp macro="" textlink="">
        <xdr:nvSpPr>
          <xdr:cNvPr id="14" name="TextBox 30">
            <a:extLst>
              <a:ext uri="{FF2B5EF4-FFF2-40B4-BE49-F238E27FC236}">
                <a16:creationId xmlns:a16="http://schemas.microsoft.com/office/drawing/2014/main" id="{F6694038-03EC-B652-CAFE-8A6F268D1BF5}"/>
              </a:ext>
            </a:extLst>
          </xdr:cNvPr>
          <xdr:cNvSpPr txBox="1"/>
        </xdr:nvSpPr>
        <xdr:spPr>
          <a:xfrm>
            <a:off x="4922585" y="2782798"/>
            <a:ext cx="447558"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2D</a:t>
            </a:r>
            <a:endParaRPr lang="en-IN" b="1"/>
          </a:p>
        </xdr:txBody>
      </xdr:sp>
      <xdr:sp macro="" textlink="">
        <xdr:nvSpPr>
          <xdr:cNvPr id="15" name="TextBox 32">
            <a:extLst>
              <a:ext uri="{FF2B5EF4-FFF2-40B4-BE49-F238E27FC236}">
                <a16:creationId xmlns:a16="http://schemas.microsoft.com/office/drawing/2014/main" id="{51877F13-3079-6140-AE86-7EFD5C5CCBC0}"/>
              </a:ext>
            </a:extLst>
          </xdr:cNvPr>
          <xdr:cNvSpPr txBox="1"/>
        </xdr:nvSpPr>
        <xdr:spPr>
          <a:xfrm>
            <a:off x="4786074" y="438805"/>
            <a:ext cx="44114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1B</a:t>
            </a:r>
            <a:endParaRPr lang="en-IN" b="1"/>
          </a:p>
        </xdr:txBody>
      </xdr:sp>
      <xdr:sp macro="" textlink="">
        <xdr:nvSpPr>
          <xdr:cNvPr id="16" name="TextBox 33">
            <a:extLst>
              <a:ext uri="{FF2B5EF4-FFF2-40B4-BE49-F238E27FC236}">
                <a16:creationId xmlns:a16="http://schemas.microsoft.com/office/drawing/2014/main" id="{70E88994-DAB1-09EB-C71F-F5A0C620D252}"/>
              </a:ext>
            </a:extLst>
          </xdr:cNvPr>
          <xdr:cNvSpPr txBox="1"/>
        </xdr:nvSpPr>
        <xdr:spPr>
          <a:xfrm>
            <a:off x="2386153" y="2859818"/>
            <a:ext cx="423514"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2C</a:t>
            </a:r>
            <a:endParaRPr lang="en-IN" b="1"/>
          </a:p>
        </xdr:txBody>
      </xdr:sp>
      <xdr:sp macro="" textlink="">
        <xdr:nvSpPr>
          <xdr:cNvPr id="17" name="TextBox 34">
            <a:extLst>
              <a:ext uri="{FF2B5EF4-FFF2-40B4-BE49-F238E27FC236}">
                <a16:creationId xmlns:a16="http://schemas.microsoft.com/office/drawing/2014/main" id="{D02E106D-5DCC-40B6-BC85-386E27E17C7E}"/>
              </a:ext>
            </a:extLst>
          </xdr:cNvPr>
          <xdr:cNvSpPr txBox="1"/>
        </xdr:nvSpPr>
        <xdr:spPr>
          <a:xfrm>
            <a:off x="1570779" y="389681"/>
            <a:ext cx="44114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1A</a:t>
            </a:r>
            <a:endParaRPr lang="en-IN" b="1"/>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9905999" y="358588"/>
          <a:ext cx="3256698" cy="4320000"/>
        </a:xfrm>
        <a:prstGeom prst="rect">
          <a:avLst/>
        </a:prstGeom>
      </xdr:spPr>
    </xdr:pic>
    <xdr:clientData/>
  </xdr:twoCellAnchor>
  <xdr:twoCellAnchor editAs="oneCell">
    <xdr:from>
      <xdr:col>1</xdr:col>
      <xdr:colOff>1053352</xdr:colOff>
      <xdr:row>4</xdr:row>
      <xdr:rowOff>156883</xdr:rowOff>
    </xdr:from>
    <xdr:to>
      <xdr:col>6</xdr:col>
      <xdr:colOff>1008855</xdr:colOff>
      <xdr:row>22</xdr:row>
      <xdr:rowOff>100204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636058" y="930089"/>
          <a:ext cx="6354062" cy="3372321"/>
        </a:xfrm>
        <a:prstGeom prst="rect">
          <a:avLst/>
        </a:prstGeom>
      </xdr:spPr>
    </xdr:pic>
    <xdr:clientData/>
  </xdr:twoCellAnchor>
  <xdr:twoCellAnchor editAs="oneCell">
    <xdr:from>
      <xdr:col>2</xdr:col>
      <xdr:colOff>750794</xdr:colOff>
      <xdr:row>5</xdr:row>
      <xdr:rowOff>33617</xdr:rowOff>
    </xdr:from>
    <xdr:to>
      <xdr:col>7</xdr:col>
      <xdr:colOff>1090131</xdr:colOff>
      <xdr:row>26</xdr:row>
      <xdr:rowOff>91333</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2812676" y="997323"/>
          <a:ext cx="6592220" cy="4058216"/>
        </a:xfrm>
        <a:prstGeom prst="rect">
          <a:avLst/>
        </a:prstGeom>
      </xdr:spPr>
    </xdr:pic>
    <xdr:clientData/>
  </xdr:twoCellAnchor>
  <xdr:twoCellAnchor editAs="oneCell">
    <xdr:from>
      <xdr:col>4</xdr:col>
      <xdr:colOff>0</xdr:colOff>
      <xdr:row>4</xdr:row>
      <xdr:rowOff>168087</xdr:rowOff>
    </xdr:from>
    <xdr:to>
      <xdr:col>13</xdr:col>
      <xdr:colOff>317031</xdr:colOff>
      <xdr:row>29</xdr:row>
      <xdr:rowOff>16330</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stretch>
          <a:fillRect/>
        </a:stretch>
      </xdr:blipFill>
      <xdr:spPr>
        <a:xfrm>
          <a:off x="5289176" y="941293"/>
          <a:ext cx="7354326" cy="4610743"/>
        </a:xfrm>
        <a:prstGeom prst="rect">
          <a:avLst/>
        </a:prstGeom>
      </xdr:spPr>
    </xdr:pic>
    <xdr:clientData/>
  </xdr:twoCellAnchor>
  <xdr:twoCellAnchor editAs="oneCell">
    <xdr:from>
      <xdr:col>0</xdr:col>
      <xdr:colOff>493059</xdr:colOff>
      <xdr:row>5</xdr:row>
      <xdr:rowOff>67235</xdr:rowOff>
    </xdr:from>
    <xdr:to>
      <xdr:col>6</xdr:col>
      <xdr:colOff>1123331</xdr:colOff>
      <xdr:row>30</xdr:row>
      <xdr:rowOff>134584</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5"/>
        <a:stretch>
          <a:fillRect/>
        </a:stretch>
      </xdr:blipFill>
      <xdr:spPr>
        <a:xfrm>
          <a:off x="493059" y="1030941"/>
          <a:ext cx="7611537" cy="482984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M5r1twmQnMo3kXnH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304"/>
  <sheetViews>
    <sheetView tabSelected="1" view="pageBreakPreview" zoomScaleNormal="100" zoomScaleSheetLayoutView="100" zoomScalePageLayoutView="85" workbookViewId="0">
      <selection activeCell="J4" sqref="J4"/>
    </sheetView>
  </sheetViews>
  <sheetFormatPr defaultColWidth="9.109375" defaultRowHeight="15.6" x14ac:dyDescent="0.3"/>
  <cols>
    <col min="1" max="1" width="11.44140625" style="37" customWidth="1"/>
    <col min="2" max="2" width="12" style="37" customWidth="1"/>
    <col min="3" max="3" width="12.6640625" style="37" customWidth="1"/>
    <col min="4" max="4" width="13.6640625" style="37" customWidth="1"/>
    <col min="5" max="5" width="11.6640625" style="37" customWidth="1"/>
    <col min="6" max="6" width="11.109375" style="37" customWidth="1"/>
    <col min="7" max="8" width="11" style="37" customWidth="1"/>
    <col min="9" max="9" width="17.44140625" style="18" customWidth="1"/>
    <col min="10" max="10" width="11.44140625" style="18" customWidth="1"/>
    <col min="11" max="11" width="10.5546875" style="18" bestFit="1" customWidth="1"/>
    <col min="12" max="12" width="13.88671875" style="18" bestFit="1" customWidth="1"/>
    <col min="13" max="13" width="11.88671875" style="18" customWidth="1"/>
    <col min="14" max="14" width="12.5546875" style="18" customWidth="1"/>
    <col min="15" max="15" width="12.109375" style="18" customWidth="1"/>
    <col min="16" max="16" width="11.6640625" style="18" customWidth="1"/>
    <col min="17" max="18" width="9.109375" style="18"/>
    <col min="19" max="19" width="10.88671875" style="18" bestFit="1" customWidth="1"/>
    <col min="20" max="20" width="10.6640625" style="18" customWidth="1"/>
    <col min="21" max="247" width="9.109375" style="18"/>
    <col min="248" max="248" width="8.6640625" style="18" customWidth="1"/>
    <col min="249" max="249" width="9.88671875" style="18" customWidth="1"/>
    <col min="250" max="250" width="14.44140625" style="18" customWidth="1"/>
    <col min="251" max="251" width="7.33203125" style="18" customWidth="1"/>
    <col min="252" max="252" width="5.5546875" style="18" customWidth="1"/>
    <col min="253" max="253" width="9" style="18" customWidth="1"/>
    <col min="254" max="255" width="9.88671875" style="18" customWidth="1"/>
    <col min="256" max="256" width="11.109375" style="18" customWidth="1"/>
    <col min="257" max="257" width="2.88671875" style="18" customWidth="1"/>
    <col min="258" max="258" width="3.5546875" style="18" customWidth="1"/>
    <col min="259" max="503" width="9.109375" style="18"/>
    <col min="504" max="504" width="8.6640625" style="18" customWidth="1"/>
    <col min="505" max="505" width="9.88671875" style="18" customWidth="1"/>
    <col min="506" max="506" width="14.44140625" style="18" customWidth="1"/>
    <col min="507" max="507" width="7.33203125" style="18" customWidth="1"/>
    <col min="508" max="508" width="5.5546875" style="18" customWidth="1"/>
    <col min="509" max="509" width="9" style="18" customWidth="1"/>
    <col min="510" max="511" width="9.88671875" style="18" customWidth="1"/>
    <col min="512" max="512" width="11.109375" style="18" customWidth="1"/>
    <col min="513" max="513" width="2.88671875" style="18" customWidth="1"/>
    <col min="514" max="514" width="3.5546875" style="18" customWidth="1"/>
    <col min="515" max="759" width="9.109375" style="18"/>
    <col min="760" max="760" width="8.6640625" style="18" customWidth="1"/>
    <col min="761" max="761" width="9.88671875" style="18" customWidth="1"/>
    <col min="762" max="762" width="14.44140625" style="18" customWidth="1"/>
    <col min="763" max="763" width="7.33203125" style="18" customWidth="1"/>
    <col min="764" max="764" width="5.5546875" style="18" customWidth="1"/>
    <col min="765" max="765" width="9" style="18" customWidth="1"/>
    <col min="766" max="767" width="9.88671875" style="18" customWidth="1"/>
    <col min="768" max="768" width="11.109375" style="18" customWidth="1"/>
    <col min="769" max="769" width="2.88671875" style="18" customWidth="1"/>
    <col min="770" max="770" width="3.5546875" style="18" customWidth="1"/>
    <col min="771" max="1015" width="9.109375" style="18"/>
    <col min="1016" max="1016" width="8.6640625" style="18" customWidth="1"/>
    <col min="1017" max="1017" width="9.88671875" style="18" customWidth="1"/>
    <col min="1018" max="1018" width="14.44140625" style="18" customWidth="1"/>
    <col min="1019" max="1019" width="7.33203125" style="18" customWidth="1"/>
    <col min="1020" max="1020" width="5.5546875" style="18" customWidth="1"/>
    <col min="1021" max="1021" width="9" style="18" customWidth="1"/>
    <col min="1022" max="1023" width="9.88671875" style="18" customWidth="1"/>
    <col min="1024" max="1024" width="11.109375" style="18" customWidth="1"/>
    <col min="1025" max="1025" width="2.88671875" style="18" customWidth="1"/>
    <col min="1026" max="1026" width="3.5546875" style="18" customWidth="1"/>
    <col min="1027" max="1271" width="9.109375" style="18"/>
    <col min="1272" max="1272" width="8.6640625" style="18" customWidth="1"/>
    <col min="1273" max="1273" width="9.88671875" style="18" customWidth="1"/>
    <col min="1274" max="1274" width="14.44140625" style="18" customWidth="1"/>
    <col min="1275" max="1275" width="7.33203125" style="18" customWidth="1"/>
    <col min="1276" max="1276" width="5.5546875" style="18" customWidth="1"/>
    <col min="1277" max="1277" width="9" style="18" customWidth="1"/>
    <col min="1278" max="1279" width="9.88671875" style="18" customWidth="1"/>
    <col min="1280" max="1280" width="11.109375" style="18" customWidth="1"/>
    <col min="1281" max="1281" width="2.88671875" style="18" customWidth="1"/>
    <col min="1282" max="1282" width="3.5546875" style="18" customWidth="1"/>
    <col min="1283" max="1527" width="9.109375" style="18"/>
    <col min="1528" max="1528" width="8.6640625" style="18" customWidth="1"/>
    <col min="1529" max="1529" width="9.88671875" style="18" customWidth="1"/>
    <col min="1530" max="1530" width="14.44140625" style="18" customWidth="1"/>
    <col min="1531" max="1531" width="7.33203125" style="18" customWidth="1"/>
    <col min="1532" max="1532" width="5.5546875" style="18" customWidth="1"/>
    <col min="1533" max="1533" width="9" style="18" customWidth="1"/>
    <col min="1534" max="1535" width="9.88671875" style="18" customWidth="1"/>
    <col min="1536" max="1536" width="11.109375" style="18" customWidth="1"/>
    <col min="1537" max="1537" width="2.88671875" style="18" customWidth="1"/>
    <col min="1538" max="1538" width="3.5546875" style="18" customWidth="1"/>
    <col min="1539" max="1783" width="9.109375" style="18"/>
    <col min="1784" max="1784" width="8.6640625" style="18" customWidth="1"/>
    <col min="1785" max="1785" width="9.88671875" style="18" customWidth="1"/>
    <col min="1786" max="1786" width="14.44140625" style="18" customWidth="1"/>
    <col min="1787" max="1787" width="7.33203125" style="18" customWidth="1"/>
    <col min="1788" max="1788" width="5.5546875" style="18" customWidth="1"/>
    <col min="1789" max="1789" width="9" style="18" customWidth="1"/>
    <col min="1790" max="1791" width="9.88671875" style="18" customWidth="1"/>
    <col min="1792" max="1792" width="11.109375" style="18" customWidth="1"/>
    <col min="1793" max="1793" width="2.88671875" style="18" customWidth="1"/>
    <col min="1794" max="1794" width="3.5546875" style="18" customWidth="1"/>
    <col min="1795" max="2039" width="9.109375" style="18"/>
    <col min="2040" max="2040" width="8.6640625" style="18" customWidth="1"/>
    <col min="2041" max="2041" width="9.88671875" style="18" customWidth="1"/>
    <col min="2042" max="2042" width="14.44140625" style="18" customWidth="1"/>
    <col min="2043" max="2043" width="7.33203125" style="18" customWidth="1"/>
    <col min="2044" max="2044" width="5.5546875" style="18" customWidth="1"/>
    <col min="2045" max="2045" width="9" style="18" customWidth="1"/>
    <col min="2046" max="2047" width="9.88671875" style="18" customWidth="1"/>
    <col min="2048" max="2048" width="11.109375" style="18" customWidth="1"/>
    <col min="2049" max="2049" width="2.88671875" style="18" customWidth="1"/>
    <col min="2050" max="2050" width="3.5546875" style="18" customWidth="1"/>
    <col min="2051" max="2295" width="9.109375" style="18"/>
    <col min="2296" max="2296" width="8.6640625" style="18" customWidth="1"/>
    <col min="2297" max="2297" width="9.88671875" style="18" customWidth="1"/>
    <col min="2298" max="2298" width="14.44140625" style="18" customWidth="1"/>
    <col min="2299" max="2299" width="7.33203125" style="18" customWidth="1"/>
    <col min="2300" max="2300" width="5.5546875" style="18" customWidth="1"/>
    <col min="2301" max="2301" width="9" style="18" customWidth="1"/>
    <col min="2302" max="2303" width="9.88671875" style="18" customWidth="1"/>
    <col min="2304" max="2304" width="11.109375" style="18" customWidth="1"/>
    <col min="2305" max="2305" width="2.88671875" style="18" customWidth="1"/>
    <col min="2306" max="2306" width="3.5546875" style="18" customWidth="1"/>
    <col min="2307" max="2551" width="9.109375" style="18"/>
    <col min="2552" max="2552" width="8.6640625" style="18" customWidth="1"/>
    <col min="2553" max="2553" width="9.88671875" style="18" customWidth="1"/>
    <col min="2554" max="2554" width="14.44140625" style="18" customWidth="1"/>
    <col min="2555" max="2555" width="7.33203125" style="18" customWidth="1"/>
    <col min="2556" max="2556" width="5.5546875" style="18" customWidth="1"/>
    <col min="2557" max="2557" width="9" style="18" customWidth="1"/>
    <col min="2558" max="2559" width="9.88671875" style="18" customWidth="1"/>
    <col min="2560" max="2560" width="11.109375" style="18" customWidth="1"/>
    <col min="2561" max="2561" width="2.88671875" style="18" customWidth="1"/>
    <col min="2562" max="2562" width="3.5546875" style="18" customWidth="1"/>
    <col min="2563" max="2807" width="9.109375" style="18"/>
    <col min="2808" max="2808" width="8.6640625" style="18" customWidth="1"/>
    <col min="2809" max="2809" width="9.88671875" style="18" customWidth="1"/>
    <col min="2810" max="2810" width="14.44140625" style="18" customWidth="1"/>
    <col min="2811" max="2811" width="7.33203125" style="18" customWidth="1"/>
    <col min="2812" max="2812" width="5.5546875" style="18" customWidth="1"/>
    <col min="2813" max="2813" width="9" style="18" customWidth="1"/>
    <col min="2814" max="2815" width="9.88671875" style="18" customWidth="1"/>
    <col min="2816" max="2816" width="11.109375" style="18" customWidth="1"/>
    <col min="2817" max="2817" width="2.88671875" style="18" customWidth="1"/>
    <col min="2818" max="2818" width="3.5546875" style="18" customWidth="1"/>
    <col min="2819" max="3063" width="9.109375" style="18"/>
    <col min="3064" max="3064" width="8.6640625" style="18" customWidth="1"/>
    <col min="3065" max="3065" width="9.88671875" style="18" customWidth="1"/>
    <col min="3066" max="3066" width="14.44140625" style="18" customWidth="1"/>
    <col min="3067" max="3067" width="7.33203125" style="18" customWidth="1"/>
    <col min="3068" max="3068" width="5.5546875" style="18" customWidth="1"/>
    <col min="3069" max="3069" width="9" style="18" customWidth="1"/>
    <col min="3070" max="3071" width="9.88671875" style="18" customWidth="1"/>
    <col min="3072" max="3072" width="11.109375" style="18" customWidth="1"/>
    <col min="3073" max="3073" width="2.88671875" style="18" customWidth="1"/>
    <col min="3074" max="3074" width="3.5546875" style="18" customWidth="1"/>
    <col min="3075" max="3319" width="9.109375" style="18"/>
    <col min="3320" max="3320" width="8.6640625" style="18" customWidth="1"/>
    <col min="3321" max="3321" width="9.88671875" style="18" customWidth="1"/>
    <col min="3322" max="3322" width="14.44140625" style="18" customWidth="1"/>
    <col min="3323" max="3323" width="7.33203125" style="18" customWidth="1"/>
    <col min="3324" max="3324" width="5.5546875" style="18" customWidth="1"/>
    <col min="3325" max="3325" width="9" style="18" customWidth="1"/>
    <col min="3326" max="3327" width="9.88671875" style="18" customWidth="1"/>
    <col min="3328" max="3328" width="11.109375" style="18" customWidth="1"/>
    <col min="3329" max="3329" width="2.88671875" style="18" customWidth="1"/>
    <col min="3330" max="3330" width="3.5546875" style="18" customWidth="1"/>
    <col min="3331" max="3575" width="9.109375" style="18"/>
    <col min="3576" max="3576" width="8.6640625" style="18" customWidth="1"/>
    <col min="3577" max="3577" width="9.88671875" style="18" customWidth="1"/>
    <col min="3578" max="3578" width="14.44140625" style="18" customWidth="1"/>
    <col min="3579" max="3579" width="7.33203125" style="18" customWidth="1"/>
    <col min="3580" max="3580" width="5.5546875" style="18" customWidth="1"/>
    <col min="3581" max="3581" width="9" style="18" customWidth="1"/>
    <col min="3582" max="3583" width="9.88671875" style="18" customWidth="1"/>
    <col min="3584" max="3584" width="11.109375" style="18" customWidth="1"/>
    <col min="3585" max="3585" width="2.88671875" style="18" customWidth="1"/>
    <col min="3586" max="3586" width="3.5546875" style="18" customWidth="1"/>
    <col min="3587" max="3831" width="9.109375" style="18"/>
    <col min="3832" max="3832" width="8.6640625" style="18" customWidth="1"/>
    <col min="3833" max="3833" width="9.88671875" style="18" customWidth="1"/>
    <col min="3834" max="3834" width="14.44140625" style="18" customWidth="1"/>
    <col min="3835" max="3835" width="7.33203125" style="18" customWidth="1"/>
    <col min="3836" max="3836" width="5.5546875" style="18" customWidth="1"/>
    <col min="3837" max="3837" width="9" style="18" customWidth="1"/>
    <col min="3838" max="3839" width="9.88671875" style="18" customWidth="1"/>
    <col min="3840" max="3840" width="11.109375" style="18" customWidth="1"/>
    <col min="3841" max="3841" width="2.88671875" style="18" customWidth="1"/>
    <col min="3842" max="3842" width="3.5546875" style="18" customWidth="1"/>
    <col min="3843" max="4087" width="9.109375" style="18"/>
    <col min="4088" max="4088" width="8.6640625" style="18" customWidth="1"/>
    <col min="4089" max="4089" width="9.88671875" style="18" customWidth="1"/>
    <col min="4090" max="4090" width="14.44140625" style="18" customWidth="1"/>
    <col min="4091" max="4091" width="7.33203125" style="18" customWidth="1"/>
    <col min="4092" max="4092" width="5.5546875" style="18" customWidth="1"/>
    <col min="4093" max="4093" width="9" style="18" customWidth="1"/>
    <col min="4094" max="4095" width="9.88671875" style="18" customWidth="1"/>
    <col min="4096" max="4096" width="11.109375" style="18" customWidth="1"/>
    <col min="4097" max="4097" width="2.88671875" style="18" customWidth="1"/>
    <col min="4098" max="4098" width="3.5546875" style="18" customWidth="1"/>
    <col min="4099" max="4343" width="9.109375" style="18"/>
    <col min="4344" max="4344" width="8.6640625" style="18" customWidth="1"/>
    <col min="4345" max="4345" width="9.88671875" style="18" customWidth="1"/>
    <col min="4346" max="4346" width="14.44140625" style="18" customWidth="1"/>
    <col min="4347" max="4347" width="7.33203125" style="18" customWidth="1"/>
    <col min="4348" max="4348" width="5.5546875" style="18" customWidth="1"/>
    <col min="4349" max="4349" width="9" style="18" customWidth="1"/>
    <col min="4350" max="4351" width="9.88671875" style="18" customWidth="1"/>
    <col min="4352" max="4352" width="11.109375" style="18" customWidth="1"/>
    <col min="4353" max="4353" width="2.88671875" style="18" customWidth="1"/>
    <col min="4354" max="4354" width="3.5546875" style="18" customWidth="1"/>
    <col min="4355" max="4599" width="9.109375" style="18"/>
    <col min="4600" max="4600" width="8.6640625" style="18" customWidth="1"/>
    <col min="4601" max="4601" width="9.88671875" style="18" customWidth="1"/>
    <col min="4602" max="4602" width="14.44140625" style="18" customWidth="1"/>
    <col min="4603" max="4603" width="7.33203125" style="18" customWidth="1"/>
    <col min="4604" max="4604" width="5.5546875" style="18" customWidth="1"/>
    <col min="4605" max="4605" width="9" style="18" customWidth="1"/>
    <col min="4606" max="4607" width="9.88671875" style="18" customWidth="1"/>
    <col min="4608" max="4608" width="11.109375" style="18" customWidth="1"/>
    <col min="4609" max="4609" width="2.88671875" style="18" customWidth="1"/>
    <col min="4610" max="4610" width="3.5546875" style="18" customWidth="1"/>
    <col min="4611" max="4855" width="9.109375" style="18"/>
    <col min="4856" max="4856" width="8.6640625" style="18" customWidth="1"/>
    <col min="4857" max="4857" width="9.88671875" style="18" customWidth="1"/>
    <col min="4858" max="4858" width="14.44140625" style="18" customWidth="1"/>
    <col min="4859" max="4859" width="7.33203125" style="18" customWidth="1"/>
    <col min="4860" max="4860" width="5.5546875" style="18" customWidth="1"/>
    <col min="4861" max="4861" width="9" style="18" customWidth="1"/>
    <col min="4862" max="4863" width="9.88671875" style="18" customWidth="1"/>
    <col min="4864" max="4864" width="11.109375" style="18" customWidth="1"/>
    <col min="4865" max="4865" width="2.88671875" style="18" customWidth="1"/>
    <col min="4866" max="4866" width="3.5546875" style="18" customWidth="1"/>
    <col min="4867" max="5111" width="9.109375" style="18"/>
    <col min="5112" max="5112" width="8.6640625" style="18" customWidth="1"/>
    <col min="5113" max="5113" width="9.88671875" style="18" customWidth="1"/>
    <col min="5114" max="5114" width="14.44140625" style="18" customWidth="1"/>
    <col min="5115" max="5115" width="7.33203125" style="18" customWidth="1"/>
    <col min="5116" max="5116" width="5.5546875" style="18" customWidth="1"/>
    <col min="5117" max="5117" width="9" style="18" customWidth="1"/>
    <col min="5118" max="5119" width="9.88671875" style="18" customWidth="1"/>
    <col min="5120" max="5120" width="11.109375" style="18" customWidth="1"/>
    <col min="5121" max="5121" width="2.88671875" style="18" customWidth="1"/>
    <col min="5122" max="5122" width="3.5546875" style="18" customWidth="1"/>
    <col min="5123" max="5367" width="9.109375" style="18"/>
    <col min="5368" max="5368" width="8.6640625" style="18" customWidth="1"/>
    <col min="5369" max="5369" width="9.88671875" style="18" customWidth="1"/>
    <col min="5370" max="5370" width="14.44140625" style="18" customWidth="1"/>
    <col min="5371" max="5371" width="7.33203125" style="18" customWidth="1"/>
    <col min="5372" max="5372" width="5.5546875" style="18" customWidth="1"/>
    <col min="5373" max="5373" width="9" style="18" customWidth="1"/>
    <col min="5374" max="5375" width="9.88671875" style="18" customWidth="1"/>
    <col min="5376" max="5376" width="11.109375" style="18" customWidth="1"/>
    <col min="5377" max="5377" width="2.88671875" style="18" customWidth="1"/>
    <col min="5378" max="5378" width="3.5546875" style="18" customWidth="1"/>
    <col min="5379" max="5623" width="9.109375" style="18"/>
    <col min="5624" max="5624" width="8.6640625" style="18" customWidth="1"/>
    <col min="5625" max="5625" width="9.88671875" style="18" customWidth="1"/>
    <col min="5626" max="5626" width="14.44140625" style="18" customWidth="1"/>
    <col min="5627" max="5627" width="7.33203125" style="18" customWidth="1"/>
    <col min="5628" max="5628" width="5.5546875" style="18" customWidth="1"/>
    <col min="5629" max="5629" width="9" style="18" customWidth="1"/>
    <col min="5630" max="5631" width="9.88671875" style="18" customWidth="1"/>
    <col min="5632" max="5632" width="11.109375" style="18" customWidth="1"/>
    <col min="5633" max="5633" width="2.88671875" style="18" customWidth="1"/>
    <col min="5634" max="5634" width="3.5546875" style="18" customWidth="1"/>
    <col min="5635" max="5879" width="9.109375" style="18"/>
    <col min="5880" max="5880" width="8.6640625" style="18" customWidth="1"/>
    <col min="5881" max="5881" width="9.88671875" style="18" customWidth="1"/>
    <col min="5882" max="5882" width="14.44140625" style="18" customWidth="1"/>
    <col min="5883" max="5883" width="7.33203125" style="18" customWidth="1"/>
    <col min="5884" max="5884" width="5.5546875" style="18" customWidth="1"/>
    <col min="5885" max="5885" width="9" style="18" customWidth="1"/>
    <col min="5886" max="5887" width="9.88671875" style="18" customWidth="1"/>
    <col min="5888" max="5888" width="11.109375" style="18" customWidth="1"/>
    <col min="5889" max="5889" width="2.88671875" style="18" customWidth="1"/>
    <col min="5890" max="5890" width="3.5546875" style="18" customWidth="1"/>
    <col min="5891" max="6135" width="9.109375" style="18"/>
    <col min="6136" max="6136" width="8.6640625" style="18" customWidth="1"/>
    <col min="6137" max="6137" width="9.88671875" style="18" customWidth="1"/>
    <col min="6138" max="6138" width="14.44140625" style="18" customWidth="1"/>
    <col min="6139" max="6139" width="7.33203125" style="18" customWidth="1"/>
    <col min="6140" max="6140" width="5.5546875" style="18" customWidth="1"/>
    <col min="6141" max="6141" width="9" style="18" customWidth="1"/>
    <col min="6142" max="6143" width="9.88671875" style="18" customWidth="1"/>
    <col min="6144" max="6144" width="11.109375" style="18" customWidth="1"/>
    <col min="6145" max="6145" width="2.88671875" style="18" customWidth="1"/>
    <col min="6146" max="6146" width="3.5546875" style="18" customWidth="1"/>
    <col min="6147" max="6391" width="9.109375" style="18"/>
    <col min="6392" max="6392" width="8.6640625" style="18" customWidth="1"/>
    <col min="6393" max="6393" width="9.88671875" style="18" customWidth="1"/>
    <col min="6394" max="6394" width="14.44140625" style="18" customWidth="1"/>
    <col min="6395" max="6395" width="7.33203125" style="18" customWidth="1"/>
    <col min="6396" max="6396" width="5.5546875" style="18" customWidth="1"/>
    <col min="6397" max="6397" width="9" style="18" customWidth="1"/>
    <col min="6398" max="6399" width="9.88671875" style="18" customWidth="1"/>
    <col min="6400" max="6400" width="11.109375" style="18" customWidth="1"/>
    <col min="6401" max="6401" width="2.88671875" style="18" customWidth="1"/>
    <col min="6402" max="6402" width="3.5546875" style="18" customWidth="1"/>
    <col min="6403" max="6647" width="9.109375" style="18"/>
    <col min="6648" max="6648" width="8.6640625" style="18" customWidth="1"/>
    <col min="6649" max="6649" width="9.88671875" style="18" customWidth="1"/>
    <col min="6650" max="6650" width="14.44140625" style="18" customWidth="1"/>
    <col min="6651" max="6651" width="7.33203125" style="18" customWidth="1"/>
    <col min="6652" max="6652" width="5.5546875" style="18" customWidth="1"/>
    <col min="6653" max="6653" width="9" style="18" customWidth="1"/>
    <col min="6654" max="6655" width="9.88671875" style="18" customWidth="1"/>
    <col min="6656" max="6656" width="11.109375" style="18" customWidth="1"/>
    <col min="6657" max="6657" width="2.88671875" style="18" customWidth="1"/>
    <col min="6658" max="6658" width="3.5546875" style="18" customWidth="1"/>
    <col min="6659" max="6903" width="9.109375" style="18"/>
    <col min="6904" max="6904" width="8.6640625" style="18" customWidth="1"/>
    <col min="6905" max="6905" width="9.88671875" style="18" customWidth="1"/>
    <col min="6906" max="6906" width="14.44140625" style="18" customWidth="1"/>
    <col min="6907" max="6907" width="7.33203125" style="18" customWidth="1"/>
    <col min="6908" max="6908" width="5.5546875" style="18" customWidth="1"/>
    <col min="6909" max="6909" width="9" style="18" customWidth="1"/>
    <col min="6910" max="6911" width="9.88671875" style="18" customWidth="1"/>
    <col min="6912" max="6912" width="11.109375" style="18" customWidth="1"/>
    <col min="6913" max="6913" width="2.88671875" style="18" customWidth="1"/>
    <col min="6914" max="6914" width="3.5546875" style="18" customWidth="1"/>
    <col min="6915" max="7159" width="9.109375" style="18"/>
    <col min="7160" max="7160" width="8.6640625" style="18" customWidth="1"/>
    <col min="7161" max="7161" width="9.88671875" style="18" customWidth="1"/>
    <col min="7162" max="7162" width="14.44140625" style="18" customWidth="1"/>
    <col min="7163" max="7163" width="7.33203125" style="18" customWidth="1"/>
    <col min="7164" max="7164" width="5.5546875" style="18" customWidth="1"/>
    <col min="7165" max="7165" width="9" style="18" customWidth="1"/>
    <col min="7166" max="7167" width="9.88671875" style="18" customWidth="1"/>
    <col min="7168" max="7168" width="11.109375" style="18" customWidth="1"/>
    <col min="7169" max="7169" width="2.88671875" style="18" customWidth="1"/>
    <col min="7170" max="7170" width="3.5546875" style="18" customWidth="1"/>
    <col min="7171" max="7415" width="9.109375" style="18"/>
    <col min="7416" max="7416" width="8.6640625" style="18" customWidth="1"/>
    <col min="7417" max="7417" width="9.88671875" style="18" customWidth="1"/>
    <col min="7418" max="7418" width="14.44140625" style="18" customWidth="1"/>
    <col min="7419" max="7419" width="7.33203125" style="18" customWidth="1"/>
    <col min="7420" max="7420" width="5.5546875" style="18" customWidth="1"/>
    <col min="7421" max="7421" width="9" style="18" customWidth="1"/>
    <col min="7422" max="7423" width="9.88671875" style="18" customWidth="1"/>
    <col min="7424" max="7424" width="11.109375" style="18" customWidth="1"/>
    <col min="7425" max="7425" width="2.88671875" style="18" customWidth="1"/>
    <col min="7426" max="7426" width="3.5546875" style="18" customWidth="1"/>
    <col min="7427" max="7671" width="9.109375" style="18"/>
    <col min="7672" max="7672" width="8.6640625" style="18" customWidth="1"/>
    <col min="7673" max="7673" width="9.88671875" style="18" customWidth="1"/>
    <col min="7674" max="7674" width="14.44140625" style="18" customWidth="1"/>
    <col min="7675" max="7675" width="7.33203125" style="18" customWidth="1"/>
    <col min="7676" max="7676" width="5.5546875" style="18" customWidth="1"/>
    <col min="7677" max="7677" width="9" style="18" customWidth="1"/>
    <col min="7678" max="7679" width="9.88671875" style="18" customWidth="1"/>
    <col min="7680" max="7680" width="11.109375" style="18" customWidth="1"/>
    <col min="7681" max="7681" width="2.88671875" style="18" customWidth="1"/>
    <col min="7682" max="7682" width="3.5546875" style="18" customWidth="1"/>
    <col min="7683" max="7927" width="9.109375" style="18"/>
    <col min="7928" max="7928" width="8.6640625" style="18" customWidth="1"/>
    <col min="7929" max="7929" width="9.88671875" style="18" customWidth="1"/>
    <col min="7930" max="7930" width="14.44140625" style="18" customWidth="1"/>
    <col min="7931" max="7931" width="7.33203125" style="18" customWidth="1"/>
    <col min="7932" max="7932" width="5.5546875" style="18" customWidth="1"/>
    <col min="7933" max="7933" width="9" style="18" customWidth="1"/>
    <col min="7934" max="7935" width="9.88671875" style="18" customWidth="1"/>
    <col min="7936" max="7936" width="11.109375" style="18" customWidth="1"/>
    <col min="7937" max="7937" width="2.88671875" style="18" customWidth="1"/>
    <col min="7938" max="7938" width="3.5546875" style="18" customWidth="1"/>
    <col min="7939" max="8183" width="9.109375" style="18"/>
    <col min="8184" max="8184" width="8.6640625" style="18" customWidth="1"/>
    <col min="8185" max="8185" width="9.88671875" style="18" customWidth="1"/>
    <col min="8186" max="8186" width="14.44140625" style="18" customWidth="1"/>
    <col min="8187" max="8187" width="7.33203125" style="18" customWidth="1"/>
    <col min="8188" max="8188" width="5.5546875" style="18" customWidth="1"/>
    <col min="8189" max="8189" width="9" style="18" customWidth="1"/>
    <col min="8190" max="8191" width="9.88671875" style="18" customWidth="1"/>
    <col min="8192" max="8192" width="11.109375" style="18" customWidth="1"/>
    <col min="8193" max="8193" width="2.88671875" style="18" customWidth="1"/>
    <col min="8194" max="8194" width="3.5546875" style="18" customWidth="1"/>
    <col min="8195" max="8439" width="9.109375" style="18"/>
    <col min="8440" max="8440" width="8.6640625" style="18" customWidth="1"/>
    <col min="8441" max="8441" width="9.88671875" style="18" customWidth="1"/>
    <col min="8442" max="8442" width="14.44140625" style="18" customWidth="1"/>
    <col min="8443" max="8443" width="7.33203125" style="18" customWidth="1"/>
    <col min="8444" max="8444" width="5.5546875" style="18" customWidth="1"/>
    <col min="8445" max="8445" width="9" style="18" customWidth="1"/>
    <col min="8446" max="8447" width="9.88671875" style="18" customWidth="1"/>
    <col min="8448" max="8448" width="11.109375" style="18" customWidth="1"/>
    <col min="8449" max="8449" width="2.88671875" style="18" customWidth="1"/>
    <col min="8450" max="8450" width="3.5546875" style="18" customWidth="1"/>
    <col min="8451" max="8695" width="9.109375" style="18"/>
    <col min="8696" max="8696" width="8.6640625" style="18" customWidth="1"/>
    <col min="8697" max="8697" width="9.88671875" style="18" customWidth="1"/>
    <col min="8698" max="8698" width="14.44140625" style="18" customWidth="1"/>
    <col min="8699" max="8699" width="7.33203125" style="18" customWidth="1"/>
    <col min="8700" max="8700" width="5.5546875" style="18" customWidth="1"/>
    <col min="8701" max="8701" width="9" style="18" customWidth="1"/>
    <col min="8702" max="8703" width="9.88671875" style="18" customWidth="1"/>
    <col min="8704" max="8704" width="11.109375" style="18" customWidth="1"/>
    <col min="8705" max="8705" width="2.88671875" style="18" customWidth="1"/>
    <col min="8706" max="8706" width="3.5546875" style="18" customWidth="1"/>
    <col min="8707" max="8951" width="9.109375" style="18"/>
    <col min="8952" max="8952" width="8.6640625" style="18" customWidth="1"/>
    <col min="8953" max="8953" width="9.88671875" style="18" customWidth="1"/>
    <col min="8954" max="8954" width="14.44140625" style="18" customWidth="1"/>
    <col min="8955" max="8955" width="7.33203125" style="18" customWidth="1"/>
    <col min="8956" max="8956" width="5.5546875" style="18" customWidth="1"/>
    <col min="8957" max="8957" width="9" style="18" customWidth="1"/>
    <col min="8958" max="8959" width="9.88671875" style="18" customWidth="1"/>
    <col min="8960" max="8960" width="11.109375" style="18" customWidth="1"/>
    <col min="8961" max="8961" width="2.88671875" style="18" customWidth="1"/>
    <col min="8962" max="8962" width="3.5546875" style="18" customWidth="1"/>
    <col min="8963" max="9207" width="9.109375" style="18"/>
    <col min="9208" max="9208" width="8.6640625" style="18" customWidth="1"/>
    <col min="9209" max="9209" width="9.88671875" style="18" customWidth="1"/>
    <col min="9210" max="9210" width="14.44140625" style="18" customWidth="1"/>
    <col min="9211" max="9211" width="7.33203125" style="18" customWidth="1"/>
    <col min="9212" max="9212" width="5.5546875" style="18" customWidth="1"/>
    <col min="9213" max="9213" width="9" style="18" customWidth="1"/>
    <col min="9214" max="9215" width="9.88671875" style="18" customWidth="1"/>
    <col min="9216" max="9216" width="11.109375" style="18" customWidth="1"/>
    <col min="9217" max="9217" width="2.88671875" style="18" customWidth="1"/>
    <col min="9218" max="9218" width="3.5546875" style="18" customWidth="1"/>
    <col min="9219" max="9463" width="9.109375" style="18"/>
    <col min="9464" max="9464" width="8.6640625" style="18" customWidth="1"/>
    <col min="9465" max="9465" width="9.88671875" style="18" customWidth="1"/>
    <col min="9466" max="9466" width="14.44140625" style="18" customWidth="1"/>
    <col min="9467" max="9467" width="7.33203125" style="18" customWidth="1"/>
    <col min="9468" max="9468" width="5.5546875" style="18" customWidth="1"/>
    <col min="9469" max="9469" width="9" style="18" customWidth="1"/>
    <col min="9470" max="9471" width="9.88671875" style="18" customWidth="1"/>
    <col min="9472" max="9472" width="11.109375" style="18" customWidth="1"/>
    <col min="9473" max="9473" width="2.88671875" style="18" customWidth="1"/>
    <col min="9474" max="9474" width="3.5546875" style="18" customWidth="1"/>
    <col min="9475" max="9719" width="9.109375" style="18"/>
    <col min="9720" max="9720" width="8.6640625" style="18" customWidth="1"/>
    <col min="9721" max="9721" width="9.88671875" style="18" customWidth="1"/>
    <col min="9722" max="9722" width="14.44140625" style="18" customWidth="1"/>
    <col min="9723" max="9723" width="7.33203125" style="18" customWidth="1"/>
    <col min="9724" max="9724" width="5.5546875" style="18" customWidth="1"/>
    <col min="9725" max="9725" width="9" style="18" customWidth="1"/>
    <col min="9726" max="9727" width="9.88671875" style="18" customWidth="1"/>
    <col min="9728" max="9728" width="11.109375" style="18" customWidth="1"/>
    <col min="9729" max="9729" width="2.88671875" style="18" customWidth="1"/>
    <col min="9730" max="9730" width="3.5546875" style="18" customWidth="1"/>
    <col min="9731" max="9975" width="9.109375" style="18"/>
    <col min="9976" max="9976" width="8.6640625" style="18" customWidth="1"/>
    <col min="9977" max="9977" width="9.88671875" style="18" customWidth="1"/>
    <col min="9978" max="9978" width="14.44140625" style="18" customWidth="1"/>
    <col min="9979" max="9979" width="7.33203125" style="18" customWidth="1"/>
    <col min="9980" max="9980" width="5.5546875" style="18" customWidth="1"/>
    <col min="9981" max="9981" width="9" style="18" customWidth="1"/>
    <col min="9982" max="9983" width="9.88671875" style="18" customWidth="1"/>
    <col min="9984" max="9984" width="11.109375" style="18" customWidth="1"/>
    <col min="9985" max="9985" width="2.88671875" style="18" customWidth="1"/>
    <col min="9986" max="9986" width="3.5546875" style="18" customWidth="1"/>
    <col min="9987" max="10231" width="9.109375" style="18"/>
    <col min="10232" max="10232" width="8.6640625" style="18" customWidth="1"/>
    <col min="10233" max="10233" width="9.88671875" style="18" customWidth="1"/>
    <col min="10234" max="10234" width="14.44140625" style="18" customWidth="1"/>
    <col min="10235" max="10235" width="7.33203125" style="18" customWidth="1"/>
    <col min="10236" max="10236" width="5.5546875" style="18" customWidth="1"/>
    <col min="10237" max="10237" width="9" style="18" customWidth="1"/>
    <col min="10238" max="10239" width="9.88671875" style="18" customWidth="1"/>
    <col min="10240" max="10240" width="11.109375" style="18" customWidth="1"/>
    <col min="10241" max="10241" width="2.88671875" style="18" customWidth="1"/>
    <col min="10242" max="10242" width="3.5546875" style="18" customWidth="1"/>
    <col min="10243" max="10487" width="9.109375" style="18"/>
    <col min="10488" max="10488" width="8.6640625" style="18" customWidth="1"/>
    <col min="10489" max="10489" width="9.88671875" style="18" customWidth="1"/>
    <col min="10490" max="10490" width="14.44140625" style="18" customWidth="1"/>
    <col min="10491" max="10491" width="7.33203125" style="18" customWidth="1"/>
    <col min="10492" max="10492" width="5.5546875" style="18" customWidth="1"/>
    <col min="10493" max="10493" width="9" style="18" customWidth="1"/>
    <col min="10494" max="10495" width="9.88671875" style="18" customWidth="1"/>
    <col min="10496" max="10496" width="11.109375" style="18" customWidth="1"/>
    <col min="10497" max="10497" width="2.88671875" style="18" customWidth="1"/>
    <col min="10498" max="10498" width="3.5546875" style="18" customWidth="1"/>
    <col min="10499" max="10743" width="9.109375" style="18"/>
    <col min="10744" max="10744" width="8.6640625" style="18" customWidth="1"/>
    <col min="10745" max="10745" width="9.88671875" style="18" customWidth="1"/>
    <col min="10746" max="10746" width="14.44140625" style="18" customWidth="1"/>
    <col min="10747" max="10747" width="7.33203125" style="18" customWidth="1"/>
    <col min="10748" max="10748" width="5.5546875" style="18" customWidth="1"/>
    <col min="10749" max="10749" width="9" style="18" customWidth="1"/>
    <col min="10750" max="10751" width="9.88671875" style="18" customWidth="1"/>
    <col min="10752" max="10752" width="11.109375" style="18" customWidth="1"/>
    <col min="10753" max="10753" width="2.88671875" style="18" customWidth="1"/>
    <col min="10754" max="10754" width="3.5546875" style="18" customWidth="1"/>
    <col min="10755" max="10999" width="9.109375" style="18"/>
    <col min="11000" max="11000" width="8.6640625" style="18" customWidth="1"/>
    <col min="11001" max="11001" width="9.88671875" style="18" customWidth="1"/>
    <col min="11002" max="11002" width="14.44140625" style="18" customWidth="1"/>
    <col min="11003" max="11003" width="7.33203125" style="18" customWidth="1"/>
    <col min="11004" max="11004" width="5.5546875" style="18" customWidth="1"/>
    <col min="11005" max="11005" width="9" style="18" customWidth="1"/>
    <col min="11006" max="11007" width="9.88671875" style="18" customWidth="1"/>
    <col min="11008" max="11008" width="11.109375" style="18" customWidth="1"/>
    <col min="11009" max="11009" width="2.88671875" style="18" customWidth="1"/>
    <col min="11010" max="11010" width="3.5546875" style="18" customWidth="1"/>
    <col min="11011" max="11255" width="9.109375" style="18"/>
    <col min="11256" max="11256" width="8.6640625" style="18" customWidth="1"/>
    <col min="11257" max="11257" width="9.88671875" style="18" customWidth="1"/>
    <col min="11258" max="11258" width="14.44140625" style="18" customWidth="1"/>
    <col min="11259" max="11259" width="7.33203125" style="18" customWidth="1"/>
    <col min="11260" max="11260" width="5.5546875" style="18" customWidth="1"/>
    <col min="11261" max="11261" width="9" style="18" customWidth="1"/>
    <col min="11262" max="11263" width="9.88671875" style="18" customWidth="1"/>
    <col min="11264" max="11264" width="11.109375" style="18" customWidth="1"/>
    <col min="11265" max="11265" width="2.88671875" style="18" customWidth="1"/>
    <col min="11266" max="11266" width="3.5546875" style="18" customWidth="1"/>
    <col min="11267" max="11511" width="9.109375" style="18"/>
    <col min="11512" max="11512" width="8.6640625" style="18" customWidth="1"/>
    <col min="11513" max="11513" width="9.88671875" style="18" customWidth="1"/>
    <col min="11514" max="11514" width="14.44140625" style="18" customWidth="1"/>
    <col min="11515" max="11515" width="7.33203125" style="18" customWidth="1"/>
    <col min="11516" max="11516" width="5.5546875" style="18" customWidth="1"/>
    <col min="11517" max="11517" width="9" style="18" customWidth="1"/>
    <col min="11518" max="11519" width="9.88671875" style="18" customWidth="1"/>
    <col min="11520" max="11520" width="11.109375" style="18" customWidth="1"/>
    <col min="11521" max="11521" width="2.88671875" style="18" customWidth="1"/>
    <col min="11522" max="11522" width="3.5546875" style="18" customWidth="1"/>
    <col min="11523" max="11767" width="9.109375" style="18"/>
    <col min="11768" max="11768" width="8.6640625" style="18" customWidth="1"/>
    <col min="11769" max="11769" width="9.88671875" style="18" customWidth="1"/>
    <col min="11770" max="11770" width="14.44140625" style="18" customWidth="1"/>
    <col min="11771" max="11771" width="7.33203125" style="18" customWidth="1"/>
    <col min="11772" max="11772" width="5.5546875" style="18" customWidth="1"/>
    <col min="11773" max="11773" width="9" style="18" customWidth="1"/>
    <col min="11774" max="11775" width="9.88671875" style="18" customWidth="1"/>
    <col min="11776" max="11776" width="11.109375" style="18" customWidth="1"/>
    <col min="11777" max="11777" width="2.88671875" style="18" customWidth="1"/>
    <col min="11778" max="11778" width="3.5546875" style="18" customWidth="1"/>
    <col min="11779" max="12023" width="9.109375" style="18"/>
    <col min="12024" max="12024" width="8.6640625" style="18" customWidth="1"/>
    <col min="12025" max="12025" width="9.88671875" style="18" customWidth="1"/>
    <col min="12026" max="12026" width="14.44140625" style="18" customWidth="1"/>
    <col min="12027" max="12027" width="7.33203125" style="18" customWidth="1"/>
    <col min="12028" max="12028" width="5.5546875" style="18" customWidth="1"/>
    <col min="12029" max="12029" width="9" style="18" customWidth="1"/>
    <col min="12030" max="12031" width="9.88671875" style="18" customWidth="1"/>
    <col min="12032" max="12032" width="11.109375" style="18" customWidth="1"/>
    <col min="12033" max="12033" width="2.88671875" style="18" customWidth="1"/>
    <col min="12034" max="12034" width="3.5546875" style="18" customWidth="1"/>
    <col min="12035" max="12279" width="9.109375" style="18"/>
    <col min="12280" max="12280" width="8.6640625" style="18" customWidth="1"/>
    <col min="12281" max="12281" width="9.88671875" style="18" customWidth="1"/>
    <col min="12282" max="12282" width="14.44140625" style="18" customWidth="1"/>
    <col min="12283" max="12283" width="7.33203125" style="18" customWidth="1"/>
    <col min="12284" max="12284" width="5.5546875" style="18" customWidth="1"/>
    <col min="12285" max="12285" width="9" style="18" customWidth="1"/>
    <col min="12286" max="12287" width="9.88671875" style="18" customWidth="1"/>
    <col min="12288" max="12288" width="11.109375" style="18" customWidth="1"/>
    <col min="12289" max="12289" width="2.88671875" style="18" customWidth="1"/>
    <col min="12290" max="12290" width="3.5546875" style="18" customWidth="1"/>
    <col min="12291" max="12535" width="9.109375" style="18"/>
    <col min="12536" max="12536" width="8.6640625" style="18" customWidth="1"/>
    <col min="12537" max="12537" width="9.88671875" style="18" customWidth="1"/>
    <col min="12538" max="12538" width="14.44140625" style="18" customWidth="1"/>
    <col min="12539" max="12539" width="7.33203125" style="18" customWidth="1"/>
    <col min="12540" max="12540" width="5.5546875" style="18" customWidth="1"/>
    <col min="12541" max="12541" width="9" style="18" customWidth="1"/>
    <col min="12542" max="12543" width="9.88671875" style="18" customWidth="1"/>
    <col min="12544" max="12544" width="11.109375" style="18" customWidth="1"/>
    <col min="12545" max="12545" width="2.88671875" style="18" customWidth="1"/>
    <col min="12546" max="12546" width="3.5546875" style="18" customWidth="1"/>
    <col min="12547" max="12791" width="9.109375" style="18"/>
    <col min="12792" max="12792" width="8.6640625" style="18" customWidth="1"/>
    <col min="12793" max="12793" width="9.88671875" style="18" customWidth="1"/>
    <col min="12794" max="12794" width="14.44140625" style="18" customWidth="1"/>
    <col min="12795" max="12795" width="7.33203125" style="18" customWidth="1"/>
    <col min="12796" max="12796" width="5.5546875" style="18" customWidth="1"/>
    <col min="12797" max="12797" width="9" style="18" customWidth="1"/>
    <col min="12798" max="12799" width="9.88671875" style="18" customWidth="1"/>
    <col min="12800" max="12800" width="11.109375" style="18" customWidth="1"/>
    <col min="12801" max="12801" width="2.88671875" style="18" customWidth="1"/>
    <col min="12802" max="12802" width="3.5546875" style="18" customWidth="1"/>
    <col min="12803" max="13047" width="9.109375" style="18"/>
    <col min="13048" max="13048" width="8.6640625" style="18" customWidth="1"/>
    <col min="13049" max="13049" width="9.88671875" style="18" customWidth="1"/>
    <col min="13050" max="13050" width="14.44140625" style="18" customWidth="1"/>
    <col min="13051" max="13051" width="7.33203125" style="18" customWidth="1"/>
    <col min="13052" max="13052" width="5.5546875" style="18" customWidth="1"/>
    <col min="13053" max="13053" width="9" style="18" customWidth="1"/>
    <col min="13054" max="13055" width="9.88671875" style="18" customWidth="1"/>
    <col min="13056" max="13056" width="11.109375" style="18" customWidth="1"/>
    <col min="13057" max="13057" width="2.88671875" style="18" customWidth="1"/>
    <col min="13058" max="13058" width="3.5546875" style="18" customWidth="1"/>
    <col min="13059" max="13303" width="9.109375" style="18"/>
    <col min="13304" max="13304" width="8.6640625" style="18" customWidth="1"/>
    <col min="13305" max="13305" width="9.88671875" style="18" customWidth="1"/>
    <col min="13306" max="13306" width="14.44140625" style="18" customWidth="1"/>
    <col min="13307" max="13307" width="7.33203125" style="18" customWidth="1"/>
    <col min="13308" max="13308" width="5.5546875" style="18" customWidth="1"/>
    <col min="13309" max="13309" width="9" style="18" customWidth="1"/>
    <col min="13310" max="13311" width="9.88671875" style="18" customWidth="1"/>
    <col min="13312" max="13312" width="11.109375" style="18" customWidth="1"/>
    <col min="13313" max="13313" width="2.88671875" style="18" customWidth="1"/>
    <col min="13314" max="13314" width="3.5546875" style="18" customWidth="1"/>
    <col min="13315" max="13559" width="9.109375" style="18"/>
    <col min="13560" max="13560" width="8.6640625" style="18" customWidth="1"/>
    <col min="13561" max="13561" width="9.88671875" style="18" customWidth="1"/>
    <col min="13562" max="13562" width="14.44140625" style="18" customWidth="1"/>
    <col min="13563" max="13563" width="7.33203125" style="18" customWidth="1"/>
    <col min="13564" max="13564" width="5.5546875" style="18" customWidth="1"/>
    <col min="13565" max="13565" width="9" style="18" customWidth="1"/>
    <col min="13566" max="13567" width="9.88671875" style="18" customWidth="1"/>
    <col min="13568" max="13568" width="11.109375" style="18" customWidth="1"/>
    <col min="13569" max="13569" width="2.88671875" style="18" customWidth="1"/>
    <col min="13570" max="13570" width="3.5546875" style="18" customWidth="1"/>
    <col min="13571" max="13815" width="9.109375" style="18"/>
    <col min="13816" max="13816" width="8.6640625" style="18" customWidth="1"/>
    <col min="13817" max="13817" width="9.88671875" style="18" customWidth="1"/>
    <col min="13818" max="13818" width="14.44140625" style="18" customWidth="1"/>
    <col min="13819" max="13819" width="7.33203125" style="18" customWidth="1"/>
    <col min="13820" max="13820" width="5.5546875" style="18" customWidth="1"/>
    <col min="13821" max="13821" width="9" style="18" customWidth="1"/>
    <col min="13822" max="13823" width="9.88671875" style="18" customWidth="1"/>
    <col min="13824" max="13824" width="11.109375" style="18" customWidth="1"/>
    <col min="13825" max="13825" width="2.88671875" style="18" customWidth="1"/>
    <col min="13826" max="13826" width="3.5546875" style="18" customWidth="1"/>
    <col min="13827" max="14071" width="9.109375" style="18"/>
    <col min="14072" max="14072" width="8.6640625" style="18" customWidth="1"/>
    <col min="14073" max="14073" width="9.88671875" style="18" customWidth="1"/>
    <col min="14074" max="14074" width="14.44140625" style="18" customWidth="1"/>
    <col min="14075" max="14075" width="7.33203125" style="18" customWidth="1"/>
    <col min="14076" max="14076" width="5.5546875" style="18" customWidth="1"/>
    <col min="14077" max="14077" width="9" style="18" customWidth="1"/>
    <col min="14078" max="14079" width="9.88671875" style="18" customWidth="1"/>
    <col min="14080" max="14080" width="11.109375" style="18" customWidth="1"/>
    <col min="14081" max="14081" width="2.88671875" style="18" customWidth="1"/>
    <col min="14082" max="14082" width="3.5546875" style="18" customWidth="1"/>
    <col min="14083" max="14327" width="9.109375" style="18"/>
    <col min="14328" max="14328" width="8.6640625" style="18" customWidth="1"/>
    <col min="14329" max="14329" width="9.88671875" style="18" customWidth="1"/>
    <col min="14330" max="14330" width="14.44140625" style="18" customWidth="1"/>
    <col min="14331" max="14331" width="7.33203125" style="18" customWidth="1"/>
    <col min="14332" max="14332" width="5.5546875" style="18" customWidth="1"/>
    <col min="14333" max="14333" width="9" style="18" customWidth="1"/>
    <col min="14334" max="14335" width="9.88671875" style="18" customWidth="1"/>
    <col min="14336" max="14336" width="11.109375" style="18" customWidth="1"/>
    <col min="14337" max="14337" width="2.88671875" style="18" customWidth="1"/>
    <col min="14338" max="14338" width="3.5546875" style="18" customWidth="1"/>
    <col min="14339" max="14583" width="9.109375" style="18"/>
    <col min="14584" max="14584" width="8.6640625" style="18" customWidth="1"/>
    <col min="14585" max="14585" width="9.88671875" style="18" customWidth="1"/>
    <col min="14586" max="14586" width="14.44140625" style="18" customWidth="1"/>
    <col min="14587" max="14587" width="7.33203125" style="18" customWidth="1"/>
    <col min="14588" max="14588" width="5.5546875" style="18" customWidth="1"/>
    <col min="14589" max="14589" width="9" style="18" customWidth="1"/>
    <col min="14590" max="14591" width="9.88671875" style="18" customWidth="1"/>
    <col min="14592" max="14592" width="11.109375" style="18" customWidth="1"/>
    <col min="14593" max="14593" width="2.88671875" style="18" customWidth="1"/>
    <col min="14594" max="14594" width="3.5546875" style="18" customWidth="1"/>
    <col min="14595" max="14839" width="9.109375" style="18"/>
    <col min="14840" max="14840" width="8.6640625" style="18" customWidth="1"/>
    <col min="14841" max="14841" width="9.88671875" style="18" customWidth="1"/>
    <col min="14842" max="14842" width="14.44140625" style="18" customWidth="1"/>
    <col min="14843" max="14843" width="7.33203125" style="18" customWidth="1"/>
    <col min="14844" max="14844" width="5.5546875" style="18" customWidth="1"/>
    <col min="14845" max="14845" width="9" style="18" customWidth="1"/>
    <col min="14846" max="14847" width="9.88671875" style="18" customWidth="1"/>
    <col min="14848" max="14848" width="11.109375" style="18" customWidth="1"/>
    <col min="14849" max="14849" width="2.88671875" style="18" customWidth="1"/>
    <col min="14850" max="14850" width="3.5546875" style="18" customWidth="1"/>
    <col min="14851" max="15095" width="9.109375" style="18"/>
    <col min="15096" max="15096" width="8.6640625" style="18" customWidth="1"/>
    <col min="15097" max="15097" width="9.88671875" style="18" customWidth="1"/>
    <col min="15098" max="15098" width="14.44140625" style="18" customWidth="1"/>
    <col min="15099" max="15099" width="7.33203125" style="18" customWidth="1"/>
    <col min="15100" max="15100" width="5.5546875" style="18" customWidth="1"/>
    <col min="15101" max="15101" width="9" style="18" customWidth="1"/>
    <col min="15102" max="15103" width="9.88671875" style="18" customWidth="1"/>
    <col min="15104" max="15104" width="11.109375" style="18" customWidth="1"/>
    <col min="15105" max="15105" width="2.88671875" style="18" customWidth="1"/>
    <col min="15106" max="15106" width="3.5546875" style="18" customWidth="1"/>
    <col min="15107" max="15351" width="9.109375" style="18"/>
    <col min="15352" max="15352" width="8.6640625" style="18" customWidth="1"/>
    <col min="15353" max="15353" width="9.88671875" style="18" customWidth="1"/>
    <col min="15354" max="15354" width="14.44140625" style="18" customWidth="1"/>
    <col min="15355" max="15355" width="7.33203125" style="18" customWidth="1"/>
    <col min="15356" max="15356" width="5.5546875" style="18" customWidth="1"/>
    <col min="15357" max="15357" width="9" style="18" customWidth="1"/>
    <col min="15358" max="15359" width="9.88671875" style="18" customWidth="1"/>
    <col min="15360" max="15360" width="11.109375" style="18" customWidth="1"/>
    <col min="15361" max="15361" width="2.88671875" style="18" customWidth="1"/>
    <col min="15362" max="15362" width="3.5546875" style="18" customWidth="1"/>
    <col min="15363" max="15607" width="9.109375" style="18"/>
    <col min="15608" max="15608" width="8.6640625" style="18" customWidth="1"/>
    <col min="15609" max="15609" width="9.88671875" style="18" customWidth="1"/>
    <col min="15610" max="15610" width="14.44140625" style="18" customWidth="1"/>
    <col min="15611" max="15611" width="7.33203125" style="18" customWidth="1"/>
    <col min="15612" max="15612" width="5.5546875" style="18" customWidth="1"/>
    <col min="15613" max="15613" width="9" style="18" customWidth="1"/>
    <col min="15614" max="15615" width="9.88671875" style="18" customWidth="1"/>
    <col min="15616" max="15616" width="11.109375" style="18" customWidth="1"/>
    <col min="15617" max="15617" width="2.88671875" style="18" customWidth="1"/>
    <col min="15618" max="15618" width="3.5546875" style="18" customWidth="1"/>
    <col min="15619" max="15863" width="9.109375" style="18"/>
    <col min="15864" max="15864" width="8.6640625" style="18" customWidth="1"/>
    <col min="15865" max="15865" width="9.88671875" style="18" customWidth="1"/>
    <col min="15866" max="15866" width="14.44140625" style="18" customWidth="1"/>
    <col min="15867" max="15867" width="7.33203125" style="18" customWidth="1"/>
    <col min="15868" max="15868" width="5.5546875" style="18" customWidth="1"/>
    <col min="15869" max="15869" width="9" style="18" customWidth="1"/>
    <col min="15870" max="15871" width="9.88671875" style="18" customWidth="1"/>
    <col min="15872" max="15872" width="11.109375" style="18" customWidth="1"/>
    <col min="15873" max="15873" width="2.88671875" style="18" customWidth="1"/>
    <col min="15874" max="15874" width="3.5546875" style="18" customWidth="1"/>
    <col min="15875" max="16119" width="9.109375" style="18"/>
    <col min="16120" max="16120" width="8.6640625" style="18" customWidth="1"/>
    <col min="16121" max="16121" width="9.88671875" style="18" customWidth="1"/>
    <col min="16122" max="16122" width="14.44140625" style="18" customWidth="1"/>
    <col min="16123" max="16123" width="7.33203125" style="18" customWidth="1"/>
    <col min="16124" max="16124" width="5.5546875" style="18" customWidth="1"/>
    <col min="16125" max="16125" width="9" style="18" customWidth="1"/>
    <col min="16126" max="16127" width="9.88671875" style="18" customWidth="1"/>
    <col min="16128" max="16128" width="11.109375" style="18" customWidth="1"/>
    <col min="16129" max="16129" width="2.88671875" style="18" customWidth="1"/>
    <col min="16130" max="16130" width="3.5546875" style="18" customWidth="1"/>
    <col min="16131" max="16384" width="9.109375" style="18"/>
  </cols>
  <sheetData>
    <row r="1" spans="1:26" ht="46.5" customHeight="1" x14ac:dyDescent="0.3">
      <c r="A1" s="164" t="s">
        <v>154</v>
      </c>
      <c r="B1" s="164"/>
      <c r="C1" s="164"/>
      <c r="D1" s="164"/>
      <c r="E1" s="164"/>
      <c r="F1" s="164"/>
      <c r="G1" s="164"/>
      <c r="H1" s="164"/>
    </row>
    <row r="2" spans="1:26" ht="16.5" customHeight="1" x14ac:dyDescent="0.3">
      <c r="A2" s="165" t="s">
        <v>0</v>
      </c>
      <c r="B2" s="165"/>
      <c r="C2" s="165"/>
      <c r="D2" s="165"/>
      <c r="E2" s="165"/>
      <c r="F2" s="165"/>
      <c r="G2" s="165"/>
      <c r="H2" s="165"/>
    </row>
    <row r="3" spans="1:26" x14ac:dyDescent="0.3">
      <c r="A3" s="97" t="s">
        <v>1</v>
      </c>
      <c r="B3" s="97"/>
      <c r="C3" s="97"/>
      <c r="D3" s="97"/>
      <c r="E3" s="97" t="str">
        <f ca="1">TEXT(TODAY(),"DD/MM/YYYY")</f>
        <v>09/09/2025</v>
      </c>
      <c r="F3" s="97"/>
      <c r="G3" s="97"/>
      <c r="H3" s="97"/>
      <c r="K3" s="50" t="s">
        <v>220</v>
      </c>
      <c r="L3" s="48" t="s">
        <v>218</v>
      </c>
      <c r="M3" s="48" t="s">
        <v>223</v>
      </c>
      <c r="N3" s="48" t="s">
        <v>221</v>
      </c>
      <c r="O3" s="48" t="s">
        <v>222</v>
      </c>
      <c r="P3" s="48" t="s">
        <v>224</v>
      </c>
    </row>
    <row r="4" spans="1:26" ht="15" customHeight="1" x14ac:dyDescent="0.3">
      <c r="A4" s="97" t="s">
        <v>217</v>
      </c>
      <c r="B4" s="97"/>
      <c r="C4" s="97"/>
      <c r="D4" s="97"/>
      <c r="E4" s="97" t="s">
        <v>218</v>
      </c>
      <c r="F4" s="97"/>
      <c r="G4" s="97"/>
      <c r="H4" s="97"/>
      <c r="K4" s="47" t="s">
        <v>219</v>
      </c>
      <c r="L4" s="48" t="s">
        <v>159</v>
      </c>
      <c r="M4" s="48" t="s">
        <v>228</v>
      </c>
      <c r="N4" s="48" t="s">
        <v>230</v>
      </c>
      <c r="O4" s="48" t="s">
        <v>232</v>
      </c>
      <c r="P4" s="48"/>
    </row>
    <row r="5" spans="1:26" ht="15" customHeight="1" x14ac:dyDescent="0.3">
      <c r="A5" s="97" t="s">
        <v>2</v>
      </c>
      <c r="B5" s="97"/>
      <c r="C5" s="97"/>
      <c r="D5" s="97"/>
      <c r="E5" s="97" t="s">
        <v>225</v>
      </c>
      <c r="F5" s="97"/>
      <c r="G5" s="97"/>
      <c r="H5" s="97"/>
      <c r="K5" s="47"/>
      <c r="L5" s="48" t="s">
        <v>225</v>
      </c>
      <c r="M5" s="48" t="s">
        <v>229</v>
      </c>
      <c r="N5" s="48" t="s">
        <v>231</v>
      </c>
      <c r="O5" s="48" t="s">
        <v>233</v>
      </c>
      <c r="P5" s="48"/>
    </row>
    <row r="6" spans="1:26" x14ac:dyDescent="0.3">
      <c r="A6" s="97" t="s">
        <v>3</v>
      </c>
      <c r="B6" s="97"/>
      <c r="C6" s="97"/>
      <c r="D6" s="97"/>
      <c r="E6" s="166">
        <v>45908</v>
      </c>
      <c r="F6" s="97"/>
      <c r="G6" s="97"/>
      <c r="H6" s="97"/>
      <c r="K6" s="47"/>
      <c r="L6" s="48" t="s">
        <v>226</v>
      </c>
      <c r="M6" s="48"/>
      <c r="N6" s="48"/>
      <c r="O6" s="48" t="s">
        <v>234</v>
      </c>
      <c r="P6" s="48"/>
    </row>
    <row r="7" spans="1:26" ht="16.5" customHeight="1" x14ac:dyDescent="0.3">
      <c r="A7" s="97" t="s">
        <v>4</v>
      </c>
      <c r="B7" s="97"/>
      <c r="C7" s="97"/>
      <c r="D7" s="97"/>
      <c r="E7" s="97" t="s">
        <v>282</v>
      </c>
      <c r="F7" s="97"/>
      <c r="G7" s="97"/>
      <c r="H7" s="97"/>
      <c r="K7" s="47"/>
      <c r="L7" s="48" t="s">
        <v>227</v>
      </c>
      <c r="M7" s="48"/>
      <c r="N7" s="48"/>
      <c r="O7" s="48" t="s">
        <v>234</v>
      </c>
      <c r="P7" s="48"/>
    </row>
    <row r="8" spans="1:26" ht="15" customHeight="1" x14ac:dyDescent="0.3">
      <c r="A8" s="97" t="s">
        <v>5</v>
      </c>
      <c r="B8" s="97"/>
      <c r="C8" s="97"/>
      <c r="D8" s="97"/>
      <c r="E8" s="97" t="str">
        <f>E7</f>
        <v>Shanti Developers</v>
      </c>
      <c r="F8" s="97"/>
      <c r="G8" s="97"/>
      <c r="H8" s="97"/>
      <c r="K8" s="47"/>
      <c r="L8" s="48"/>
      <c r="M8" s="48"/>
      <c r="N8" s="48"/>
      <c r="O8" s="48" t="s">
        <v>235</v>
      </c>
      <c r="P8" s="48"/>
    </row>
    <row r="9" spans="1:26" x14ac:dyDescent="0.3">
      <c r="A9" s="97" t="s">
        <v>6</v>
      </c>
      <c r="B9" s="97"/>
      <c r="C9" s="97"/>
      <c r="D9" s="97"/>
      <c r="E9" s="133" t="s">
        <v>291</v>
      </c>
      <c r="F9" s="120"/>
      <c r="G9" s="120"/>
      <c r="H9" s="120"/>
      <c r="K9" s="47"/>
      <c r="L9" s="48"/>
      <c r="M9" s="48"/>
      <c r="N9" s="48"/>
      <c r="O9" s="48" t="s">
        <v>236</v>
      </c>
      <c r="P9" s="48"/>
    </row>
    <row r="10" spans="1:26" x14ac:dyDescent="0.3">
      <c r="A10" s="97" t="s">
        <v>156</v>
      </c>
      <c r="B10" s="97"/>
      <c r="C10" s="97"/>
      <c r="D10" s="97"/>
      <c r="E10" s="97" t="s">
        <v>323</v>
      </c>
      <c r="F10" s="97"/>
      <c r="G10" s="97"/>
      <c r="H10" s="97"/>
      <c r="K10" s="47"/>
      <c r="L10" s="48"/>
      <c r="M10" s="48"/>
      <c r="N10" s="48"/>
      <c r="O10" s="48"/>
      <c r="P10" s="48"/>
    </row>
    <row r="11" spans="1:26" x14ac:dyDescent="0.3">
      <c r="A11" s="97" t="s">
        <v>157</v>
      </c>
      <c r="B11" s="97"/>
      <c r="C11" s="97"/>
      <c r="D11" s="97"/>
      <c r="E11" s="97" t="s">
        <v>28</v>
      </c>
      <c r="F11" s="97"/>
      <c r="G11" s="97"/>
      <c r="H11" s="97"/>
    </row>
    <row r="12" spans="1:26" ht="33" customHeight="1" x14ac:dyDescent="0.3">
      <c r="A12" s="97" t="s">
        <v>7</v>
      </c>
      <c r="B12" s="97"/>
      <c r="C12" s="97"/>
      <c r="D12" s="97"/>
      <c r="E12" s="92" t="s">
        <v>329</v>
      </c>
      <c r="F12" s="97"/>
      <c r="G12" s="97"/>
      <c r="H12" s="97"/>
    </row>
    <row r="13" spans="1:26" x14ac:dyDescent="0.3">
      <c r="A13" s="97" t="s">
        <v>160</v>
      </c>
      <c r="B13" s="97"/>
      <c r="C13" s="97"/>
      <c r="D13" s="97"/>
      <c r="E13" s="97" t="s">
        <v>28</v>
      </c>
      <c r="F13" s="97"/>
      <c r="G13" s="97"/>
      <c r="H13" s="97"/>
      <c r="S13" s="48" t="s">
        <v>163</v>
      </c>
      <c r="T13" s="48" t="s">
        <v>173</v>
      </c>
      <c r="U13" s="48" t="s">
        <v>161</v>
      </c>
      <c r="V13" s="48" t="s">
        <v>178</v>
      </c>
      <c r="W13" s="48" t="s">
        <v>196</v>
      </c>
      <c r="X13"/>
      <c r="Y13" t="s">
        <v>178</v>
      </c>
      <c r="Z13" t="e">
        <f ca="1">OFFSET($S$13,1,MATCH($G20,$S$13:$W$13,0)-1,15,1)</f>
        <v>#VALUE!</v>
      </c>
    </row>
    <row r="14" spans="1:26" s="20" customFormat="1" x14ac:dyDescent="0.3">
      <c r="A14" s="97" t="s">
        <v>263</v>
      </c>
      <c r="B14" s="97"/>
      <c r="C14" s="97"/>
      <c r="D14" s="97"/>
      <c r="E14" s="92" t="s">
        <v>312</v>
      </c>
      <c r="F14" s="92"/>
      <c r="G14" s="92"/>
      <c r="H14" s="92"/>
      <c r="S14" s="65" t="s">
        <v>164</v>
      </c>
      <c r="T14" s="65" t="s">
        <v>171</v>
      </c>
      <c r="U14" s="65" t="s">
        <v>193</v>
      </c>
      <c r="V14" s="65" t="s">
        <v>179</v>
      </c>
      <c r="W14" s="65" t="s">
        <v>197</v>
      </c>
      <c r="X14" s="66"/>
      <c r="Y14" s="66"/>
      <c r="Z14" s="66"/>
    </row>
    <row r="15" spans="1:26" x14ac:dyDescent="0.3">
      <c r="A15" s="87" t="s">
        <v>8</v>
      </c>
      <c r="B15" s="87"/>
      <c r="C15" s="87"/>
      <c r="D15" s="87"/>
      <c r="E15" s="92" t="s">
        <v>283</v>
      </c>
      <c r="F15" s="97"/>
      <c r="G15" s="97"/>
      <c r="H15" s="97"/>
      <c r="I15" s="191" t="e">
        <f ca="1">OFFSET($D$5,1,MATCH($J13,$D$5:$H$5,0)-1,15,1)</f>
        <v>#N/A</v>
      </c>
      <c r="J15" s="192"/>
      <c r="K15" s="192"/>
      <c r="L15" s="192"/>
      <c r="M15" s="192"/>
      <c r="N15" s="192"/>
      <c r="O15" s="192"/>
      <c r="P15" s="192"/>
      <c r="S15" s="48" t="s">
        <v>165</v>
      </c>
      <c r="T15" s="48" t="s">
        <v>172</v>
      </c>
      <c r="U15" s="48" t="s">
        <v>194</v>
      </c>
      <c r="V15" s="48" t="s">
        <v>180</v>
      </c>
      <c r="W15" s="48" t="s">
        <v>210</v>
      </c>
      <c r="X15"/>
      <c r="Y15"/>
      <c r="Z15"/>
    </row>
    <row r="16" spans="1:26" ht="48.75" customHeight="1" x14ac:dyDescent="0.3">
      <c r="A16" s="92" t="s">
        <v>9</v>
      </c>
      <c r="B16" s="92"/>
      <c r="C16" s="92" t="str">
        <f>CONCATENATE((IF(OR(E9="",E9="NA"),"",E9)),", ",(IF(OR(A17="",A17="NA"),"",A17)),".",(IF(OR(C17="",C17="NA"),"",C17)),", near ",(IF(OR(C22="",C22="NA"),"",C22)),", ",(IF(OR(C19="",C19="NA"),"",C19)),", ",(IF(OR(C18="",C18="NA"),"",C18)),", ",(IF(OR(G19="",G19="NA"),"",G19)),", ",(IF(OR(C20="",C20="NA"),"",C20)),", ",(IF(OR(C21="",C21="NA"),"",C21)),", ",(IF(OR(G20="",G20="NA"),"",G20))," - ",(IF(OR(G21="",G21="NA"),"",G21)),".")</f>
        <v>Shanti Skyraa, Survey No.5/1/1, near Ram Krishnaa Academy (Vidyadhiraj Charitable Trust), Internal Road, , Harigram, Panvel East, Panvel, Raigad - 410206.</v>
      </c>
      <c r="D16" s="92"/>
      <c r="E16" s="92"/>
      <c r="F16" s="92"/>
      <c r="G16" s="92"/>
      <c r="H16" s="92"/>
      <c r="S16" s="48" t="s">
        <v>166</v>
      </c>
      <c r="T16" s="48" t="s">
        <v>174</v>
      </c>
      <c r="U16" s="48" t="s">
        <v>195</v>
      </c>
      <c r="V16" s="48" t="s">
        <v>181</v>
      </c>
      <c r="W16" s="48" t="s">
        <v>198</v>
      </c>
      <c r="X16"/>
      <c r="Y16"/>
      <c r="Z16"/>
    </row>
    <row r="17" spans="1:26" x14ac:dyDescent="0.3">
      <c r="A17" s="92" t="s">
        <v>284</v>
      </c>
      <c r="B17" s="92"/>
      <c r="C17" s="163" t="s">
        <v>285</v>
      </c>
      <c r="D17" s="163"/>
      <c r="E17" s="163"/>
      <c r="F17" s="163"/>
      <c r="G17" s="163"/>
      <c r="H17" s="163"/>
      <c r="S17" s="48" t="s">
        <v>167</v>
      </c>
      <c r="T17" s="48" t="s">
        <v>175</v>
      </c>
      <c r="U17" s="48" t="s">
        <v>161</v>
      </c>
      <c r="V17" s="48" t="s">
        <v>182</v>
      </c>
      <c r="W17" s="48" t="s">
        <v>199</v>
      </c>
      <c r="X17"/>
      <c r="Y17"/>
      <c r="Z17"/>
    </row>
    <row r="18" spans="1:26" ht="15.75" customHeight="1" x14ac:dyDescent="0.3">
      <c r="A18" s="92" t="s">
        <v>152</v>
      </c>
      <c r="B18" s="92"/>
      <c r="C18" s="92" t="s">
        <v>28</v>
      </c>
      <c r="D18" s="92"/>
      <c r="E18" s="92"/>
      <c r="F18" s="92"/>
      <c r="G18" s="92"/>
      <c r="H18" s="92"/>
      <c r="S18" s="48" t="s">
        <v>168</v>
      </c>
      <c r="T18" s="48" t="s">
        <v>173</v>
      </c>
      <c r="U18" s="48"/>
      <c r="V18" s="48" t="s">
        <v>183</v>
      </c>
      <c r="W18" s="48" t="s">
        <v>200</v>
      </c>
      <c r="X18"/>
      <c r="Y18"/>
      <c r="Z18"/>
    </row>
    <row r="19" spans="1:26" ht="15.75" customHeight="1" x14ac:dyDescent="0.3">
      <c r="A19" s="92" t="s">
        <v>10</v>
      </c>
      <c r="B19" s="92"/>
      <c r="C19" s="97" t="s">
        <v>288</v>
      </c>
      <c r="D19" s="97"/>
      <c r="E19" s="92" t="s">
        <v>68</v>
      </c>
      <c r="F19" s="92"/>
      <c r="G19" s="92" t="s">
        <v>286</v>
      </c>
      <c r="H19" s="92"/>
      <c r="S19" s="48" t="s">
        <v>169</v>
      </c>
      <c r="T19" s="48" t="s">
        <v>176</v>
      </c>
      <c r="U19" s="48"/>
      <c r="V19" s="48" t="s">
        <v>184</v>
      </c>
      <c r="W19" s="48" t="s">
        <v>201</v>
      </c>
      <c r="X19"/>
      <c r="Y19"/>
      <c r="Z19"/>
    </row>
    <row r="20" spans="1:26" x14ac:dyDescent="0.3">
      <c r="A20" s="97" t="s">
        <v>12</v>
      </c>
      <c r="B20" s="97"/>
      <c r="C20" s="92" t="s">
        <v>289</v>
      </c>
      <c r="D20" s="92"/>
      <c r="E20" s="92" t="s">
        <v>11</v>
      </c>
      <c r="F20" s="92"/>
      <c r="G20" s="162" t="s">
        <v>178</v>
      </c>
      <c r="H20" s="162"/>
      <c r="S20" s="48" t="s">
        <v>170</v>
      </c>
      <c r="T20" s="48" t="s">
        <v>177</v>
      </c>
      <c r="U20" s="48"/>
      <c r="V20" s="48" t="s">
        <v>185</v>
      </c>
      <c r="W20" s="48" t="s">
        <v>202</v>
      </c>
      <c r="X20"/>
      <c r="Y20"/>
      <c r="Z20"/>
    </row>
    <row r="21" spans="1:26" x14ac:dyDescent="0.3">
      <c r="A21" s="97" t="s">
        <v>69</v>
      </c>
      <c r="B21" s="97"/>
      <c r="C21" s="92" t="s">
        <v>180</v>
      </c>
      <c r="D21" s="92"/>
      <c r="E21" s="92" t="s">
        <v>13</v>
      </c>
      <c r="F21" s="92"/>
      <c r="G21" s="92">
        <v>410206</v>
      </c>
      <c r="H21" s="92"/>
      <c r="S21" s="48"/>
      <c r="T21" s="48"/>
      <c r="U21" s="48"/>
      <c r="V21" s="48" t="s">
        <v>186</v>
      </c>
      <c r="W21" s="48" t="s">
        <v>203</v>
      </c>
      <c r="X21"/>
      <c r="Y21"/>
      <c r="Z21"/>
    </row>
    <row r="22" spans="1:26" ht="50.25" customHeight="1" x14ac:dyDescent="0.3">
      <c r="A22" s="97" t="s">
        <v>115</v>
      </c>
      <c r="B22" s="97"/>
      <c r="C22" s="92" t="s">
        <v>287</v>
      </c>
      <c r="D22" s="92"/>
      <c r="E22" s="92" t="s">
        <v>14</v>
      </c>
      <c r="F22" s="92"/>
      <c r="G22" s="92" t="s">
        <v>290</v>
      </c>
      <c r="H22" s="92"/>
      <c r="S22" s="48"/>
      <c r="T22" s="48"/>
      <c r="U22" s="48"/>
      <c r="V22" s="48" t="s">
        <v>187</v>
      </c>
      <c r="W22" s="48" t="s">
        <v>204</v>
      </c>
      <c r="X22"/>
      <c r="Y22"/>
      <c r="Z22"/>
    </row>
    <row r="23" spans="1:26" ht="15" customHeight="1" x14ac:dyDescent="0.3">
      <c r="A23" s="92" t="s">
        <v>71</v>
      </c>
      <c r="B23" s="92"/>
      <c r="C23" s="92"/>
      <c r="D23" s="92"/>
      <c r="E23" s="97" t="s">
        <v>15</v>
      </c>
      <c r="F23" s="97"/>
      <c r="G23" s="97"/>
      <c r="H23" s="97"/>
      <c r="S23" s="48"/>
      <c r="T23" s="48"/>
      <c r="U23" s="48"/>
      <c r="V23" s="48" t="s">
        <v>188</v>
      </c>
      <c r="W23" s="48" t="s">
        <v>205</v>
      </c>
      <c r="X23"/>
      <c r="Y23"/>
      <c r="Z23"/>
    </row>
    <row r="24" spans="1:26" ht="18.75" customHeight="1" x14ac:dyDescent="0.3">
      <c r="A24" s="92"/>
      <c r="B24" s="92"/>
      <c r="C24" s="92"/>
      <c r="D24" s="92"/>
      <c r="E24" s="97"/>
      <c r="F24" s="97"/>
      <c r="G24" s="97"/>
      <c r="H24" s="97"/>
      <c r="S24" s="48"/>
      <c r="T24" s="48"/>
      <c r="U24" s="48"/>
      <c r="V24" s="48" t="s">
        <v>189</v>
      </c>
      <c r="W24" s="48" t="s">
        <v>206</v>
      </c>
      <c r="X24"/>
      <c r="Y24"/>
      <c r="Z24"/>
    </row>
    <row r="25" spans="1:26" ht="15" customHeight="1" x14ac:dyDescent="0.3">
      <c r="A25" s="92" t="s">
        <v>16</v>
      </c>
      <c r="B25" s="92"/>
      <c r="C25" s="92"/>
      <c r="D25" s="92"/>
      <c r="E25" s="92" t="s">
        <v>17</v>
      </c>
      <c r="F25" s="92"/>
      <c r="G25" s="92"/>
      <c r="H25" s="92"/>
      <c r="S25" s="48"/>
      <c r="T25" s="48"/>
      <c r="U25" s="48"/>
      <c r="V25" s="48" t="s">
        <v>190</v>
      </c>
      <c r="W25" s="48" t="s">
        <v>207</v>
      </c>
      <c r="X25"/>
      <c r="Y25"/>
      <c r="Z25"/>
    </row>
    <row r="26" spans="1:26" ht="15" customHeight="1" x14ac:dyDescent="0.3">
      <c r="A26" s="97" t="s">
        <v>18</v>
      </c>
      <c r="B26" s="97"/>
      <c r="C26" s="97"/>
      <c r="D26" s="97"/>
      <c r="E26" s="92" t="str">
        <f>IF(AND(G20="Mumbai"),"Upper Class","Middle Class")</f>
        <v>Middle Class</v>
      </c>
      <c r="F26" s="92"/>
      <c r="G26" s="92"/>
      <c r="H26" s="92"/>
      <c r="S26" s="48"/>
      <c r="T26" s="48"/>
      <c r="U26" s="48"/>
      <c r="V26" s="48" t="s">
        <v>191</v>
      </c>
      <c r="W26" s="48" t="s">
        <v>208</v>
      </c>
      <c r="X26"/>
      <c r="Y26"/>
      <c r="Z26"/>
    </row>
    <row r="27" spans="1:26" x14ac:dyDescent="0.3">
      <c r="A27" s="97" t="s">
        <v>19</v>
      </c>
      <c r="B27" s="97"/>
      <c r="C27" s="97"/>
      <c r="D27" s="97"/>
      <c r="E27" s="92" t="s">
        <v>20</v>
      </c>
      <c r="F27" s="92"/>
      <c r="G27" s="92"/>
      <c r="H27" s="92"/>
      <c r="S27" s="48"/>
      <c r="T27" s="48"/>
      <c r="U27" s="48"/>
      <c r="V27" s="48" t="s">
        <v>192</v>
      </c>
      <c r="W27" s="48" t="s">
        <v>209</v>
      </c>
      <c r="X27"/>
      <c r="Y27"/>
      <c r="Z27"/>
    </row>
    <row r="28" spans="1:26" ht="15.75" customHeight="1" x14ac:dyDescent="0.3">
      <c r="A28" s="97" t="s">
        <v>21</v>
      </c>
      <c r="B28" s="97"/>
      <c r="C28" s="97"/>
      <c r="D28" s="97"/>
      <c r="E28" s="92" t="str">
        <f>IF(AND(G20="Mumbai"),"Developed","Developing")</f>
        <v>Developing</v>
      </c>
      <c r="F28" s="92"/>
      <c r="G28" s="92"/>
      <c r="H28" s="92"/>
    </row>
    <row r="29" spans="1:26" x14ac:dyDescent="0.3">
      <c r="A29" s="87" t="s">
        <v>22</v>
      </c>
      <c r="B29" s="87"/>
      <c r="C29" s="87"/>
      <c r="D29" s="87"/>
      <c r="E29" s="92" t="s">
        <v>23</v>
      </c>
      <c r="F29" s="92"/>
      <c r="G29" s="92"/>
      <c r="H29" s="92"/>
    </row>
    <row r="30" spans="1:26" ht="15.75" customHeight="1" x14ac:dyDescent="0.3">
      <c r="A30" s="87" t="s">
        <v>76</v>
      </c>
      <c r="B30" s="87"/>
      <c r="C30" s="87"/>
      <c r="D30" s="87"/>
      <c r="E30" s="92" t="s">
        <v>77</v>
      </c>
      <c r="F30" s="92"/>
      <c r="G30" s="92"/>
      <c r="H30" s="92"/>
    </row>
    <row r="31" spans="1:26" ht="15" customHeight="1" x14ac:dyDescent="0.3">
      <c r="A31" s="87" t="s">
        <v>30</v>
      </c>
      <c r="B31" s="87"/>
      <c r="C31" s="87"/>
      <c r="D31" s="87"/>
      <c r="E31" s="92"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92"/>
      <c r="G31" s="92"/>
      <c r="H31" s="92"/>
    </row>
    <row r="32" spans="1:26" ht="15.75" customHeight="1" x14ac:dyDescent="0.3">
      <c r="A32" s="87" t="s">
        <v>87</v>
      </c>
      <c r="B32" s="87"/>
      <c r="C32" s="87"/>
      <c r="D32" s="87"/>
      <c r="E32" s="92" t="s">
        <v>31</v>
      </c>
      <c r="F32" s="92"/>
      <c r="G32" s="92"/>
      <c r="H32" s="92"/>
    </row>
    <row r="33" spans="1:19" s="19" customFormat="1" x14ac:dyDescent="0.3">
      <c r="A33" s="155" t="s">
        <v>88</v>
      </c>
      <c r="B33" s="155"/>
      <c r="C33" s="151" t="s">
        <v>162</v>
      </c>
      <c r="D33" s="152"/>
      <c r="E33" s="153"/>
      <c r="F33" s="151" t="s">
        <v>29</v>
      </c>
      <c r="G33" s="152"/>
      <c r="H33" s="153"/>
      <c r="S33" s="19" t="e">
        <f ca="1">OFFSET($S$13,1,MATCH($G20,$S$13:$W$13,0)-1,15,1)</f>
        <v>#VALUE!</v>
      </c>
    </row>
    <row r="34" spans="1:19" s="54" customFormat="1" ht="49.5" customHeight="1" x14ac:dyDescent="0.3">
      <c r="A34" s="154" t="s">
        <v>24</v>
      </c>
      <c r="B34" s="154" t="s">
        <v>28</v>
      </c>
      <c r="C34" s="156" t="s">
        <v>322</v>
      </c>
      <c r="D34" s="157"/>
      <c r="E34" s="158"/>
      <c r="F34" s="159" t="s">
        <v>298</v>
      </c>
      <c r="G34" s="160"/>
      <c r="H34" s="161"/>
    </row>
    <row r="35" spans="1:19" x14ac:dyDescent="0.3">
      <c r="A35" s="135" t="s">
        <v>25</v>
      </c>
      <c r="B35" s="135" t="s">
        <v>28</v>
      </c>
      <c r="C35" s="136" t="s">
        <v>294</v>
      </c>
      <c r="D35" s="137"/>
      <c r="E35" s="138"/>
      <c r="F35" s="136" t="s">
        <v>297</v>
      </c>
      <c r="G35" s="137"/>
      <c r="H35" s="138"/>
    </row>
    <row r="36" spans="1:19" s="19" customFormat="1" x14ac:dyDescent="0.3">
      <c r="A36" s="135" t="s">
        <v>27</v>
      </c>
      <c r="B36" s="135" t="s">
        <v>28</v>
      </c>
      <c r="C36" s="136" t="s">
        <v>292</v>
      </c>
      <c r="D36" s="137"/>
      <c r="E36" s="138"/>
      <c r="F36" s="136" t="s">
        <v>295</v>
      </c>
      <c r="G36" s="137"/>
      <c r="H36" s="138"/>
    </row>
    <row r="37" spans="1:19" x14ac:dyDescent="0.3">
      <c r="A37" s="135" t="s">
        <v>26</v>
      </c>
      <c r="B37" s="135" t="s">
        <v>28</v>
      </c>
      <c r="C37" s="136" t="s">
        <v>293</v>
      </c>
      <c r="D37" s="137"/>
      <c r="E37" s="138"/>
      <c r="F37" s="136" t="s">
        <v>296</v>
      </c>
      <c r="G37" s="137"/>
      <c r="H37" s="138"/>
    </row>
    <row r="38" spans="1:19" x14ac:dyDescent="0.3">
      <c r="A38" s="97" t="s">
        <v>264</v>
      </c>
      <c r="B38" s="97"/>
      <c r="C38" s="97"/>
      <c r="D38" s="97"/>
      <c r="E38" s="97"/>
      <c r="F38" s="97"/>
      <c r="G38" s="97"/>
      <c r="H38" s="97"/>
    </row>
    <row r="39" spans="1:19" ht="15.75" customHeight="1" x14ac:dyDescent="0.3">
      <c r="A39" s="87" t="s">
        <v>155</v>
      </c>
      <c r="B39" s="87"/>
      <c r="C39" s="98" t="s">
        <v>319</v>
      </c>
      <c r="D39" s="98"/>
      <c r="E39" s="98"/>
      <c r="F39" s="98"/>
      <c r="G39" s="98"/>
      <c r="H39" s="98"/>
    </row>
    <row r="40" spans="1:19" x14ac:dyDescent="0.3">
      <c r="A40" s="87" t="s">
        <v>151</v>
      </c>
      <c r="B40" s="87"/>
      <c r="C40" s="91" t="s">
        <v>320</v>
      </c>
      <c r="D40" s="92"/>
      <c r="E40" s="92"/>
      <c r="F40" s="92"/>
      <c r="G40" s="92"/>
      <c r="H40" s="92"/>
    </row>
    <row r="41" spans="1:19" x14ac:dyDescent="0.3">
      <c r="A41" s="98" t="s">
        <v>32</v>
      </c>
      <c r="B41" s="98"/>
      <c r="C41" s="98"/>
      <c r="D41" s="98"/>
      <c r="E41" s="98"/>
      <c r="F41" s="98"/>
      <c r="G41" s="98"/>
      <c r="H41" s="98"/>
    </row>
    <row r="42" spans="1:19" x14ac:dyDescent="0.3">
      <c r="A42" s="87" t="s">
        <v>33</v>
      </c>
      <c r="B42" s="87"/>
      <c r="C42" s="87"/>
      <c r="D42" s="87"/>
      <c r="E42" s="139">
        <v>4179.41</v>
      </c>
      <c r="F42" s="139"/>
      <c r="G42" s="139"/>
      <c r="H42" s="139"/>
    </row>
    <row r="43" spans="1:19" x14ac:dyDescent="0.3">
      <c r="A43" s="87" t="s">
        <v>34</v>
      </c>
      <c r="B43" s="87"/>
      <c r="C43" s="87"/>
      <c r="D43" s="87"/>
      <c r="E43" s="142">
        <v>0.2</v>
      </c>
      <c r="F43" s="142"/>
      <c r="G43" s="142"/>
      <c r="H43" s="142"/>
    </row>
    <row r="44" spans="1:19" x14ac:dyDescent="0.3">
      <c r="A44" s="87" t="s">
        <v>35</v>
      </c>
      <c r="B44" s="87"/>
      <c r="C44" s="87"/>
      <c r="D44" s="87"/>
      <c r="E44" s="142">
        <f>E46/E42-E43</f>
        <v>0.75010659399293189</v>
      </c>
      <c r="F44" s="142"/>
      <c r="G44" s="142"/>
      <c r="H44" s="142"/>
    </row>
    <row r="45" spans="1:19" x14ac:dyDescent="0.3">
      <c r="A45" s="87" t="s">
        <v>36</v>
      </c>
      <c r="B45" s="87"/>
      <c r="C45" s="87"/>
      <c r="D45" s="87"/>
      <c r="E45" s="142">
        <f>E43+E44</f>
        <v>0.95010659399293185</v>
      </c>
      <c r="F45" s="142"/>
      <c r="G45" s="142"/>
      <c r="H45" s="142"/>
    </row>
    <row r="46" spans="1:19" x14ac:dyDescent="0.3">
      <c r="A46" s="87" t="s">
        <v>299</v>
      </c>
      <c r="B46" s="87"/>
      <c r="C46" s="87"/>
      <c r="D46" s="87"/>
      <c r="E46" s="143">
        <f>3302.18+668.705</f>
        <v>3970.8849999999998</v>
      </c>
      <c r="F46" s="143"/>
      <c r="G46" s="143"/>
      <c r="H46" s="143"/>
    </row>
    <row r="47" spans="1:19" x14ac:dyDescent="0.3">
      <c r="A47" s="97" t="s">
        <v>37</v>
      </c>
      <c r="B47" s="97"/>
      <c r="C47" s="97"/>
      <c r="D47" s="97"/>
      <c r="E47" s="97" t="s">
        <v>346</v>
      </c>
      <c r="F47" s="97"/>
      <c r="G47" s="97"/>
      <c r="H47" s="97"/>
    </row>
    <row r="48" spans="1:19" x14ac:dyDescent="0.3">
      <c r="A48" s="98" t="s">
        <v>38</v>
      </c>
      <c r="B48" s="98"/>
      <c r="C48" s="98"/>
      <c r="D48" s="98"/>
      <c r="E48" s="98"/>
      <c r="F48" s="98"/>
      <c r="G48" s="98"/>
      <c r="H48" s="98"/>
    </row>
    <row r="49" spans="1:24" ht="33.75" customHeight="1" x14ac:dyDescent="0.3">
      <c r="A49" s="99" t="s">
        <v>144</v>
      </c>
      <c r="B49" s="100"/>
      <c r="C49" s="145" t="s">
        <v>255</v>
      </c>
      <c r="D49" s="146"/>
      <c r="E49" s="146"/>
      <c r="F49" s="146"/>
      <c r="G49" s="146"/>
      <c r="H49" s="147"/>
      <c r="R49" t="s">
        <v>237</v>
      </c>
      <c r="S49" t="s">
        <v>161</v>
      </c>
      <c r="T49" t="s">
        <v>163</v>
      </c>
      <c r="U49" t="s">
        <v>178</v>
      </c>
      <c r="V49" t="s">
        <v>173</v>
      </c>
    </row>
    <row r="50" spans="1:24" ht="31.5" customHeight="1" x14ac:dyDescent="0.3">
      <c r="A50" s="99" t="s">
        <v>39</v>
      </c>
      <c r="B50" s="100"/>
      <c r="C50" s="99" t="s">
        <v>318</v>
      </c>
      <c r="D50" s="144"/>
      <c r="E50" s="100"/>
      <c r="F50" s="17" t="s">
        <v>40</v>
      </c>
      <c r="G50" s="179">
        <v>45665</v>
      </c>
      <c r="H50" s="100"/>
      <c r="R50"/>
      <c r="S50" t="s">
        <v>238</v>
      </c>
      <c r="T50" t="s">
        <v>243</v>
      </c>
      <c r="U50" t="s">
        <v>254</v>
      </c>
      <c r="V50" t="s">
        <v>259</v>
      </c>
    </row>
    <row r="51" spans="1:24" ht="31.5" customHeight="1" x14ac:dyDescent="0.3">
      <c r="A51" s="99" t="s">
        <v>41</v>
      </c>
      <c r="B51" s="100"/>
      <c r="C51" s="99" t="str">
        <f>C50</f>
        <v>CIDCO/NAINA/Panvel/Harigram/BP-00657/ACC/2025/0772</v>
      </c>
      <c r="D51" s="144"/>
      <c r="E51" s="100"/>
      <c r="F51" s="17" t="s">
        <v>40</v>
      </c>
      <c r="G51" s="179">
        <f>G50</f>
        <v>45665</v>
      </c>
      <c r="H51" s="180"/>
      <c r="R51"/>
      <c r="S51" t="s">
        <v>239</v>
      </c>
      <c r="T51" t="s">
        <v>244</v>
      </c>
      <c r="U51" t="s">
        <v>252</v>
      </c>
      <c r="V51" t="s">
        <v>260</v>
      </c>
    </row>
    <row r="52" spans="1:24" s="20" customFormat="1" ht="31.5" customHeight="1" x14ac:dyDescent="0.3">
      <c r="A52" s="187" t="s">
        <v>300</v>
      </c>
      <c r="B52" s="188"/>
      <c r="C52" s="99" t="str">
        <f>C51</f>
        <v>CIDCO/NAINA/Panvel/Harigram/BP-00657/ACC/2025/0772</v>
      </c>
      <c r="D52" s="144"/>
      <c r="E52" s="100"/>
      <c r="F52" s="17" t="s">
        <v>40</v>
      </c>
      <c r="G52" s="179">
        <f>G51</f>
        <v>45665</v>
      </c>
      <c r="H52" s="180"/>
      <c r="R52"/>
      <c r="S52" t="s">
        <v>240</v>
      </c>
      <c r="T52" t="s">
        <v>245</v>
      </c>
      <c r="U52" t="s">
        <v>242</v>
      </c>
      <c r="V52" t="s">
        <v>261</v>
      </c>
    </row>
    <row r="53" spans="1:24" s="20" customFormat="1" ht="67.5" customHeight="1" x14ac:dyDescent="0.3">
      <c r="A53" s="189"/>
      <c r="B53" s="190"/>
      <c r="C53" s="148" t="s">
        <v>341</v>
      </c>
      <c r="D53" s="149"/>
      <c r="E53" s="149"/>
      <c r="F53" s="149"/>
      <c r="G53" s="149"/>
      <c r="H53" s="150"/>
      <c r="R53"/>
      <c r="S53" t="s">
        <v>241</v>
      </c>
      <c r="T53" t="s">
        <v>248</v>
      </c>
      <c r="U53" t="s">
        <v>255</v>
      </c>
    </row>
    <row r="54" spans="1:24" s="20" customFormat="1" hidden="1" x14ac:dyDescent="0.3">
      <c r="A54" s="183" t="s">
        <v>265</v>
      </c>
      <c r="B54" s="184"/>
      <c r="C54" s="99" t="str">
        <f>C53</f>
        <v>Building No.1 (A &amp; B Wing) = G + 1st to 7th Floor
Building No.2 (C &amp; D Wing) = G + 1st to 5th Floor
Total BUA = 3970.884 Sq. M
Sale Unit = 66 &amp; EWS Unit =16</v>
      </c>
      <c r="D54" s="144"/>
      <c r="E54" s="100"/>
      <c r="F54" s="17" t="s">
        <v>40</v>
      </c>
      <c r="G54" s="99"/>
      <c r="H54" s="100"/>
      <c r="R54"/>
      <c r="S54" t="s">
        <v>240</v>
      </c>
      <c r="T54" t="s">
        <v>245</v>
      </c>
      <c r="U54" t="s">
        <v>242</v>
      </c>
      <c r="V54" t="s">
        <v>261</v>
      </c>
    </row>
    <row r="55" spans="1:24" s="20" customFormat="1" ht="32.25" hidden="1" customHeight="1" x14ac:dyDescent="0.3">
      <c r="A55" s="185"/>
      <c r="B55" s="186"/>
      <c r="C55" s="116"/>
      <c r="D55" s="117"/>
      <c r="E55" s="117"/>
      <c r="F55" s="117"/>
      <c r="G55" s="117"/>
      <c r="H55" s="118"/>
      <c r="R55"/>
      <c r="S55" t="s">
        <v>242</v>
      </c>
      <c r="T55" t="s">
        <v>246</v>
      </c>
      <c r="U55" t="s">
        <v>256</v>
      </c>
      <c r="V55" s="18"/>
      <c r="W55" s="18"/>
      <c r="X55" s="18"/>
    </row>
    <row r="56" spans="1:24" s="20" customFormat="1" ht="34.5" hidden="1" customHeight="1" x14ac:dyDescent="0.3">
      <c r="A56" s="183" t="s">
        <v>266</v>
      </c>
      <c r="B56" s="184"/>
      <c r="C56" s="99">
        <f>C55</f>
        <v>0</v>
      </c>
      <c r="D56" s="144"/>
      <c r="E56" s="100"/>
      <c r="F56" s="17" t="s">
        <v>40</v>
      </c>
      <c r="G56" s="99">
        <f>G55</f>
        <v>0</v>
      </c>
      <c r="H56" s="100"/>
      <c r="R56"/>
      <c r="S56" s="18"/>
      <c r="T56" t="s">
        <v>247</v>
      </c>
      <c r="U56" t="s">
        <v>257</v>
      </c>
      <c r="V56" s="18"/>
      <c r="W56" s="18"/>
      <c r="X56" s="18"/>
    </row>
    <row r="57" spans="1:24" s="20" customFormat="1" ht="41.25" hidden="1" customHeight="1" x14ac:dyDescent="0.3">
      <c r="A57" s="185"/>
      <c r="B57" s="186"/>
      <c r="C57" s="99"/>
      <c r="D57" s="144"/>
      <c r="E57" s="144"/>
      <c r="F57" s="144"/>
      <c r="G57" s="144"/>
      <c r="H57" s="100"/>
      <c r="R57"/>
      <c r="S57" s="18"/>
      <c r="T57" t="s">
        <v>249</v>
      </c>
      <c r="U57" t="s">
        <v>258</v>
      </c>
      <c r="V57" s="18"/>
      <c r="W57" s="18"/>
      <c r="X57" s="18"/>
    </row>
    <row r="58" spans="1:24" s="20" customFormat="1" ht="15.75" hidden="1" customHeight="1" x14ac:dyDescent="0.3">
      <c r="A58" s="183" t="s">
        <v>267</v>
      </c>
      <c r="B58" s="184"/>
      <c r="C58" s="99">
        <f>C57</f>
        <v>0</v>
      </c>
      <c r="D58" s="144"/>
      <c r="E58" s="100"/>
      <c r="F58" s="17" t="s">
        <v>40</v>
      </c>
      <c r="G58" s="99">
        <f>G57</f>
        <v>0</v>
      </c>
      <c r="H58" s="100"/>
      <c r="R58"/>
      <c r="S58" s="18"/>
      <c r="T58" t="s">
        <v>250</v>
      </c>
      <c r="U58" s="18" t="s">
        <v>281</v>
      </c>
      <c r="V58" s="18"/>
      <c r="W58" s="18"/>
      <c r="X58" s="18"/>
    </row>
    <row r="59" spans="1:24" s="20" customFormat="1" ht="33.75" hidden="1" customHeight="1" x14ac:dyDescent="0.3">
      <c r="A59" s="185"/>
      <c r="B59" s="186"/>
      <c r="C59" s="99"/>
      <c r="D59" s="144"/>
      <c r="E59" s="144"/>
      <c r="F59" s="144"/>
      <c r="G59" s="144"/>
      <c r="H59" s="100"/>
      <c r="R59"/>
      <c r="S59" s="18"/>
      <c r="T59" t="s">
        <v>251</v>
      </c>
      <c r="U59" s="18"/>
      <c r="V59" s="18"/>
      <c r="W59" s="18"/>
      <c r="X59" s="18"/>
    </row>
    <row r="60" spans="1:24" x14ac:dyDescent="0.3">
      <c r="A60" s="194" t="s">
        <v>42</v>
      </c>
      <c r="B60" s="195"/>
      <c r="C60" s="194" t="s">
        <v>100</v>
      </c>
      <c r="D60" s="196"/>
      <c r="E60" s="195"/>
      <c r="F60" s="40" t="s">
        <v>40</v>
      </c>
      <c r="G60" s="181" t="s">
        <v>28</v>
      </c>
      <c r="H60" s="182"/>
      <c r="R60"/>
      <c r="T60" t="s">
        <v>253</v>
      </c>
    </row>
    <row r="61" spans="1:24" x14ac:dyDescent="0.3">
      <c r="A61" s="170" t="s">
        <v>44</v>
      </c>
      <c r="B61" s="170"/>
      <c r="C61" s="170"/>
      <c r="D61" s="170"/>
      <c r="E61" s="170"/>
      <c r="F61" s="170"/>
      <c r="G61" s="170"/>
      <c r="H61" s="170"/>
      <c r="T61" t="s">
        <v>262</v>
      </c>
    </row>
    <row r="62" spans="1:24" x14ac:dyDescent="0.3">
      <c r="A62" s="101" t="s">
        <v>86</v>
      </c>
      <c r="B62" s="101"/>
      <c r="C62" s="101"/>
      <c r="D62" s="143">
        <f>E46</f>
        <v>3970.8849999999998</v>
      </c>
      <c r="E62" s="87"/>
      <c r="F62" s="87"/>
      <c r="G62" s="87"/>
      <c r="H62" s="87"/>
      <c r="R62"/>
    </row>
    <row r="63" spans="1:24" x14ac:dyDescent="0.3">
      <c r="A63" s="92" t="s">
        <v>45</v>
      </c>
      <c r="B63" s="97"/>
      <c r="C63" s="97"/>
      <c r="D63" s="97" t="s">
        <v>332</v>
      </c>
      <c r="E63" s="97"/>
      <c r="F63" s="97"/>
      <c r="G63" s="97"/>
      <c r="H63" s="97"/>
      <c r="I63" s="21"/>
      <c r="R63"/>
    </row>
    <row r="64" spans="1:24" ht="63.75" customHeight="1" x14ac:dyDescent="0.3">
      <c r="A64" s="130" t="s">
        <v>46</v>
      </c>
      <c r="B64" s="131"/>
      <c r="C64" s="132"/>
      <c r="D64" s="103" t="s">
        <v>333</v>
      </c>
      <c r="E64" s="129"/>
      <c r="F64" s="129"/>
      <c r="G64" s="129"/>
      <c r="H64" s="129"/>
      <c r="R64"/>
    </row>
    <row r="65" spans="1:19" ht="15.75" customHeight="1" x14ac:dyDescent="0.3">
      <c r="A65" s="130" t="s">
        <v>84</v>
      </c>
      <c r="B65" s="131"/>
      <c r="C65" s="132"/>
      <c r="D65" s="210" t="s">
        <v>334</v>
      </c>
      <c r="E65" s="211"/>
      <c r="F65" s="211"/>
      <c r="G65" s="211"/>
      <c r="H65" s="212"/>
      <c r="R65"/>
    </row>
    <row r="66" spans="1:19" ht="15.75" customHeight="1" x14ac:dyDescent="0.3">
      <c r="A66" s="204"/>
      <c r="B66" s="205"/>
      <c r="C66" s="206"/>
      <c r="D66" s="198" t="s">
        <v>335</v>
      </c>
      <c r="E66" s="199"/>
      <c r="F66" s="199"/>
      <c r="G66" s="199"/>
      <c r="H66" s="200"/>
      <c r="R66"/>
    </row>
    <row r="67" spans="1:19" ht="15.75" customHeight="1" x14ac:dyDescent="0.3">
      <c r="A67" s="204"/>
      <c r="B67" s="205"/>
      <c r="C67" s="206"/>
      <c r="D67" s="198" t="s">
        <v>342</v>
      </c>
      <c r="E67" s="199"/>
      <c r="F67" s="199"/>
      <c r="G67" s="199"/>
      <c r="H67" s="200"/>
      <c r="R67"/>
    </row>
    <row r="68" spans="1:19" ht="15.75" customHeight="1" x14ac:dyDescent="0.3">
      <c r="A68" s="207"/>
      <c r="B68" s="208"/>
      <c r="C68" s="209"/>
      <c r="D68" s="201" t="s">
        <v>343</v>
      </c>
      <c r="E68" s="202"/>
      <c r="F68" s="202"/>
      <c r="G68" s="202"/>
      <c r="H68" s="203"/>
      <c r="R68"/>
    </row>
    <row r="69" spans="1:19" ht="15.75" customHeight="1" x14ac:dyDescent="0.3">
      <c r="A69" s="87" t="s">
        <v>43</v>
      </c>
      <c r="B69" s="87"/>
      <c r="C69" s="87"/>
      <c r="D69" s="140" t="s">
        <v>301</v>
      </c>
      <c r="E69" s="140"/>
      <c r="F69" s="140"/>
      <c r="G69" s="140"/>
      <c r="H69" s="140"/>
      <c r="J69" s="22"/>
      <c r="K69" s="21"/>
      <c r="N69" s="21"/>
      <c r="S69"/>
    </row>
    <row r="70" spans="1:19" ht="15.75" customHeight="1" x14ac:dyDescent="0.3">
      <c r="A70" s="87" t="s">
        <v>82</v>
      </c>
      <c r="B70" s="87"/>
      <c r="C70" s="87"/>
      <c r="D70" s="141" t="str">
        <f>(IF(G60="NA","60 Years After Completion",IF(G60&lt;&gt;"NA",""&amp;60-ROUNDDOWN((E3-G60)/360,0)&amp;" Years"," ")))</f>
        <v>60 Years After Completion</v>
      </c>
      <c r="E70" s="141"/>
      <c r="F70" s="141"/>
      <c r="G70" s="141"/>
      <c r="H70" s="141"/>
      <c r="N70" s="21"/>
      <c r="S70"/>
    </row>
    <row r="71" spans="1:19" ht="15.75" customHeight="1" x14ac:dyDescent="0.3">
      <c r="A71" s="87" t="s">
        <v>83</v>
      </c>
      <c r="B71" s="87"/>
      <c r="C71" s="87"/>
      <c r="D71" s="101" t="s">
        <v>23</v>
      </c>
      <c r="E71" s="101"/>
      <c r="F71" s="101"/>
      <c r="G71" s="101"/>
      <c r="H71" s="101"/>
      <c r="J71" s="23"/>
      <c r="K71" s="23"/>
      <c r="S71"/>
    </row>
    <row r="72" spans="1:19" ht="38.4" customHeight="1" x14ac:dyDescent="0.3">
      <c r="A72" s="97" t="s">
        <v>303</v>
      </c>
      <c r="B72" s="97"/>
      <c r="C72" s="97"/>
      <c r="D72" s="92" t="s">
        <v>302</v>
      </c>
      <c r="E72" s="101"/>
      <c r="F72" s="101"/>
      <c r="G72" s="101"/>
      <c r="H72" s="101"/>
      <c r="S72"/>
    </row>
    <row r="73" spans="1:19" x14ac:dyDescent="0.3">
      <c r="A73" s="101" t="s">
        <v>141</v>
      </c>
      <c r="B73" s="101"/>
      <c r="C73" s="101"/>
      <c r="D73" s="101" t="s">
        <v>28</v>
      </c>
      <c r="E73" s="101"/>
      <c r="F73" s="101"/>
      <c r="G73" s="101"/>
      <c r="H73" s="101"/>
      <c r="I73" s="24"/>
      <c r="J73" s="24"/>
      <c r="K73" s="24"/>
      <c r="L73" s="24"/>
      <c r="M73" s="24"/>
      <c r="N73" s="24"/>
    </row>
    <row r="74" spans="1:19" ht="15.75" customHeight="1" x14ac:dyDescent="0.3">
      <c r="A74" s="197" t="s">
        <v>81</v>
      </c>
      <c r="B74" s="197"/>
      <c r="C74" s="197"/>
      <c r="D74" s="103" t="str">
        <f ca="1">(IF(G80&gt;95%,"Nothing",IF(G80&gt;0%,"Cement, Aggregate, Steel, etc",IF(G80=0%,"Work not yet Started"))))</f>
        <v>Cement, Aggregate, Steel, etc</v>
      </c>
      <c r="E74" s="103"/>
      <c r="F74" s="103"/>
      <c r="G74" s="103"/>
      <c r="H74" s="103"/>
      <c r="J74" s="23"/>
      <c r="S74"/>
    </row>
    <row r="75" spans="1:19" ht="33.75" customHeight="1" thickBot="1" x14ac:dyDescent="0.35">
      <c r="A75" s="102" t="s">
        <v>113</v>
      </c>
      <c r="B75" s="102"/>
      <c r="C75" s="102"/>
      <c r="D75" s="103" t="str">
        <f ca="1">(IF(D74="Nothing","Yes",IF(D74="Cement, Aggregate, Steel, etc","Under Construction",IF(D74="Work not yet Started","Work not yet Started"))))</f>
        <v>Under Construction</v>
      </c>
      <c r="E75" s="103"/>
      <c r="F75" s="103" t="str">
        <f ca="1">(IF(D74="Nothing","Yes",IF(D74="Cement, Aggregate, Steel, etc","Under Construction",IF(D74="Work not yet Started","Work not yet Started"))))</f>
        <v>Under Construction</v>
      </c>
      <c r="G75" s="103"/>
      <c r="H75" s="103"/>
      <c r="S75"/>
    </row>
    <row r="76" spans="1:19" ht="15.75" customHeight="1" x14ac:dyDescent="0.3">
      <c r="A76" s="121" t="s">
        <v>133</v>
      </c>
      <c r="B76" s="122"/>
      <c r="C76" s="123" t="str">
        <f>D65</f>
        <v>Building No.1 (A Wing) = G + 1st to 7th Floor</v>
      </c>
      <c r="D76" s="124"/>
      <c r="E76" s="124"/>
      <c r="F76" s="124"/>
      <c r="G76" s="124"/>
      <c r="H76" s="125"/>
      <c r="I76" s="42" t="str">
        <f ca="1">IF(D89=100%,"All work Completed. Possession granted to the Building.",IF(D88=100%,"All work Completed, Waiting for OC",I77&amp;""&amp;I78&amp;""&amp;J77&amp;""&amp;J76&amp;" "&amp;J78))</f>
        <v>Excavation, Plinth, RCC Slab, Brickwork Completed, Internal Plaster upto 5 Floor, External Plaster upto 5 Floor Completed</v>
      </c>
      <c r="J76" s="43" t="str">
        <f ca="1">(IF(C82=(D77+F77+H77),"",IF(C82&gt;0,", RCC upto "&amp;C82&amp;" Slab","")))&amp;(IF(C83=H77,"",IF(C83&gt;0,", Brickwork upto "&amp;C83&amp;" Floor","")))&amp;(IF(C84=H77,"",IF(C84&gt;0,", Internal Plaster upto "&amp;C84&amp;" Floor","")))&amp;(IF(C85=H77,"",IF(C85&gt;0,", External Plaster upto "&amp;C85&amp;" Floor","")))&amp;(IF(C86=H77,"",IF(C86&gt;0,", Flooring upto "&amp;C86&amp;" Floor","")))&amp;(IF(C87=H77,"",IF(C87&gt;0,", Painting upto "&amp;C87&amp;" Floor","")))&amp;(IF(C88=H77,"",IF(C88&gt;0,", Finishing upto "&amp;C88&amp;" Floor","")))&amp;(IF(C89=H77,"",IF(C89&gt;0,", Possession upto "&amp;C89&amp;" Floor","")))</f>
        <v>, Internal Plaster upto 5 Floor, External Plaster upto 5 Floor</v>
      </c>
      <c r="S76"/>
    </row>
    <row r="77" spans="1:19" x14ac:dyDescent="0.3">
      <c r="A77" s="15" t="s">
        <v>135</v>
      </c>
      <c r="B77" s="46">
        <f>IF(AND(ISNUMBER(SEARCH("1B",C76))),1,IF(AND(ISNUMBER(SEARCH("2B",C76))),2,IF(AND(ISNUMBER(SEARCH("3B",C76))),3,IF(AND(ISNUMBER(SEARCH("4B",C76))),4,IF(ISNUMBER(SEARCH("5B",C76)),5,0)))))</f>
        <v>0</v>
      </c>
      <c r="C77" s="46" t="s">
        <v>67</v>
      </c>
      <c r="D77" s="46">
        <v>1</v>
      </c>
      <c r="E77" s="46" t="s">
        <v>66</v>
      </c>
      <c r="F77" s="46">
        <v>0</v>
      </c>
      <c r="G77" s="46" t="s">
        <v>75</v>
      </c>
      <c r="H77" s="16">
        <f ca="1">--TRIM(RIGHT(SUBSTITUTE(LEFT(C76,_xlfn.AGGREGATE(16,6,FIND({0,1,2,3,4,5,6,7,8,9},C76,ROW(INDIRECT("1:"&amp;LEN(C76)))),1))," ",REPT(" ",LEN(C76))),LEN(C76)))</f>
        <v>7</v>
      </c>
      <c r="I77" s="44" t="str">
        <f ca="1">IF(D80=100%,"Excavation","")&amp;IF(D81=100%,", Plinth","")&amp;IF(D82=100%,", RCC Slab","")&amp;IF(D83=100%,", Brickwork","")&amp;IF(D84=100%,", Internal Plaster","")&amp;IF(D85=100%,", External Plaster","")&amp;IF(D86=100%,", Flooring","")&amp;IF(D87=100%,", Painting","")&amp;IF(D88=100%,", Building common Amenities","")</f>
        <v>Excavation, Plinth, RCC Slab, Brickwork</v>
      </c>
      <c r="J77" s="45" t="str">
        <f ca="1">(IF(C80=0,"Work not yet Started.",IF(D80=25%,"Piling work in process",IF(D80=50%,"Excavation work in process",IF(D80=100%,"","0")))))&amp;(IF(C81=0%,"",IF(C81=J82,", Footing work is process",IF(C81=J83,", Footing work Completed",IF(C81=J84,", 1st Basement Completed",IF(C81=J85,", 1st &amp; 2nd Basement Completed",IF(C81=J86,", 1st to 3rd Basement Completed",IF(C81=J87,", 1st to 4th Basement Completed",IF(C81=J88,", Plinth work is process",IF(C81=J89,"","0"))))))))))</f>
        <v/>
      </c>
      <c r="S77"/>
    </row>
    <row r="78" spans="1:19" ht="33" customHeight="1" x14ac:dyDescent="0.3">
      <c r="A78" s="119" t="s">
        <v>85</v>
      </c>
      <c r="B78" s="120"/>
      <c r="C78" s="133" t="str">
        <f ca="1">I76</f>
        <v>Excavation, Plinth, RCC Slab, Brickwork Completed, Internal Plaster upto 5 Floor, External Plaster upto 5 Floor Completed</v>
      </c>
      <c r="D78" s="133"/>
      <c r="E78" s="133"/>
      <c r="F78" s="133"/>
      <c r="G78" s="133"/>
      <c r="H78" s="134"/>
      <c r="I78" s="44" t="str">
        <f ca="1">IF(I77&lt;&gt;""," Completed","")</f>
        <v xml:space="preserve"> Completed</v>
      </c>
      <c r="J78" s="45" t="str">
        <f ca="1">IF(J76&lt;&gt;"","Completed","")</f>
        <v>Completed</v>
      </c>
      <c r="S78"/>
    </row>
    <row r="79" spans="1:19" ht="15.75" customHeight="1" x14ac:dyDescent="0.3">
      <c r="A79" s="104" t="s">
        <v>47</v>
      </c>
      <c r="B79" s="105"/>
      <c r="C79" s="56" t="s">
        <v>132</v>
      </c>
      <c r="D79" s="56" t="s">
        <v>78</v>
      </c>
      <c r="E79" s="105" t="s">
        <v>80</v>
      </c>
      <c r="F79" s="105"/>
      <c r="G79" s="105" t="s">
        <v>79</v>
      </c>
      <c r="H79" s="106"/>
      <c r="I79" s="13" t="s">
        <v>134</v>
      </c>
      <c r="J79" s="25">
        <f ca="1">H77*25%</f>
        <v>1.75</v>
      </c>
      <c r="S79"/>
    </row>
    <row r="80" spans="1:19" x14ac:dyDescent="0.3">
      <c r="A80" s="104" t="s">
        <v>121</v>
      </c>
      <c r="B80" s="105"/>
      <c r="C80" s="56">
        <f ca="1">J81</f>
        <v>7</v>
      </c>
      <c r="D80" s="57">
        <f ca="1">((100/H77)*C80)/100</f>
        <v>1</v>
      </c>
      <c r="E80" s="107">
        <f ca="1">(((C81/H77*10)+(40/(D77+F77+H77)*C82)+(7.5/(H77)*C83)+(7.5/(H77)*C84)+(10/H77*C85)+(10/H77*C86)+(5/H77*C87)+(5/H77*C88)+(5/H77*C89))/100)</f>
        <v>0.7</v>
      </c>
      <c r="F80" s="108"/>
      <c r="G80" s="107">
        <f ca="1">((((C80/H77)*20)+((C81/H77)*25)+(30/(H77+F77+D77)*C82)+(5/H77*C83)+(5/H77*C84)+(5/H77*C85)+(5/H77*C86)+(0/H77*C87)+(0/H77*C88)+(5/H77*C89))/100)</f>
        <v>0.87142857142857144</v>
      </c>
      <c r="H80" s="113"/>
      <c r="I80" s="13" t="s">
        <v>95</v>
      </c>
      <c r="J80" s="26">
        <f ca="1">H77*50%</f>
        <v>3.5</v>
      </c>
    </row>
    <row r="81" spans="1:19" x14ac:dyDescent="0.3">
      <c r="A81" s="104" t="s">
        <v>48</v>
      </c>
      <c r="B81" s="105"/>
      <c r="C81" s="58">
        <f ca="1">J89</f>
        <v>7</v>
      </c>
      <c r="D81" s="57">
        <f ca="1">((100/H77)*C81)/100</f>
        <v>1</v>
      </c>
      <c r="E81" s="109"/>
      <c r="F81" s="110"/>
      <c r="G81" s="109"/>
      <c r="H81" s="114"/>
      <c r="I81" s="13" t="s">
        <v>96</v>
      </c>
      <c r="J81" s="26">
        <f ca="1">H77</f>
        <v>7</v>
      </c>
      <c r="S81"/>
    </row>
    <row r="82" spans="1:19" ht="15.75" customHeight="1" x14ac:dyDescent="0.3">
      <c r="A82" s="104" t="s">
        <v>122</v>
      </c>
      <c r="B82" s="105"/>
      <c r="C82" s="56">
        <v>8</v>
      </c>
      <c r="D82" s="57">
        <f ca="1">((100/(D77+F77+H77))*C82)/100</f>
        <v>1</v>
      </c>
      <c r="E82" s="109"/>
      <c r="F82" s="110"/>
      <c r="G82" s="109"/>
      <c r="H82" s="114"/>
      <c r="I82" s="13" t="s">
        <v>97</v>
      </c>
      <c r="J82" s="27">
        <f ca="1">(IF(B77&gt;1,(H77/(B77+2)),H77/4))</f>
        <v>1.75</v>
      </c>
      <c r="S82"/>
    </row>
    <row r="83" spans="1:19" ht="15.75" customHeight="1" x14ac:dyDescent="0.3">
      <c r="A83" s="104" t="s">
        <v>129</v>
      </c>
      <c r="B83" s="105" t="s">
        <v>123</v>
      </c>
      <c r="C83" s="56">
        <v>7</v>
      </c>
      <c r="D83" s="57">
        <f ca="1">((100/H77)*C83)/100</f>
        <v>1</v>
      </c>
      <c r="E83" s="109"/>
      <c r="F83" s="110"/>
      <c r="G83" s="109"/>
      <c r="H83" s="114"/>
      <c r="I83" s="13" t="s">
        <v>98</v>
      </c>
      <c r="J83" s="27">
        <f ca="1">(IF(B77&gt;1,(H77/(B77+2)+J82),H77/4+J82))</f>
        <v>3.5</v>
      </c>
    </row>
    <row r="84" spans="1:19" ht="15.75" customHeight="1" x14ac:dyDescent="0.3">
      <c r="A84" s="104" t="s">
        <v>130</v>
      </c>
      <c r="B84" s="105" t="s">
        <v>123</v>
      </c>
      <c r="C84" s="56">
        <v>5</v>
      </c>
      <c r="D84" s="57">
        <f ca="1">((100/H77)*C84)/100</f>
        <v>0.7142857142857143</v>
      </c>
      <c r="E84" s="109"/>
      <c r="F84" s="110"/>
      <c r="G84" s="109"/>
      <c r="H84" s="114"/>
      <c r="I84" s="13" t="s">
        <v>139</v>
      </c>
      <c r="J84" s="27">
        <f>(IF(B77&gt;1,(H77/(B77+2)+J83),0))</f>
        <v>0</v>
      </c>
    </row>
    <row r="85" spans="1:19" ht="15" customHeight="1" x14ac:dyDescent="0.3">
      <c r="A85" s="104" t="s">
        <v>128</v>
      </c>
      <c r="B85" s="105" t="s">
        <v>125</v>
      </c>
      <c r="C85" s="56">
        <v>5</v>
      </c>
      <c r="D85" s="57">
        <f ca="1">((100/(H77))*C85)/100</f>
        <v>0.7142857142857143</v>
      </c>
      <c r="E85" s="109"/>
      <c r="F85" s="110"/>
      <c r="G85" s="109"/>
      <c r="H85" s="114"/>
      <c r="I85" s="13" t="s">
        <v>136</v>
      </c>
      <c r="J85" s="27">
        <f>(IF(B77&gt;2,(H77/(B77+2)+J84),0))</f>
        <v>0</v>
      </c>
    </row>
    <row r="86" spans="1:19" ht="15.75" customHeight="1" x14ac:dyDescent="0.3">
      <c r="A86" s="104" t="s">
        <v>124</v>
      </c>
      <c r="B86" s="105" t="s">
        <v>124</v>
      </c>
      <c r="C86" s="56">
        <v>0</v>
      </c>
      <c r="D86" s="57">
        <f ca="1">((100/H77)*C86)/100</f>
        <v>0</v>
      </c>
      <c r="E86" s="109"/>
      <c r="F86" s="110"/>
      <c r="G86" s="109"/>
      <c r="H86" s="114"/>
      <c r="I86" s="13" t="s">
        <v>137</v>
      </c>
      <c r="J86" s="28">
        <f>(IF(B77&gt;3,(H77/(B77+2)+J85),0))</f>
        <v>0</v>
      </c>
    </row>
    <row r="87" spans="1:19" ht="15.75" customHeight="1" x14ac:dyDescent="0.3">
      <c r="A87" s="104" t="s">
        <v>131</v>
      </c>
      <c r="B87" s="105"/>
      <c r="C87" s="56">
        <v>0</v>
      </c>
      <c r="D87" s="57">
        <f ca="1">((100/H77)*C87)/100</f>
        <v>0</v>
      </c>
      <c r="E87" s="109"/>
      <c r="F87" s="110"/>
      <c r="G87" s="109"/>
      <c r="H87" s="114"/>
      <c r="I87" s="13" t="s">
        <v>138</v>
      </c>
      <c r="J87" s="27">
        <f>(IF(B77&gt;4,(H77/(B77+2)+J86),0))</f>
        <v>0</v>
      </c>
    </row>
    <row r="88" spans="1:19" ht="15.75" customHeight="1" x14ac:dyDescent="0.3">
      <c r="A88" s="104" t="s">
        <v>126</v>
      </c>
      <c r="B88" s="105" t="s">
        <v>126</v>
      </c>
      <c r="C88" s="56">
        <v>0</v>
      </c>
      <c r="D88" s="57">
        <f ca="1">((100/(H77))*C88)/100</f>
        <v>0</v>
      </c>
      <c r="E88" s="109"/>
      <c r="F88" s="110"/>
      <c r="G88" s="109"/>
      <c r="H88" s="114"/>
      <c r="I88" s="13" t="s">
        <v>140</v>
      </c>
      <c r="J88" s="27">
        <f ca="1">(IF(B77=1,(H77/(B77+3)+J83),IF(B77=0,(H77/4+J83),IF(B77&gt;1,0))))</f>
        <v>5.25</v>
      </c>
    </row>
    <row r="89" spans="1:19" ht="16.2" thickBot="1" x14ac:dyDescent="0.35">
      <c r="A89" s="127" t="s">
        <v>127</v>
      </c>
      <c r="B89" s="128"/>
      <c r="C89" s="59">
        <v>0</v>
      </c>
      <c r="D89" s="60">
        <f ca="1">((100/(H77))*C89)/100</f>
        <v>0</v>
      </c>
      <c r="E89" s="111"/>
      <c r="F89" s="112"/>
      <c r="G89" s="111"/>
      <c r="H89" s="115"/>
      <c r="I89" s="14" t="s">
        <v>99</v>
      </c>
      <c r="J89" s="29">
        <f ca="1">(IF(B77&gt;1.5,(H77/(B77+2)+J83+MAX(0,J84-J83)+MAX(0,J85-J84)+MAX(0,J86-J85)+MAX(0,J87-J86)+MAX(0,J88-J87)),IF(B77=1,(H77/(B77+3)+J88),IF(B77=0,H77/4+J88))))</f>
        <v>7</v>
      </c>
    </row>
    <row r="90" spans="1:19" ht="15.75" customHeight="1" x14ac:dyDescent="0.3">
      <c r="A90" s="121" t="s">
        <v>133</v>
      </c>
      <c r="B90" s="122"/>
      <c r="C90" s="123" t="str">
        <f>D66</f>
        <v>Building No.1 (B Wing) = G + 1st to 7th Floor</v>
      </c>
      <c r="D90" s="124"/>
      <c r="E90" s="124"/>
      <c r="F90" s="124"/>
      <c r="G90" s="124"/>
      <c r="H90" s="125"/>
      <c r="I90" s="42" t="str">
        <f ca="1">IF(D103=100%,"All work Completed. Possession granted to the Building.",IF(D102=100%,"All work Completed, Waiting for OC",I91&amp;""&amp;I92&amp;""&amp;J91&amp;""&amp;J90&amp;" "&amp;J92))</f>
        <v>Excavation, Plinth, RCC Slab, Brickwork Completed, Internal Plaster upto 5 Floor, External Plaster upto 5 Floor Completed</v>
      </c>
      <c r="J90" s="43" t="str">
        <f ca="1">(IF(C96=(D91+F91+H91),"",IF(C96&gt;0,", RCC upto "&amp;C96&amp;" Slab","")))&amp;(IF(C97=H91,"",IF(C97&gt;0,", Brickwork upto "&amp;C97&amp;" Floor","")))&amp;(IF(C98=H91,"",IF(C98&gt;0,", Internal Plaster upto "&amp;C98&amp;" Floor","")))&amp;(IF(C99=H91,"",IF(C99&gt;0,", External Plaster upto "&amp;C99&amp;" Floor","")))&amp;(IF(C100=H91,"",IF(C100&gt;0,", Flooring upto "&amp;C100&amp;" Floor","")))&amp;(IF(C101=H91,"",IF(C101&gt;0,", Painting upto "&amp;C101&amp;" Floor","")))&amp;(IF(C102=H91,"",IF(C102&gt;0,", Finishing upto "&amp;C102&amp;" Floor","")))&amp;(IF(C103=H91,"",IF(C103&gt;0,", Possession upto "&amp;C103&amp;" Floor","")))</f>
        <v>, Internal Plaster upto 5 Floor, External Plaster upto 5 Floor</v>
      </c>
    </row>
    <row r="91" spans="1:19" x14ac:dyDescent="0.3">
      <c r="A91" s="15" t="s">
        <v>135</v>
      </c>
      <c r="B91" s="46">
        <f>IF(AND(ISNUMBER(SEARCH("1B",C90))),1,IF(AND(ISNUMBER(SEARCH("2B",C90))),2,IF(AND(ISNUMBER(SEARCH("3B",C90))),3,IF(AND(ISNUMBER(SEARCH("4B",C90))),4,IF(ISNUMBER(SEARCH("5B",C90)),5,0)))))</f>
        <v>0</v>
      </c>
      <c r="C91" s="46" t="s">
        <v>67</v>
      </c>
      <c r="D91" s="46">
        <v>1</v>
      </c>
      <c r="E91" s="46" t="s">
        <v>66</v>
      </c>
      <c r="F91" s="46">
        <v>0</v>
      </c>
      <c r="G91" s="46" t="s">
        <v>75</v>
      </c>
      <c r="H91" s="16">
        <f ca="1">--TRIM(RIGHT(SUBSTITUTE(LEFT(C90,_xlfn.AGGREGATE(16,6,FIND({0,1,2,3,4,5,6,7,8,9},C90,ROW(INDIRECT("1:"&amp;LEN(C90)))),1))," ",REPT(" ",LEN(C90))),LEN(C90)))</f>
        <v>7</v>
      </c>
      <c r="I91" s="44" t="str">
        <f ca="1">IF(D94=100%,"Excavation","")&amp;IF(D95=100%,", Plinth","")&amp;IF(D96=100%,", RCC Slab","")&amp;IF(D97=100%,", Brickwork","")&amp;IF(D98=100%,", Internal Plaster","")&amp;IF(D99=100%,", External Plaster","")&amp;IF(D100=100%,", Flooring","")&amp;IF(D101=100%,", Painting","")&amp;IF(D102=100%,", Building common Amenities","")</f>
        <v>Excavation, Plinth, RCC Slab, Brickwork</v>
      </c>
      <c r="J91" s="45" t="str">
        <f ca="1">(IF(C94=0,"Work not yet Started.",IF(D94=25%,"Piling work in process",IF(D94=50%,"Excavation work in process",IF(D94=100%,"","0")))))&amp;(IF(C95=0%,"",IF(C95=J96,", Footing work is process",IF(C95=J97,", Footing work Completed",IF(C95=J98,", 1st Basement Completed",IF(C95=J99,", 1st &amp; 2nd Basement Completed",IF(C95=J100,", 1st to 3rd Basement Completed",IF(C95=J101,", 1st to 4th Basement Completed",IF(C95=J102,", Plinth work is process",IF(C95=J103,"","0"))))))))))</f>
        <v/>
      </c>
    </row>
    <row r="92" spans="1:19" ht="31.5" customHeight="1" x14ac:dyDescent="0.3">
      <c r="A92" s="119" t="s">
        <v>85</v>
      </c>
      <c r="B92" s="120"/>
      <c r="C92" s="133" t="str">
        <f ca="1">(IF($G$60="NA",I90,"All work Completed. OC Received."))</f>
        <v>Excavation, Plinth, RCC Slab, Brickwork Completed, Internal Plaster upto 5 Floor, External Plaster upto 5 Floor Completed</v>
      </c>
      <c r="D92" s="133"/>
      <c r="E92" s="133"/>
      <c r="F92" s="133"/>
      <c r="G92" s="133"/>
      <c r="H92" s="134"/>
      <c r="I92" s="44" t="str">
        <f ca="1">IF(I91&lt;&gt;""," Completed","")</f>
        <v xml:space="preserve"> Completed</v>
      </c>
      <c r="J92" s="45" t="str">
        <f ca="1">IF(J90&lt;&gt;"","Completed","")</f>
        <v>Completed</v>
      </c>
    </row>
    <row r="93" spans="1:19" ht="15.75" customHeight="1" x14ac:dyDescent="0.3">
      <c r="A93" s="104" t="s">
        <v>47</v>
      </c>
      <c r="B93" s="105"/>
      <c r="C93" s="56" t="s">
        <v>132</v>
      </c>
      <c r="D93" s="56" t="s">
        <v>78</v>
      </c>
      <c r="E93" s="105" t="s">
        <v>80</v>
      </c>
      <c r="F93" s="105"/>
      <c r="G93" s="105" t="s">
        <v>79</v>
      </c>
      <c r="H93" s="106"/>
      <c r="I93" s="13" t="s">
        <v>134</v>
      </c>
      <c r="J93" s="25">
        <f ca="1">H91*25%</f>
        <v>1.75</v>
      </c>
    </row>
    <row r="94" spans="1:19" x14ac:dyDescent="0.3">
      <c r="A94" s="104" t="s">
        <v>121</v>
      </c>
      <c r="B94" s="105"/>
      <c r="C94" s="56">
        <f ca="1">J95</f>
        <v>7</v>
      </c>
      <c r="D94" s="57">
        <f ca="1">((100/H91)*C94)/100</f>
        <v>1</v>
      </c>
      <c r="E94" s="107">
        <f ca="1">(((C95/H91*10)+(40/(D91+F91+H91)*C96)+(7.5/(H91)*C97)+(7.5/(H91)*C98)+(10/H91*C99)+(10/H91*C100)+(5/H91*C101)+(5/H91*C102)+(5/H91*C103))/100)</f>
        <v>0.7</v>
      </c>
      <c r="F94" s="108"/>
      <c r="G94" s="107">
        <f ca="1">((((C94/H91)*20)+((C95/H91)*25)+(30/(H91+F91+D91)*C96)+(5/H91*C97)+(5/H91*C98)+(5/H91*C99)+(5/H91*C100)+(0/H91*C101)+(0/H91*C102)+(5/H91*C103))/100)</f>
        <v>0.87142857142857144</v>
      </c>
      <c r="H94" s="113"/>
      <c r="I94" s="13" t="s">
        <v>95</v>
      </c>
      <c r="J94" s="26">
        <f ca="1">H91*50%</f>
        <v>3.5</v>
      </c>
    </row>
    <row r="95" spans="1:19" x14ac:dyDescent="0.3">
      <c r="A95" s="104" t="s">
        <v>48</v>
      </c>
      <c r="B95" s="105"/>
      <c r="C95" s="58">
        <f ca="1">J103</f>
        <v>7</v>
      </c>
      <c r="D95" s="57">
        <f ca="1">((100/H91)*C95)/100</f>
        <v>1</v>
      </c>
      <c r="E95" s="109"/>
      <c r="F95" s="110"/>
      <c r="G95" s="109"/>
      <c r="H95" s="114"/>
      <c r="I95" s="13" t="s">
        <v>96</v>
      </c>
      <c r="J95" s="26">
        <f ca="1">H91</f>
        <v>7</v>
      </c>
    </row>
    <row r="96" spans="1:19" ht="15.75" customHeight="1" x14ac:dyDescent="0.3">
      <c r="A96" s="104" t="s">
        <v>122</v>
      </c>
      <c r="B96" s="105"/>
      <c r="C96" s="56">
        <v>8</v>
      </c>
      <c r="D96" s="57">
        <f ca="1">((100/(D91+F91+H91))*C96)/100</f>
        <v>1</v>
      </c>
      <c r="E96" s="109"/>
      <c r="F96" s="110"/>
      <c r="G96" s="109"/>
      <c r="H96" s="114"/>
      <c r="I96" s="13" t="s">
        <v>97</v>
      </c>
      <c r="J96" s="27">
        <f ca="1">(IF(B91&gt;1,(H91/(B91+2)),H91/4))</f>
        <v>1.75</v>
      </c>
    </row>
    <row r="97" spans="1:19" ht="15.75" customHeight="1" x14ac:dyDescent="0.3">
      <c r="A97" s="104" t="s">
        <v>129</v>
      </c>
      <c r="B97" s="105" t="s">
        <v>123</v>
      </c>
      <c r="C97" s="56">
        <v>7</v>
      </c>
      <c r="D97" s="57">
        <f ca="1">((100/H91)*C97)/100</f>
        <v>1</v>
      </c>
      <c r="E97" s="109"/>
      <c r="F97" s="110"/>
      <c r="G97" s="109"/>
      <c r="H97" s="114"/>
      <c r="I97" s="13" t="s">
        <v>98</v>
      </c>
      <c r="J97" s="27">
        <f ca="1">(IF(B91&gt;1,(H91/(B91+2)+J96),H91/4+J96))</f>
        <v>3.5</v>
      </c>
    </row>
    <row r="98" spans="1:19" ht="15.75" customHeight="1" x14ac:dyDescent="0.3">
      <c r="A98" s="104" t="s">
        <v>130</v>
      </c>
      <c r="B98" s="105" t="s">
        <v>123</v>
      </c>
      <c r="C98" s="56">
        <v>5</v>
      </c>
      <c r="D98" s="57">
        <f ca="1">((100/H91)*C98)/100</f>
        <v>0.7142857142857143</v>
      </c>
      <c r="E98" s="109"/>
      <c r="F98" s="110"/>
      <c r="G98" s="109"/>
      <c r="H98" s="114"/>
      <c r="I98" s="13" t="s">
        <v>139</v>
      </c>
      <c r="J98" s="27">
        <f>(IF(B91&gt;1,(H91/(B91+2)+J97),0))</f>
        <v>0</v>
      </c>
    </row>
    <row r="99" spans="1:19" ht="15" customHeight="1" x14ac:dyDescent="0.3">
      <c r="A99" s="104" t="s">
        <v>128</v>
      </c>
      <c r="B99" s="105" t="s">
        <v>125</v>
      </c>
      <c r="C99" s="56">
        <v>5</v>
      </c>
      <c r="D99" s="57">
        <f ca="1">((100/(H91))*C99)/100</f>
        <v>0.7142857142857143</v>
      </c>
      <c r="E99" s="109"/>
      <c r="F99" s="110"/>
      <c r="G99" s="109"/>
      <c r="H99" s="114"/>
      <c r="I99" s="13" t="s">
        <v>136</v>
      </c>
      <c r="J99" s="27">
        <f>(IF(B91&gt;2,(H91/(B91+2)+J98),0))</f>
        <v>0</v>
      </c>
    </row>
    <row r="100" spans="1:19" ht="15.75" customHeight="1" x14ac:dyDescent="0.3">
      <c r="A100" s="104" t="s">
        <v>124</v>
      </c>
      <c r="B100" s="105" t="s">
        <v>124</v>
      </c>
      <c r="C100" s="56">
        <v>0</v>
      </c>
      <c r="D100" s="57">
        <f ca="1">((100/H91)*C100)/100</f>
        <v>0</v>
      </c>
      <c r="E100" s="109"/>
      <c r="F100" s="110"/>
      <c r="G100" s="109"/>
      <c r="H100" s="114"/>
      <c r="I100" s="13" t="s">
        <v>137</v>
      </c>
      <c r="J100" s="28">
        <f>(IF(B91&gt;3,(H91/(B91+2)+J99),0))</f>
        <v>0</v>
      </c>
    </row>
    <row r="101" spans="1:19" ht="15.75" customHeight="1" x14ac:dyDescent="0.3">
      <c r="A101" s="104" t="s">
        <v>131</v>
      </c>
      <c r="B101" s="105"/>
      <c r="C101" s="56">
        <v>0</v>
      </c>
      <c r="D101" s="57">
        <f ca="1">((100/H91)*C101)/100</f>
        <v>0</v>
      </c>
      <c r="E101" s="109"/>
      <c r="F101" s="110"/>
      <c r="G101" s="109"/>
      <c r="H101" s="114"/>
      <c r="I101" s="13" t="s">
        <v>138</v>
      </c>
      <c r="J101" s="27">
        <f>(IF(B91&gt;4,(H91/(B91+2)+J100),0))</f>
        <v>0</v>
      </c>
    </row>
    <row r="102" spans="1:19" ht="15.75" customHeight="1" x14ac:dyDescent="0.3">
      <c r="A102" s="104" t="s">
        <v>126</v>
      </c>
      <c r="B102" s="105" t="s">
        <v>126</v>
      </c>
      <c r="C102" s="56">
        <v>0</v>
      </c>
      <c r="D102" s="57">
        <f ca="1">((100/(H91))*C102)/100</f>
        <v>0</v>
      </c>
      <c r="E102" s="109"/>
      <c r="F102" s="110"/>
      <c r="G102" s="109"/>
      <c r="H102" s="114"/>
      <c r="I102" s="13" t="s">
        <v>140</v>
      </c>
      <c r="J102" s="27">
        <f ca="1">(IF(B91=1,(H91/(B91+3)+J97),IF(B91=0,(H91/4+J97),IF(B91&gt;1,0))))</f>
        <v>5.25</v>
      </c>
    </row>
    <row r="103" spans="1:19" ht="16.2" thickBot="1" x14ac:dyDescent="0.35">
      <c r="A103" s="127" t="s">
        <v>127</v>
      </c>
      <c r="B103" s="128"/>
      <c r="C103" s="59">
        <v>0</v>
      </c>
      <c r="D103" s="60">
        <f ca="1">((100/(H91))*C103)/100</f>
        <v>0</v>
      </c>
      <c r="E103" s="111"/>
      <c r="F103" s="112"/>
      <c r="G103" s="111"/>
      <c r="H103" s="115"/>
      <c r="I103" s="14" t="s">
        <v>99</v>
      </c>
      <c r="J103" s="29">
        <f ca="1">(IF(B91&gt;1.5,(H91/(B91+2)+J97+MAX(0,J98-J97)+MAX(0,J99-J98)+MAX(0,J100-J99)+MAX(0,J101-J100)+MAX(0,J102-J101)),IF(B91=1,(H91/(B91+3)+J102),IF(B91=0,H91/4+J102))))</f>
        <v>7</v>
      </c>
    </row>
    <row r="104" spans="1:19" ht="30" customHeight="1" x14ac:dyDescent="0.3">
      <c r="A104" s="121" t="s">
        <v>133</v>
      </c>
      <c r="B104" s="122"/>
      <c r="C104" s="123" t="s">
        <v>349</v>
      </c>
      <c r="D104" s="124"/>
      <c r="E104" s="124"/>
      <c r="F104" s="124"/>
      <c r="G104" s="124"/>
      <c r="H104" s="125"/>
      <c r="I104" s="42" t="str">
        <f ca="1">IF(D117=100%,"All work Completed. Possession granted to the Building.",IF(D116=100%,"All work Completed, Waiting for OC",I105&amp;""&amp;I106&amp;""&amp;J105&amp;""&amp;J104&amp;" "&amp;J106))</f>
        <v xml:space="preserve">Excavation, Plinth Completed </v>
      </c>
      <c r="J104" s="43" t="str">
        <f ca="1">(IF(C110=(D105+F105+H105),"",IF(C110&gt;0,", RCC upto "&amp;C110&amp;" Slab","")))&amp;(IF(C111=H105,"",IF(C111&gt;0,", Brickwork upto "&amp;C111&amp;" Floor","")))&amp;(IF(C112=H105,"",IF(C112&gt;0,", Internal Plaster upto "&amp;C112&amp;" Floor","")))&amp;(IF(C113=H105,"",IF(C113&gt;0,", External Plaster upto "&amp;C113&amp;" Floor","")))&amp;(IF(C114=H105,"",IF(C114&gt;0,", Flooring upto "&amp;C114&amp;" Floor","")))&amp;(IF(C115=H105,"",IF(C115&gt;0,", Painting upto "&amp;C115&amp;" Floor","")))&amp;(IF(C116=H105,"",IF(C116&gt;0,", Finishing upto "&amp;C116&amp;" Floor","")))&amp;(IF(C117=H105,"",IF(C117&gt;0,", Possession upto "&amp;C117&amp;" Floor","")))</f>
        <v/>
      </c>
      <c r="S104"/>
    </row>
    <row r="105" spans="1:19" x14ac:dyDescent="0.3">
      <c r="A105" s="15" t="s">
        <v>135</v>
      </c>
      <c r="B105" s="46">
        <f>IF(AND(ISNUMBER(SEARCH("1B",C104))),1,IF(AND(ISNUMBER(SEARCH("2B",C104))),2,IF(AND(ISNUMBER(SEARCH("3B",C104))),3,IF(AND(ISNUMBER(SEARCH("4B",C104))),4,IF(ISNUMBER(SEARCH("5B",C104)),5,0)))))</f>
        <v>0</v>
      </c>
      <c r="C105" s="46" t="s">
        <v>67</v>
      </c>
      <c r="D105" s="46">
        <v>1</v>
      </c>
      <c r="E105" s="46" t="s">
        <v>66</v>
      </c>
      <c r="F105" s="46">
        <v>0</v>
      </c>
      <c r="G105" s="46" t="s">
        <v>75</v>
      </c>
      <c r="H105" s="16">
        <f ca="1">--TRIM(RIGHT(SUBSTITUTE(LEFT(C104,_xlfn.AGGREGATE(16,6,FIND({0,1,2,3,4,5,6,7,8,9},C104,ROW(INDIRECT("1:"&amp;LEN(C104)))),1))," ",REPT(" ",LEN(C104))),LEN(C104)))</f>
        <v>7</v>
      </c>
      <c r="I105" s="44" t="str">
        <f ca="1">IF(D108=100%,"Excavation","")&amp;IF(D109=100%,", Plinth","")&amp;IF(D110=100%,", RCC Slab","")&amp;IF(D111=100%,", Brickwork","")&amp;IF(D112=100%,", Internal Plaster","")&amp;IF(D113=100%,", External Plaster","")&amp;IF(D114=100%,", Flooring","")&amp;IF(D115=100%,", Painting","")&amp;IF(D116=100%,", Building common Amenities","")</f>
        <v>Excavation, Plinth</v>
      </c>
      <c r="J105" s="45" t="str">
        <f ca="1">(IF(C108=0,"Work not yet Started.",IF(D108=25%,"Piling work in process",IF(D108=50%,"Excavation work in process",IF(D108=100%,"","0")))))&amp;(IF(C109=0%,"",IF(C109=J110,", Footing work is process",IF(C109=J111,", Footing work Completed",IF(C109=J112,", 1st Basement Completed",IF(C109=J113,", 1st &amp; 2nd Basement Completed",IF(C109=J114,", 1st to 3rd Basement Completed",IF(C109=J115,", 1st to 4th Basement Completed",IF(C109=J116,", Plinth work is process",IF(C109=J117,"","0"))))))))))</f>
        <v/>
      </c>
      <c r="S105"/>
    </row>
    <row r="106" spans="1:19" ht="18" customHeight="1" x14ac:dyDescent="0.3">
      <c r="A106" s="119" t="s">
        <v>85</v>
      </c>
      <c r="B106" s="120"/>
      <c r="C106" s="133" t="str">
        <f ca="1">I104</f>
        <v xml:space="preserve">Excavation, Plinth Completed </v>
      </c>
      <c r="D106" s="133"/>
      <c r="E106" s="133"/>
      <c r="F106" s="133"/>
      <c r="G106" s="133"/>
      <c r="H106" s="134"/>
      <c r="I106" s="44" t="str">
        <f ca="1">IF(I105&lt;&gt;""," Completed","")</f>
        <v xml:space="preserve"> Completed</v>
      </c>
      <c r="J106" s="45" t="str">
        <f ca="1">IF(J104&lt;&gt;"","Completed","")</f>
        <v/>
      </c>
      <c r="S106"/>
    </row>
    <row r="107" spans="1:19" ht="15.75" customHeight="1" x14ac:dyDescent="0.3">
      <c r="A107" s="104" t="s">
        <v>47</v>
      </c>
      <c r="B107" s="105"/>
      <c r="C107" s="56" t="s">
        <v>132</v>
      </c>
      <c r="D107" s="56" t="s">
        <v>78</v>
      </c>
      <c r="E107" s="105" t="s">
        <v>80</v>
      </c>
      <c r="F107" s="105"/>
      <c r="G107" s="105" t="s">
        <v>79</v>
      </c>
      <c r="H107" s="106"/>
      <c r="I107" s="13" t="s">
        <v>134</v>
      </c>
      <c r="J107" s="25">
        <f ca="1">H105*25%</f>
        <v>1.75</v>
      </c>
      <c r="S107"/>
    </row>
    <row r="108" spans="1:19" x14ac:dyDescent="0.3">
      <c r="A108" s="104" t="s">
        <v>121</v>
      </c>
      <c r="B108" s="105"/>
      <c r="C108" s="56">
        <f ca="1">J109</f>
        <v>7</v>
      </c>
      <c r="D108" s="57">
        <f ca="1">((100/H105)*C108)/100</f>
        <v>1</v>
      </c>
      <c r="E108" s="107">
        <f ca="1">(((C109/H105*10)+(40/(D105+F105+H105)*C110)+(7.5/(H105)*C111)+(7.5/(H105)*C112)+(10/H105*C113)+(10/H105*C114)+(5/H105*C115)+(5/H105*C116)+(5/H105*C117))/100)</f>
        <v>0.1</v>
      </c>
      <c r="F108" s="108"/>
      <c r="G108" s="107">
        <f ca="1">((((C108/H105)*20)+((C109/H105)*25)+(30/(H105+F105+D105)*C110)+(5/H105*C111)+(5/H105*C112)+(5/H105*C113)+(5/H105*C114)+(0/H105*C115)+(0/H105*C116)+(5/H105*C117))/100)</f>
        <v>0.45</v>
      </c>
      <c r="H108" s="113"/>
      <c r="I108" s="13" t="s">
        <v>95</v>
      </c>
      <c r="J108" s="26">
        <f ca="1">H105*50%</f>
        <v>3.5</v>
      </c>
    </row>
    <row r="109" spans="1:19" x14ac:dyDescent="0.3">
      <c r="A109" s="104" t="s">
        <v>48</v>
      </c>
      <c r="B109" s="105"/>
      <c r="C109" s="58">
        <f ca="1">J117</f>
        <v>7</v>
      </c>
      <c r="D109" s="57">
        <f ca="1">((100/H105)*C109)/100</f>
        <v>1</v>
      </c>
      <c r="E109" s="109"/>
      <c r="F109" s="110"/>
      <c r="G109" s="109"/>
      <c r="H109" s="114"/>
      <c r="I109" s="13" t="s">
        <v>96</v>
      </c>
      <c r="J109" s="26">
        <f ca="1">H105</f>
        <v>7</v>
      </c>
      <c r="S109"/>
    </row>
    <row r="110" spans="1:19" ht="15.75" customHeight="1" x14ac:dyDescent="0.3">
      <c r="A110" s="104" t="s">
        <v>122</v>
      </c>
      <c r="B110" s="105"/>
      <c r="C110" s="56">
        <v>0</v>
      </c>
      <c r="D110" s="57">
        <f ca="1">((100/(D105+F105+H105))*C110)/100</f>
        <v>0</v>
      </c>
      <c r="E110" s="109"/>
      <c r="F110" s="110"/>
      <c r="G110" s="109"/>
      <c r="H110" s="114"/>
      <c r="I110" s="13" t="s">
        <v>97</v>
      </c>
      <c r="J110" s="27">
        <f ca="1">(IF(B105&gt;1,(H105/(B105+2)),H105/4))</f>
        <v>1.75</v>
      </c>
      <c r="S110"/>
    </row>
    <row r="111" spans="1:19" ht="15.75" customHeight="1" x14ac:dyDescent="0.3">
      <c r="A111" s="104" t="s">
        <v>129</v>
      </c>
      <c r="B111" s="105" t="s">
        <v>123</v>
      </c>
      <c r="C111" s="56">
        <v>0</v>
      </c>
      <c r="D111" s="57">
        <f ca="1">((100/H105)*C111)/100</f>
        <v>0</v>
      </c>
      <c r="E111" s="109"/>
      <c r="F111" s="110"/>
      <c r="G111" s="109"/>
      <c r="H111" s="114"/>
      <c r="I111" s="13" t="s">
        <v>98</v>
      </c>
      <c r="J111" s="27">
        <f ca="1">(IF(B105&gt;1,(H105/(B105+2)+J110),H105/4+J110))</f>
        <v>3.5</v>
      </c>
    </row>
    <row r="112" spans="1:19" ht="15.75" customHeight="1" x14ac:dyDescent="0.3">
      <c r="A112" s="104" t="s">
        <v>130</v>
      </c>
      <c r="B112" s="105" t="s">
        <v>123</v>
      </c>
      <c r="C112" s="56">
        <v>0</v>
      </c>
      <c r="D112" s="57">
        <f ca="1">((100/H105)*C112)/100</f>
        <v>0</v>
      </c>
      <c r="E112" s="109"/>
      <c r="F112" s="110"/>
      <c r="G112" s="109"/>
      <c r="H112" s="114"/>
      <c r="I112" s="13" t="s">
        <v>139</v>
      </c>
      <c r="J112" s="27">
        <f>(IF(B105&gt;1,(H105/(B105+2)+J111),0))</f>
        <v>0</v>
      </c>
    </row>
    <row r="113" spans="1:10" ht="15" customHeight="1" x14ac:dyDescent="0.3">
      <c r="A113" s="104" t="s">
        <v>128</v>
      </c>
      <c r="B113" s="105" t="s">
        <v>125</v>
      </c>
      <c r="C113" s="56">
        <v>0</v>
      </c>
      <c r="D113" s="57">
        <f ca="1">((100/(H105))*C113)/100</f>
        <v>0</v>
      </c>
      <c r="E113" s="109"/>
      <c r="F113" s="110"/>
      <c r="G113" s="109"/>
      <c r="H113" s="114"/>
      <c r="I113" s="13" t="s">
        <v>136</v>
      </c>
      <c r="J113" s="27">
        <f>(IF(B105&gt;2,(H105/(B105+2)+J112),0))</f>
        <v>0</v>
      </c>
    </row>
    <row r="114" spans="1:10" ht="15.75" customHeight="1" x14ac:dyDescent="0.3">
      <c r="A114" s="104" t="s">
        <v>124</v>
      </c>
      <c r="B114" s="105" t="s">
        <v>124</v>
      </c>
      <c r="C114" s="56">
        <v>0</v>
      </c>
      <c r="D114" s="57">
        <f ca="1">((100/H105)*C114)/100</f>
        <v>0</v>
      </c>
      <c r="E114" s="109"/>
      <c r="F114" s="110"/>
      <c r="G114" s="109"/>
      <c r="H114" s="114"/>
      <c r="I114" s="13" t="s">
        <v>137</v>
      </c>
      <c r="J114" s="28">
        <f>(IF(B105&gt;3,(H105/(B105+2)+J113),0))</f>
        <v>0</v>
      </c>
    </row>
    <row r="115" spans="1:10" ht="15.75" customHeight="1" x14ac:dyDescent="0.3">
      <c r="A115" s="104" t="s">
        <v>131</v>
      </c>
      <c r="B115" s="105"/>
      <c r="C115" s="56">
        <v>0</v>
      </c>
      <c r="D115" s="57">
        <f ca="1">((100/H105)*C115)/100</f>
        <v>0</v>
      </c>
      <c r="E115" s="109"/>
      <c r="F115" s="110"/>
      <c r="G115" s="109"/>
      <c r="H115" s="114"/>
      <c r="I115" s="13" t="s">
        <v>138</v>
      </c>
      <c r="J115" s="27">
        <f>(IF(B105&gt;4,(H105/(B105+2)+J114),0))</f>
        <v>0</v>
      </c>
    </row>
    <row r="116" spans="1:10" ht="15.75" customHeight="1" x14ac:dyDescent="0.3">
      <c r="A116" s="104" t="s">
        <v>126</v>
      </c>
      <c r="B116" s="105" t="s">
        <v>126</v>
      </c>
      <c r="C116" s="56">
        <v>0</v>
      </c>
      <c r="D116" s="57">
        <f ca="1">((100/(H105))*C116)/100</f>
        <v>0</v>
      </c>
      <c r="E116" s="109"/>
      <c r="F116" s="110"/>
      <c r="G116" s="109"/>
      <c r="H116" s="114"/>
      <c r="I116" s="13" t="s">
        <v>140</v>
      </c>
      <c r="J116" s="27">
        <f ca="1">(IF(B105=1,(H105/(B105+3)+J111),IF(B105=0,(H105/4+J111),IF(B105&gt;1,0))))</f>
        <v>5.25</v>
      </c>
    </row>
    <row r="117" spans="1:10" ht="16.2" thickBot="1" x14ac:dyDescent="0.35">
      <c r="A117" s="127" t="s">
        <v>127</v>
      </c>
      <c r="B117" s="128"/>
      <c r="C117" s="59">
        <v>0</v>
      </c>
      <c r="D117" s="60">
        <f ca="1">((100/(H105))*C117)/100</f>
        <v>0</v>
      </c>
      <c r="E117" s="111"/>
      <c r="F117" s="112"/>
      <c r="G117" s="111"/>
      <c r="H117" s="115"/>
      <c r="I117" s="14" t="s">
        <v>99</v>
      </c>
      <c r="J117" s="29">
        <f ca="1">(IF(B105&gt;1.5,(H105/(B105+2)+J111+MAX(0,J112-J111)+MAX(0,J113-J112)+MAX(0,J114-J113)+MAX(0,J115-J114)+MAX(0,J116-J115)),IF(B105=1,(H105/(B105+3)+J116),IF(B105=0,H105/4+J116))))</f>
        <v>7</v>
      </c>
    </row>
    <row r="118" spans="1:10" ht="15.75" hidden="1" customHeight="1" x14ac:dyDescent="0.3">
      <c r="A118" s="121" t="s">
        <v>133</v>
      </c>
      <c r="B118" s="122"/>
      <c r="C118" s="123" t="str">
        <f>D68</f>
        <v>Building No.2 (D Wing) = G + 1st to 7th Floor</v>
      </c>
      <c r="D118" s="124"/>
      <c r="E118" s="124"/>
      <c r="F118" s="124"/>
      <c r="G118" s="124"/>
      <c r="H118" s="125"/>
      <c r="I118" s="42" t="str">
        <f ca="1">IF(D131=100%,"All work Completed. Possession granted to the Building.",IF(D130=100%,"All work Completed, Waiting for OC",I119&amp;""&amp;I120&amp;""&amp;J119&amp;""&amp;J118&amp;" "&amp;J120))</f>
        <v xml:space="preserve">Excavation Completed, Footing work Completed </v>
      </c>
      <c r="J118" s="43" t="str">
        <f ca="1">(IF(C124=(D119+F119+H119),"",IF(C124&gt;0,", RCC upto "&amp;C124&amp;" Slab","")))&amp;(IF(C125=H119,"",IF(C125&gt;0,", Brickwork upto "&amp;C125&amp;" Floor","")))&amp;(IF(C126=H119,"",IF(C126&gt;0,", Internal Plaster upto "&amp;C126&amp;" Floor","")))&amp;(IF(C127=H119,"",IF(C127&gt;0,", External Plaster upto "&amp;C127&amp;" Floor","")))&amp;(IF(C128=H119,"",IF(C128&gt;0,", Flooring upto "&amp;C128&amp;" Floor","")))&amp;(IF(C129=H119,"",IF(C129&gt;0,", Painting upto "&amp;C129&amp;" Floor","")))&amp;(IF(C130=H119,"",IF(C130&gt;0,", Finishing upto "&amp;C130&amp;" Floor","")))&amp;(IF(C131=H119,"",IF(C131&gt;0,", Possession upto "&amp;C131&amp;" Floor","")))</f>
        <v/>
      </c>
    </row>
    <row r="119" spans="1:10" hidden="1" x14ac:dyDescent="0.3">
      <c r="A119" s="15" t="s">
        <v>135</v>
      </c>
      <c r="B119" s="46">
        <f>IF(AND(ISNUMBER(SEARCH("1B",C118))),1,IF(AND(ISNUMBER(SEARCH("2B",C118))),2,IF(AND(ISNUMBER(SEARCH("3B",C118))),3,IF(AND(ISNUMBER(SEARCH("4B",C118))),4,IF(ISNUMBER(SEARCH("5B",C118)),5,0)))))</f>
        <v>0</v>
      </c>
      <c r="C119" s="46" t="s">
        <v>67</v>
      </c>
      <c r="D119" s="46">
        <v>1</v>
      </c>
      <c r="E119" s="46" t="s">
        <v>66</v>
      </c>
      <c r="F119" s="46">
        <v>0</v>
      </c>
      <c r="G119" s="46" t="s">
        <v>75</v>
      </c>
      <c r="H119" s="16">
        <f ca="1">--TRIM(RIGHT(SUBSTITUTE(LEFT(C118,_xlfn.AGGREGATE(16,6,FIND({0,1,2,3,4,5,6,7,8,9},C118,ROW(INDIRECT("1:"&amp;LEN(C118)))),1))," ",REPT(" ",LEN(C118))),LEN(C118)))</f>
        <v>7</v>
      </c>
      <c r="I119" s="44" t="str">
        <f ca="1">IF(D122=100%,"Excavation","")&amp;IF(D123=100%,", Plinth","")&amp;IF(D124=100%,", RCC Slab","")&amp;IF(D125=100%,", Brickwork","")&amp;IF(D126=100%,", Internal Plaster","")&amp;IF(D127=100%,", External Plaster","")&amp;IF(D128=100%,", Flooring","")&amp;IF(D129=100%,", Painting","")&amp;IF(D130=100%,", Building common Amenities","")</f>
        <v>Excavation</v>
      </c>
      <c r="J119" s="45" t="str">
        <f ca="1">(IF(C122=0,"Work not yet Started.",IF(D122=25%,"Piling work in process",IF(D122=50%,"Excavation work in process",IF(D122=100%,"","0")))))&amp;(IF(C123=0%,"",IF(C123=J124,", Footing work is process",IF(C123=J125,", Footing work Completed",IF(C123=J126,", 1st Basement Completed",IF(C123=J127,", 1st &amp; 2nd Basement Completed",IF(C123=J128,", 1st to 3rd Basement Completed",IF(C123=J129,", 1st to 4th Basement Completed",IF(C123=J130,", Plinth work is process",IF(C123=J131,"","0"))))))))))</f>
        <v>, Footing work Completed</v>
      </c>
    </row>
    <row r="120" spans="1:10" ht="18" hidden="1" customHeight="1" x14ac:dyDescent="0.3">
      <c r="A120" s="119" t="s">
        <v>85</v>
      </c>
      <c r="B120" s="120"/>
      <c r="C120" s="133" t="str">
        <f ca="1">(IF($G$60="NA",I118,"All work Completed. OC Received."))</f>
        <v xml:space="preserve">Excavation Completed, Footing work Completed </v>
      </c>
      <c r="D120" s="133"/>
      <c r="E120" s="133"/>
      <c r="F120" s="133"/>
      <c r="G120" s="133"/>
      <c r="H120" s="134"/>
      <c r="I120" s="44" t="str">
        <f ca="1">IF(I119&lt;&gt;""," Completed","")</f>
        <v xml:space="preserve"> Completed</v>
      </c>
      <c r="J120" s="45" t="str">
        <f ca="1">IF(J118&lt;&gt;"","Completed","")</f>
        <v/>
      </c>
    </row>
    <row r="121" spans="1:10" ht="15.75" hidden="1" customHeight="1" x14ac:dyDescent="0.3">
      <c r="A121" s="104" t="s">
        <v>47</v>
      </c>
      <c r="B121" s="105"/>
      <c r="C121" s="56" t="s">
        <v>132</v>
      </c>
      <c r="D121" s="56" t="s">
        <v>78</v>
      </c>
      <c r="E121" s="105" t="s">
        <v>80</v>
      </c>
      <c r="F121" s="105"/>
      <c r="G121" s="105" t="s">
        <v>79</v>
      </c>
      <c r="H121" s="106"/>
      <c r="I121" s="13" t="s">
        <v>134</v>
      </c>
      <c r="J121" s="25">
        <f ca="1">H119*25%</f>
        <v>1.75</v>
      </c>
    </row>
    <row r="122" spans="1:10" hidden="1" x14ac:dyDescent="0.3">
      <c r="A122" s="104" t="s">
        <v>121</v>
      </c>
      <c r="B122" s="105"/>
      <c r="C122" s="56">
        <f ca="1">J123</f>
        <v>7</v>
      </c>
      <c r="D122" s="57">
        <f ca="1">((100/H119)*C122)/100</f>
        <v>1</v>
      </c>
      <c r="E122" s="107">
        <f ca="1">(((C123/H119*10)+(40/(D119+F119+H119)*C124)+(7.5/(H119)*C125)+(7.5/(H119)*C126)+(10/H119*C127)+(10/H119*C128)+(5/H119*C129)+(5/H119*C130)+(5/H119*C131))/100)</f>
        <v>0.05</v>
      </c>
      <c r="F122" s="108"/>
      <c r="G122" s="107">
        <f ca="1">((((C122/H119)*20)+((C123/H119)*25)+(30/(H119+F119+D119)*C124)+(5/H119*C125)+(5/H119*C126)+(5/H119*C127)+(5/H119*C128)+(0/H119*C129)+(0/H119*C130)+(5/H119*C131))/100)</f>
        <v>0.32500000000000001</v>
      </c>
      <c r="H122" s="113"/>
      <c r="I122" s="13" t="s">
        <v>95</v>
      </c>
      <c r="J122" s="26">
        <f ca="1">H119*50%</f>
        <v>3.5</v>
      </c>
    </row>
    <row r="123" spans="1:10" hidden="1" x14ac:dyDescent="0.3">
      <c r="A123" s="104" t="s">
        <v>48</v>
      </c>
      <c r="B123" s="105"/>
      <c r="C123" s="58">
        <f ca="1">J125</f>
        <v>3.5</v>
      </c>
      <c r="D123" s="57">
        <f ca="1">((100/H119)*C123)/100</f>
        <v>0.5</v>
      </c>
      <c r="E123" s="109"/>
      <c r="F123" s="110"/>
      <c r="G123" s="109"/>
      <c r="H123" s="114"/>
      <c r="I123" s="13" t="s">
        <v>96</v>
      </c>
      <c r="J123" s="26">
        <f ca="1">H119</f>
        <v>7</v>
      </c>
    </row>
    <row r="124" spans="1:10" ht="15.75" hidden="1" customHeight="1" x14ac:dyDescent="0.3">
      <c r="A124" s="104" t="s">
        <v>122</v>
      </c>
      <c r="B124" s="105"/>
      <c r="C124" s="56">
        <v>0</v>
      </c>
      <c r="D124" s="57">
        <f ca="1">((100/(D119+F119+H119))*C124)/100</f>
        <v>0</v>
      </c>
      <c r="E124" s="109"/>
      <c r="F124" s="110"/>
      <c r="G124" s="109"/>
      <c r="H124" s="114"/>
      <c r="I124" s="13" t="s">
        <v>97</v>
      </c>
      <c r="J124" s="27">
        <f ca="1">(IF(B119&gt;1,(H119/(B119+2)),H119/4))</f>
        <v>1.75</v>
      </c>
    </row>
    <row r="125" spans="1:10" ht="15.75" hidden="1" customHeight="1" x14ac:dyDescent="0.3">
      <c r="A125" s="104" t="s">
        <v>129</v>
      </c>
      <c r="B125" s="105" t="s">
        <v>123</v>
      </c>
      <c r="C125" s="56">
        <v>0</v>
      </c>
      <c r="D125" s="57">
        <f ca="1">((100/H119)*C125)/100</f>
        <v>0</v>
      </c>
      <c r="E125" s="109"/>
      <c r="F125" s="110"/>
      <c r="G125" s="109"/>
      <c r="H125" s="114"/>
      <c r="I125" s="13" t="s">
        <v>98</v>
      </c>
      <c r="J125" s="27">
        <f ca="1">(IF(B119&gt;1,(H119/(B119+2)+J124),H119/4+J124))</f>
        <v>3.5</v>
      </c>
    </row>
    <row r="126" spans="1:10" ht="15.75" hidden="1" customHeight="1" x14ac:dyDescent="0.3">
      <c r="A126" s="104" t="s">
        <v>130</v>
      </c>
      <c r="B126" s="105" t="s">
        <v>123</v>
      </c>
      <c r="C126" s="56">
        <v>0</v>
      </c>
      <c r="D126" s="57">
        <f ca="1">((100/H119)*C126)/100</f>
        <v>0</v>
      </c>
      <c r="E126" s="109"/>
      <c r="F126" s="110"/>
      <c r="G126" s="109"/>
      <c r="H126" s="114"/>
      <c r="I126" s="13" t="s">
        <v>139</v>
      </c>
      <c r="J126" s="27">
        <f>(IF(B119&gt;1,(H119/(B119+2)+J125),0))</f>
        <v>0</v>
      </c>
    </row>
    <row r="127" spans="1:10" ht="15" hidden="1" customHeight="1" x14ac:dyDescent="0.3">
      <c r="A127" s="104" t="s">
        <v>128</v>
      </c>
      <c r="B127" s="105" t="s">
        <v>125</v>
      </c>
      <c r="C127" s="56">
        <v>0</v>
      </c>
      <c r="D127" s="57">
        <f ca="1">((100/(H119))*C127)/100</f>
        <v>0</v>
      </c>
      <c r="E127" s="109"/>
      <c r="F127" s="110"/>
      <c r="G127" s="109"/>
      <c r="H127" s="114"/>
      <c r="I127" s="13" t="s">
        <v>136</v>
      </c>
      <c r="J127" s="27">
        <f>(IF(B119&gt;2,(H119/(B119+2)+J126),0))</f>
        <v>0</v>
      </c>
    </row>
    <row r="128" spans="1:10" ht="15.75" hidden="1" customHeight="1" x14ac:dyDescent="0.3">
      <c r="A128" s="104" t="s">
        <v>124</v>
      </c>
      <c r="B128" s="105" t="s">
        <v>124</v>
      </c>
      <c r="C128" s="56">
        <v>0</v>
      </c>
      <c r="D128" s="57">
        <f ca="1">((100/H119)*C128)/100</f>
        <v>0</v>
      </c>
      <c r="E128" s="109"/>
      <c r="F128" s="110"/>
      <c r="G128" s="109"/>
      <c r="H128" s="114"/>
      <c r="I128" s="13" t="s">
        <v>137</v>
      </c>
      <c r="J128" s="28">
        <f>(IF(B119&gt;3,(H119/(B119+2)+J127),0))</f>
        <v>0</v>
      </c>
    </row>
    <row r="129" spans="1:22" ht="15.75" hidden="1" customHeight="1" x14ac:dyDescent="0.3">
      <c r="A129" s="104" t="s">
        <v>131</v>
      </c>
      <c r="B129" s="105"/>
      <c r="C129" s="56">
        <v>0</v>
      </c>
      <c r="D129" s="57">
        <f ca="1">((100/H119)*C129)/100</f>
        <v>0</v>
      </c>
      <c r="E129" s="109"/>
      <c r="F129" s="110"/>
      <c r="G129" s="109"/>
      <c r="H129" s="114"/>
      <c r="I129" s="13" t="s">
        <v>138</v>
      </c>
      <c r="J129" s="27">
        <f>(IF(B119&gt;4,(H119/(B119+2)+J128),0))</f>
        <v>0</v>
      </c>
    </row>
    <row r="130" spans="1:22" ht="15.75" hidden="1" customHeight="1" x14ac:dyDescent="0.3">
      <c r="A130" s="104" t="s">
        <v>126</v>
      </c>
      <c r="B130" s="105" t="s">
        <v>126</v>
      </c>
      <c r="C130" s="56">
        <v>0</v>
      </c>
      <c r="D130" s="57">
        <f ca="1">((100/(H119))*C130)/100</f>
        <v>0</v>
      </c>
      <c r="E130" s="109"/>
      <c r="F130" s="110"/>
      <c r="G130" s="109"/>
      <c r="H130" s="114"/>
      <c r="I130" s="13" t="s">
        <v>140</v>
      </c>
      <c r="J130" s="27">
        <f ca="1">(IF(B119=1,(H119/(B119+3)+J125),IF(B119=0,(H119/4+J125),IF(B119&gt;1,0))))</f>
        <v>5.25</v>
      </c>
    </row>
    <row r="131" spans="1:22" ht="16.2" hidden="1" thickBot="1" x14ac:dyDescent="0.35">
      <c r="A131" s="127" t="s">
        <v>127</v>
      </c>
      <c r="B131" s="128"/>
      <c r="C131" s="59">
        <v>0</v>
      </c>
      <c r="D131" s="60">
        <f ca="1">((100/(H119))*C131)/100</f>
        <v>0</v>
      </c>
      <c r="E131" s="111"/>
      <c r="F131" s="112"/>
      <c r="G131" s="111"/>
      <c r="H131" s="115"/>
      <c r="I131" s="14" t="s">
        <v>99</v>
      </c>
      <c r="J131" s="29">
        <f ca="1">(IF(B119&gt;1.5,(H119/(B119+2)+J125+MAX(0,J126-J125)+MAX(0,J127-J126)+MAX(0,J128-J127)+MAX(0,J129-J128)+MAX(0,J130-J129)),IF(B119=1,(H119/(B119+3)+J130),IF(B119=0,H119/4+J130))))</f>
        <v>7</v>
      </c>
    </row>
    <row r="132" spans="1:22" x14ac:dyDescent="0.3">
      <c r="A132" s="126" t="s">
        <v>148</v>
      </c>
      <c r="B132" s="126"/>
      <c r="C132" s="126"/>
      <c r="D132" s="126"/>
      <c r="E132" s="126"/>
      <c r="F132" s="171" t="s">
        <v>150</v>
      </c>
      <c r="G132" s="171"/>
      <c r="H132" s="171"/>
      <c r="R132" t="s">
        <v>237</v>
      </c>
      <c r="S132" t="s">
        <v>161</v>
      </c>
      <c r="T132" t="s">
        <v>163</v>
      </c>
      <c r="U132" t="s">
        <v>178</v>
      </c>
      <c r="V132" t="s">
        <v>173</v>
      </c>
    </row>
    <row r="133" spans="1:22" x14ac:dyDescent="0.3">
      <c r="A133" s="87" t="s">
        <v>149</v>
      </c>
      <c r="B133" s="87"/>
      <c r="C133" s="87"/>
      <c r="D133" s="87"/>
      <c r="E133" s="87"/>
      <c r="F133" s="169">
        <v>5300</v>
      </c>
      <c r="G133" s="169"/>
      <c r="H133" s="169"/>
      <c r="I133" s="18" t="s">
        <v>347</v>
      </c>
      <c r="R133"/>
      <c r="S133">
        <v>800000</v>
      </c>
      <c r="T133">
        <v>150000</v>
      </c>
      <c r="U133">
        <v>100000</v>
      </c>
      <c r="V133">
        <v>100000</v>
      </c>
    </row>
    <row r="134" spans="1:22" s="30" customFormat="1" x14ac:dyDescent="0.3">
      <c r="A134" s="87" t="s">
        <v>89</v>
      </c>
      <c r="B134" s="87"/>
      <c r="C134" s="87"/>
      <c r="D134" s="87"/>
      <c r="E134" s="87"/>
      <c r="F134" s="169">
        <v>150000</v>
      </c>
      <c r="G134" s="169"/>
      <c r="H134" s="169"/>
      <c r="I134" s="67">
        <f>F134+F135+F138</f>
        <v>240000</v>
      </c>
      <c r="R134"/>
      <c r="S134">
        <v>1200000</v>
      </c>
      <c r="T134">
        <v>350000</v>
      </c>
      <c r="U134">
        <v>300000</v>
      </c>
      <c r="V134">
        <v>300000</v>
      </c>
    </row>
    <row r="135" spans="1:22" s="30" customFormat="1" x14ac:dyDescent="0.3">
      <c r="A135" s="87" t="s">
        <v>90</v>
      </c>
      <c r="B135" s="87"/>
      <c r="C135" s="87"/>
      <c r="D135" s="87"/>
      <c r="E135" s="87"/>
      <c r="F135" s="169">
        <v>75000</v>
      </c>
      <c r="G135" s="169"/>
      <c r="H135" s="169"/>
      <c r="R135"/>
      <c r="S135">
        <v>1300000</v>
      </c>
      <c r="T135">
        <v>400000</v>
      </c>
      <c r="U135">
        <v>350000</v>
      </c>
      <c r="V135" s="20">
        <v>400000</v>
      </c>
    </row>
    <row r="136" spans="1:22" s="30" customFormat="1" hidden="1" x14ac:dyDescent="0.3">
      <c r="A136" s="87" t="s">
        <v>91</v>
      </c>
      <c r="B136" s="87"/>
      <c r="C136" s="87"/>
      <c r="D136" s="87"/>
      <c r="E136" s="87"/>
      <c r="F136" s="169"/>
      <c r="G136" s="169"/>
      <c r="H136" s="169"/>
      <c r="R136"/>
      <c r="S136">
        <v>1400000</v>
      </c>
      <c r="T136">
        <v>500000</v>
      </c>
      <c r="U136">
        <v>400000</v>
      </c>
      <c r="V136"/>
    </row>
    <row r="137" spans="1:22" s="30" customFormat="1" hidden="1" x14ac:dyDescent="0.3">
      <c r="A137" s="87" t="s">
        <v>92</v>
      </c>
      <c r="B137" s="87"/>
      <c r="C137" s="87"/>
      <c r="D137" s="87"/>
      <c r="E137" s="87"/>
      <c r="F137" s="169"/>
      <c r="G137" s="169"/>
      <c r="H137" s="169"/>
      <c r="R137"/>
      <c r="S137">
        <v>1500000</v>
      </c>
      <c r="T137">
        <v>600000</v>
      </c>
      <c r="U137">
        <v>500000</v>
      </c>
      <c r="V137" s="20"/>
    </row>
    <row r="138" spans="1:22" s="30" customFormat="1" x14ac:dyDescent="0.3">
      <c r="A138" s="87" t="s">
        <v>93</v>
      </c>
      <c r="B138" s="87"/>
      <c r="C138" s="87"/>
      <c r="D138" s="87"/>
      <c r="E138" s="87"/>
      <c r="F138" s="169">
        <v>15000</v>
      </c>
      <c r="G138" s="169"/>
      <c r="H138" s="169"/>
      <c r="R138"/>
      <c r="S138">
        <v>1600000</v>
      </c>
      <c r="T138">
        <v>700000</v>
      </c>
      <c r="U138">
        <v>600000</v>
      </c>
      <c r="V138"/>
    </row>
    <row r="139" spans="1:22" s="30" customFormat="1" hidden="1" x14ac:dyDescent="0.3">
      <c r="A139" s="87" t="s">
        <v>94</v>
      </c>
      <c r="B139" s="87"/>
      <c r="C139" s="87"/>
      <c r="D139" s="87"/>
      <c r="E139" s="87"/>
      <c r="F139" s="169"/>
      <c r="G139" s="169"/>
      <c r="H139" s="169"/>
      <c r="R139"/>
      <c r="S139">
        <v>1700000</v>
      </c>
      <c r="T139">
        <v>800000</v>
      </c>
      <c r="U139"/>
      <c r="V139" s="20"/>
    </row>
    <row r="140" spans="1:22" x14ac:dyDescent="0.3">
      <c r="A140" s="87" t="s">
        <v>49</v>
      </c>
      <c r="B140" s="87"/>
      <c r="C140" s="87"/>
      <c r="D140" s="87"/>
      <c r="E140" s="87"/>
      <c r="F140" s="169">
        <v>300000</v>
      </c>
      <c r="G140" s="169"/>
      <c r="H140" s="169"/>
      <c r="R140"/>
      <c r="S140">
        <v>1800000</v>
      </c>
      <c r="T140">
        <v>900000</v>
      </c>
      <c r="U140"/>
    </row>
    <row r="141" spans="1:22" s="31" customFormat="1" x14ac:dyDescent="0.3">
      <c r="A141" s="98" t="s">
        <v>50</v>
      </c>
      <c r="B141" s="98"/>
      <c r="C141" s="98"/>
      <c r="D141" s="98"/>
      <c r="E141" s="98"/>
      <c r="F141" s="169">
        <f>F133*0.8</f>
        <v>4240</v>
      </c>
      <c r="G141" s="169"/>
      <c r="H141" s="169"/>
      <c r="R141" s="18"/>
      <c r="S141" s="18"/>
      <c r="T141">
        <v>1000000</v>
      </c>
      <c r="U141"/>
      <c r="V141" s="18"/>
    </row>
    <row r="142" spans="1:22" s="32" customFormat="1" ht="15.75" hidden="1" customHeight="1" x14ac:dyDescent="0.3">
      <c r="A142" s="71" t="s">
        <v>70</v>
      </c>
      <c r="B142" s="71"/>
      <c r="C142" s="71"/>
      <c r="D142" s="71"/>
      <c r="E142" s="71"/>
      <c r="F142" s="71"/>
      <c r="G142" s="71"/>
      <c r="H142" s="71"/>
      <c r="R142"/>
      <c r="S142" s="18"/>
      <c r="T142"/>
      <c r="U142"/>
      <c r="V142" s="18"/>
    </row>
    <row r="143" spans="1:22" s="32" customFormat="1" ht="15.75" hidden="1" customHeight="1" x14ac:dyDescent="0.3">
      <c r="A143" s="75" t="s">
        <v>51</v>
      </c>
      <c r="B143" s="75"/>
      <c r="C143" s="72" t="s">
        <v>73</v>
      </c>
      <c r="D143" s="72"/>
      <c r="E143" s="74" t="s">
        <v>52</v>
      </c>
      <c r="F143" s="74"/>
      <c r="G143" s="75" t="s">
        <v>53</v>
      </c>
      <c r="H143" s="75"/>
      <c r="R143"/>
      <c r="S143" s="18"/>
      <c r="T143"/>
      <c r="U143" s="18"/>
      <c r="V143" s="18"/>
    </row>
    <row r="144" spans="1:22" s="32" customFormat="1" hidden="1" x14ac:dyDescent="0.3">
      <c r="A144" s="77"/>
      <c r="B144" s="77"/>
      <c r="C144" s="78"/>
      <c r="D144" s="78"/>
      <c r="E144" s="88"/>
      <c r="F144" s="88"/>
      <c r="G144" s="89"/>
      <c r="H144" s="89"/>
      <c r="R144"/>
      <c r="S144" s="18"/>
      <c r="T144"/>
      <c r="U144" s="18"/>
      <c r="V144" s="18"/>
    </row>
    <row r="145" spans="1:22" s="32" customFormat="1" hidden="1" x14ac:dyDescent="0.3">
      <c r="A145" s="77"/>
      <c r="B145" s="77"/>
      <c r="C145" s="78"/>
      <c r="D145" s="78"/>
      <c r="E145" s="88"/>
      <c r="F145" s="88"/>
      <c r="G145" s="89"/>
      <c r="H145" s="89"/>
      <c r="R145"/>
      <c r="S145" s="18"/>
      <c r="T145"/>
      <c r="U145" s="18"/>
      <c r="V145" s="18"/>
    </row>
    <row r="146" spans="1:22" s="32" customFormat="1" hidden="1" x14ac:dyDescent="0.3">
      <c r="A146" s="71" t="s">
        <v>143</v>
      </c>
      <c r="B146" s="71"/>
      <c r="C146" s="72"/>
      <c r="D146" s="72"/>
      <c r="E146" s="74"/>
      <c r="F146" s="74"/>
      <c r="G146" s="75"/>
      <c r="H146" s="75"/>
      <c r="R146"/>
      <c r="S146" s="18"/>
      <c r="T146"/>
      <c r="U146" s="18"/>
      <c r="V146" s="18"/>
    </row>
    <row r="147" spans="1:22" s="32" customFormat="1" x14ac:dyDescent="0.3">
      <c r="A147" s="71" t="s">
        <v>310</v>
      </c>
      <c r="B147" s="71"/>
      <c r="C147" s="71"/>
      <c r="D147" s="71"/>
      <c r="E147" s="71"/>
      <c r="F147" s="71"/>
      <c r="G147" s="71"/>
      <c r="H147" s="71"/>
      <c r="T147"/>
    </row>
    <row r="148" spans="1:22" s="32" customFormat="1" ht="15.75" customHeight="1" x14ac:dyDescent="0.3">
      <c r="A148" s="75" t="s">
        <v>51</v>
      </c>
      <c r="B148" s="75"/>
      <c r="C148" s="72" t="s">
        <v>73</v>
      </c>
      <c r="D148" s="72"/>
      <c r="E148" s="90" t="s">
        <v>52</v>
      </c>
      <c r="F148" s="90"/>
      <c r="G148" s="71" t="s">
        <v>53</v>
      </c>
      <c r="H148" s="71"/>
      <c r="T148"/>
    </row>
    <row r="149" spans="1:22" s="32" customFormat="1" x14ac:dyDescent="0.3">
      <c r="A149" s="77" t="s">
        <v>309</v>
      </c>
      <c r="B149" s="41" t="s">
        <v>304</v>
      </c>
      <c r="C149" s="78">
        <f>COUNT(F167:F169)*7</f>
        <v>21</v>
      </c>
      <c r="D149" s="78"/>
      <c r="E149" s="79">
        <f>SUM(F167:F169)*7</f>
        <v>9567.0862559999987</v>
      </c>
      <c r="F149" s="79"/>
      <c r="G149" s="79">
        <f>SUM(H167:H169)*7</f>
        <v>13872.275071199996</v>
      </c>
      <c r="H149" s="79"/>
      <c r="T149"/>
    </row>
    <row r="150" spans="1:22" s="32" customFormat="1" x14ac:dyDescent="0.3">
      <c r="A150" s="77"/>
      <c r="B150" s="41" t="s">
        <v>308</v>
      </c>
      <c r="C150" s="78">
        <f>COUNT(F173:F175)*7</f>
        <v>21</v>
      </c>
      <c r="D150" s="78"/>
      <c r="E150" s="79">
        <f>SUM(F173:F175)*7</f>
        <v>9552.3180479999992</v>
      </c>
      <c r="F150" s="79"/>
      <c r="G150" s="79">
        <f>SUM(H173:H175)*7</f>
        <v>13850.861169599999</v>
      </c>
      <c r="H150" s="79"/>
      <c r="T150"/>
    </row>
    <row r="151" spans="1:22" s="32" customFormat="1" x14ac:dyDescent="0.3">
      <c r="A151" s="77" t="s">
        <v>324</v>
      </c>
      <c r="B151" s="41" t="s">
        <v>325</v>
      </c>
      <c r="C151" s="78">
        <f>COUNT(F180:F183)*5</f>
        <v>20</v>
      </c>
      <c r="D151" s="78"/>
      <c r="E151" s="79">
        <f>SUM(F180:F183)*5</f>
        <v>7155.6919199999993</v>
      </c>
      <c r="F151" s="79"/>
      <c r="G151" s="79">
        <f>SUM(H180:H183)*5</f>
        <v>10375.753284</v>
      </c>
      <c r="H151" s="79"/>
      <c r="T151"/>
    </row>
    <row r="152" spans="1:22" s="32" customFormat="1" x14ac:dyDescent="0.3">
      <c r="A152" s="77"/>
      <c r="B152" s="41" t="s">
        <v>326</v>
      </c>
      <c r="C152" s="80">
        <f>COUNT(F192:F195)</f>
        <v>4</v>
      </c>
      <c r="D152" s="78"/>
      <c r="E152" s="79">
        <f>SUM(F192:F195)</f>
        <v>1489.7591279999999</v>
      </c>
      <c r="F152" s="79"/>
      <c r="G152" s="79">
        <f>SUM(H192:H195)</f>
        <v>2160.1507355999997</v>
      </c>
      <c r="H152" s="79"/>
      <c r="T152"/>
    </row>
    <row r="153" spans="1:22" s="32" customFormat="1" x14ac:dyDescent="0.3">
      <c r="A153" s="71" t="s">
        <v>143</v>
      </c>
      <c r="B153" s="71"/>
      <c r="C153" s="72">
        <f t="shared" ref="C153:G153" si="0">SUM(C149:D152)</f>
        <v>66</v>
      </c>
      <c r="D153" s="72"/>
      <c r="E153" s="73">
        <f t="shared" si="0"/>
        <v>27764.855351999995</v>
      </c>
      <c r="F153" s="74"/>
      <c r="G153" s="75">
        <f t="shared" si="0"/>
        <v>40259.040260399997</v>
      </c>
      <c r="H153" s="75"/>
      <c r="T153"/>
    </row>
    <row r="154" spans="1:22" s="32" customFormat="1" x14ac:dyDescent="0.3">
      <c r="A154" s="71" t="s">
        <v>336</v>
      </c>
      <c r="B154" s="71"/>
      <c r="C154" s="71"/>
      <c r="D154" s="71"/>
      <c r="E154" s="71"/>
      <c r="F154" s="71"/>
      <c r="G154" s="71"/>
      <c r="H154" s="71"/>
      <c r="T154"/>
    </row>
    <row r="155" spans="1:22" s="32" customFormat="1" x14ac:dyDescent="0.3">
      <c r="A155" s="75" t="s">
        <v>51</v>
      </c>
      <c r="B155" s="75"/>
      <c r="C155" s="72" t="s">
        <v>73</v>
      </c>
      <c r="D155" s="72"/>
      <c r="E155" s="90" t="s">
        <v>52</v>
      </c>
      <c r="F155" s="90"/>
      <c r="G155" s="71" t="s">
        <v>53</v>
      </c>
      <c r="H155" s="71"/>
      <c r="T155"/>
    </row>
    <row r="156" spans="1:22" ht="30.75" customHeight="1" x14ac:dyDescent="0.3">
      <c r="A156" s="41" t="s">
        <v>324</v>
      </c>
      <c r="B156" s="41" t="s">
        <v>337</v>
      </c>
      <c r="C156" s="78">
        <f>COUNT(F187:F190)*4</f>
        <v>16</v>
      </c>
      <c r="D156" s="78"/>
      <c r="E156" s="79">
        <f>SUM(F187:F190)*4</f>
        <v>5959.0365119999997</v>
      </c>
      <c r="F156" s="79"/>
      <c r="G156" s="79">
        <f>SUM(H187:H190)*4</f>
        <v>8640.6029423999989</v>
      </c>
      <c r="H156" s="79"/>
      <c r="T156" s="32"/>
    </row>
    <row r="157" spans="1:22" s="34" customFormat="1" x14ac:dyDescent="0.3">
      <c r="A157" s="71" t="s">
        <v>143</v>
      </c>
      <c r="B157" s="71"/>
      <c r="C157" s="72">
        <f t="shared" ref="C157:G157" si="1">SUM(C156)</f>
        <v>16</v>
      </c>
      <c r="D157" s="72"/>
      <c r="E157" s="73">
        <f t="shared" si="1"/>
        <v>5959.0365119999997</v>
      </c>
      <c r="F157" s="74"/>
      <c r="G157" s="75">
        <f t="shared" si="1"/>
        <v>8640.6029423999989</v>
      </c>
      <c r="H157" s="75"/>
      <c r="I157" s="33"/>
      <c r="J157" s="55">
        <f>10.764</f>
        <v>10.763999999999999</v>
      </c>
    </row>
    <row r="158" spans="1:22" s="34" customFormat="1" x14ac:dyDescent="0.3">
      <c r="A158" s="71" t="s">
        <v>338</v>
      </c>
      <c r="B158" s="71"/>
      <c r="C158" s="72">
        <f>C153+C157</f>
        <v>82</v>
      </c>
      <c r="D158" s="72"/>
      <c r="E158" s="73">
        <f>E153+E157</f>
        <v>33723.891863999997</v>
      </c>
      <c r="F158" s="74"/>
      <c r="G158" s="75">
        <f>G153+G157</f>
        <v>48899.643202799998</v>
      </c>
      <c r="H158" s="75"/>
      <c r="I158" s="33"/>
      <c r="J158" s="33"/>
    </row>
    <row r="159" spans="1:22" s="34" customFormat="1" x14ac:dyDescent="0.3">
      <c r="A159" s="171" t="s">
        <v>339</v>
      </c>
      <c r="B159" s="171"/>
      <c r="C159" s="171"/>
      <c r="D159" s="171"/>
      <c r="E159" s="171"/>
      <c r="F159" s="171"/>
      <c r="G159" s="171"/>
      <c r="H159" s="171"/>
      <c r="J159" s="33"/>
    </row>
    <row r="160" spans="1:22" s="34" customFormat="1" x14ac:dyDescent="0.3">
      <c r="A160" s="193" t="s">
        <v>321</v>
      </c>
      <c r="B160" s="193"/>
      <c r="C160" s="193"/>
      <c r="D160" s="193"/>
      <c r="E160" s="193"/>
      <c r="F160" s="193"/>
      <c r="G160" s="193"/>
      <c r="H160" s="193"/>
      <c r="J160" s="33"/>
    </row>
    <row r="161" spans="1:20" s="34" customFormat="1" ht="46.8" x14ac:dyDescent="0.3">
      <c r="A161" s="177" t="s">
        <v>114</v>
      </c>
      <c r="B161" s="93" t="s">
        <v>306</v>
      </c>
      <c r="C161" s="93" t="s">
        <v>54</v>
      </c>
      <c r="D161" s="93" t="s">
        <v>216</v>
      </c>
      <c r="E161" s="93" t="s">
        <v>314</v>
      </c>
      <c r="F161" s="93" t="s">
        <v>55</v>
      </c>
      <c r="G161" s="95" t="s">
        <v>56</v>
      </c>
      <c r="H161" s="49" t="s">
        <v>142</v>
      </c>
      <c r="J161" s="33"/>
    </row>
    <row r="162" spans="1:20" s="34" customFormat="1" ht="15.75" customHeight="1" x14ac:dyDescent="0.3">
      <c r="A162" s="178"/>
      <c r="B162" s="94"/>
      <c r="C162" s="94"/>
      <c r="D162" s="94"/>
      <c r="E162" s="94"/>
      <c r="F162" s="94"/>
      <c r="G162" s="96"/>
      <c r="H162" s="61">
        <v>0.45</v>
      </c>
      <c r="I162" s="33"/>
      <c r="L162" s="76"/>
      <c r="M162" s="76"/>
      <c r="N162" s="33"/>
    </row>
    <row r="163" spans="1:20" s="34" customFormat="1" ht="15.75" customHeight="1" x14ac:dyDescent="0.3">
      <c r="A163" s="173" t="s">
        <v>309</v>
      </c>
      <c r="B163" s="174"/>
      <c r="C163" s="174"/>
      <c r="D163" s="174"/>
      <c r="E163" s="174"/>
      <c r="F163" s="174"/>
      <c r="G163" s="174"/>
      <c r="H163" s="175"/>
      <c r="I163" s="33"/>
      <c r="L163" s="76"/>
      <c r="M163" s="76"/>
      <c r="N163" s="33"/>
    </row>
    <row r="164" spans="1:20" s="34" customFormat="1" ht="15.75" customHeight="1" x14ac:dyDescent="0.3">
      <c r="A164" s="81" t="s">
        <v>304</v>
      </c>
      <c r="B164" s="82"/>
      <c r="C164" s="82"/>
      <c r="D164" s="82"/>
      <c r="E164" s="82"/>
      <c r="F164" s="82"/>
      <c r="G164" s="82"/>
      <c r="H164" s="83"/>
      <c r="I164" s="33"/>
      <c r="L164" s="76"/>
      <c r="M164" s="76"/>
      <c r="N164" s="33"/>
    </row>
    <row r="165" spans="1:20" s="34" customFormat="1" ht="15.75" customHeight="1" x14ac:dyDescent="0.3">
      <c r="A165" s="81" t="s">
        <v>316</v>
      </c>
      <c r="B165" s="82"/>
      <c r="C165" s="82"/>
      <c r="D165" s="82"/>
      <c r="E165" s="82"/>
      <c r="F165" s="82"/>
      <c r="G165" s="82"/>
      <c r="H165" s="83"/>
      <c r="I165" s="33"/>
      <c r="L165" s="76"/>
      <c r="M165" s="76"/>
      <c r="N165" s="33"/>
      <c r="T165" s="18"/>
    </row>
    <row r="166" spans="1:20" s="34" customFormat="1" x14ac:dyDescent="0.3">
      <c r="A166" s="81" t="s">
        <v>317</v>
      </c>
      <c r="B166" s="82"/>
      <c r="C166" s="82"/>
      <c r="D166" s="82"/>
      <c r="E166" s="82"/>
      <c r="F166" s="82"/>
      <c r="G166" s="82"/>
      <c r="H166" s="83"/>
      <c r="J166" s="33"/>
      <c r="L166" s="34">
        <f>H167*4500</f>
        <v>2599330.8158999998</v>
      </c>
      <c r="M166" s="34">
        <f>L166+180000</f>
        <v>2779330.8158999998</v>
      </c>
    </row>
    <row r="167" spans="1:20" s="34" customFormat="1" x14ac:dyDescent="0.3">
      <c r="A167" s="39">
        <v>1</v>
      </c>
      <c r="B167" s="39" t="s">
        <v>307</v>
      </c>
      <c r="C167" s="39" t="s">
        <v>305</v>
      </c>
      <c r="D167" s="55">
        <f>(33.785)*(10.764)</f>
        <v>363.66173999999995</v>
      </c>
      <c r="E167" s="55">
        <f>(3.224)*(10.764)</f>
        <v>34.703136000000001</v>
      </c>
      <c r="F167" s="39">
        <f>D167+E167</f>
        <v>398.36487599999998</v>
      </c>
      <c r="G167" s="55">
        <f>(0)*(10.764)</f>
        <v>0</v>
      </c>
      <c r="H167" s="39">
        <f>F167*(($H$162)+1)+(IF(G167&lt;101,G167,IF(G167&lt;201,G167/2,IF(G167&lt;=301,G167/3,G167/4))))</f>
        <v>577.6290702</v>
      </c>
      <c r="J167" s="33">
        <f>3000000/H167</f>
        <v>5193.6444247192603</v>
      </c>
      <c r="K167" s="34">
        <f>2900000/H167</f>
        <v>5020.5229438952847</v>
      </c>
    </row>
    <row r="168" spans="1:20" s="34" customFormat="1" x14ac:dyDescent="0.3">
      <c r="A168" s="39">
        <f>A167+1</f>
        <v>2</v>
      </c>
      <c r="B168" s="39" t="s">
        <v>307</v>
      </c>
      <c r="C168" s="39" t="s">
        <v>305</v>
      </c>
      <c r="D168" s="55">
        <f>(33.785)*(10.764)</f>
        <v>363.66173999999995</v>
      </c>
      <c r="E168" s="55">
        <f>(3.42)*(10.764)</f>
        <v>36.81288</v>
      </c>
      <c r="F168" s="39">
        <f>D168+E168</f>
        <v>400.47461999999996</v>
      </c>
      <c r="G168" s="55">
        <f>(0)*(10.764)</f>
        <v>0</v>
      </c>
      <c r="H168" s="39">
        <f>F168*(($H$162)+1)+(IF(G168&lt;101,G168,IF(G168&lt;201,G168/2,IF(G168&lt;=301,G168/3,G168/4))))</f>
        <v>580.68819899999994</v>
      </c>
      <c r="I168" s="33"/>
      <c r="K168" s="34">
        <f t="shared" ref="K168" si="2">2900000/H168</f>
        <v>4994.0742811616883</v>
      </c>
    </row>
    <row r="169" spans="1:20" s="34" customFormat="1" ht="15.75" customHeight="1" x14ac:dyDescent="0.3">
      <c r="A169" s="39">
        <f>A168+1</f>
        <v>3</v>
      </c>
      <c r="B169" s="39" t="s">
        <v>307</v>
      </c>
      <c r="C169" s="39" t="s">
        <v>313</v>
      </c>
      <c r="D169" s="55">
        <f>(49.338)*(10.764)</f>
        <v>531.07423199999994</v>
      </c>
      <c r="E169" s="55">
        <f>(3.42)*(10.764)</f>
        <v>36.81288</v>
      </c>
      <c r="F169" s="39">
        <f>D169+E169</f>
        <v>567.88711199999989</v>
      </c>
      <c r="G169" s="55">
        <f>(0)*(10.764)</f>
        <v>0</v>
      </c>
      <c r="H169" s="39">
        <f>F169*(($H$162)+1)+(IF(G169&lt;101,G169,IF(G169&lt;201,G169/2,IF(G169&lt;=301,G169/3,G169/4))))</f>
        <v>823.43631239999979</v>
      </c>
      <c r="I169" s="33">
        <f>(2.75*3.95+2.5*2.5+2.55*2.5+2.75*3.95+2*(2.5*1.5)+5.5*0.9)</f>
        <v>46.800000000000004</v>
      </c>
      <c r="J169" s="34">
        <f>(2.62*0.2+2.7*1)</f>
        <v>3.2240000000000002</v>
      </c>
      <c r="K169" s="34">
        <f>4300000/H169</f>
        <v>5222.0189166386845</v>
      </c>
    </row>
    <row r="170" spans="1:20" s="34" customFormat="1" ht="15.75" customHeight="1" x14ac:dyDescent="0.3">
      <c r="A170" s="81" t="s">
        <v>308</v>
      </c>
      <c r="B170" s="82"/>
      <c r="C170" s="82"/>
      <c r="D170" s="82"/>
      <c r="E170" s="82"/>
      <c r="F170" s="82"/>
      <c r="G170" s="82"/>
      <c r="H170" s="83"/>
      <c r="I170" s="33"/>
      <c r="J170" s="34">
        <f>(2.85*1.2)</f>
        <v>3.42</v>
      </c>
    </row>
    <row r="171" spans="1:20" s="34" customFormat="1" ht="15.75" customHeight="1" x14ac:dyDescent="0.3">
      <c r="A171" s="81" t="s">
        <v>315</v>
      </c>
      <c r="B171" s="82"/>
      <c r="C171" s="82"/>
      <c r="D171" s="82"/>
      <c r="E171" s="82"/>
      <c r="F171" s="82"/>
      <c r="G171" s="82"/>
      <c r="H171" s="83"/>
      <c r="I171" s="33">
        <f>(2.75*3.95+2.5*2.5+2.75*3.2+1.2*1.5+1.2*1.5+0.9*2.5)</f>
        <v>31.762500000000003</v>
      </c>
      <c r="J171" s="34">
        <f>(2.62*1.2)</f>
        <v>3.1440000000000001</v>
      </c>
    </row>
    <row r="172" spans="1:20" s="34" customFormat="1" x14ac:dyDescent="0.3">
      <c r="A172" s="81" t="s">
        <v>317</v>
      </c>
      <c r="B172" s="82"/>
      <c r="C172" s="82"/>
      <c r="D172" s="82"/>
      <c r="E172" s="82"/>
      <c r="F172" s="82"/>
      <c r="G172" s="82"/>
      <c r="H172" s="83"/>
      <c r="J172" s="33"/>
    </row>
    <row r="173" spans="1:20" s="34" customFormat="1" x14ac:dyDescent="0.3">
      <c r="A173" s="39">
        <v>1</v>
      </c>
      <c r="B173" s="39" t="s">
        <v>307</v>
      </c>
      <c r="C173" s="39" t="s">
        <v>313</v>
      </c>
      <c r="D173" s="55">
        <f>(49.338)*(10.764)</f>
        <v>531.07423199999994</v>
      </c>
      <c r="E173" s="55">
        <f>(3.224)*(10.764)</f>
        <v>34.703136000000001</v>
      </c>
      <c r="F173" s="39">
        <f>D173+E173</f>
        <v>565.77736799999991</v>
      </c>
      <c r="G173" s="55">
        <f>(0)*(10.764)</f>
        <v>0</v>
      </c>
      <c r="H173" s="39">
        <f>F173*(($H$162)+1)+(IF(G173&lt;101,G173,IF(G173&lt;201,G173/2,IF(G173&lt;=301,G173/3,G173/4))))</f>
        <v>820.37718359999985</v>
      </c>
      <c r="J173" s="33"/>
    </row>
    <row r="174" spans="1:20" s="34" customFormat="1" x14ac:dyDescent="0.3">
      <c r="A174" s="39">
        <f>A173+1</f>
        <v>2</v>
      </c>
      <c r="B174" s="39" t="s">
        <v>307</v>
      </c>
      <c r="C174" s="39" t="s">
        <v>305</v>
      </c>
      <c r="D174" s="55">
        <f>(33.785)*(10.764)</f>
        <v>363.66173999999995</v>
      </c>
      <c r="E174" s="55">
        <f>(3.42)*(10.764)</f>
        <v>36.81288</v>
      </c>
      <c r="F174" s="39">
        <f>D174+E174</f>
        <v>400.47461999999996</v>
      </c>
      <c r="G174" s="55">
        <f>(0)*(10.764)</f>
        <v>0</v>
      </c>
      <c r="H174" s="39">
        <f>F174*(($H$162)+1)+(IF(G174&lt;101,G174,IF(G174&lt;201,G174/2,IF(G174&lt;=301,G174/3,G174/4))))</f>
        <v>580.68819899999994</v>
      </c>
      <c r="J174" s="33"/>
    </row>
    <row r="175" spans="1:20" s="34" customFormat="1" x14ac:dyDescent="0.3">
      <c r="A175" s="39">
        <f>A174+1</f>
        <v>3</v>
      </c>
      <c r="B175" s="39" t="s">
        <v>307</v>
      </c>
      <c r="C175" s="39" t="s">
        <v>305</v>
      </c>
      <c r="D175" s="55">
        <f>(33.785)*(10.764)</f>
        <v>363.66173999999995</v>
      </c>
      <c r="E175" s="55">
        <f>(3.224)*(10.764)</f>
        <v>34.703136000000001</v>
      </c>
      <c r="F175" s="39">
        <f>D175+E175</f>
        <v>398.36487599999998</v>
      </c>
      <c r="G175" s="55">
        <f>(0)*(10.764)</f>
        <v>0</v>
      </c>
      <c r="H175" s="39">
        <f>F175*(($H$162)+1)+(IF(G175&lt;101,G175,IF(G175&lt;201,G175/2,IF(G175&lt;=301,G175/3,G175/4))))</f>
        <v>577.6290702</v>
      </c>
      <c r="I175" s="33"/>
    </row>
    <row r="176" spans="1:20" s="34" customFormat="1" ht="15.75" customHeight="1" x14ac:dyDescent="0.3">
      <c r="A176" s="173" t="s">
        <v>324</v>
      </c>
      <c r="B176" s="174"/>
      <c r="C176" s="174"/>
      <c r="D176" s="174"/>
      <c r="E176" s="174"/>
      <c r="F176" s="174"/>
      <c r="G176" s="174"/>
      <c r="H176" s="175"/>
      <c r="I176" s="33">
        <f>(2.8*3.95+1.8*2.1+2.9*3.1+1.2*1.8+1.5+0.9)</f>
        <v>28.389999999999997</v>
      </c>
      <c r="J176" s="34">
        <f>2*1.2</f>
        <v>2.4</v>
      </c>
    </row>
    <row r="177" spans="1:20" s="34" customFormat="1" ht="15.75" customHeight="1" x14ac:dyDescent="0.3">
      <c r="A177" s="81" t="s">
        <v>325</v>
      </c>
      <c r="B177" s="82"/>
      <c r="C177" s="82"/>
      <c r="D177" s="82"/>
      <c r="E177" s="82"/>
      <c r="F177" s="82"/>
      <c r="G177" s="82"/>
      <c r="H177" s="83"/>
      <c r="I177" s="33"/>
      <c r="J177" s="34">
        <f>2.15*1.2</f>
        <v>2.5799999999999996</v>
      </c>
    </row>
    <row r="178" spans="1:20" s="34" customFormat="1" ht="15.75" customHeight="1" x14ac:dyDescent="0.3">
      <c r="A178" s="81" t="s">
        <v>316</v>
      </c>
      <c r="B178" s="82"/>
      <c r="C178" s="82"/>
      <c r="D178" s="82"/>
      <c r="E178" s="82"/>
      <c r="F178" s="82"/>
      <c r="G178" s="82"/>
      <c r="H178" s="83"/>
      <c r="I178" s="33">
        <f>(2.75*3.95+2.1*1.8+2.8*3.05+2*(1.2*1.8)+0.9*1.5)</f>
        <v>28.852500000000003</v>
      </c>
      <c r="J178" s="34">
        <f>2.85*1.2</f>
        <v>3.42</v>
      </c>
    </row>
    <row r="179" spans="1:20" s="34" customFormat="1" ht="15.75" customHeight="1" x14ac:dyDescent="0.3">
      <c r="A179" s="81" t="s">
        <v>327</v>
      </c>
      <c r="B179" s="82"/>
      <c r="C179" s="82"/>
      <c r="D179" s="82"/>
      <c r="E179" s="82"/>
      <c r="F179" s="82"/>
      <c r="G179" s="82"/>
      <c r="H179" s="83"/>
      <c r="I179" s="33"/>
      <c r="J179" s="34">
        <f>2.7*1.2</f>
        <v>3.24</v>
      </c>
    </row>
    <row r="180" spans="1:20" s="34" customFormat="1" x14ac:dyDescent="0.3">
      <c r="A180" s="39">
        <v>1</v>
      </c>
      <c r="B180" s="39" t="s">
        <v>307</v>
      </c>
      <c r="C180" s="39" t="s">
        <v>305</v>
      </c>
      <c r="D180" s="55">
        <f>(30.133)*(10.764)</f>
        <v>324.35161199999999</v>
      </c>
      <c r="E180" s="55">
        <f>(2.4)*(10.764)</f>
        <v>25.833599999999997</v>
      </c>
      <c r="F180" s="39">
        <f>D180+E180</f>
        <v>350.18521199999998</v>
      </c>
      <c r="G180" s="55">
        <f>(0)*(10.764)</f>
        <v>0</v>
      </c>
      <c r="H180" s="39">
        <f>F180*(($H$162)+1)+(IF(G180&lt;101,G180,IF(G180&lt;201,G180/2,IF(G180&lt;=301,G180/3,G180/4))))</f>
        <v>507.76855739999996</v>
      </c>
      <c r="J180" s="33"/>
    </row>
    <row r="181" spans="1:20" s="34" customFormat="1" x14ac:dyDescent="0.3">
      <c r="A181" s="39">
        <f>A180+1</f>
        <v>2</v>
      </c>
      <c r="B181" s="39" t="s">
        <v>307</v>
      </c>
      <c r="C181" s="39" t="s">
        <v>305</v>
      </c>
      <c r="D181" s="55">
        <f>(30.133)*(10.764)</f>
        <v>324.35161199999999</v>
      </c>
      <c r="E181" s="55">
        <f>(2.58)*(10.764)</f>
        <v>27.77112</v>
      </c>
      <c r="F181" s="39">
        <f>D181+E181</f>
        <v>352.12273199999998</v>
      </c>
      <c r="G181" s="55">
        <f>(0)*(10.764)</f>
        <v>0</v>
      </c>
      <c r="H181" s="39">
        <f>F181*(($H$162)+1)+(IF(G181&lt;101,G181,IF(G181&lt;201,G181/2,IF(G181&lt;=301,G181/3,G181/4))))</f>
        <v>510.57796139999994</v>
      </c>
      <c r="J181" s="33"/>
    </row>
    <row r="182" spans="1:20" s="34" customFormat="1" x14ac:dyDescent="0.3">
      <c r="A182" s="39">
        <f>A181+1</f>
        <v>3</v>
      </c>
      <c r="B182" s="39" t="s">
        <v>307</v>
      </c>
      <c r="C182" s="39" t="s">
        <v>305</v>
      </c>
      <c r="D182" s="55">
        <f>(30.525)*(10.764)</f>
        <v>328.57109999999994</v>
      </c>
      <c r="E182" s="55">
        <f>(3.24)*(10.764)</f>
        <v>34.875360000000001</v>
      </c>
      <c r="F182" s="39">
        <f>D182+E182</f>
        <v>363.44645999999995</v>
      </c>
      <c r="G182" s="55">
        <f>(0)*(10.764)</f>
        <v>0</v>
      </c>
      <c r="H182" s="39">
        <f>F182*(($H$162)+1)+(IF(G182&lt;101,G182,IF(G182&lt;201,G182/2,IF(G182&lt;=301,G182/3,G182/4))))</f>
        <v>526.99736699999994</v>
      </c>
      <c r="I182" s="33"/>
    </row>
    <row r="183" spans="1:20" s="34" customFormat="1" ht="15.75" customHeight="1" x14ac:dyDescent="0.3">
      <c r="A183" s="39">
        <f>A182+1</f>
        <v>4</v>
      </c>
      <c r="B183" s="39" t="s">
        <v>307</v>
      </c>
      <c r="C183" s="39" t="s">
        <v>305</v>
      </c>
      <c r="D183" s="55">
        <f>(30.525)*(10.764)</f>
        <v>328.57109999999994</v>
      </c>
      <c r="E183" s="55">
        <f>(3.42)*(10.764)</f>
        <v>36.81288</v>
      </c>
      <c r="F183" s="39">
        <f>D183+E183</f>
        <v>365.38397999999995</v>
      </c>
      <c r="G183" s="55">
        <f>(0)*(10.764)</f>
        <v>0</v>
      </c>
      <c r="H183" s="39">
        <f>F183*(($H$162)+1)+(IF(G183&lt;101,G183,IF(G183&lt;201,G183/2,IF(G183&lt;=301,G183/3,G183/4))))</f>
        <v>529.80677099999991</v>
      </c>
      <c r="I183" s="33">
        <f>(2.75*4.05+2.3*2.1+2.75*3.05+2*(1.2*1.5)+2.8*0.9)</f>
        <v>30.474999999999998</v>
      </c>
      <c r="J183" s="34">
        <f>2.7*1.5</f>
        <v>4.0500000000000007</v>
      </c>
    </row>
    <row r="184" spans="1:20" s="34" customFormat="1" ht="15.75" customHeight="1" x14ac:dyDescent="0.3">
      <c r="A184" s="81" t="s">
        <v>326</v>
      </c>
      <c r="B184" s="82"/>
      <c r="C184" s="82"/>
      <c r="D184" s="82"/>
      <c r="E184" s="82"/>
      <c r="F184" s="82"/>
      <c r="G184" s="82"/>
      <c r="H184" s="83"/>
      <c r="I184" s="33"/>
      <c r="J184" s="34">
        <f>2.85*1.5</f>
        <v>4.2750000000000004</v>
      </c>
    </row>
    <row r="185" spans="1:20" s="34" customFormat="1" ht="15.75" customHeight="1" x14ac:dyDescent="0.3">
      <c r="A185" s="81" t="s">
        <v>315</v>
      </c>
      <c r="B185" s="82"/>
      <c r="C185" s="82"/>
      <c r="D185" s="82"/>
      <c r="E185" s="82"/>
      <c r="F185" s="82"/>
      <c r="G185" s="82"/>
      <c r="H185" s="83"/>
      <c r="I185" s="33"/>
      <c r="J185" s="34">
        <f>2.15*1.5</f>
        <v>3.2249999999999996</v>
      </c>
    </row>
    <row r="186" spans="1:20" s="34" customFormat="1" ht="15.75" customHeight="1" x14ac:dyDescent="0.3">
      <c r="A186" s="81" t="s">
        <v>330</v>
      </c>
      <c r="B186" s="82"/>
      <c r="C186" s="82"/>
      <c r="D186" s="82"/>
      <c r="E186" s="82"/>
      <c r="F186" s="82"/>
      <c r="G186" s="82"/>
      <c r="H186" s="83"/>
      <c r="I186" s="33"/>
      <c r="J186" s="34">
        <f>2*1.5</f>
        <v>3</v>
      </c>
    </row>
    <row r="187" spans="1:20" s="34" customFormat="1" x14ac:dyDescent="0.3">
      <c r="A187" s="39">
        <v>1</v>
      </c>
      <c r="B187" s="39" t="s">
        <v>328</v>
      </c>
      <c r="C187" s="39" t="s">
        <v>305</v>
      </c>
      <c r="D187" s="55">
        <f>(31.748)*(10.764)</f>
        <v>341.73547200000002</v>
      </c>
      <c r="E187" s="55">
        <f>(4.05)*(10.764)</f>
        <v>43.594199999999994</v>
      </c>
      <c r="F187" s="39">
        <f>D187+E187</f>
        <v>385.32967200000002</v>
      </c>
      <c r="G187" s="55">
        <f>(0)*(10.764)</f>
        <v>0</v>
      </c>
      <c r="H187" s="39">
        <f>F187*(($H$162)+1)+(IF(G187&lt;101,G187,IF(G187&lt;201,G187/2,IF(G187&lt;=301,G187/3,G187/4))))</f>
        <v>558.72802439999998</v>
      </c>
      <c r="I187" s="33"/>
    </row>
    <row r="188" spans="1:20" s="34" customFormat="1" ht="15.75" customHeight="1" x14ac:dyDescent="0.3">
      <c r="A188" s="39">
        <f>A187+1</f>
        <v>2</v>
      </c>
      <c r="B188" s="39" t="s">
        <v>328</v>
      </c>
      <c r="C188" s="39" t="s">
        <v>305</v>
      </c>
      <c r="D188" s="55">
        <f>(31.748)*(10.764)</f>
        <v>341.73547200000002</v>
      </c>
      <c r="E188" s="55">
        <f>(4.275)*(10.764)</f>
        <v>46.016100000000002</v>
      </c>
      <c r="F188" s="39">
        <f>D188+E188</f>
        <v>387.75157200000001</v>
      </c>
      <c r="G188" s="55">
        <f>(0)*(10.764)</f>
        <v>0</v>
      </c>
      <c r="H188" s="39">
        <f>F188*(($H$162)+1)+(IF(G188&lt;101,G188,IF(G188&lt;201,G188/2,IF(G188&lt;=301,G188/3,G188/4))))</f>
        <v>562.23977939999997</v>
      </c>
      <c r="I188" s="33">
        <f>(2.75*4.05+2.3*2.1+2.75*3.05+2*(1.2*1.5)+2.8*0.9)</f>
        <v>30.474999999999998</v>
      </c>
      <c r="J188" s="34">
        <f>2.7*1.5</f>
        <v>4.0500000000000007</v>
      </c>
    </row>
    <row r="189" spans="1:20" s="34" customFormat="1" ht="15.75" customHeight="1" x14ac:dyDescent="0.3">
      <c r="A189" s="39">
        <f>A188+1</f>
        <v>3</v>
      </c>
      <c r="B189" s="39" t="s">
        <v>328</v>
      </c>
      <c r="C189" s="39" t="s">
        <v>305</v>
      </c>
      <c r="D189" s="55">
        <f>(30.178)*(10.764)</f>
        <v>324.83599199999998</v>
      </c>
      <c r="E189" s="55">
        <f>(3.225)*(10.764)</f>
        <v>34.713899999999995</v>
      </c>
      <c r="F189" s="39">
        <f>D189+E189</f>
        <v>359.549892</v>
      </c>
      <c r="G189" s="55">
        <f>(0)*(10.764)</f>
        <v>0</v>
      </c>
      <c r="H189" s="39">
        <f>F189*(($H$162)+1)+(IF(G189&lt;101,G189,IF(G189&lt;201,G189/2,IF(G189&lt;=301,G189/3,G189/4))))</f>
        <v>521.3473434</v>
      </c>
      <c r="I189" s="33"/>
      <c r="J189" s="34">
        <f>2.85*1.5</f>
        <v>4.2750000000000004</v>
      </c>
    </row>
    <row r="190" spans="1:20" s="34" customFormat="1" ht="15.75" customHeight="1" x14ac:dyDescent="0.3">
      <c r="A190" s="39">
        <f>A189+1</f>
        <v>4</v>
      </c>
      <c r="B190" s="39" t="s">
        <v>328</v>
      </c>
      <c r="C190" s="39" t="s">
        <v>305</v>
      </c>
      <c r="D190" s="55">
        <f>(30.178)*(10.764)</f>
        <v>324.83599199999998</v>
      </c>
      <c r="E190" s="55">
        <f>(3)*(10.764)</f>
        <v>32.292000000000002</v>
      </c>
      <c r="F190" s="39">
        <f>D190+E190</f>
        <v>357.12799199999995</v>
      </c>
      <c r="G190" s="55">
        <f>(0)*(10.764)</f>
        <v>0</v>
      </c>
      <c r="H190" s="39">
        <f>F190*(($H$162)+1)+(IF(G190&lt;101,G190,IF(G190&lt;201,G190/2,IF(G190&lt;=301,G190/3,G190/4))))</f>
        <v>517.83558839999989</v>
      </c>
      <c r="I190" s="33"/>
      <c r="J190" s="34">
        <f>2.15*1.5</f>
        <v>3.2249999999999996</v>
      </c>
    </row>
    <row r="191" spans="1:20" s="34" customFormat="1" ht="15.75" customHeight="1" x14ac:dyDescent="0.3">
      <c r="A191" s="81" t="s">
        <v>331</v>
      </c>
      <c r="B191" s="82"/>
      <c r="C191" s="82"/>
      <c r="D191" s="82"/>
      <c r="E191" s="82"/>
      <c r="F191" s="82"/>
      <c r="G191" s="82"/>
      <c r="H191" s="83"/>
      <c r="I191" s="33"/>
      <c r="J191" s="34">
        <f>2*1.5</f>
        <v>3</v>
      </c>
    </row>
    <row r="192" spans="1:20" s="32" customFormat="1" x14ac:dyDescent="0.3">
      <c r="A192" s="39">
        <v>1</v>
      </c>
      <c r="B192" s="39" t="s">
        <v>307</v>
      </c>
      <c r="C192" s="39" t="s">
        <v>305</v>
      </c>
      <c r="D192" s="55">
        <f>(31.748)*(10.764)</f>
        <v>341.73547200000002</v>
      </c>
      <c r="E192" s="55">
        <f>(4.05)*(10.764)</f>
        <v>43.594199999999994</v>
      </c>
      <c r="F192" s="39">
        <f>D192+E192</f>
        <v>385.32967200000002</v>
      </c>
      <c r="G192" s="55">
        <f>(0)*(10.764)</f>
        <v>0</v>
      </c>
      <c r="H192" s="39">
        <f>F192*(($H$162)+1)+(IF(G192&lt;101,G192,IF(G192&lt;201,G192/2,IF(G192&lt;=301,G192/3,G192/4))))</f>
        <v>558.72802439999998</v>
      </c>
      <c r="T192" s="34"/>
    </row>
    <row r="193" spans="1:20" s="63" customFormat="1" x14ac:dyDescent="0.3">
      <c r="A193" s="39">
        <f>A192+1</f>
        <v>2</v>
      </c>
      <c r="B193" s="39" t="s">
        <v>307</v>
      </c>
      <c r="C193" s="39" t="s">
        <v>305</v>
      </c>
      <c r="D193" s="55">
        <f>(31.748)*(10.764)</f>
        <v>341.73547200000002</v>
      </c>
      <c r="E193" s="55">
        <f>(4.275)*(10.764)</f>
        <v>46.016100000000002</v>
      </c>
      <c r="F193" s="39">
        <f>D193+E193</f>
        <v>387.75157200000001</v>
      </c>
      <c r="G193" s="55">
        <f>(0)*(10.764)</f>
        <v>0</v>
      </c>
      <c r="H193" s="39">
        <f>F193*(($H$162)+1)+(IF(G193&lt;101,G193,IF(G193&lt;201,G193/2,IF(G193&lt;=301,G193/3,G193/4))))</f>
        <v>562.23977939999997</v>
      </c>
      <c r="T193" s="64"/>
    </row>
    <row r="194" spans="1:20" s="32" customFormat="1" x14ac:dyDescent="0.3">
      <c r="A194" s="39">
        <f>A193+1</f>
        <v>3</v>
      </c>
      <c r="B194" s="39" t="s">
        <v>307</v>
      </c>
      <c r="C194" s="39" t="s">
        <v>305</v>
      </c>
      <c r="D194" s="55">
        <f>(30.178)*(10.764)</f>
        <v>324.83599199999998</v>
      </c>
      <c r="E194" s="55">
        <f>(3.225)*(10.764)</f>
        <v>34.713899999999995</v>
      </c>
      <c r="F194" s="39">
        <f>D194+E194</f>
        <v>359.549892</v>
      </c>
      <c r="G194" s="55">
        <f>(0)*(10.764)</f>
        <v>0</v>
      </c>
      <c r="H194" s="39">
        <f>F194*(($H$162)+1)+(IF(G194&lt;101,G194,IF(G194&lt;201,G194/2,IF(G194&lt;=301,G194/3,G194/4))))</f>
        <v>521.3473434</v>
      </c>
      <c r="T194" s="34"/>
    </row>
    <row r="195" spans="1:20" s="32" customFormat="1" x14ac:dyDescent="0.3">
      <c r="A195" s="39">
        <f>A194+1</f>
        <v>4</v>
      </c>
      <c r="B195" s="39" t="s">
        <v>307</v>
      </c>
      <c r="C195" s="39" t="s">
        <v>305</v>
      </c>
      <c r="D195" s="55">
        <f>(30.178)*(10.764)</f>
        <v>324.83599199999998</v>
      </c>
      <c r="E195" s="55">
        <f>(3)*(10.764)</f>
        <v>32.292000000000002</v>
      </c>
      <c r="F195" s="39">
        <f>D195+E195</f>
        <v>357.12799199999995</v>
      </c>
      <c r="G195" s="55">
        <f>(0)*(10.764)</f>
        <v>0</v>
      </c>
      <c r="H195" s="39">
        <f>F195*(($H$162)+1)+(IF(G195&lt;101,G195,IF(G195&lt;201,G195/2,IF(G195&lt;=301,G195/3,G195/4))))</f>
        <v>517.83558839999989</v>
      </c>
      <c r="T195" s="34"/>
    </row>
    <row r="196" spans="1:20" s="32" customFormat="1" x14ac:dyDescent="0.3">
      <c r="A196" s="176" t="s">
        <v>64</v>
      </c>
      <c r="B196" s="176"/>
      <c r="C196" s="176"/>
      <c r="D196" s="176"/>
      <c r="E196" s="176"/>
      <c r="F196" s="176"/>
      <c r="G196" s="176"/>
      <c r="H196" s="176"/>
      <c r="T196" s="34"/>
    </row>
    <row r="197" spans="1:20" s="32" customFormat="1" x14ac:dyDescent="0.3">
      <c r="A197" s="62" t="s">
        <v>146</v>
      </c>
      <c r="B197" s="68" t="s">
        <v>311</v>
      </c>
      <c r="C197" s="69"/>
      <c r="D197" s="69"/>
      <c r="E197" s="69"/>
      <c r="F197" s="69"/>
      <c r="G197" s="69"/>
      <c r="H197" s="70"/>
    </row>
    <row r="198" spans="1:20" s="32" customFormat="1" x14ac:dyDescent="0.3">
      <c r="A198" s="41" t="s">
        <v>146</v>
      </c>
      <c r="B198" s="68" t="str">
        <f>(IF(H161="Saleable area Loading :","We have considered Saleable area of Flats as per our Calculation.","We considered Saleable area of Flat as per Builder area Sheet."))</f>
        <v>We have considered Saleable area of Flats as per our Calculation.</v>
      </c>
      <c r="C198" s="69"/>
      <c r="D198" s="69"/>
      <c r="E198" s="69"/>
      <c r="F198" s="69"/>
      <c r="G198" s="69"/>
      <c r="H198" s="70"/>
    </row>
    <row r="199" spans="1:20" s="32" customFormat="1" ht="34.5" hidden="1" customHeight="1" x14ac:dyDescent="0.3">
      <c r="A199" s="41" t="s">
        <v>146</v>
      </c>
      <c r="B199" s="84" t="s">
        <v>116</v>
      </c>
      <c r="C199" s="85"/>
      <c r="D199" s="85"/>
      <c r="E199" s="85"/>
      <c r="F199" s="85"/>
      <c r="G199" s="85"/>
      <c r="H199" s="86"/>
    </row>
    <row r="200" spans="1:20" s="32" customFormat="1" x14ac:dyDescent="0.3">
      <c r="A200" s="41" t="s">
        <v>146</v>
      </c>
      <c r="B200" s="84" t="s">
        <v>340</v>
      </c>
      <c r="C200" s="85"/>
      <c r="D200" s="85"/>
      <c r="E200" s="85"/>
      <c r="F200" s="85"/>
      <c r="G200" s="85"/>
      <c r="H200" s="86"/>
    </row>
    <row r="201" spans="1:20" s="32" customFormat="1" x14ac:dyDescent="0.3">
      <c r="A201" s="41" t="s">
        <v>146</v>
      </c>
      <c r="B201" s="84" t="s">
        <v>145</v>
      </c>
      <c r="C201" s="85"/>
      <c r="D201" s="85"/>
      <c r="E201" s="85"/>
      <c r="F201" s="85"/>
      <c r="G201" s="85"/>
      <c r="H201" s="86"/>
    </row>
    <row r="202" spans="1:20" s="32" customFormat="1" x14ac:dyDescent="0.3">
      <c r="A202" s="41" t="s">
        <v>146</v>
      </c>
      <c r="B202" s="84" t="s">
        <v>117</v>
      </c>
      <c r="C202" s="85"/>
      <c r="D202" s="85"/>
      <c r="E202" s="85"/>
      <c r="F202" s="85"/>
      <c r="G202" s="85"/>
      <c r="H202" s="86"/>
    </row>
    <row r="203" spans="1:20" ht="32.25" customHeight="1" x14ac:dyDescent="0.3">
      <c r="A203" s="41" t="s">
        <v>146</v>
      </c>
      <c r="B203" s="84" t="s">
        <v>147</v>
      </c>
      <c r="C203" s="85"/>
      <c r="D203" s="85"/>
      <c r="E203" s="85"/>
      <c r="F203" s="85"/>
      <c r="G203" s="85"/>
      <c r="H203" s="86"/>
      <c r="T203" s="32"/>
    </row>
    <row r="204" spans="1:20" x14ac:dyDescent="0.3">
      <c r="A204" s="41" t="s">
        <v>146</v>
      </c>
      <c r="B204" s="84" t="s">
        <v>118</v>
      </c>
      <c r="C204" s="85"/>
      <c r="D204" s="85"/>
      <c r="E204" s="85"/>
      <c r="F204" s="85"/>
      <c r="G204" s="85"/>
      <c r="H204" s="86"/>
      <c r="T204" s="32"/>
    </row>
    <row r="205" spans="1:20" ht="32.25" customHeight="1" x14ac:dyDescent="0.3">
      <c r="A205" s="41" t="s">
        <v>146</v>
      </c>
      <c r="B205" s="68" t="s">
        <v>348</v>
      </c>
      <c r="C205" s="69"/>
      <c r="D205" s="69"/>
      <c r="E205" s="69"/>
      <c r="F205" s="69"/>
      <c r="G205" s="69"/>
      <c r="H205" s="70"/>
      <c r="T205" s="32"/>
    </row>
    <row r="206" spans="1:20" x14ac:dyDescent="0.3">
      <c r="A206" s="41" t="s">
        <v>146</v>
      </c>
      <c r="B206" s="68" t="s">
        <v>345</v>
      </c>
      <c r="C206" s="69"/>
      <c r="D206" s="69"/>
      <c r="E206" s="69"/>
      <c r="F206" s="69"/>
      <c r="G206" s="69"/>
      <c r="H206" s="70"/>
      <c r="T206" s="32"/>
    </row>
    <row r="207" spans="1:20" x14ac:dyDescent="0.3">
      <c r="A207" s="41" t="s">
        <v>146</v>
      </c>
      <c r="B207" s="68" t="s">
        <v>344</v>
      </c>
      <c r="C207" s="69"/>
      <c r="D207" s="69"/>
      <c r="E207" s="69"/>
      <c r="F207" s="69"/>
      <c r="G207" s="69"/>
      <c r="H207" s="70"/>
      <c r="T207" s="32"/>
    </row>
    <row r="208" spans="1:20" x14ac:dyDescent="0.3">
      <c r="A208" s="170" t="s">
        <v>57</v>
      </c>
      <c r="B208" s="170"/>
      <c r="C208" s="170"/>
      <c r="D208" s="170"/>
      <c r="E208" s="170"/>
      <c r="F208" s="170"/>
      <c r="G208" s="170"/>
      <c r="H208" s="170"/>
      <c r="T208" s="32"/>
    </row>
    <row r="209" spans="1:20" x14ac:dyDescent="0.3">
      <c r="A209" s="87" t="s">
        <v>58</v>
      </c>
      <c r="B209" s="87"/>
      <c r="C209" s="87"/>
      <c r="D209" s="87"/>
      <c r="E209" s="87"/>
      <c r="F209" s="87"/>
      <c r="G209" s="87"/>
      <c r="H209" s="87"/>
      <c r="T209" s="32"/>
    </row>
    <row r="210" spans="1:20" x14ac:dyDescent="0.3">
      <c r="A210" s="172" t="s">
        <v>59</v>
      </c>
      <c r="B210" s="172"/>
      <c r="C210" s="172"/>
      <c r="D210" s="172"/>
      <c r="E210" s="172"/>
      <c r="F210" s="172"/>
      <c r="G210" s="172"/>
      <c r="H210" s="172"/>
    </row>
    <row r="211" spans="1:20" ht="15.75" customHeight="1" x14ac:dyDescent="0.3">
      <c r="A211" s="87" t="s">
        <v>60</v>
      </c>
      <c r="B211" s="87"/>
      <c r="C211" s="87"/>
      <c r="D211" s="87"/>
      <c r="E211" s="87"/>
      <c r="F211" s="87"/>
      <c r="G211" s="87"/>
      <c r="H211" s="87"/>
    </row>
    <row r="212" spans="1:20" x14ac:dyDescent="0.3">
      <c r="A212" s="87" t="s">
        <v>61</v>
      </c>
      <c r="B212" s="87"/>
      <c r="C212" s="87"/>
      <c r="D212" s="87"/>
      <c r="E212" s="87"/>
      <c r="F212" s="87"/>
      <c r="G212" s="87"/>
      <c r="H212" s="87"/>
    </row>
    <row r="213" spans="1:20" x14ac:dyDescent="0.3">
      <c r="A213" s="87" t="s">
        <v>119</v>
      </c>
      <c r="B213" s="87"/>
      <c r="C213" s="87"/>
      <c r="D213" s="87"/>
      <c r="E213" s="87"/>
      <c r="F213" s="87"/>
      <c r="G213" s="87"/>
      <c r="H213" s="87"/>
    </row>
    <row r="214" spans="1:20" x14ac:dyDescent="0.3">
      <c r="A214" s="101" t="s">
        <v>120</v>
      </c>
      <c r="B214" s="101"/>
      <c r="C214" s="101"/>
      <c r="D214" s="101"/>
      <c r="E214" s="101"/>
      <c r="F214" s="101"/>
      <c r="G214" s="101"/>
      <c r="H214" s="101"/>
    </row>
    <row r="215" spans="1:20" x14ac:dyDescent="0.3">
      <c r="A215" s="168" t="s">
        <v>72</v>
      </c>
      <c r="B215" s="168"/>
      <c r="C215" s="168" t="s">
        <v>350</v>
      </c>
      <c r="D215" s="168"/>
      <c r="E215" s="168" t="s">
        <v>101</v>
      </c>
      <c r="F215" s="168"/>
      <c r="G215" s="168" t="s">
        <v>351</v>
      </c>
      <c r="H215" s="168"/>
    </row>
    <row r="216" spans="1:20" x14ac:dyDescent="0.3">
      <c r="A216" s="167" t="s">
        <v>74</v>
      </c>
      <c r="B216" s="167"/>
      <c r="C216" s="167"/>
      <c r="D216" s="167"/>
      <c r="E216" s="167"/>
      <c r="F216" s="167"/>
      <c r="G216" s="167"/>
      <c r="H216" s="167"/>
    </row>
    <row r="217" spans="1:20" x14ac:dyDescent="0.3">
      <c r="A217" s="167"/>
      <c r="B217" s="167"/>
      <c r="C217" s="167"/>
      <c r="D217" s="167"/>
      <c r="E217" s="167"/>
      <c r="F217" s="167"/>
      <c r="G217" s="167"/>
      <c r="H217" s="167"/>
    </row>
    <row r="218" spans="1:20" x14ac:dyDescent="0.3">
      <c r="A218" s="167"/>
      <c r="B218" s="167"/>
      <c r="C218" s="167"/>
      <c r="D218" s="167"/>
      <c r="E218" s="167"/>
      <c r="F218" s="167"/>
      <c r="G218" s="167"/>
      <c r="H218" s="167"/>
    </row>
    <row r="219" spans="1:20" ht="15" customHeight="1" x14ac:dyDescent="0.3">
      <c r="A219" s="167"/>
      <c r="B219" s="167"/>
      <c r="C219" s="167"/>
      <c r="D219" s="167"/>
      <c r="E219" s="167"/>
      <c r="F219" s="167"/>
      <c r="G219" s="167"/>
      <c r="H219" s="167"/>
    </row>
    <row r="220" spans="1:20" x14ac:dyDescent="0.3">
      <c r="A220" s="35" t="s">
        <v>62</v>
      </c>
      <c r="B220" s="36"/>
      <c r="C220" s="36"/>
      <c r="D220" s="35" t="str">
        <f>E9</f>
        <v>Shanti Skyraa</v>
      </c>
      <c r="F220" s="36"/>
      <c r="G220" s="36"/>
      <c r="H220" s="36"/>
    </row>
    <row r="221" spans="1:20" x14ac:dyDescent="0.3">
      <c r="A221" s="36"/>
      <c r="B221" s="36"/>
      <c r="C221" s="36"/>
      <c r="D221" s="36"/>
      <c r="E221" s="36"/>
      <c r="F221" s="36"/>
      <c r="G221" s="36"/>
      <c r="H221" s="36"/>
    </row>
    <row r="222" spans="1:20" x14ac:dyDescent="0.3">
      <c r="A222" s="36"/>
      <c r="B222" s="36"/>
      <c r="C222" s="36"/>
      <c r="D222" s="36"/>
      <c r="E222" s="36"/>
      <c r="F222" s="36"/>
      <c r="G222" s="36"/>
      <c r="H222" s="36"/>
    </row>
    <row r="225" spans="9:9" x14ac:dyDescent="0.3">
      <c r="I225"/>
    </row>
    <row r="250" spans="3:3" x14ac:dyDescent="0.3">
      <c r="C250"/>
    </row>
    <row r="262" spans="1:1" x14ac:dyDescent="0.3">
      <c r="A262" s="38" t="s">
        <v>153</v>
      </c>
    </row>
    <row r="304" spans="1:1" x14ac:dyDescent="0.3">
      <c r="A304" s="38" t="s">
        <v>63</v>
      </c>
    </row>
  </sheetData>
  <mergeCells count="360">
    <mergeCell ref="D67:H67"/>
    <mergeCell ref="D68:H68"/>
    <mergeCell ref="A65:C68"/>
    <mergeCell ref="A179:H179"/>
    <mergeCell ref="A184:H184"/>
    <mergeCell ref="A185:H185"/>
    <mergeCell ref="A186:H186"/>
    <mergeCell ref="G156:H156"/>
    <mergeCell ref="C156:D156"/>
    <mergeCell ref="E156:F156"/>
    <mergeCell ref="A176:H176"/>
    <mergeCell ref="A177:H177"/>
    <mergeCell ref="A178:H178"/>
    <mergeCell ref="A118:B118"/>
    <mergeCell ref="C118:H118"/>
    <mergeCell ref="A120:B120"/>
    <mergeCell ref="C120:H120"/>
    <mergeCell ref="A121:B121"/>
    <mergeCell ref="E121:F121"/>
    <mergeCell ref="G121:H121"/>
    <mergeCell ref="A122:B122"/>
    <mergeCell ref="D65:H65"/>
    <mergeCell ref="D66:H66"/>
    <mergeCell ref="A93:B93"/>
    <mergeCell ref="I15:P15"/>
    <mergeCell ref="F139:H139"/>
    <mergeCell ref="F137:H137"/>
    <mergeCell ref="A160:H160"/>
    <mergeCell ref="G143:H143"/>
    <mergeCell ref="A138:E138"/>
    <mergeCell ref="A60:B60"/>
    <mergeCell ref="C60:E60"/>
    <mergeCell ref="D62:H62"/>
    <mergeCell ref="F138:H138"/>
    <mergeCell ref="E143:F143"/>
    <mergeCell ref="A143:B143"/>
    <mergeCell ref="A145:B145"/>
    <mergeCell ref="C148:D148"/>
    <mergeCell ref="D73:H73"/>
    <mergeCell ref="A74:C74"/>
    <mergeCell ref="E43:H43"/>
    <mergeCell ref="A43:D43"/>
    <mergeCell ref="A90:B90"/>
    <mergeCell ref="C90:H90"/>
    <mergeCell ref="A85:B85"/>
    <mergeCell ref="A50:B50"/>
    <mergeCell ref="C50:E50"/>
    <mergeCell ref="A104:B104"/>
    <mergeCell ref="G50:H50"/>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1:E51"/>
    <mergeCell ref="A213:H213"/>
    <mergeCell ref="A210:H210"/>
    <mergeCell ref="A148:B148"/>
    <mergeCell ref="D161:D162"/>
    <mergeCell ref="E161:E162"/>
    <mergeCell ref="A98:B98"/>
    <mergeCell ref="A99:B99"/>
    <mergeCell ref="A100:B100"/>
    <mergeCell ref="F133:H133"/>
    <mergeCell ref="G144:H144"/>
    <mergeCell ref="F136:H136"/>
    <mergeCell ref="C143:D143"/>
    <mergeCell ref="C157:D157"/>
    <mergeCell ref="A165:H165"/>
    <mergeCell ref="A163:H163"/>
    <mergeCell ref="A166:H166"/>
    <mergeCell ref="B197:H197"/>
    <mergeCell ref="B198:H198"/>
    <mergeCell ref="B199:H199"/>
    <mergeCell ref="A196:H196"/>
    <mergeCell ref="C104:H104"/>
    <mergeCell ref="A161:A162"/>
    <mergeCell ref="F161:F162"/>
    <mergeCell ref="G94:H103"/>
    <mergeCell ref="A95:B95"/>
    <mergeCell ref="A96:B96"/>
    <mergeCell ref="A97:B97"/>
    <mergeCell ref="A133:E133"/>
    <mergeCell ref="A94:B94"/>
    <mergeCell ref="A149:A150"/>
    <mergeCell ref="F132:H132"/>
    <mergeCell ref="A106:B106"/>
    <mergeCell ref="C106:H106"/>
    <mergeCell ref="A107:B107"/>
    <mergeCell ref="E107:F107"/>
    <mergeCell ref="G107:H107"/>
    <mergeCell ref="A108:B108"/>
    <mergeCell ref="E108:F117"/>
    <mergeCell ref="G108:H117"/>
    <mergeCell ref="A109:B109"/>
    <mergeCell ref="A110:B110"/>
    <mergeCell ref="A111:B111"/>
    <mergeCell ref="A112:B112"/>
    <mergeCell ref="A113:B113"/>
    <mergeCell ref="A135:E135"/>
    <mergeCell ref="F135:H135"/>
    <mergeCell ref="A137:E137"/>
    <mergeCell ref="A136:E136"/>
    <mergeCell ref="A101:B101"/>
    <mergeCell ref="A102:B102"/>
    <mergeCell ref="E148:F148"/>
    <mergeCell ref="A159:H159"/>
    <mergeCell ref="A114:B114"/>
    <mergeCell ref="A115:B115"/>
    <mergeCell ref="A116:B116"/>
    <mergeCell ref="A117:B117"/>
    <mergeCell ref="E122:F131"/>
    <mergeCell ref="G122:H131"/>
    <mergeCell ref="A123:B123"/>
    <mergeCell ref="A124:B124"/>
    <mergeCell ref="A125:B125"/>
    <mergeCell ref="A126:B126"/>
    <mergeCell ref="A127:B127"/>
    <mergeCell ref="A128:B128"/>
    <mergeCell ref="A129:B129"/>
    <mergeCell ref="A130:B130"/>
    <mergeCell ref="A131:B131"/>
    <mergeCell ref="E153:F153"/>
    <mergeCell ref="A87:B87"/>
    <mergeCell ref="A216:H219"/>
    <mergeCell ref="A215:B215"/>
    <mergeCell ref="E215:F215"/>
    <mergeCell ref="C215:D215"/>
    <mergeCell ref="G215:H215"/>
    <mergeCell ref="A142:H142"/>
    <mergeCell ref="A140:E140"/>
    <mergeCell ref="F140:H140"/>
    <mergeCell ref="A141:E141"/>
    <mergeCell ref="F141:H141"/>
    <mergeCell ref="A144:B144"/>
    <mergeCell ref="A211:H211"/>
    <mergeCell ref="A147:H147"/>
    <mergeCell ref="A214:H214"/>
    <mergeCell ref="A212:H212"/>
    <mergeCell ref="A208:H208"/>
    <mergeCell ref="G148:H148"/>
    <mergeCell ref="B161:B162"/>
    <mergeCell ref="A209:H209"/>
    <mergeCell ref="F134:H134"/>
    <mergeCell ref="E93:F93"/>
    <mergeCell ref="G93:H93"/>
    <mergeCell ref="E94:F103"/>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E27:H27"/>
    <mergeCell ref="A29:D29"/>
    <mergeCell ref="E29:H29"/>
    <mergeCell ref="A26:D26"/>
    <mergeCell ref="E26:H26"/>
    <mergeCell ref="A25:D25"/>
    <mergeCell ref="E25:H25"/>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38:H38"/>
    <mergeCell ref="A37:B37"/>
    <mergeCell ref="C37:E37"/>
    <mergeCell ref="A42:D42"/>
    <mergeCell ref="E42:H42"/>
    <mergeCell ref="A41:H41"/>
    <mergeCell ref="A69:C69"/>
    <mergeCell ref="A70:C70"/>
    <mergeCell ref="D69:H69"/>
    <mergeCell ref="D70:H70"/>
    <mergeCell ref="A44:D44"/>
    <mergeCell ref="E44:H44"/>
    <mergeCell ref="E45:H45"/>
    <mergeCell ref="E46:H46"/>
    <mergeCell ref="E47:H47"/>
    <mergeCell ref="C57:H57"/>
    <mergeCell ref="C59:H59"/>
    <mergeCell ref="C49:H49"/>
    <mergeCell ref="F37:H37"/>
    <mergeCell ref="C53:H53"/>
    <mergeCell ref="C52:E52"/>
    <mergeCell ref="A39:B39"/>
    <mergeCell ref="C39:H39"/>
    <mergeCell ref="A46:D46"/>
    <mergeCell ref="L164:M164"/>
    <mergeCell ref="C55:H55"/>
    <mergeCell ref="A79:B79"/>
    <mergeCell ref="A78:B78"/>
    <mergeCell ref="A76:B76"/>
    <mergeCell ref="C76:H76"/>
    <mergeCell ref="A132:E132"/>
    <mergeCell ref="A82:B82"/>
    <mergeCell ref="A164:H164"/>
    <mergeCell ref="A134:E134"/>
    <mergeCell ref="A103:B103"/>
    <mergeCell ref="A157:B157"/>
    <mergeCell ref="D64:H64"/>
    <mergeCell ref="A64:C64"/>
    <mergeCell ref="A86:B86"/>
    <mergeCell ref="C92:H92"/>
    <mergeCell ref="A84:B84"/>
    <mergeCell ref="A92:B92"/>
    <mergeCell ref="A71:C71"/>
    <mergeCell ref="D71:H71"/>
    <mergeCell ref="C78:H78"/>
    <mergeCell ref="A81:B81"/>
    <mergeCell ref="A83:B83"/>
    <mergeCell ref="E79:F79"/>
    <mergeCell ref="A40:B40"/>
    <mergeCell ref="C40:H40"/>
    <mergeCell ref="C144:D144"/>
    <mergeCell ref="E144:F144"/>
    <mergeCell ref="C161:C162"/>
    <mergeCell ref="G161:G162"/>
    <mergeCell ref="L162:M162"/>
    <mergeCell ref="L163:M163"/>
    <mergeCell ref="A47:D47"/>
    <mergeCell ref="A48:H48"/>
    <mergeCell ref="A45:D45"/>
    <mergeCell ref="A49:B49"/>
    <mergeCell ref="A72:C72"/>
    <mergeCell ref="D72:H72"/>
    <mergeCell ref="A75:C75"/>
    <mergeCell ref="D75:H75"/>
    <mergeCell ref="A73:C73"/>
    <mergeCell ref="D74:H74"/>
    <mergeCell ref="A80:B80"/>
    <mergeCell ref="G79:H79"/>
    <mergeCell ref="E80:F89"/>
    <mergeCell ref="G80:H89"/>
    <mergeCell ref="A88:B88"/>
    <mergeCell ref="A89:B89"/>
    <mergeCell ref="B203:H203"/>
    <mergeCell ref="A139:E139"/>
    <mergeCell ref="G157:H157"/>
    <mergeCell ref="C145:D145"/>
    <mergeCell ref="E145:F145"/>
    <mergeCell ref="G145:H145"/>
    <mergeCell ref="A146:B146"/>
    <mergeCell ref="C146:D146"/>
    <mergeCell ref="E146:F146"/>
    <mergeCell ref="G146:H146"/>
    <mergeCell ref="C150:D150"/>
    <mergeCell ref="E150:F150"/>
    <mergeCell ref="G150:H150"/>
    <mergeCell ref="C149:D149"/>
    <mergeCell ref="E149:F149"/>
    <mergeCell ref="G149:H149"/>
    <mergeCell ref="E157:F157"/>
    <mergeCell ref="A154:H154"/>
    <mergeCell ref="A155:B155"/>
    <mergeCell ref="C155:D155"/>
    <mergeCell ref="E155:F155"/>
    <mergeCell ref="G155:H155"/>
    <mergeCell ref="A153:B153"/>
    <mergeCell ref="C153:D153"/>
    <mergeCell ref="B207:H207"/>
    <mergeCell ref="A158:B158"/>
    <mergeCell ref="C158:D158"/>
    <mergeCell ref="E158:F158"/>
    <mergeCell ref="G158:H158"/>
    <mergeCell ref="L165:M165"/>
    <mergeCell ref="G153:H153"/>
    <mergeCell ref="A151:A152"/>
    <mergeCell ref="C151:D151"/>
    <mergeCell ref="E151:F151"/>
    <mergeCell ref="G151:H151"/>
    <mergeCell ref="C152:D152"/>
    <mergeCell ref="E152:F152"/>
    <mergeCell ref="G152:H152"/>
    <mergeCell ref="A191:H191"/>
    <mergeCell ref="B205:H205"/>
    <mergeCell ref="B206:H206"/>
    <mergeCell ref="A170:H170"/>
    <mergeCell ref="A171:H171"/>
    <mergeCell ref="A172:H172"/>
    <mergeCell ref="B204:H204"/>
    <mergeCell ref="B202:H202"/>
    <mergeCell ref="B201:H201"/>
    <mergeCell ref="B200:H200"/>
  </mergeCells>
  <dataValidations count="13">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F132:H132" xr:uid="{00000000-0002-0000-0000-000003000000}">
      <formula1>"On Saleable Area,On Builtup Area,On Carpet Area,On Plot Area"</formula1>
    </dataValidation>
    <dataValidation type="list" allowBlank="1" showInputMessage="1" showErrorMessage="1" sqref="F140:H140" xr:uid="{00000000-0002-0000-0000-000004000000}">
      <formula1>OFFSET($S$132,1,MATCH($G20,$S$132:$W$132,0)-1,15,1)</formula1>
    </dataValidation>
    <dataValidation type="list" allowBlank="1" showInputMessage="1" showErrorMessage="1" sqref="B161:B162" xr:uid="{00000000-0002-0000-0000-000005000000}">
      <formula1>"Flat No. (Sale Plan),Sale / Rehab,Sale / EWS"</formula1>
    </dataValidation>
    <dataValidation type="list" allowBlank="1" showInputMessage="1" showErrorMessage="1" sqref="C21:D21" xr:uid="{00000000-0002-0000-0000-000006000000}">
      <formula1>OFFSET($S$13,1,MATCH($G20,$S$13:$W$13,0)-1,15,1)</formula1>
    </dataValidation>
    <dataValidation type="list" allowBlank="1" showInputMessage="1" showErrorMessage="1" sqref="Y13" xr:uid="{00000000-0002-0000-0000-000007000000}">
      <formula1>$D$5:$H$5</formula1>
    </dataValidation>
    <dataValidation type="list" allowBlank="1" showInputMessage="1" showErrorMessage="1" sqref="E161:E162" xr:uid="{00000000-0002-0000-0000-000008000000}">
      <formula1>"Fungible area,Balcony Area,Chajja Area,Cornice Area,AP Area,WS Area"</formula1>
    </dataValidation>
    <dataValidation type="list" allowBlank="1" showInputMessage="1" showErrorMessage="1" sqref="H162" xr:uid="{00000000-0002-0000-0000-000009000000}">
      <formula1>".45,.50,.55,.60"</formula1>
    </dataValidation>
    <dataValidation type="list" allowBlank="1" showInputMessage="1" showErrorMessage="1" sqref="E4:H4" xr:uid="{00000000-0002-0000-0000-00000A000000}">
      <formula1>$L$3:$P$3</formula1>
    </dataValidation>
    <dataValidation type="list" allowBlank="1" showInputMessage="1" showErrorMessage="1" sqref="C49:H49" xr:uid="{00000000-0002-0000-0000-00000B000000}">
      <formula1>OFFSET($S$49,1,MATCH($G20,$S$49:$W$49,0)-1,15,1)</formula1>
    </dataValidation>
    <dataValidation type="whole" allowBlank="1" showInputMessage="1" showErrorMessage="1" sqref="C85 C113 C99" xr:uid="{00000000-0002-0000-0000-00000C000000}">
      <formula1>0</formula1>
      <formula2>H77</formula2>
    </dataValidation>
  </dataValidations>
  <hyperlinks>
    <hyperlink ref="C40" r:id="rId1" xr:uid="{00000000-0004-0000-0000-000000000000}"/>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7" manualBreakCount="7">
    <brk id="32" max="16383" man="1"/>
    <brk id="103" max="16383" man="1"/>
    <brk id="158" max="16383" man="1"/>
    <brk id="195" max="16383" man="1"/>
    <brk id="219" max="7" man="1"/>
    <brk id="261" max="7" man="1"/>
    <brk id="303"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topLeftCell="A16" zoomScale="85" zoomScaleNormal="85" workbookViewId="0">
      <selection activeCell="C25" sqref="C25"/>
    </sheetView>
  </sheetViews>
  <sheetFormatPr defaultColWidth="8.6640625" defaultRowHeight="14.4" x14ac:dyDescent="0.3"/>
  <cols>
    <col min="1" max="1" width="8.6640625" style="1"/>
    <col min="2" max="2" width="22.109375" style="1" customWidth="1"/>
    <col min="3" max="3" width="37" style="1" customWidth="1"/>
    <col min="4" max="5" width="11.44140625" style="1" customWidth="1"/>
    <col min="6" max="6" width="14" style="1" customWidth="1"/>
    <col min="7" max="7" width="20" style="1" customWidth="1"/>
    <col min="8" max="8" width="16.44140625" style="1" customWidth="1"/>
    <col min="9" max="16384" width="8.6640625" style="1"/>
  </cols>
  <sheetData>
    <row r="1" spans="1:9" ht="15" customHeight="1" x14ac:dyDescent="0.3"/>
    <row r="2" spans="1:9" ht="15" customHeight="1" x14ac:dyDescent="0.3">
      <c r="A2" s="2"/>
      <c r="B2" s="2"/>
      <c r="C2" s="2"/>
      <c r="D2" s="2"/>
      <c r="E2" s="2"/>
      <c r="F2" s="2"/>
      <c r="G2" s="2"/>
      <c r="H2" s="2"/>
    </row>
    <row r="3" spans="1:9" ht="15.75" customHeight="1" x14ac:dyDescent="0.3">
      <c r="A3" s="2"/>
      <c r="B3" s="213" t="s">
        <v>102</v>
      </c>
      <c r="C3" s="213"/>
      <c r="D3" s="213"/>
      <c r="E3" s="213"/>
      <c r="F3" s="213"/>
      <c r="G3" s="213"/>
      <c r="H3" s="213"/>
    </row>
    <row r="4" spans="1:9" x14ac:dyDescent="0.3">
      <c r="A4" s="2"/>
      <c r="B4" s="3" t="s">
        <v>103</v>
      </c>
      <c r="C4" s="3" t="s">
        <v>104</v>
      </c>
      <c r="D4" s="3" t="s">
        <v>65</v>
      </c>
      <c r="E4" s="3" t="s">
        <v>105</v>
      </c>
      <c r="F4" s="3" t="s">
        <v>111</v>
      </c>
      <c r="G4" s="3" t="s">
        <v>112</v>
      </c>
      <c r="H4" s="3" t="s">
        <v>106</v>
      </c>
    </row>
    <row r="5" spans="1:9" ht="15" customHeight="1" x14ac:dyDescent="0.3">
      <c r="A5" s="2"/>
      <c r="B5" s="5" t="s">
        <v>107</v>
      </c>
      <c r="C5" s="6"/>
      <c r="D5" s="5"/>
      <c r="E5" s="5"/>
      <c r="F5" s="7">
        <f>E5*1.6</f>
        <v>0</v>
      </c>
      <c r="G5" s="7" t="e">
        <f>H5/F5</f>
        <v>#DIV/0!</v>
      </c>
      <c r="H5" s="8"/>
    </row>
    <row r="6" spans="1:9" x14ac:dyDescent="0.3">
      <c r="A6" s="2"/>
      <c r="B6" s="5" t="s">
        <v>107</v>
      </c>
      <c r="C6" s="9"/>
      <c r="D6" s="5"/>
      <c r="E6" s="5"/>
      <c r="F6" s="7">
        <f t="shared" ref="F6:F11" si="0">E6*1.6</f>
        <v>0</v>
      </c>
      <c r="G6" s="7" t="e">
        <f t="shared" ref="G6:G11" si="1">H6/F6</f>
        <v>#DIV/0!</v>
      </c>
      <c r="H6" s="8"/>
    </row>
    <row r="7" spans="1:9" ht="15" customHeight="1" x14ac:dyDescent="0.3">
      <c r="A7" s="2"/>
      <c r="B7" s="5" t="s">
        <v>107</v>
      </c>
      <c r="C7" s="6"/>
      <c r="D7" s="5"/>
      <c r="E7" s="5"/>
      <c r="F7" s="7">
        <f t="shared" si="0"/>
        <v>0</v>
      </c>
      <c r="G7" s="7" t="e">
        <f t="shared" si="1"/>
        <v>#DIV/0!</v>
      </c>
      <c r="H7" s="8"/>
    </row>
    <row r="8" spans="1:9" x14ac:dyDescent="0.3">
      <c r="A8" s="2"/>
      <c r="B8" s="5" t="s">
        <v>107</v>
      </c>
      <c r="C8" s="9"/>
      <c r="D8" s="5"/>
      <c r="E8" s="5"/>
      <c r="F8" s="7">
        <f t="shared" si="0"/>
        <v>0</v>
      </c>
      <c r="G8" s="7" t="e">
        <f t="shared" si="1"/>
        <v>#DIV/0!</v>
      </c>
      <c r="H8" s="8"/>
    </row>
    <row r="9" spans="1:9" ht="15" customHeight="1" x14ac:dyDescent="0.3">
      <c r="A9" s="2"/>
      <c r="B9" s="5" t="s">
        <v>107</v>
      </c>
      <c r="C9" s="9"/>
      <c r="D9" s="5"/>
      <c r="E9" s="5"/>
      <c r="F9" s="7">
        <f t="shared" si="0"/>
        <v>0</v>
      </c>
      <c r="G9" s="7" t="e">
        <f t="shared" si="1"/>
        <v>#DIV/0!</v>
      </c>
      <c r="H9" s="8"/>
    </row>
    <row r="10" spans="1:9" ht="15" customHeight="1" x14ac:dyDescent="0.3">
      <c r="A10" s="2"/>
      <c r="B10" s="5" t="s">
        <v>108</v>
      </c>
      <c r="C10" s="6"/>
      <c r="D10" s="5"/>
      <c r="E10" s="5"/>
      <c r="F10" s="7">
        <f t="shared" si="0"/>
        <v>0</v>
      </c>
      <c r="G10" s="7" t="e">
        <f t="shared" si="1"/>
        <v>#DIV/0!</v>
      </c>
      <c r="H10" s="8"/>
    </row>
    <row r="11" spans="1:9" ht="15" customHeight="1" x14ac:dyDescent="0.3">
      <c r="A11" s="2"/>
      <c r="B11" s="5" t="s">
        <v>108</v>
      </c>
      <c r="C11" s="6"/>
      <c r="D11" s="5"/>
      <c r="E11" s="5"/>
      <c r="F11" s="7">
        <f t="shared" si="0"/>
        <v>0</v>
      </c>
      <c r="G11" s="7" t="e">
        <f t="shared" si="1"/>
        <v>#DIV/0!</v>
      </c>
      <c r="H11" s="8"/>
    </row>
    <row r="12" spans="1:9" ht="15" customHeight="1" x14ac:dyDescent="0.3">
      <c r="A12" s="2"/>
      <c r="B12" s="10" t="s">
        <v>109</v>
      </c>
      <c r="C12" s="5"/>
      <c r="D12" s="5"/>
      <c r="E12" s="5"/>
      <c r="F12" s="5"/>
      <c r="G12" s="11" t="e">
        <f>AVERAGE(G5:G11)</f>
        <v>#DIV/0!</v>
      </c>
      <c r="H12" s="5"/>
    </row>
    <row r="13" spans="1:9" ht="15" customHeight="1" x14ac:dyDescent="0.3">
      <c r="B13" s="10" t="s">
        <v>110</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4.4" x14ac:dyDescent="0.3"/>
  <cols>
    <col min="4" max="4" width="13.88671875" bestFit="1" customWidth="1"/>
    <col min="5" max="5" width="10.44140625" bestFit="1" customWidth="1"/>
    <col min="6" max="6" width="12.44140625" bestFit="1" customWidth="1"/>
    <col min="7" max="7" width="18.109375" customWidth="1"/>
    <col min="8" max="8" width="10.5546875" bestFit="1" customWidth="1"/>
  </cols>
  <sheetData>
    <row r="3" spans="2:11" x14ac:dyDescent="0.3">
      <c r="J3">
        <v>1</v>
      </c>
      <c r="K3">
        <v>2</v>
      </c>
    </row>
    <row r="4" spans="2:11" x14ac:dyDescent="0.3">
      <c r="B4" s="47"/>
      <c r="C4" s="47" t="s">
        <v>11</v>
      </c>
      <c r="D4" s="48" t="s">
        <v>163</v>
      </c>
      <c r="E4" s="48" t="s">
        <v>173</v>
      </c>
      <c r="F4" s="48" t="s">
        <v>161</v>
      </c>
      <c r="G4" s="48" t="s">
        <v>178</v>
      </c>
      <c r="H4" s="48" t="s">
        <v>196</v>
      </c>
      <c r="J4" t="s">
        <v>178</v>
      </c>
      <c r="K4" t="s">
        <v>194</v>
      </c>
    </row>
    <row r="5" spans="2:11" x14ac:dyDescent="0.3">
      <c r="B5" s="47"/>
      <c r="C5" s="47"/>
      <c r="D5" s="48" t="s">
        <v>164</v>
      </c>
      <c r="E5" s="48" t="s">
        <v>171</v>
      </c>
      <c r="F5" s="48" t="s">
        <v>193</v>
      </c>
      <c r="G5" s="48" t="s">
        <v>179</v>
      </c>
      <c r="H5" s="48" t="s">
        <v>197</v>
      </c>
    </row>
    <row r="6" spans="2:11" x14ac:dyDescent="0.3">
      <c r="B6" s="47"/>
      <c r="C6" s="47"/>
      <c r="D6" s="48" t="s">
        <v>165</v>
      </c>
      <c r="E6" s="48" t="s">
        <v>172</v>
      </c>
      <c r="F6" s="48" t="s">
        <v>194</v>
      </c>
      <c r="G6" s="48" t="s">
        <v>180</v>
      </c>
      <c r="H6" s="48" t="s">
        <v>210</v>
      </c>
    </row>
    <row r="7" spans="2:11" x14ac:dyDescent="0.3">
      <c r="B7" s="47"/>
      <c r="C7" s="47"/>
      <c r="D7" s="48" t="s">
        <v>166</v>
      </c>
      <c r="E7" s="48" t="s">
        <v>174</v>
      </c>
      <c r="F7" s="48" t="s">
        <v>195</v>
      </c>
      <c r="G7" s="48" t="s">
        <v>181</v>
      </c>
      <c r="H7" s="48" t="s">
        <v>198</v>
      </c>
    </row>
    <row r="8" spans="2:11" x14ac:dyDescent="0.3">
      <c r="B8" s="47"/>
      <c r="C8" s="47"/>
      <c r="D8" s="48" t="s">
        <v>167</v>
      </c>
      <c r="E8" s="48" t="s">
        <v>175</v>
      </c>
      <c r="F8" s="48"/>
      <c r="G8" s="48" t="s">
        <v>182</v>
      </c>
      <c r="H8" s="48" t="s">
        <v>199</v>
      </c>
    </row>
    <row r="9" spans="2:11" x14ac:dyDescent="0.3">
      <c r="B9" s="47"/>
      <c r="C9" s="47"/>
      <c r="D9" s="48" t="s">
        <v>168</v>
      </c>
      <c r="E9" s="48" t="s">
        <v>173</v>
      </c>
      <c r="F9" s="48"/>
      <c r="G9" s="48" t="s">
        <v>183</v>
      </c>
      <c r="H9" s="48" t="s">
        <v>200</v>
      </c>
    </row>
    <row r="10" spans="2:11" x14ac:dyDescent="0.3">
      <c r="B10" s="47"/>
      <c r="C10" s="47"/>
      <c r="D10" s="48" t="s">
        <v>169</v>
      </c>
      <c r="E10" s="48" t="s">
        <v>176</v>
      </c>
      <c r="F10" s="48"/>
      <c r="G10" s="48" t="s">
        <v>184</v>
      </c>
      <c r="H10" s="48" t="s">
        <v>201</v>
      </c>
    </row>
    <row r="11" spans="2:11" x14ac:dyDescent="0.3">
      <c r="B11" s="47"/>
      <c r="C11" s="47"/>
      <c r="D11" s="48" t="s">
        <v>170</v>
      </c>
      <c r="E11" s="48" t="s">
        <v>177</v>
      </c>
      <c r="F11" s="48"/>
      <c r="G11" s="48" t="s">
        <v>185</v>
      </c>
      <c r="H11" s="48" t="s">
        <v>202</v>
      </c>
    </row>
    <row r="12" spans="2:11" x14ac:dyDescent="0.3">
      <c r="B12" s="47"/>
      <c r="C12" s="47"/>
      <c r="D12" s="48"/>
      <c r="E12" s="48"/>
      <c r="F12" s="48"/>
      <c r="G12" s="48" t="s">
        <v>186</v>
      </c>
      <c r="H12" s="48" t="s">
        <v>203</v>
      </c>
    </row>
    <row r="13" spans="2:11" x14ac:dyDescent="0.3">
      <c r="B13" s="47"/>
      <c r="C13" s="47"/>
      <c r="D13" s="48"/>
      <c r="E13" s="48"/>
      <c r="F13" s="48"/>
      <c r="G13" s="48" t="s">
        <v>187</v>
      </c>
      <c r="H13" s="48" t="s">
        <v>204</v>
      </c>
    </row>
    <row r="14" spans="2:11" x14ac:dyDescent="0.3">
      <c r="B14" s="47"/>
      <c r="C14" s="47"/>
      <c r="D14" s="48"/>
      <c r="E14" s="48"/>
      <c r="F14" s="48"/>
      <c r="G14" s="48" t="s">
        <v>188</v>
      </c>
      <c r="H14" s="48" t="s">
        <v>205</v>
      </c>
    </row>
    <row r="15" spans="2:11" x14ac:dyDescent="0.3">
      <c r="B15" s="47"/>
      <c r="C15" s="47"/>
      <c r="D15" s="48"/>
      <c r="E15" s="48"/>
      <c r="F15" s="48"/>
      <c r="G15" s="48" t="s">
        <v>189</v>
      </c>
      <c r="H15" s="48" t="s">
        <v>206</v>
      </c>
    </row>
    <row r="16" spans="2:11" x14ac:dyDescent="0.3">
      <c r="B16" s="47"/>
      <c r="C16" s="47"/>
      <c r="D16" s="48"/>
      <c r="E16" s="48"/>
      <c r="F16" s="48"/>
      <c r="G16" s="48" t="s">
        <v>190</v>
      </c>
      <c r="H16" s="48" t="s">
        <v>207</v>
      </c>
    </row>
    <row r="17" spans="2:8" x14ac:dyDescent="0.3">
      <c r="B17" s="47"/>
      <c r="C17" s="47"/>
      <c r="D17" s="48"/>
      <c r="E17" s="48"/>
      <c r="F17" s="48"/>
      <c r="G17" s="48" t="s">
        <v>191</v>
      </c>
      <c r="H17" s="48" t="s">
        <v>208</v>
      </c>
    </row>
    <row r="18" spans="2:8" x14ac:dyDescent="0.3">
      <c r="B18" s="47"/>
      <c r="C18" s="47"/>
      <c r="D18" s="48"/>
      <c r="E18" s="48"/>
      <c r="F18" s="48"/>
      <c r="G18" s="48" t="s">
        <v>192</v>
      </c>
      <c r="H18" s="48" t="s">
        <v>209</v>
      </c>
    </row>
    <row r="24" spans="2:8" x14ac:dyDescent="0.3">
      <c r="C24" t="s">
        <v>158</v>
      </c>
    </row>
    <row r="25" spans="2:8" x14ac:dyDescent="0.3">
      <c r="C25" t="s">
        <v>211</v>
      </c>
    </row>
    <row r="26" spans="2:8" x14ac:dyDescent="0.3">
      <c r="C26" t="s">
        <v>212</v>
      </c>
    </row>
    <row r="27" spans="2:8" x14ac:dyDescent="0.3">
      <c r="C27" t="s">
        <v>213</v>
      </c>
    </row>
    <row r="28" spans="2:8" x14ac:dyDescent="0.3">
      <c r="C28" t="s">
        <v>214</v>
      </c>
    </row>
    <row r="29" spans="2:8" x14ac:dyDescent="0.3">
      <c r="C29" t="s">
        <v>215</v>
      </c>
    </row>
    <row r="30" spans="2:8" x14ac:dyDescent="0.3">
      <c r="C30" t="s">
        <v>158</v>
      </c>
    </row>
    <row r="33" spans="3:11" x14ac:dyDescent="0.3">
      <c r="J33">
        <v>1</v>
      </c>
      <c r="K33">
        <v>2</v>
      </c>
    </row>
    <row r="34" spans="3:11" x14ac:dyDescent="0.3">
      <c r="C34" s="50" t="s">
        <v>220</v>
      </c>
      <c r="D34" s="48" t="s">
        <v>218</v>
      </c>
      <c r="E34" s="48" t="s">
        <v>223</v>
      </c>
      <c r="F34" s="48" t="s">
        <v>221</v>
      </c>
      <c r="G34" s="48" t="s">
        <v>222</v>
      </c>
      <c r="H34" s="48" t="s">
        <v>224</v>
      </c>
      <c r="J34" t="s">
        <v>178</v>
      </c>
      <c r="K34" t="s">
        <v>194</v>
      </c>
    </row>
    <row r="35" spans="3:11" x14ac:dyDescent="0.3">
      <c r="C35" s="47" t="s">
        <v>219</v>
      </c>
      <c r="D35" s="48" t="s">
        <v>159</v>
      </c>
      <c r="E35" s="48" t="s">
        <v>228</v>
      </c>
      <c r="F35" s="48" t="s">
        <v>230</v>
      </c>
      <c r="G35" s="48" t="s">
        <v>232</v>
      </c>
      <c r="H35" s="48"/>
    </row>
    <row r="36" spans="3:11" x14ac:dyDescent="0.3">
      <c r="C36" s="47"/>
      <c r="D36" s="48" t="s">
        <v>225</v>
      </c>
      <c r="E36" s="48" t="s">
        <v>229</v>
      </c>
      <c r="F36" s="48" t="s">
        <v>231</v>
      </c>
      <c r="G36" s="48" t="s">
        <v>233</v>
      </c>
      <c r="H36" s="48"/>
    </row>
    <row r="37" spans="3:11" x14ac:dyDescent="0.3">
      <c r="C37" s="47"/>
      <c r="D37" s="48" t="s">
        <v>226</v>
      </c>
      <c r="E37" s="48"/>
      <c r="F37" s="48"/>
      <c r="G37" s="48" t="s">
        <v>234</v>
      </c>
      <c r="H37" s="48"/>
    </row>
    <row r="38" spans="3:11" x14ac:dyDescent="0.3">
      <c r="C38" s="47"/>
      <c r="D38" s="48" t="s">
        <v>227</v>
      </c>
      <c r="E38" s="48"/>
      <c r="F38" s="48"/>
      <c r="G38" s="48" t="s">
        <v>234</v>
      </c>
      <c r="H38" s="48"/>
    </row>
    <row r="39" spans="3:11" x14ac:dyDescent="0.3">
      <c r="C39" s="47"/>
      <c r="D39" s="48"/>
      <c r="E39" s="48"/>
      <c r="F39" s="48"/>
      <c r="G39" s="48" t="s">
        <v>235</v>
      </c>
      <c r="H39" s="48"/>
    </row>
    <row r="40" spans="3:11" x14ac:dyDescent="0.3">
      <c r="C40" s="47"/>
      <c r="D40" s="48"/>
      <c r="E40" s="48"/>
      <c r="F40" s="48"/>
      <c r="G40" s="48" t="s">
        <v>236</v>
      </c>
      <c r="H40" s="48"/>
    </row>
    <row r="41" spans="3:11" x14ac:dyDescent="0.3">
      <c r="C41" s="47"/>
      <c r="D41" s="48"/>
      <c r="E41" s="48"/>
      <c r="F41" s="48"/>
      <c r="G41" s="48"/>
      <c r="H41" s="48"/>
    </row>
    <row r="43" spans="3:11" x14ac:dyDescent="0.3">
      <c r="C43" t="s">
        <v>237</v>
      </c>
    </row>
    <row r="44" spans="3:11" x14ac:dyDescent="0.3">
      <c r="C44" t="s">
        <v>161</v>
      </c>
      <c r="D44" t="s">
        <v>238</v>
      </c>
    </row>
    <row r="45" spans="3:11" x14ac:dyDescent="0.3">
      <c r="D45" t="s">
        <v>239</v>
      </c>
    </row>
    <row r="46" spans="3:11" x14ac:dyDescent="0.3">
      <c r="D46" t="s">
        <v>240</v>
      </c>
    </row>
    <row r="47" spans="3:11" x14ac:dyDescent="0.3">
      <c r="D47" t="s">
        <v>241</v>
      </c>
    </row>
    <row r="48" spans="3:11" x14ac:dyDescent="0.3">
      <c r="D48" t="s">
        <v>242</v>
      </c>
    </row>
    <row r="49" spans="3:4" x14ac:dyDescent="0.3">
      <c r="C49" t="s">
        <v>163</v>
      </c>
      <c r="D49" t="s">
        <v>243</v>
      </c>
    </row>
    <row r="50" spans="3:4" x14ac:dyDescent="0.3">
      <c r="D50" t="s">
        <v>244</v>
      </c>
    </row>
    <row r="51" spans="3:4" x14ac:dyDescent="0.3">
      <c r="D51" t="s">
        <v>245</v>
      </c>
    </row>
    <row r="52" spans="3:4" x14ac:dyDescent="0.3">
      <c r="D52" t="s">
        <v>248</v>
      </c>
    </row>
    <row r="53" spans="3:4" x14ac:dyDescent="0.3">
      <c r="D53" t="s">
        <v>246</v>
      </c>
    </row>
    <row r="54" spans="3:4" x14ac:dyDescent="0.3">
      <c r="D54" t="s">
        <v>247</v>
      </c>
    </row>
    <row r="55" spans="3:4" x14ac:dyDescent="0.3">
      <c r="D55" t="s">
        <v>249</v>
      </c>
    </row>
    <row r="56" spans="3:4" x14ac:dyDescent="0.3">
      <c r="D56" t="s">
        <v>250</v>
      </c>
    </row>
    <row r="57" spans="3:4" x14ac:dyDescent="0.3">
      <c r="D57" t="s">
        <v>251</v>
      </c>
    </row>
    <row r="58" spans="3:4" x14ac:dyDescent="0.3">
      <c r="D58" t="s">
        <v>253</v>
      </c>
    </row>
    <row r="59" spans="3:4" x14ac:dyDescent="0.3">
      <c r="D59" t="s">
        <v>262</v>
      </c>
    </row>
    <row r="60" spans="3:4" x14ac:dyDescent="0.3">
      <c r="C60" t="s">
        <v>178</v>
      </c>
      <c r="D60" t="s">
        <v>254</v>
      </c>
    </row>
    <row r="61" spans="3:4" x14ac:dyDescent="0.3">
      <c r="D61" t="s">
        <v>252</v>
      </c>
    </row>
    <row r="62" spans="3:4" x14ac:dyDescent="0.3">
      <c r="D62" t="s">
        <v>242</v>
      </c>
    </row>
    <row r="63" spans="3:4" x14ac:dyDescent="0.3">
      <c r="D63" t="s">
        <v>255</v>
      </c>
    </row>
    <row r="64" spans="3:4" x14ac:dyDescent="0.3">
      <c r="D64" t="s">
        <v>256</v>
      </c>
    </row>
    <row r="65" spans="3:4" x14ac:dyDescent="0.3">
      <c r="D65" t="s">
        <v>257</v>
      </c>
    </row>
    <row r="66" spans="3:4" x14ac:dyDescent="0.3">
      <c r="D66" t="s">
        <v>258</v>
      </c>
    </row>
    <row r="67" spans="3:4" x14ac:dyDescent="0.3">
      <c r="C67" t="s">
        <v>173</v>
      </c>
      <c r="D67" t="s">
        <v>259</v>
      </c>
    </row>
    <row r="68" spans="3:4" x14ac:dyDescent="0.3">
      <c r="D68" t="s">
        <v>260</v>
      </c>
    </row>
    <row r="69" spans="3:4" x14ac:dyDescent="0.3">
      <c r="D69" t="s">
        <v>261</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16"/>
  <sheetViews>
    <sheetView workbookViewId="0">
      <selection activeCell="C22" sqref="C22"/>
    </sheetView>
  </sheetViews>
  <sheetFormatPr defaultRowHeight="14.4" x14ac:dyDescent="0.3"/>
  <cols>
    <col min="2" max="2" width="3" bestFit="1" customWidth="1"/>
    <col min="3" max="3" width="130" customWidth="1"/>
  </cols>
  <sheetData>
    <row r="2" spans="2:3" ht="15" customHeight="1" x14ac:dyDescent="0.3">
      <c r="B2" s="51">
        <v>1</v>
      </c>
      <c r="C2" s="53" t="s">
        <v>268</v>
      </c>
    </row>
    <row r="3" spans="2:3" x14ac:dyDescent="0.3">
      <c r="B3" s="51">
        <v>2</v>
      </c>
      <c r="C3" s="52" t="s">
        <v>269</v>
      </c>
    </row>
    <row r="4" spans="2:3" x14ac:dyDescent="0.3">
      <c r="B4" s="51">
        <v>3</v>
      </c>
      <c r="C4" s="51" t="s">
        <v>270</v>
      </c>
    </row>
    <row r="5" spans="2:3" x14ac:dyDescent="0.3">
      <c r="B5" s="51">
        <v>4</v>
      </c>
      <c r="C5" s="52" t="s">
        <v>271</v>
      </c>
    </row>
    <row r="6" spans="2:3" x14ac:dyDescent="0.3">
      <c r="B6" s="51">
        <v>5</v>
      </c>
      <c r="C6" s="51" t="s">
        <v>272</v>
      </c>
    </row>
    <row r="7" spans="2:3" ht="28.8" x14ac:dyDescent="0.3">
      <c r="B7" s="51">
        <v>6</v>
      </c>
      <c r="C7" s="52" t="s">
        <v>273</v>
      </c>
    </row>
    <row r="8" spans="2:3" ht="72" x14ac:dyDescent="0.3">
      <c r="B8" s="51">
        <v>7</v>
      </c>
      <c r="C8" s="52" t="s">
        <v>274</v>
      </c>
    </row>
    <row r="9" spans="2:3" x14ac:dyDescent="0.3">
      <c r="B9" s="51">
        <v>8</v>
      </c>
      <c r="C9" s="51" t="s">
        <v>275</v>
      </c>
    </row>
    <row r="10" spans="2:3" x14ac:dyDescent="0.3">
      <c r="B10" s="51">
        <v>9</v>
      </c>
      <c r="C10" s="51" t="s">
        <v>276</v>
      </c>
    </row>
    <row r="11" spans="2:3" x14ac:dyDescent="0.3">
      <c r="B11" s="51">
        <v>10</v>
      </c>
      <c r="C11" s="51" t="s">
        <v>277</v>
      </c>
    </row>
    <row r="12" spans="2:3" x14ac:dyDescent="0.3">
      <c r="B12" s="51">
        <v>11</v>
      </c>
      <c r="C12" s="51" t="s">
        <v>278</v>
      </c>
    </row>
    <row r="13" spans="2:3" x14ac:dyDescent="0.3">
      <c r="B13" s="51">
        <v>12</v>
      </c>
      <c r="C13" s="51" t="s">
        <v>279</v>
      </c>
    </row>
    <row r="14" spans="2:3" x14ac:dyDescent="0.3">
      <c r="B14" s="51">
        <v>13</v>
      </c>
      <c r="C14" s="51" t="s">
        <v>280</v>
      </c>
    </row>
    <row r="15" spans="2:3" x14ac:dyDescent="0.3">
      <c r="B15" s="51">
        <v>14</v>
      </c>
      <c r="C15" s="51"/>
    </row>
    <row r="16" spans="2:3" x14ac:dyDescent="0.3">
      <c r="B16" s="51">
        <v>15</v>
      </c>
      <c r="C16" s="51"/>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2025-09-09T09:32:22Z</cp:lastPrinted>
  <dcterms:created xsi:type="dcterms:W3CDTF">2019-07-16T09:29:46Z</dcterms:created>
  <dcterms:modified xsi:type="dcterms:W3CDTF">2025-09-09T09:32:38Z</dcterms:modified>
</cp:coreProperties>
</file>