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1B406814-B76A-4459-9E88-B5B6BF69E4A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3" i="1" l="1"/>
  <c r="D452" i="1" l="1"/>
  <c r="D55" i="1"/>
  <c r="I234" i="1"/>
  <c r="J276" i="1"/>
  <c r="J245" i="1" l="1"/>
  <c r="D509" i="1"/>
  <c r="F509" i="1" s="1"/>
  <c r="D508" i="1"/>
  <c r="F508" i="1" s="1"/>
  <c r="D507" i="1"/>
  <c r="F507" i="1" s="1"/>
  <c r="D505" i="1"/>
  <c r="F505" i="1" s="1"/>
  <c r="D504" i="1"/>
  <c r="F504" i="1" s="1"/>
  <c r="D502" i="1"/>
  <c r="F502" i="1" s="1"/>
  <c r="D501" i="1"/>
  <c r="F501" i="1" s="1"/>
  <c r="D500" i="1"/>
  <c r="F500" i="1" s="1"/>
  <c r="D499" i="1"/>
  <c r="D498" i="1"/>
  <c r="F498" i="1" s="1"/>
  <c r="D497" i="1"/>
  <c r="F497" i="1" s="1"/>
  <c r="D495" i="1"/>
  <c r="F495" i="1" s="1"/>
  <c r="D494" i="1"/>
  <c r="F494" i="1" s="1"/>
  <c r="D493" i="1"/>
  <c r="F493" i="1" s="1"/>
  <c r="D492" i="1"/>
  <c r="F492" i="1" s="1"/>
  <c r="E491" i="1"/>
  <c r="D491" i="1"/>
  <c r="D490" i="1"/>
  <c r="D487" i="1"/>
  <c r="F487" i="1" s="1"/>
  <c r="D486" i="1"/>
  <c r="F486" i="1" s="1"/>
  <c r="D485" i="1"/>
  <c r="F485" i="1" s="1"/>
  <c r="D484" i="1"/>
  <c r="F484" i="1" s="1"/>
  <c r="D482" i="1"/>
  <c r="F482" i="1" s="1"/>
  <c r="D481" i="1"/>
  <c r="F481" i="1" s="1"/>
  <c r="D480" i="1"/>
  <c r="D478" i="1"/>
  <c r="F478" i="1" s="1"/>
  <c r="D477" i="1"/>
  <c r="F477" i="1" s="1"/>
  <c r="D476" i="1"/>
  <c r="F476" i="1" s="1"/>
  <c r="D475" i="1"/>
  <c r="F475" i="1" s="1"/>
  <c r="D474" i="1"/>
  <c r="F474" i="1" s="1"/>
  <c r="D473" i="1"/>
  <c r="F473" i="1" s="1"/>
  <c r="D472" i="1"/>
  <c r="F472" i="1" s="1"/>
  <c r="D471" i="1"/>
  <c r="D469" i="1"/>
  <c r="F469" i="1" s="1"/>
  <c r="D468" i="1"/>
  <c r="F468" i="1" s="1"/>
  <c r="D467" i="1"/>
  <c r="F467" i="1" s="1"/>
  <c r="E466" i="1"/>
  <c r="D466" i="1"/>
  <c r="D465" i="1"/>
  <c r="F465" i="1" s="1"/>
  <c r="D464" i="1"/>
  <c r="E463" i="1"/>
  <c r="D463" i="1"/>
  <c r="D462" i="1"/>
  <c r="F462" i="1" s="1"/>
  <c r="D459" i="1"/>
  <c r="F459" i="1" s="1"/>
  <c r="D458" i="1"/>
  <c r="F458" i="1" s="1"/>
  <c r="D457" i="1"/>
  <c r="F457" i="1" s="1"/>
  <c r="D456" i="1"/>
  <c r="F456" i="1" s="1"/>
  <c r="D454" i="1"/>
  <c r="F454" i="1" s="1"/>
  <c r="D453" i="1"/>
  <c r="F453" i="1" s="1"/>
  <c r="D450" i="1"/>
  <c r="D449" i="1"/>
  <c r="D448" i="1"/>
  <c r="D447" i="1"/>
  <c r="D446" i="1"/>
  <c r="D445" i="1"/>
  <c r="D444" i="1"/>
  <c r="D443" i="1"/>
  <c r="D441" i="1"/>
  <c r="D440" i="1"/>
  <c r="D439" i="1"/>
  <c r="E438" i="1"/>
  <c r="D438" i="1"/>
  <c r="D437" i="1"/>
  <c r="D436" i="1"/>
  <c r="E435" i="1"/>
  <c r="D435" i="1"/>
  <c r="D434" i="1"/>
  <c r="D431" i="1"/>
  <c r="D430" i="1"/>
  <c r="D429" i="1"/>
  <c r="D428" i="1"/>
  <c r="D426" i="1"/>
  <c r="D424" i="1"/>
  <c r="D423" i="1"/>
  <c r="D422" i="1"/>
  <c r="D421" i="1"/>
  <c r="D420" i="1"/>
  <c r="D419" i="1"/>
  <c r="D417" i="1"/>
  <c r="D416" i="1"/>
  <c r="D415" i="1"/>
  <c r="E414" i="1"/>
  <c r="D414" i="1"/>
  <c r="D413" i="1"/>
  <c r="D412" i="1"/>
  <c r="D290" i="1"/>
  <c r="F290" i="1" s="1"/>
  <c r="D289" i="1"/>
  <c r="F289" i="1" s="1"/>
  <c r="D288" i="1"/>
  <c r="F288" i="1" s="1"/>
  <c r="D287" i="1"/>
  <c r="F287" i="1" s="1"/>
  <c r="D286" i="1"/>
  <c r="F286" i="1" s="1"/>
  <c r="D285" i="1"/>
  <c r="F285" i="1" s="1"/>
  <c r="D284" i="1"/>
  <c r="F284" i="1" s="1"/>
  <c r="D283" i="1"/>
  <c r="D280" i="1"/>
  <c r="F280" i="1" s="1"/>
  <c r="D279" i="1"/>
  <c r="F279" i="1" s="1"/>
  <c r="D278" i="1"/>
  <c r="F278" i="1" s="1"/>
  <c r="D277" i="1"/>
  <c r="F277" i="1" s="1"/>
  <c r="D276" i="1"/>
  <c r="F276" i="1" s="1"/>
  <c r="D275" i="1"/>
  <c r="F275" i="1" s="1"/>
  <c r="D274" i="1"/>
  <c r="F274" i="1" s="1"/>
  <c r="D273" i="1"/>
  <c r="F273" i="1" s="1"/>
  <c r="D272" i="1"/>
  <c r="F272" i="1" s="1"/>
  <c r="D271" i="1"/>
  <c r="F271" i="1" s="1"/>
  <c r="D270" i="1"/>
  <c r="F270" i="1" s="1"/>
  <c r="D269" i="1"/>
  <c r="D266" i="1"/>
  <c r="F266" i="1" s="1"/>
  <c r="D265" i="1"/>
  <c r="F265" i="1" s="1"/>
  <c r="D264" i="1"/>
  <c r="F264" i="1" s="1"/>
  <c r="D263" i="1"/>
  <c r="F263" i="1" s="1"/>
  <c r="D262" i="1"/>
  <c r="F262" i="1" s="1"/>
  <c r="D261" i="1"/>
  <c r="F261" i="1" s="1"/>
  <c r="D260" i="1"/>
  <c r="F260" i="1" s="1"/>
  <c r="D259" i="1"/>
  <c r="F259" i="1" s="1"/>
  <c r="D258" i="1"/>
  <c r="F258" i="1" s="1"/>
  <c r="D257" i="1"/>
  <c r="F257" i="1" s="1"/>
  <c r="D256" i="1"/>
  <c r="F256" i="1" s="1"/>
  <c r="D255" i="1"/>
  <c r="D252" i="1"/>
  <c r="F252" i="1" s="1"/>
  <c r="D251" i="1"/>
  <c r="F251" i="1" s="1"/>
  <c r="D250" i="1"/>
  <c r="F250" i="1" s="1"/>
  <c r="D249" i="1"/>
  <c r="F249" i="1" s="1"/>
  <c r="D248" i="1"/>
  <c r="F248" i="1" s="1"/>
  <c r="D247" i="1"/>
  <c r="F247" i="1" s="1"/>
  <c r="D246" i="1"/>
  <c r="F246" i="1" s="1"/>
  <c r="D245" i="1"/>
  <c r="A505" i="1"/>
  <c r="A506" i="1" s="1"/>
  <c r="A507" i="1" s="1"/>
  <c r="A508" i="1" s="1"/>
  <c r="G504" i="1"/>
  <c r="J500" i="1"/>
  <c r="F499" i="1"/>
  <c r="A498" i="1"/>
  <c r="A499" i="1" s="1"/>
  <c r="A500" i="1" s="1"/>
  <c r="A501" i="1" s="1"/>
  <c r="G497" i="1"/>
  <c r="A491" i="1"/>
  <c r="A492" i="1" s="1"/>
  <c r="A493" i="1" s="1"/>
  <c r="A494" i="1" s="1"/>
  <c r="G490" i="1"/>
  <c r="G283" i="1"/>
  <c r="A481" i="1"/>
  <c r="A482" i="1" s="1"/>
  <c r="A483" i="1" s="1"/>
  <c r="A484" i="1" s="1"/>
  <c r="G480" i="1"/>
  <c r="F480" i="1"/>
  <c r="F471" i="1"/>
  <c r="A472" i="1"/>
  <c r="A473" i="1" s="1"/>
  <c r="A474" i="1" s="1"/>
  <c r="A475" i="1" s="1"/>
  <c r="G471" i="1"/>
  <c r="F464" i="1"/>
  <c r="A463" i="1"/>
  <c r="A464" i="1" s="1"/>
  <c r="A465" i="1" s="1"/>
  <c r="A466" i="1" s="1"/>
  <c r="G462" i="1"/>
  <c r="G269" i="1"/>
  <c r="F452" i="1"/>
  <c r="A453" i="1"/>
  <c r="A454" i="1" s="1"/>
  <c r="A455" i="1" s="1"/>
  <c r="A456" i="1" s="1"/>
  <c r="G452" i="1"/>
  <c r="C233" i="1" l="1"/>
  <c r="E233" i="1"/>
  <c r="F490" i="1"/>
  <c r="E216" i="1"/>
  <c r="C216" i="1"/>
  <c r="F245" i="1"/>
  <c r="G216" i="1" s="1"/>
  <c r="F255" i="1"/>
  <c r="G217" i="1" s="1"/>
  <c r="E217" i="1"/>
  <c r="C217" i="1"/>
  <c r="E218" i="1"/>
  <c r="F269" i="1"/>
  <c r="G218" i="1" s="1"/>
  <c r="C218" i="1"/>
  <c r="C219" i="1"/>
  <c r="E219" i="1"/>
  <c r="F283" i="1"/>
  <c r="G219" i="1" s="1"/>
  <c r="C230" i="1"/>
  <c r="E230" i="1"/>
  <c r="C231" i="1"/>
  <c r="E231" i="1"/>
  <c r="E232" i="1"/>
  <c r="C232" i="1"/>
  <c r="F491" i="1"/>
  <c r="F463" i="1"/>
  <c r="F466" i="1"/>
  <c r="F446" i="1"/>
  <c r="B512" i="1"/>
  <c r="F450" i="1"/>
  <c r="F449" i="1"/>
  <c r="F448" i="1"/>
  <c r="F447" i="1"/>
  <c r="F445" i="1"/>
  <c r="F444" i="1"/>
  <c r="A444" i="1"/>
  <c r="A445" i="1" s="1"/>
  <c r="A446" i="1" s="1"/>
  <c r="A447" i="1" s="1"/>
  <c r="G443" i="1"/>
  <c r="F443" i="1"/>
  <c r="F441" i="1"/>
  <c r="F440" i="1"/>
  <c r="F439" i="1"/>
  <c r="F437" i="1"/>
  <c r="F434" i="1"/>
  <c r="I434" i="1"/>
  <c r="F436" i="1"/>
  <c r="A435" i="1"/>
  <c r="A436" i="1" s="1"/>
  <c r="A437" i="1" s="1"/>
  <c r="A438" i="1" s="1"/>
  <c r="G434" i="1"/>
  <c r="I255" i="1"/>
  <c r="G255" i="1"/>
  <c r="F431" i="1"/>
  <c r="F430" i="1"/>
  <c r="F429" i="1"/>
  <c r="F428" i="1"/>
  <c r="A427" i="1"/>
  <c r="A428" i="1" s="1"/>
  <c r="A429" i="1" s="1"/>
  <c r="A430" i="1" s="1"/>
  <c r="G426" i="1"/>
  <c r="F426" i="1"/>
  <c r="F420" i="1"/>
  <c r="I420" i="1"/>
  <c r="F419" i="1"/>
  <c r="J419" i="1"/>
  <c r="F424" i="1"/>
  <c r="F423" i="1"/>
  <c r="F422" i="1"/>
  <c r="A420" i="1"/>
  <c r="A421" i="1" s="1"/>
  <c r="A422" i="1" s="1"/>
  <c r="A423" i="1" s="1"/>
  <c r="G419" i="1"/>
  <c r="I416" i="1"/>
  <c r="J416" i="1"/>
  <c r="I415" i="1"/>
  <c r="I412" i="1"/>
  <c r="G232" i="1" l="1"/>
  <c r="E220" i="1"/>
  <c r="G220" i="1"/>
  <c r="G233" i="1"/>
  <c r="C220" i="1"/>
  <c r="F438" i="1"/>
  <c r="F435" i="1"/>
  <c r="F421" i="1"/>
  <c r="F11" i="5"/>
  <c r="G11" i="5" s="1"/>
  <c r="F10" i="5"/>
  <c r="G10" i="5" s="1"/>
  <c r="F9" i="5"/>
  <c r="G9" i="5" s="1"/>
  <c r="F8" i="5"/>
  <c r="G8" i="5" s="1"/>
  <c r="F7" i="5"/>
  <c r="G7" i="5" s="1"/>
  <c r="F6" i="5"/>
  <c r="G6" i="5" s="1"/>
  <c r="F5" i="5"/>
  <c r="G5" i="5" s="1"/>
  <c r="G12" i="5" s="1"/>
  <c r="D536" i="1"/>
  <c r="F417" i="1"/>
  <c r="F416" i="1"/>
  <c r="F415" i="1"/>
  <c r="F414" i="1"/>
  <c r="F413" i="1"/>
  <c r="A413" i="1"/>
  <c r="A414" i="1" s="1"/>
  <c r="A415" i="1" s="1"/>
  <c r="A416" i="1" s="1"/>
  <c r="G412" i="1"/>
  <c r="F412" i="1"/>
  <c r="F408" i="1"/>
  <c r="K398" i="1" s="1"/>
  <c r="F407" i="1"/>
  <c r="K397" i="1" s="1"/>
  <c r="F406" i="1"/>
  <c r="K396" i="1" s="1"/>
  <c r="F405" i="1"/>
  <c r="G404" i="1"/>
  <c r="G405" i="1" s="1"/>
  <c r="G406" i="1" s="1"/>
  <c r="G407" i="1" s="1"/>
  <c r="G408" i="1" s="1"/>
  <c r="F404" i="1"/>
  <c r="F402" i="1"/>
  <c r="F401" i="1"/>
  <c r="F400" i="1"/>
  <c r="G399" i="1"/>
  <c r="G400" i="1" s="1"/>
  <c r="G401" i="1" s="1"/>
  <c r="G402" i="1" s="1"/>
  <c r="F399" i="1"/>
  <c r="D397" i="1"/>
  <c r="F397" i="1" s="1"/>
  <c r="A397" i="1"/>
  <c r="D396" i="1"/>
  <c r="F396" i="1" s="1"/>
  <c r="D394" i="1"/>
  <c r="F394" i="1" s="1"/>
  <c r="D393" i="1"/>
  <c r="F393" i="1" s="1"/>
  <c r="D392" i="1"/>
  <c r="F392" i="1" s="1"/>
  <c r="D391" i="1"/>
  <c r="F391" i="1" s="1"/>
  <c r="A391" i="1"/>
  <c r="A392" i="1" s="1"/>
  <c r="A393" i="1" s="1"/>
  <c r="A394" i="1" s="1"/>
  <c r="G390" i="1"/>
  <c r="D390" i="1"/>
  <c r="F390" i="1" s="1"/>
  <c r="D388" i="1"/>
  <c r="F388" i="1" s="1"/>
  <c r="A388" i="1"/>
  <c r="I387" i="1"/>
  <c r="D387" i="1"/>
  <c r="F387" i="1" s="1"/>
  <c r="D386" i="1"/>
  <c r="F386" i="1" s="1"/>
  <c r="D385" i="1"/>
  <c r="F385" i="1" s="1"/>
  <c r="D384" i="1"/>
  <c r="F384" i="1" s="1"/>
  <c r="J383" i="1"/>
  <c r="I383" i="1"/>
  <c r="D383" i="1"/>
  <c r="F383" i="1" s="1"/>
  <c r="D382" i="1"/>
  <c r="F382" i="1" s="1"/>
  <c r="A382" i="1"/>
  <c r="A383" i="1" s="1"/>
  <c r="A384" i="1" s="1"/>
  <c r="A385" i="1" s="1"/>
  <c r="I381" i="1"/>
  <c r="G381" i="1"/>
  <c r="D381" i="1"/>
  <c r="D375" i="1"/>
  <c r="F375" i="1" s="1"/>
  <c r="K369" i="1" s="1"/>
  <c r="D374" i="1"/>
  <c r="F374" i="1" s="1"/>
  <c r="K368" i="1" s="1"/>
  <c r="D373" i="1"/>
  <c r="F373" i="1" s="1"/>
  <c r="K367" i="1" s="1"/>
  <c r="D372" i="1"/>
  <c r="F372" i="1" s="1"/>
  <c r="K366" i="1" s="1"/>
  <c r="D371" i="1"/>
  <c r="F371" i="1" s="1"/>
  <c r="K365" i="1" s="1"/>
  <c r="K370" i="1"/>
  <c r="D369" i="1"/>
  <c r="F369" i="1" s="1"/>
  <c r="K363" i="1" s="1"/>
  <c r="G368" i="1"/>
  <c r="D368" i="1"/>
  <c r="F368" i="1" s="1"/>
  <c r="K362" i="1" s="1"/>
  <c r="D366" i="1"/>
  <c r="F366" i="1" s="1"/>
  <c r="K360" i="1" s="1"/>
  <c r="D365" i="1"/>
  <c r="F365" i="1" s="1"/>
  <c r="K359" i="1" s="1"/>
  <c r="K364" i="1"/>
  <c r="D364" i="1"/>
  <c r="F364" i="1" s="1"/>
  <c r="K358" i="1" s="1"/>
  <c r="D363" i="1"/>
  <c r="D362" i="1"/>
  <c r="F362" i="1" s="1"/>
  <c r="K356" i="1" s="1"/>
  <c r="K361" i="1"/>
  <c r="D361" i="1"/>
  <c r="F361" i="1" s="1"/>
  <c r="K355" i="1" s="1"/>
  <c r="P360" i="1"/>
  <c r="J360" i="1"/>
  <c r="D360" i="1"/>
  <c r="P359" i="1"/>
  <c r="G359" i="1"/>
  <c r="D359" i="1"/>
  <c r="F359" i="1" s="1"/>
  <c r="P358" i="1"/>
  <c r="P357" i="1"/>
  <c r="P356" i="1"/>
  <c r="P355" i="1"/>
  <c r="D355" i="1"/>
  <c r="F355" i="1" s="1"/>
  <c r="K349" i="1" s="1"/>
  <c r="P354" i="1"/>
  <c r="D354" i="1"/>
  <c r="F354" i="1" s="1"/>
  <c r="K348" i="1" s="1"/>
  <c r="P353" i="1"/>
  <c r="D353" i="1"/>
  <c r="F353" i="1" s="1"/>
  <c r="K347" i="1" s="1"/>
  <c r="K352" i="1"/>
  <c r="D352" i="1"/>
  <c r="F352" i="1" s="1"/>
  <c r="K346" i="1" s="1"/>
  <c r="K351" i="1"/>
  <c r="D351" i="1"/>
  <c r="F351" i="1" s="1"/>
  <c r="K345" i="1" s="1"/>
  <c r="K350" i="1"/>
  <c r="D349" i="1"/>
  <c r="F349" i="1" s="1"/>
  <c r="K343" i="1" s="1"/>
  <c r="G348" i="1"/>
  <c r="D348" i="1"/>
  <c r="F348" i="1" s="1"/>
  <c r="K342" i="1" s="1"/>
  <c r="D346" i="1"/>
  <c r="F346" i="1" s="1"/>
  <c r="K340" i="1" s="1"/>
  <c r="D345" i="1"/>
  <c r="K344" i="1"/>
  <c r="D344" i="1"/>
  <c r="F344" i="1" s="1"/>
  <c r="K338" i="1" s="1"/>
  <c r="D343" i="1"/>
  <c r="F343" i="1" s="1"/>
  <c r="K337" i="1" s="1"/>
  <c r="D342" i="1"/>
  <c r="F342" i="1" s="1"/>
  <c r="K336" i="1" s="1"/>
  <c r="K341" i="1"/>
  <c r="D341" i="1"/>
  <c r="F341" i="1" s="1"/>
  <c r="K335" i="1" s="1"/>
  <c r="P340" i="1"/>
  <c r="D340" i="1"/>
  <c r="F340" i="1" s="1"/>
  <c r="K334" i="1" s="1"/>
  <c r="P339" i="1"/>
  <c r="G339" i="1"/>
  <c r="D339" i="1"/>
  <c r="F339" i="1" s="1"/>
  <c r="P338" i="1"/>
  <c r="P337" i="1"/>
  <c r="P336" i="1"/>
  <c r="P335" i="1"/>
  <c r="D335" i="1"/>
  <c r="F335" i="1" s="1"/>
  <c r="K329" i="1" s="1"/>
  <c r="P334" i="1"/>
  <c r="D334" i="1"/>
  <c r="F334" i="1" s="1"/>
  <c r="K328" i="1" s="1"/>
  <c r="P333" i="1"/>
  <c r="D333" i="1"/>
  <c r="F333" i="1" s="1"/>
  <c r="K327" i="1" s="1"/>
  <c r="K332" i="1"/>
  <c r="D332" i="1"/>
  <c r="F332" i="1" s="1"/>
  <c r="K326" i="1" s="1"/>
  <c r="K331" i="1"/>
  <c r="D331" i="1"/>
  <c r="F331" i="1" s="1"/>
  <c r="K325" i="1" s="1"/>
  <c r="K330" i="1"/>
  <c r="D329" i="1"/>
  <c r="F329" i="1" s="1"/>
  <c r="K323" i="1" s="1"/>
  <c r="G328" i="1"/>
  <c r="D328" i="1"/>
  <c r="F328" i="1" s="1"/>
  <c r="K322" i="1" s="1"/>
  <c r="D326" i="1"/>
  <c r="F326" i="1" s="1"/>
  <c r="K320" i="1" s="1"/>
  <c r="D325" i="1"/>
  <c r="F325" i="1" s="1"/>
  <c r="K319" i="1" s="1"/>
  <c r="K324" i="1"/>
  <c r="D324" i="1"/>
  <c r="F324" i="1" s="1"/>
  <c r="K318" i="1" s="1"/>
  <c r="D323" i="1"/>
  <c r="F323" i="1" s="1"/>
  <c r="K317" i="1" s="1"/>
  <c r="D322" i="1"/>
  <c r="F322" i="1" s="1"/>
  <c r="K316" i="1" s="1"/>
  <c r="K321" i="1"/>
  <c r="D321" i="1"/>
  <c r="F321" i="1" s="1"/>
  <c r="K315" i="1" s="1"/>
  <c r="P320" i="1"/>
  <c r="D320" i="1"/>
  <c r="P319" i="1"/>
  <c r="G319" i="1"/>
  <c r="D319" i="1"/>
  <c r="F319" i="1" s="1"/>
  <c r="K313" i="1" s="1"/>
  <c r="P318" i="1"/>
  <c r="P317" i="1"/>
  <c r="P316" i="1"/>
  <c r="P315" i="1"/>
  <c r="D315" i="1"/>
  <c r="F315" i="1" s="1"/>
  <c r="K309" i="1" s="1"/>
  <c r="P314" i="1"/>
  <c r="D314" i="1"/>
  <c r="F314" i="1" s="1"/>
  <c r="K308" i="1" s="1"/>
  <c r="P313" i="1"/>
  <c r="D313" i="1"/>
  <c r="F313" i="1" s="1"/>
  <c r="K307" i="1" s="1"/>
  <c r="K312" i="1"/>
  <c r="D312" i="1"/>
  <c r="F312" i="1" s="1"/>
  <c r="K306" i="1" s="1"/>
  <c r="K311" i="1"/>
  <c r="D311" i="1"/>
  <c r="F311" i="1" s="1"/>
  <c r="K305" i="1" s="1"/>
  <c r="K310" i="1"/>
  <c r="D309" i="1"/>
  <c r="F309" i="1" s="1"/>
  <c r="K303" i="1" s="1"/>
  <c r="G308" i="1"/>
  <c r="D308" i="1"/>
  <c r="F308" i="1" s="1"/>
  <c r="K302" i="1" s="1"/>
  <c r="D306" i="1"/>
  <c r="F306" i="1" s="1"/>
  <c r="K300" i="1" s="1"/>
  <c r="D305" i="1"/>
  <c r="F305" i="1" s="1"/>
  <c r="K299" i="1" s="1"/>
  <c r="K304" i="1"/>
  <c r="D304" i="1"/>
  <c r="F304" i="1" s="1"/>
  <c r="K298" i="1" s="1"/>
  <c r="D303" i="1"/>
  <c r="F303" i="1" s="1"/>
  <c r="K297" i="1" s="1"/>
  <c r="D302" i="1"/>
  <c r="F302" i="1" s="1"/>
  <c r="K296" i="1" s="1"/>
  <c r="K301" i="1"/>
  <c r="D301" i="1"/>
  <c r="P300" i="1"/>
  <c r="D300" i="1"/>
  <c r="F300" i="1" s="1"/>
  <c r="P299" i="1"/>
  <c r="G299" i="1"/>
  <c r="D299" i="1"/>
  <c r="F299" i="1" s="1"/>
  <c r="K293" i="1" s="1"/>
  <c r="P298" i="1"/>
  <c r="P297" i="1"/>
  <c r="P296" i="1"/>
  <c r="P295" i="1"/>
  <c r="P294" i="1"/>
  <c r="P293" i="1"/>
  <c r="J293" i="1"/>
  <c r="I252" i="1"/>
  <c r="I249" i="1"/>
  <c r="I245" i="1"/>
  <c r="G245" i="1"/>
  <c r="F213" i="1"/>
  <c r="D199" i="1"/>
  <c r="D198" i="1"/>
  <c r="J197" i="1"/>
  <c r="D197" i="1"/>
  <c r="J196" i="1"/>
  <c r="D196" i="1"/>
  <c r="J195" i="1"/>
  <c r="D195" i="1"/>
  <c r="J194" i="1"/>
  <c r="D194" i="1"/>
  <c r="D193" i="1"/>
  <c r="J192" i="1"/>
  <c r="J193" i="1" s="1"/>
  <c r="D192" i="1"/>
  <c r="J191" i="1"/>
  <c r="J190" i="1"/>
  <c r="D190" i="1"/>
  <c r="J189" i="1"/>
  <c r="J186" i="1"/>
  <c r="J188" i="1" s="1"/>
  <c r="C186" i="1"/>
  <c r="D185" i="1"/>
  <c r="D184" i="1"/>
  <c r="J183" i="1"/>
  <c r="D183" i="1"/>
  <c r="J182" i="1"/>
  <c r="D182" i="1"/>
  <c r="J181" i="1"/>
  <c r="D181" i="1"/>
  <c r="J180" i="1"/>
  <c r="D180" i="1"/>
  <c r="D179" i="1"/>
  <c r="J178" i="1"/>
  <c r="J179" i="1" s="1"/>
  <c r="J184" i="1" s="1"/>
  <c r="J185" i="1" s="1"/>
  <c r="D178" i="1"/>
  <c r="J177" i="1"/>
  <c r="J176" i="1"/>
  <c r="D176" i="1"/>
  <c r="J175" i="1"/>
  <c r="J172" i="1"/>
  <c r="J174" i="1" s="1"/>
  <c r="C172" i="1"/>
  <c r="D171" i="1"/>
  <c r="D170" i="1"/>
  <c r="J169" i="1"/>
  <c r="D169" i="1"/>
  <c r="J168" i="1"/>
  <c r="D168" i="1"/>
  <c r="J167" i="1"/>
  <c r="D167" i="1"/>
  <c r="J166" i="1"/>
  <c r="D166" i="1"/>
  <c r="D165" i="1"/>
  <c r="J164" i="1"/>
  <c r="J165" i="1" s="1"/>
  <c r="J170" i="1" s="1"/>
  <c r="J171" i="1" s="1"/>
  <c r="C163" i="1" s="1"/>
  <c r="D164" i="1"/>
  <c r="J163" i="1"/>
  <c r="J162" i="1"/>
  <c r="D162" i="1"/>
  <c r="J161" i="1"/>
  <c r="J158" i="1"/>
  <c r="J160" i="1" s="1"/>
  <c r="C158" i="1"/>
  <c r="D157" i="1"/>
  <c r="D156" i="1"/>
  <c r="J155" i="1"/>
  <c r="D155" i="1"/>
  <c r="J154" i="1"/>
  <c r="D154" i="1"/>
  <c r="J153" i="1"/>
  <c r="D153" i="1"/>
  <c r="J152" i="1"/>
  <c r="D152" i="1"/>
  <c r="D151" i="1"/>
  <c r="J150" i="1"/>
  <c r="J151" i="1" s="1"/>
  <c r="J156" i="1" s="1"/>
  <c r="J157" i="1" s="1"/>
  <c r="C149" i="1" s="1"/>
  <c r="D150" i="1"/>
  <c r="J149" i="1"/>
  <c r="J148" i="1"/>
  <c r="D148" i="1"/>
  <c r="J147" i="1"/>
  <c r="J144" i="1"/>
  <c r="J146" i="1" s="1"/>
  <c r="C144" i="1"/>
  <c r="D143" i="1"/>
  <c r="D142" i="1"/>
  <c r="J141" i="1"/>
  <c r="D141" i="1"/>
  <c r="J140" i="1"/>
  <c r="D140" i="1"/>
  <c r="J139" i="1"/>
  <c r="D139" i="1"/>
  <c r="J138" i="1"/>
  <c r="D138" i="1"/>
  <c r="D137" i="1"/>
  <c r="J136" i="1"/>
  <c r="J137" i="1" s="1"/>
  <c r="J142" i="1" s="1"/>
  <c r="J143" i="1" s="1"/>
  <c r="C135" i="1" s="1"/>
  <c r="D136" i="1"/>
  <c r="J135" i="1"/>
  <c r="J134" i="1"/>
  <c r="D134" i="1"/>
  <c r="J133" i="1"/>
  <c r="J130" i="1"/>
  <c r="J132" i="1" s="1"/>
  <c r="C130" i="1"/>
  <c r="J121" i="1"/>
  <c r="J120" i="1"/>
  <c r="J119" i="1"/>
  <c r="J118" i="1"/>
  <c r="C116" i="1"/>
  <c r="J107" i="1"/>
  <c r="J106" i="1"/>
  <c r="J105" i="1"/>
  <c r="J104" i="1"/>
  <c r="C102" i="1"/>
  <c r="J93" i="1"/>
  <c r="J92" i="1"/>
  <c r="J91" i="1"/>
  <c r="J90" i="1"/>
  <c r="J79" i="1"/>
  <c r="J78" i="1"/>
  <c r="J77" i="1"/>
  <c r="J76" i="1"/>
  <c r="D68" i="1"/>
  <c r="C49" i="1"/>
  <c r="K44" i="1"/>
  <c r="K43" i="1"/>
  <c r="J41" i="1"/>
  <c r="E41" i="1"/>
  <c r="E42" i="1" s="1"/>
  <c r="E29" i="1"/>
  <c r="E26" i="1"/>
  <c r="E24" i="1"/>
  <c r="C14" i="1"/>
  <c r="E7" i="1"/>
  <c r="E3" i="1"/>
  <c r="H103" i="1"/>
  <c r="H89" i="1"/>
  <c r="H75" i="1"/>
  <c r="A404" i="1"/>
  <c r="A399" i="1"/>
  <c r="H117" i="1"/>
  <c r="G231" i="1" l="1"/>
  <c r="F381" i="1"/>
  <c r="K371" i="1" s="1"/>
  <c r="E234" i="1"/>
  <c r="E235" i="1" s="1"/>
  <c r="G230" i="1"/>
  <c r="J145" i="1"/>
  <c r="L43" i="1"/>
  <c r="E226" i="1"/>
  <c r="J198" i="1"/>
  <c r="K294" i="1"/>
  <c r="I294" i="1"/>
  <c r="C177" i="1"/>
  <c r="J173" i="1" s="1"/>
  <c r="C225" i="1"/>
  <c r="G234" i="1"/>
  <c r="F363" i="1"/>
  <c r="K357" i="1" s="1"/>
  <c r="E43" i="1"/>
  <c r="E223" i="1"/>
  <c r="C226" i="1"/>
  <c r="D82" i="1"/>
  <c r="D80" i="1"/>
  <c r="J73" i="1"/>
  <c r="C78" i="1" s="1"/>
  <c r="D86" i="1"/>
  <c r="D83" i="1"/>
  <c r="J71" i="1"/>
  <c r="J72" i="1"/>
  <c r="D84" i="1"/>
  <c r="D81" i="1"/>
  <c r="J74" i="1"/>
  <c r="J75" i="1" s="1"/>
  <c r="J80" i="1" s="1"/>
  <c r="J81" i="1" s="1"/>
  <c r="C79" i="1" s="1"/>
  <c r="J68" i="1"/>
  <c r="J70" i="1" s="1"/>
  <c r="D87" i="1"/>
  <c r="D85" i="1"/>
  <c r="D100" i="1"/>
  <c r="D97" i="1"/>
  <c r="D99" i="1"/>
  <c r="D95" i="1"/>
  <c r="J88" i="1"/>
  <c r="J89" i="1" s="1"/>
  <c r="J94" i="1" s="1"/>
  <c r="J95" i="1" s="1"/>
  <c r="C93" i="1" s="1"/>
  <c r="J86" i="1"/>
  <c r="D101" i="1"/>
  <c r="D98" i="1"/>
  <c r="D94" i="1"/>
  <c r="J87" i="1"/>
  <c r="C92" i="1" s="1"/>
  <c r="D92" i="1" s="1"/>
  <c r="J85" i="1"/>
  <c r="J82" i="1"/>
  <c r="J84" i="1" s="1"/>
  <c r="D96" i="1"/>
  <c r="D115" i="1"/>
  <c r="D113" i="1"/>
  <c r="D110" i="1"/>
  <c r="D108" i="1"/>
  <c r="J101" i="1"/>
  <c r="C106" i="1" s="1"/>
  <c r="D109" i="1"/>
  <c r="D112" i="1"/>
  <c r="J96" i="1"/>
  <c r="J98" i="1" s="1"/>
  <c r="D114" i="1"/>
  <c r="D111" i="1"/>
  <c r="J102" i="1"/>
  <c r="J103" i="1" s="1"/>
  <c r="J108" i="1" s="1"/>
  <c r="J109" i="1" s="1"/>
  <c r="C107" i="1" s="1"/>
  <c r="J100" i="1"/>
  <c r="J99" i="1"/>
  <c r="D127" i="1"/>
  <c r="D126" i="1"/>
  <c r="D123" i="1"/>
  <c r="J116" i="1"/>
  <c r="J117" i="1" s="1"/>
  <c r="J122" i="1" s="1"/>
  <c r="J123" i="1" s="1"/>
  <c r="C121" i="1" s="1"/>
  <c r="J114" i="1"/>
  <c r="D124" i="1"/>
  <c r="D129" i="1"/>
  <c r="J115" i="1"/>
  <c r="C120" i="1" s="1"/>
  <c r="D120" i="1" s="1"/>
  <c r="D125" i="1"/>
  <c r="J113" i="1"/>
  <c r="J110" i="1"/>
  <c r="J112" i="1" s="1"/>
  <c r="D128" i="1"/>
  <c r="D122" i="1"/>
  <c r="J131" i="1"/>
  <c r="G134" i="1"/>
  <c r="E134" i="1"/>
  <c r="D135" i="1"/>
  <c r="I131" i="1" s="1"/>
  <c r="I132" i="1" s="1"/>
  <c r="J159" i="1"/>
  <c r="D163" i="1"/>
  <c r="I159" i="1" s="1"/>
  <c r="I160" i="1" s="1"/>
  <c r="E162" i="1"/>
  <c r="G162" i="1"/>
  <c r="D149" i="1"/>
  <c r="I145" i="1" s="1"/>
  <c r="I146" i="1" s="1"/>
  <c r="K333" i="1"/>
  <c r="E148" i="1"/>
  <c r="I293" i="1"/>
  <c r="C223" i="1"/>
  <c r="F301" i="1"/>
  <c r="F345" i="1"/>
  <c r="K339" i="1" s="1"/>
  <c r="K353" i="1"/>
  <c r="F360" i="1"/>
  <c r="K354" i="1" s="1"/>
  <c r="G148" i="1"/>
  <c r="E224" i="1"/>
  <c r="C224" i="1"/>
  <c r="F320" i="1"/>
  <c r="E225" i="1"/>
  <c r="C234" i="1"/>
  <c r="C235" i="1" s="1"/>
  <c r="A405" i="1"/>
  <c r="A400" i="1"/>
  <c r="G235" i="1" l="1"/>
  <c r="J199" i="1"/>
  <c r="D191" i="1"/>
  <c r="I187" i="1" s="1"/>
  <c r="I188" i="1" s="1"/>
  <c r="I144" i="1"/>
  <c r="C146" i="1" s="1"/>
  <c r="G190" i="1"/>
  <c r="E227" i="1"/>
  <c r="E236" i="1" s="1"/>
  <c r="E176" i="1"/>
  <c r="G176" i="1"/>
  <c r="D177" i="1"/>
  <c r="I173" i="1" s="1"/>
  <c r="E78" i="1"/>
  <c r="D79" i="1"/>
  <c r="E120" i="1"/>
  <c r="D121" i="1"/>
  <c r="I111" i="1" s="1"/>
  <c r="I112" i="1" s="1"/>
  <c r="E106" i="1"/>
  <c r="D107" i="1"/>
  <c r="E92" i="1"/>
  <c r="D93" i="1"/>
  <c r="I83" i="1" s="1"/>
  <c r="K314" i="1"/>
  <c r="G224" i="1"/>
  <c r="G78" i="1"/>
  <c r="D72" i="1" s="1"/>
  <c r="G106" i="1"/>
  <c r="J83" i="1"/>
  <c r="G92" i="1"/>
  <c r="D78" i="1"/>
  <c r="K295" i="1"/>
  <c r="G223" i="1"/>
  <c r="I130" i="1"/>
  <c r="C132" i="1" s="1"/>
  <c r="I158" i="1"/>
  <c r="C160" i="1" s="1"/>
  <c r="G226" i="1"/>
  <c r="C227" i="1"/>
  <c r="C236" i="1" s="1"/>
  <c r="G225" i="1"/>
  <c r="G120" i="1"/>
  <c r="J111" i="1"/>
  <c r="D106" i="1"/>
  <c r="A401" i="1"/>
  <c r="A406" i="1"/>
  <c r="J187" i="1" l="1"/>
  <c r="I186" i="1" s="1"/>
  <c r="C188" i="1" s="1"/>
  <c r="E190" i="1"/>
  <c r="I174" i="1"/>
  <c r="I172" i="1" s="1"/>
  <c r="C174" i="1" s="1"/>
  <c r="I84" i="1"/>
  <c r="I82" i="1" s="1"/>
  <c r="C90" i="1" s="1"/>
  <c r="I110" i="1"/>
  <c r="C118" i="1" s="1"/>
  <c r="F73" i="1"/>
  <c r="D73" i="1"/>
  <c r="I97" i="1"/>
  <c r="I69" i="1"/>
  <c r="J97" i="1"/>
  <c r="J69" i="1"/>
  <c r="G227" i="1"/>
  <c r="G236" i="1" s="1"/>
  <c r="A402" i="1"/>
  <c r="A407" i="1"/>
  <c r="I98" i="1" l="1"/>
  <c r="I96" i="1" s="1"/>
  <c r="C104" i="1" s="1"/>
  <c r="I70" i="1"/>
  <c r="I68" i="1" s="1"/>
  <c r="C76" i="1" s="1"/>
  <c r="A408" i="1"/>
</calcChain>
</file>

<file path=xl/sharedStrings.xml><?xml version="1.0" encoding="utf-8"?>
<sst xmlns="http://schemas.openxmlformats.org/spreadsheetml/2006/main" count="786" uniqueCount="274">
  <si>
    <t xml:space="preserve">Valuation Report </t>
  </si>
  <si>
    <t>Date:</t>
  </si>
  <si>
    <t>CPC Name:</t>
  </si>
  <si>
    <t>Date Of Property Visit</t>
  </si>
  <si>
    <t>Name of the builder group</t>
  </si>
  <si>
    <t>Name of the builder company</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</si>
  <si>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</si>
  <si>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</si>
  <si>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</si>
  <si>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</si>
  <si>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</si>
  <si>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</si>
  <si>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</si>
  <si>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</si>
  <si>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</si>
  <si>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</si>
  <si>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</si>
  <si>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</si>
  <si>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</si>
  <si>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</si>
  <si>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</si>
  <si>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</si>
  <si>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</si>
  <si>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</si>
  <si>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</si>
  <si>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</si>
  <si>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</si>
  <si>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</si>
  <si>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</si>
  <si>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</si>
  <si>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</si>
  <si>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</si>
  <si>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</si>
  <si>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</si>
  <si>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</si>
  <si>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</si>
  <si>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</si>
  <si>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</si>
  <si>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</si>
  <si>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</si>
  <si>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</si>
  <si>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</si>
  <si>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</si>
  <si>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</si>
  <si>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</si>
  <si>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</si>
  <si>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</si>
  <si>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</si>
  <si>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</si>
  <si>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</si>
  <si>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</si>
  <si>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</si>
  <si>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</si>
  <si>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</si>
  <si>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</si>
  <si>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</si>
  <si>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</si>
  <si>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</si>
  <si>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</si>
  <si>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</si>
  <si>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</si>
  <si>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</si>
  <si>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</si>
  <si>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</si>
  <si>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</si>
  <si>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</si>
  <si>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Flat</t>
  </si>
  <si>
    <t>Podium</t>
  </si>
  <si>
    <t>Ground</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</si>
  <si>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</si>
  <si>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</si>
  <si>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</si>
  <si>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</si>
  <si>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</si>
  <si>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</si>
  <si>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</si>
  <si>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</si>
  <si>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</si>
  <si>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</si>
  <si>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</si>
  <si>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</si>
  <si>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</si>
  <si>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</si>
  <si>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</si>
  <si>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</si>
  <si>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</si>
  <si>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</si>
  <si>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</si>
  <si>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</si>
  <si>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</si>
  <si>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</si>
  <si>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</si>
  <si>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</si>
  <si>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</si>
  <si>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</si>
  <si>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</si>
  <si>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</si>
  <si>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</si>
  <si>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</si>
  <si>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</si>
  <si>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</si>
  <si>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</si>
  <si>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</si>
  <si>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</si>
  <si>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</si>
  <si>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</si>
  <si>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</si>
  <si>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</si>
  <si>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</si>
  <si>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</si>
  <si>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</si>
  <si>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</si>
  <si>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</si>
  <si>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</si>
  <si>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</si>
  <si>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</si>
  <si>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</si>
  <si>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</si>
  <si>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</si>
  <si>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</si>
  <si>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</si>
  <si>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</si>
  <si>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</si>
  <si>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</si>
  <si>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</si>
  <si>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</si>
  <si>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</si>
  <si>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</si>
  <si>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</si>
  <si>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</si>
  <si>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</si>
  <si>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</si>
  <si>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</si>
  <si>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</si>
  <si>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</si>
  <si>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</si>
  <si>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</si>
  <si>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</si>
  <si>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</si>
  <si>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</si>
  <si>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</si>
  <si>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&amp;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</si>
  <si>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</si>
  <si>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</si>
  <si>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</si>
  <si>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</si>
  <si>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</si>
  <si>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</si>
  <si>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</si>
  <si>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</si>
  <si>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</si>
  <si>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</si>
  <si>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</si>
  <si>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</si>
  <si>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</si>
  <si>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</si>
  <si>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</si>
  <si>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</si>
  <si>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</si>
  <si>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</si>
  <si>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</si>
  <si>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Village</t>
  </si>
  <si>
    <t xml:space="preserve">O. Certificate No.: 
Approved upto : </t>
  </si>
  <si>
    <t>Axis Goregaon</t>
  </si>
  <si>
    <t>8446718881/ 8446175757</t>
  </si>
  <si>
    <t>Survey No</t>
  </si>
  <si>
    <t>Yashavant Nagar</t>
  </si>
  <si>
    <t>Yashavant Nagar Road</t>
  </si>
  <si>
    <t>Nilemore</t>
  </si>
  <si>
    <t>Palghar</t>
  </si>
  <si>
    <t>Vasai</t>
  </si>
  <si>
    <t>Riddhi Vinayak Multispeciality Hospital</t>
  </si>
  <si>
    <t>2.4KM from Virar Railway Station</t>
  </si>
  <si>
    <t>Yashwant Gaurav Road</t>
  </si>
  <si>
    <t>Open Plot</t>
  </si>
  <si>
    <t>Vasai-virar City Municipal Corporation</t>
  </si>
  <si>
    <t>Navnath Bhatkar</t>
  </si>
  <si>
    <t>Wing F</t>
  </si>
  <si>
    <t>Ground Floor For Parking</t>
  </si>
  <si>
    <t>1st to 7th &amp; 9th to 12th &amp; 14th to 17th &amp; 19th to 22nd Floor For Residential</t>
  </si>
  <si>
    <t>Refuge Area</t>
  </si>
  <si>
    <t>8th, 13th &amp; 18th Floor (Part Refuge Area)</t>
  </si>
  <si>
    <t>Wing G</t>
  </si>
  <si>
    <t>Wing H</t>
  </si>
  <si>
    <t>Wing I</t>
  </si>
  <si>
    <t>Visitor rate 10000</t>
  </si>
  <si>
    <t>online 28 lac to 32 lac</t>
  </si>
  <si>
    <t>Uniquepoonam Homes LLP</t>
  </si>
  <si>
    <t>Building No.2</t>
  </si>
  <si>
    <t>rate sheet</t>
  </si>
  <si>
    <t>cost sheet</t>
  </si>
  <si>
    <t>visitor</t>
  </si>
  <si>
    <t>6300 to 6600</t>
  </si>
  <si>
    <t>nikhil</t>
  </si>
  <si>
    <t>Virar West</t>
  </si>
  <si>
    <t>Latitude, Longitude</t>
  </si>
  <si>
    <t xml:space="preserve">Office No. 1031, Wing J, Akshar Business Park, Plot No. 03 Sector 25, Near APMC Market, Vashi, Navi Mumbai, Maharashtra 400703 TEL: 022-46090378/79/80                                                                                                     E mail : vsjcapf@gmail.com. Web site : www.vsjadon.com
</t>
  </si>
  <si>
    <t>Rate &amp; Charges added by Nikhil 11/09/2023</t>
  </si>
  <si>
    <t>Sky City Phase I &amp; II</t>
  </si>
  <si>
    <t>Site Person - Contact Details (Name &amp; Contact No.)</t>
  </si>
  <si>
    <t>VVCMC/TP/AMEND/VP/6157 &amp; 5894/540/2022-23</t>
  </si>
  <si>
    <t>Phase 1</t>
  </si>
  <si>
    <t>Building No.1</t>
  </si>
  <si>
    <t>Phase 2</t>
  </si>
  <si>
    <t>Wing B</t>
  </si>
  <si>
    <t>VVCMC/TP/RDPVP-6157 &amp; 5894/540/2022-23</t>
  </si>
  <si>
    <t>Wing A</t>
  </si>
  <si>
    <t>Residential Area Details :Phase II</t>
  </si>
  <si>
    <t>Residential Area Details : Phase I</t>
  </si>
  <si>
    <t>Wing C</t>
  </si>
  <si>
    <t>Wing D</t>
  </si>
  <si>
    <t>Wing E</t>
  </si>
  <si>
    <t>We considered Gross carpet area = Net carpet + Balcony</t>
  </si>
  <si>
    <t>Phase 1 = P99000045278
Phase 2 = P99000051766</t>
  </si>
  <si>
    <t>220 H.No. 6 (Pt), S.No.224 H.No. 2(Old), S.No. 224/B/1, 224/B/2, 224/B/3 (New)</t>
  </si>
  <si>
    <t>Phase I &amp; II = As per RERA - 31/12/2028</t>
  </si>
  <si>
    <t xml:space="preserve"> Grand Total</t>
  </si>
  <si>
    <t>1st to 7th, 9th to 12th &amp; 14th to 17th &amp; 19th to 23rd Floor For Residential</t>
  </si>
  <si>
    <t>Phase I = Building No.2 (Wing G) = Gr + 1st to 22nd Floor</t>
  </si>
  <si>
    <t>Phase I = Building No.2 (Wing H) = Gr + 1st to 22nd Floor</t>
  </si>
  <si>
    <t>Phase I = Building No.2 (Wing I) = Gr + 1st to 22nd Floor</t>
  </si>
  <si>
    <t>Phase II = Building No.2 (Wing A) = Gr/St + 1st to 23rd Floor</t>
  </si>
  <si>
    <t>Layout Plan:</t>
  </si>
  <si>
    <t>Since Project's Builtup Area is above 20000 Sq.M. Please check for Environment Clearance Certificate.</t>
  </si>
  <si>
    <t>Approved Plans, CC, Cost Sheet, Sale Plan</t>
  </si>
  <si>
    <t>9 Wings</t>
  </si>
  <si>
    <t xml:space="preserve">Building No. 2 (Wing F to I) = Gr/St (Pt) + 1st to 22nd Floor
Building No.2 (Wing A)  = Gr/St (Pt) + 1st to 23rd Floor
Building No.1 (Wing  B to E)  = Gr/St (Pt) + 1st to 23rd Floor
</t>
  </si>
  <si>
    <t>Phase II = Building No.1 (Wing B) = Gr/St (Pt) + 1st to 23rd Floor</t>
  </si>
  <si>
    <t>Phase II = Building No.1 (Wing C) = Gr/St (Pt) + 1st to 23rd Floor</t>
  </si>
  <si>
    <t>Phase II = Building No.1 (Wing D) = Gr/St (Pt) + 1st to 23rd Floor</t>
  </si>
  <si>
    <t>Phase II = Building No.1 (Wing E) = Gr/St (Pt) + 1st to 23rd Floor</t>
  </si>
  <si>
    <t>Phase I = Building No. 2 (Wing F to I) = Gr + 1st to 22nd Floor
Phase II = Builing No. 2 (Wing A) = Gr/St (Pt) + 1st to 23rd Floor
Phase II = Building No.1 (Wing B) = Gr/St (Pt) + 1st to 23rd Floor
Phase II = Building No.1 (Wing C) = Gr/St (Pt) + 1st to 23rd Floor
Phase II = Building No.1 (Wing D) = Gr/St (Pt) + 1st to 23rd Floor
Phase II = Building No.1 (Wing E) = Gr/St (Pt) + 1st to 23rd Floor</t>
  </si>
  <si>
    <t>As per Layout</t>
  </si>
  <si>
    <t>19.437178,72.811791</t>
  </si>
  <si>
    <t>https://maps.app.goo.gl/z3aKmD14X8TbDXt7A</t>
  </si>
  <si>
    <t>Internal Road/Open Plot</t>
  </si>
  <si>
    <t>30.00M Wide D.P Road</t>
  </si>
  <si>
    <t>Other Plot</t>
  </si>
  <si>
    <t>PS Area, Hospital Area</t>
  </si>
  <si>
    <t>Ground Floor For Entrance Lobby, Meter Room, Fire Panel Room &amp; Parking</t>
  </si>
  <si>
    <t xml:space="preserve">Details of Residential &amp; Commercials in Building   </t>
  </si>
  <si>
    <r>
      <t xml:space="preserve">Shop No.
</t>
    </r>
    <r>
      <rPr>
        <b/>
        <sz val="11"/>
        <color rgb="FF000000"/>
        <rFont val="Times New Roman"/>
        <family val="1"/>
      </rPr>
      <t>(Approved Plan)</t>
    </r>
  </si>
  <si>
    <t>Shop No. (Sale Plan)</t>
  </si>
  <si>
    <t>Attached Loft area</t>
  </si>
  <si>
    <t>Ground Floor For Commercial, Entrance Lobby, Meter Room, Driver Room &amp; Parking</t>
  </si>
  <si>
    <t>Shop</t>
  </si>
  <si>
    <t>1st Floor For Residential</t>
  </si>
  <si>
    <t>SkyCity 4 pager_R3_CC pdf</t>
  </si>
  <si>
    <t>Grand Entrance Lobby, Branded Elevators, 24X7 Power Backup in Common Areas, Fire Fighting System, Stack Parking Space, CCTV With 24x7 Security, Security Services, Rainwater Harvesting, Common Sewage Treatment Plant, Sky Garden &amp; Landscape Podium Garden</t>
  </si>
  <si>
    <t>1BHK</t>
  </si>
  <si>
    <t>1.5BHK</t>
  </si>
  <si>
    <t>2BHK</t>
  </si>
  <si>
    <t>2nd to 7th, 9th to 12th, 14th to 17th &amp; 19th to 23rd Floor</t>
  </si>
  <si>
    <t>`</t>
  </si>
  <si>
    <t>Ground Floor For Commercial, Entrance Lobby, Society Office, Creche, Fitness Center, Meter Room, Driver Room, Fire Panel Room &amp; Parking</t>
  </si>
  <si>
    <t xml:space="preserve">Remarks:  </t>
  </si>
  <si>
    <t>Ground Floor For Commercial, Entrance Lobby, Meter Room, Fire Panel Room &amp; Parking</t>
  </si>
  <si>
    <t>Flats -1505, Shops - 40</t>
  </si>
  <si>
    <t xml:space="preserve">As per RERA site Sky City Phase II conisit of Building No.2 (Wing A) &amp; Building No.1 (Wing B to E) 
</t>
  </si>
  <si>
    <t xml:space="preserve">Phase 1 = Building No. 2 (Wing F to I)
Phase 2 = (Building No.2 Wing A) &amp; 
                (Building No.1 Wing B to E) </t>
  </si>
  <si>
    <t>Commercial Area Details :Phase II</t>
  </si>
  <si>
    <t xml:space="preserve">We have updated revised approved floor plan wing B to E (on 09/11/2023).
</t>
  </si>
  <si>
    <t>rate 6200</t>
  </si>
  <si>
    <t>by trupti</t>
  </si>
  <si>
    <t>6200 to  6600</t>
  </si>
  <si>
    <t>By trupti</t>
  </si>
  <si>
    <t xml:space="preserve">Recommended Rates of the Property have been revised on 21/03/2024.
</t>
  </si>
  <si>
    <t>Name of the Project</t>
  </si>
  <si>
    <t>Phase 1 = Building No. 2 (Wing F to I) = Gr + 1st to 22nd Floor</t>
  </si>
  <si>
    <t>Phase 1 = Building No. 2 (Wing F &amp; G) = Gr + 1st to 22nd Floor</t>
  </si>
  <si>
    <t>Phase 1 = Building No. 2 (Wing H &amp; I) = Gr + 1st to 22nd Floor</t>
  </si>
  <si>
    <t>Mr. Sanjay : 8446718881</t>
  </si>
  <si>
    <t>Kunal Kadam</t>
  </si>
  <si>
    <t>Wing F, G, H &amp; I = All work completed. Waiting for OC.
Wing A to E = Construction work is in process at the time of Visit. Internal photographs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</si>
</sst>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gt;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1"/>
      <name val="Calibri"/>
      <family val="2"/>
    </font>
    <font>
      <sz val="11"/>
      <color theme="0"/>
      <name val="Calibri"/>
      <family val="2"/>
    </font>
    <font>
      <u/>
      <sz val="11"/>
      <color theme="10"/>
      <name val="Calibri"/>
      <family val="2"/>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8" xfId="0" applyFont="1" applyBorder="1" applyProtection="1">
      <protection hidden="1"/>
    </xf>
    <xf numFmtId="9" fontId="7" fillId="0" borderId="1" xfId="8" applyFont="1" applyFill="1" applyBorder="1" applyAlignment="1" applyProtection="1">
      <alignment horizontal="center" vertical="top" wrapText="1"/>
      <protection locked="0"/>
    </xf>
    <xf numFmtId="9" fontId="7" fillId="0" borderId="4" xfId="8" applyFont="1" applyFill="1" applyBorder="1" applyAlignment="1" applyProtection="1">
      <alignment horizontal="center" vertical="top" wrapText="1"/>
      <protection locked="0"/>
    </xf>
    <xf numFmtId="0" fontId="7" fillId="0" borderId="0" xfId="1" applyFont="1"/>
    <xf numFmtId="0" fontId="15"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7"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0" fontId="24" fillId="0" borderId="24" xfId="0" applyFont="1" applyBorder="1"/>
    <xf numFmtId="0" fontId="24" fillId="0" borderId="3" xfId="0" applyFont="1" applyBorder="1"/>
    <xf numFmtId="168" fontId="6" fillId="0" borderId="1" xfId="1" applyNumberFormat="1" applyFont="1" applyBorder="1" applyAlignment="1" applyProtection="1">
      <alignment horizontal="center" vertical="center" wrapText="1"/>
      <protection locked="0"/>
    </xf>
    <xf numFmtId="2" fontId="7" fillId="0" borderId="0" xfId="1" applyNumberFormat="1" applyFont="1"/>
    <xf numFmtId="1" fontId="7"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0" fontId="7" fillId="2" borderId="0" xfId="1" applyFont="1" applyFill="1"/>
    <xf numFmtId="14" fontId="7" fillId="2" borderId="0" xfId="1" applyNumberFormat="1" applyFont="1" applyFill="1"/>
    <xf numFmtId="0" fontId="6" fillId="0" borderId="1" xfId="1" applyFont="1" applyBorder="1" applyAlignment="1" applyProtection="1">
      <alignment horizontal="center" vertical="top"/>
      <protection locked="0"/>
    </xf>
    <xf numFmtId="0" fontId="7" fillId="3" borderId="0" xfId="1" applyFont="1" applyFill="1"/>
    <xf numFmtId="0" fontId="16" fillId="3" borderId="0" xfId="1" applyFont="1" applyFill="1"/>
    <xf numFmtId="0" fontId="12"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6" fillId="0" borderId="3" xfId="0" applyFont="1" applyBorder="1"/>
    <xf numFmtId="0" fontId="16" fillId="0" borderId="0" xfId="0" applyFont="1" applyProtection="1">
      <protection hidden="1"/>
    </xf>
    <xf numFmtId="0" fontId="16" fillId="0" borderId="7" xfId="0" applyFont="1" applyBorder="1" applyProtection="1">
      <protection hidden="1"/>
    </xf>
    <xf numFmtId="1" fontId="26" fillId="0" borderId="7" xfId="0" applyNumberFormat="1" applyFont="1" applyBorder="1"/>
    <xf numFmtId="1" fontId="26" fillId="0" borderId="7" xfId="0" applyNumberFormat="1" applyFont="1" applyBorder="1" applyAlignment="1">
      <alignment horizontal="right"/>
    </xf>
    <xf numFmtId="0" fontId="16" fillId="0" borderId="8" xfId="0" applyFont="1" applyBorder="1" applyProtection="1">
      <protection hidden="1"/>
    </xf>
    <xf numFmtId="1" fontId="26" fillId="0" borderId="9" xfId="0" applyNumberFormat="1" applyFont="1" applyBorder="1"/>
    <xf numFmtId="1" fontId="7" fillId="0" borderId="1" xfId="1" applyNumberFormat="1" applyFont="1" applyBorder="1" applyAlignment="1">
      <alignment horizontal="center" vertical="center"/>
    </xf>
    <xf numFmtId="0" fontId="7" fillId="0" borderId="1" xfId="1" applyFont="1" applyBorder="1" applyAlignment="1" applyProtection="1">
      <alignment vertical="top" wrapText="1"/>
      <protection locked="0"/>
    </xf>
    <xf numFmtId="1" fontId="12"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65" fontId="7" fillId="0" borderId="0" xfId="1" applyNumberFormat="1" applyFont="1" applyAlignment="1">
      <alignment horizontal="center" vertical="center"/>
    </xf>
    <xf numFmtId="1" fontId="7" fillId="0" borderId="1" xfId="0" applyNumberFormat="1" applyFont="1" applyBorder="1" applyAlignment="1">
      <alignment horizontal="center" vertical="center"/>
    </xf>
    <xf numFmtId="14" fontId="16" fillId="0" borderId="0" xfId="1" applyNumberFormat="1" applyFont="1"/>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0" fontId="23" fillId="0" borderId="12" xfId="0" applyFont="1" applyBorder="1"/>
    <xf numFmtId="0" fontId="24" fillId="0" borderId="6" xfId="0" applyFont="1" applyBorder="1"/>
    <xf numFmtId="0" fontId="23" fillId="2" borderId="12" xfId="0" applyFont="1" applyFill="1" applyBorder="1"/>
    <xf numFmtId="0" fontId="26" fillId="0" borderId="6" xfId="0" applyFont="1" applyBorder="1"/>
    <xf numFmtId="1" fontId="7" fillId="0" borderId="6" xfId="1" applyNumberFormat="1" applyFont="1" applyBorder="1" applyAlignment="1">
      <alignment horizontal="center" vertical="center"/>
    </xf>
    <xf numFmtId="1" fontId="7" fillId="0" borderId="6" xfId="0" applyNumberFormat="1" applyFont="1" applyBorder="1" applyAlignment="1">
      <alignment horizontal="center" vertical="center"/>
    </xf>
    <xf numFmtId="0" fontId="12" fillId="0" borderId="13" xfId="0" applyFont="1" applyBorder="1" applyAlignment="1">
      <alignment horizontal="center" vertical="center"/>
    </xf>
    <xf numFmtId="0" fontId="8" fillId="0" borderId="20" xfId="1" applyFont="1" applyBorder="1" applyAlignment="1" applyProtection="1">
      <alignment vertical="top"/>
      <protection locked="0"/>
    </xf>
    <xf numFmtId="0" fontId="7" fillId="0" borderId="0" xfId="1" applyFont="1" applyProtection="1">
      <protection locked="0"/>
    </xf>
    <xf numFmtId="0" fontId="8" fillId="0" borderId="21" xfId="1" applyFont="1" applyBorder="1" applyAlignment="1" applyProtection="1">
      <alignment vertical="top" wrapText="1"/>
      <protection locked="0"/>
    </xf>
    <xf numFmtId="0" fontId="7" fillId="0" borderId="21" xfId="1" applyFont="1" applyBorder="1" applyProtection="1">
      <protection locked="0"/>
    </xf>
    <xf numFmtId="0" fontId="7" fillId="0" borderId="20" xfId="1" applyFont="1" applyBorder="1" applyProtection="1">
      <protection locked="0"/>
    </xf>
    <xf numFmtId="0" fontId="10" fillId="0" borderId="0" xfId="1" applyFont="1" applyProtection="1">
      <protection locked="0"/>
    </xf>
    <xf numFmtId="1" fontId="8" fillId="0" borderId="5"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0" fontId="15" fillId="0" borderId="26" xfId="1" applyFont="1" applyBorder="1" applyAlignment="1">
      <alignment horizontal="center"/>
    </xf>
    <xf numFmtId="0" fontId="15" fillId="0" borderId="0" xfId="1" applyFont="1" applyAlignment="1">
      <alignment horizontal="center"/>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top" wrapText="1"/>
      <protection locked="0"/>
    </xf>
    <xf numFmtId="1" fontId="8" fillId="0" borderId="5"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top"/>
      <protection locked="0"/>
    </xf>
    <xf numFmtId="0" fontId="12" fillId="0" borderId="1" xfId="0" applyFont="1" applyBorder="1" applyAlignment="1" applyProtection="1">
      <alignment horizontal="center" vertical="center"/>
      <protection locked="0"/>
    </xf>
    <xf numFmtId="1" fontId="6" fillId="0" borderId="1" xfId="1" applyNumberFormat="1" applyFont="1" applyBorder="1" applyAlignment="1" applyProtection="1">
      <alignment horizontal="center" vertical="center" wrapText="1"/>
      <protection locked="0"/>
    </xf>
    <xf numFmtId="168" fontId="6" fillId="0" borderId="5" xfId="1" applyNumberFormat="1" applyFont="1" applyBorder="1" applyAlignment="1" applyProtection="1">
      <alignment horizontal="center" vertical="center" wrapText="1"/>
      <protection locked="0"/>
    </xf>
    <xf numFmtId="168" fontId="6" fillId="0" borderId="18" xfId="1" applyNumberFormat="1" applyFont="1" applyBorder="1" applyAlignment="1" applyProtection="1">
      <alignment horizontal="center" vertical="center" wrapText="1"/>
      <protection locked="0"/>
    </xf>
    <xf numFmtId="168" fontId="6" fillId="0" borderId="6" xfId="1" applyNumberFormat="1" applyFont="1" applyBorder="1" applyAlignment="1" applyProtection="1">
      <alignment horizontal="center" vertical="center" wrapText="1"/>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1" fontId="10" fillId="0" borderId="5" xfId="0" applyNumberFormat="1" applyFont="1" applyBorder="1" applyAlignment="1" applyProtection="1">
      <alignment vertical="top" wrapText="1"/>
      <protection locked="0"/>
    </xf>
    <xf numFmtId="1" fontId="10" fillId="0" borderId="18" xfId="0" applyNumberFormat="1" applyFont="1" applyBorder="1" applyAlignment="1" applyProtection="1">
      <alignment vertical="top" wrapText="1"/>
      <protection locked="0"/>
    </xf>
    <xf numFmtId="1" fontId="10" fillId="0" borderId="6"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wrapText="1"/>
      <protection locked="0"/>
    </xf>
    <xf numFmtId="0" fontId="13" fillId="0" borderId="13"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1" xfId="0" applyNumberFormat="1" applyFont="1" applyBorder="1" applyAlignment="1" applyProtection="1">
      <alignment horizontal="center" vertical="top" wrapText="1"/>
      <protection locked="0"/>
    </xf>
    <xf numFmtId="168"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14" fontId="7" fillId="0" borderId="5" xfId="1" applyNumberFormat="1" applyFont="1" applyBorder="1" applyAlignment="1" applyProtection="1">
      <alignment horizontal="left" vertical="top" wrapText="1"/>
      <protection locked="0"/>
    </xf>
    <xf numFmtId="14" fontId="7" fillId="0" borderId="6"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8" fillId="0" borderId="5" xfId="1" applyNumberFormat="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7" fillId="0" borderId="5"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13"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0" xfId="1" applyFont="1" applyAlignment="1">
      <alignment horizontal="center" vertical="center"/>
    </xf>
    <xf numFmtId="0" fontId="13" fillId="0" borderId="5"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1" fontId="13" fillId="0" borderId="5"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2" fontId="6" fillId="0" borderId="1" xfId="1" applyNumberFormat="1" applyFont="1" applyBorder="1" applyAlignment="1" applyProtection="1">
      <alignment horizontal="left" vertical="top" wrapText="1"/>
      <protection locked="0"/>
    </xf>
    <xf numFmtId="0" fontId="10" fillId="0" borderId="5" xfId="1" applyFont="1" applyBorder="1" applyAlignment="1" applyProtection="1">
      <alignment horizontal="left"/>
      <protection locked="0"/>
    </xf>
    <xf numFmtId="0" fontId="10" fillId="0" borderId="18" xfId="1" applyFont="1" applyBorder="1" applyAlignment="1" applyProtection="1">
      <alignment horizontal="left"/>
      <protection locked="0"/>
    </xf>
    <xf numFmtId="0" fontId="10" fillId="0" borderId="6" xfId="1" applyFont="1" applyBorder="1" applyAlignment="1" applyProtection="1">
      <alignment horizontal="left"/>
      <protection locked="0"/>
    </xf>
    <xf numFmtId="0" fontId="25" fillId="0" borderId="1" xfId="10" applyFill="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0" fillId="0" borderId="10"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1" fontId="8" fillId="0" borderId="1" xfId="1" applyNumberFormat="1" applyFont="1" applyBorder="1" applyAlignment="1" applyProtection="1">
      <alignment horizontal="left" vertical="center" wrapText="1"/>
      <protection locked="0"/>
    </xf>
    <xf numFmtId="1" fontId="6" fillId="0" borderId="25" xfId="1" applyNumberFormat="1"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9" fillId="0" borderId="1" xfId="5" applyFont="1" applyBorder="1" applyAlignment="1">
      <alignment horizontal="left"/>
    </xf>
    <xf numFmtId="14" fontId="10" fillId="0" borderId="0" xfId="1" applyNumberFormat="1" applyFont="1"/>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2</xdr:col>
      <xdr:colOff>186263</xdr:colOff>
      <xdr:row>577</xdr:row>
      <xdr:rowOff>190500</xdr:rowOff>
    </xdr:from>
    <xdr:to>
      <xdr:col>5</xdr:col>
      <xdr:colOff>664013</xdr:colOff>
      <xdr:row>593</xdr:row>
      <xdr:rowOff>62305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1"/>
        <a:srcRect t="4591" r="2758"/>
        <a:stretch/>
      </xdr:blipFill>
      <xdr:spPr>
        <a:xfrm>
          <a:off x="1862663" y="84381975"/>
          <a:ext cx="3240000" cy="3072206"/>
        </a:xfrm>
        <a:prstGeom prst="rect">
          <a:avLst/>
        </a:prstGeom>
        <a:ln w="9525">
          <a:solidFill>
            <a:schemeClr val="tx1"/>
          </a:solidFill>
        </a:ln>
      </xdr:spPr>
    </xdr:pic>
    <xdr:clientData/>
  </xdr:twoCellAnchor>
  <xdr:twoCellAnchor editAs="oneCell">
    <xdr:from>
      <xdr:col>0</xdr:col>
      <xdr:colOff>133350</xdr:colOff>
      <xdr:row>594</xdr:row>
      <xdr:rowOff>111388</xdr:rowOff>
    </xdr:from>
    <xdr:to>
      <xdr:col>7</xdr:col>
      <xdr:colOff>716927</xdr:colOff>
      <xdr:row>615</xdr:row>
      <xdr:rowOff>50866</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
        <a:srcRect l="18068" t="23413" r="39877" b="30357"/>
        <a:stretch/>
      </xdr:blipFill>
      <xdr:spPr>
        <a:xfrm>
          <a:off x="133350" y="87703288"/>
          <a:ext cx="6698627" cy="4140000"/>
        </a:xfrm>
        <a:prstGeom prst="rect">
          <a:avLst/>
        </a:prstGeom>
        <a:ln>
          <a:solidFill>
            <a:schemeClr val="tx1"/>
          </a:solidFill>
        </a:ln>
      </xdr:spPr>
    </xdr:pic>
    <xdr:clientData/>
  </xdr:twoCellAnchor>
  <xdr:twoCellAnchor>
    <xdr:from>
      <xdr:col>0</xdr:col>
      <xdr:colOff>411078</xdr:colOff>
      <xdr:row>601</xdr:row>
      <xdr:rowOff>162641</xdr:rowOff>
    </xdr:from>
    <xdr:to>
      <xdr:col>2</xdr:col>
      <xdr:colOff>26450</xdr:colOff>
      <xdr:row>604</xdr:row>
      <xdr:rowOff>128623</xdr:rowOff>
    </xdr:to>
    <xdr:sp macro="" textlink="">
      <xdr:nvSpPr>
        <xdr:cNvPr id="40" name="TextBox 2">
          <a:extLst>
            <a:ext uri="{FF2B5EF4-FFF2-40B4-BE49-F238E27FC236}">
              <a16:creationId xmlns:a16="http://schemas.microsoft.com/office/drawing/2014/main" id="{00000000-0008-0000-0000-000028000000}"/>
            </a:ext>
          </a:extLst>
        </xdr:cNvPr>
        <xdr:cNvSpPr txBox="1"/>
      </xdr:nvSpPr>
      <xdr:spPr>
        <a:xfrm>
          <a:off x="411078" y="89154716"/>
          <a:ext cx="1291772" cy="566057"/>
        </a:xfrm>
        <a:prstGeom prst="rect">
          <a:avLst/>
        </a:prstGeom>
        <a:noFill/>
        <a:ln w="28575">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0</xdr:col>
      <xdr:colOff>411078</xdr:colOff>
      <xdr:row>604</xdr:row>
      <xdr:rowOff>181138</xdr:rowOff>
    </xdr:from>
    <xdr:to>
      <xdr:col>1</xdr:col>
      <xdr:colOff>707714</xdr:colOff>
      <xdr:row>608</xdr:row>
      <xdr:rowOff>106753</xdr:rowOff>
    </xdr:to>
    <xdr:sp macro="" textlink="">
      <xdr:nvSpPr>
        <xdr:cNvPr id="41" name="TextBox 3">
          <a:extLst>
            <a:ext uri="{FF2B5EF4-FFF2-40B4-BE49-F238E27FC236}">
              <a16:creationId xmlns:a16="http://schemas.microsoft.com/office/drawing/2014/main" id="{00000000-0008-0000-0000-000029000000}"/>
            </a:ext>
          </a:extLst>
        </xdr:cNvPr>
        <xdr:cNvSpPr txBox="1"/>
      </xdr:nvSpPr>
      <xdr:spPr>
        <a:xfrm>
          <a:off x="411078" y="89773288"/>
          <a:ext cx="1115786" cy="725715"/>
        </a:xfrm>
        <a:prstGeom prst="rect">
          <a:avLst/>
        </a:prstGeom>
        <a:noFill/>
        <a:ln w="28575">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1</xdr:col>
      <xdr:colOff>756700</xdr:colOff>
      <xdr:row>604</xdr:row>
      <xdr:rowOff>181138</xdr:rowOff>
    </xdr:from>
    <xdr:to>
      <xdr:col>2</xdr:col>
      <xdr:colOff>828364</xdr:colOff>
      <xdr:row>608</xdr:row>
      <xdr:rowOff>106753</xdr:rowOff>
    </xdr:to>
    <xdr:sp macro="" textlink="">
      <xdr:nvSpPr>
        <xdr:cNvPr id="42" name="TextBox 4">
          <a:extLst>
            <a:ext uri="{FF2B5EF4-FFF2-40B4-BE49-F238E27FC236}">
              <a16:creationId xmlns:a16="http://schemas.microsoft.com/office/drawing/2014/main" id="{00000000-0008-0000-0000-00002A000000}"/>
            </a:ext>
          </a:extLst>
        </xdr:cNvPr>
        <xdr:cNvSpPr txBox="1"/>
      </xdr:nvSpPr>
      <xdr:spPr>
        <a:xfrm>
          <a:off x="1575850" y="89773288"/>
          <a:ext cx="928914" cy="725715"/>
        </a:xfrm>
        <a:prstGeom prst="rect">
          <a:avLst/>
        </a:prstGeom>
        <a:noFill/>
        <a:ln w="28575">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2</xdr:col>
      <xdr:colOff>877350</xdr:colOff>
      <xdr:row>604</xdr:row>
      <xdr:rowOff>181138</xdr:rowOff>
    </xdr:from>
    <xdr:to>
      <xdr:col>3</xdr:col>
      <xdr:colOff>891864</xdr:colOff>
      <xdr:row>608</xdr:row>
      <xdr:rowOff>106753</xdr:rowOff>
    </xdr:to>
    <xdr:sp macro="" textlink="">
      <xdr:nvSpPr>
        <xdr:cNvPr id="43" name="TextBox 5">
          <a:extLst>
            <a:ext uri="{FF2B5EF4-FFF2-40B4-BE49-F238E27FC236}">
              <a16:creationId xmlns:a16="http://schemas.microsoft.com/office/drawing/2014/main" id="{00000000-0008-0000-0000-00002B000000}"/>
            </a:ext>
          </a:extLst>
        </xdr:cNvPr>
        <xdr:cNvSpPr txBox="1"/>
      </xdr:nvSpPr>
      <xdr:spPr>
        <a:xfrm>
          <a:off x="2553750" y="89773288"/>
          <a:ext cx="928914" cy="725715"/>
        </a:xfrm>
        <a:prstGeom prst="rect">
          <a:avLst/>
        </a:prstGeom>
        <a:noFill/>
        <a:ln w="28575">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940850</xdr:colOff>
      <xdr:row>604</xdr:row>
      <xdr:rowOff>181138</xdr:rowOff>
    </xdr:from>
    <xdr:to>
      <xdr:col>5</xdr:col>
      <xdr:colOff>21914</xdr:colOff>
      <xdr:row>608</xdr:row>
      <xdr:rowOff>106753</xdr:rowOff>
    </xdr:to>
    <xdr:sp macro="" textlink="">
      <xdr:nvSpPr>
        <xdr:cNvPr id="44" name="TextBox 6">
          <a:extLst>
            <a:ext uri="{FF2B5EF4-FFF2-40B4-BE49-F238E27FC236}">
              <a16:creationId xmlns:a16="http://schemas.microsoft.com/office/drawing/2014/main" id="{00000000-0008-0000-0000-00002C000000}"/>
            </a:ext>
          </a:extLst>
        </xdr:cNvPr>
        <xdr:cNvSpPr txBox="1"/>
      </xdr:nvSpPr>
      <xdr:spPr>
        <a:xfrm>
          <a:off x="3531650" y="89773288"/>
          <a:ext cx="928914" cy="725715"/>
        </a:xfrm>
        <a:prstGeom prst="rect">
          <a:avLst/>
        </a:prstGeom>
        <a:noFill/>
        <a:ln w="28575">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0</xdr:col>
      <xdr:colOff>498033</xdr:colOff>
      <xdr:row>599</xdr:row>
      <xdr:rowOff>144696</xdr:rowOff>
    </xdr:from>
    <xdr:to>
      <xdr:col>2</xdr:col>
      <xdr:colOff>104775</xdr:colOff>
      <xdr:row>602</xdr:row>
      <xdr:rowOff>12698</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498033" y="88736721"/>
          <a:ext cx="1283142"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7030A0"/>
              </a:solidFill>
            </a:rPr>
            <a:t>Building No.2</a:t>
          </a:r>
        </a:p>
        <a:p>
          <a:pPr algn="ctr"/>
          <a:r>
            <a:rPr lang="en-IN" sz="1200" b="1">
              <a:solidFill>
                <a:srgbClr val="7030A0"/>
              </a:solidFill>
            </a:rPr>
            <a:t>Wing A</a:t>
          </a:r>
        </a:p>
      </xdr:txBody>
    </xdr:sp>
    <xdr:clientData/>
  </xdr:twoCellAnchor>
  <xdr:twoCellAnchor>
    <xdr:from>
      <xdr:col>0</xdr:col>
      <xdr:colOff>340847</xdr:colOff>
      <xdr:row>608</xdr:row>
      <xdr:rowOff>106753</xdr:rowOff>
    </xdr:from>
    <xdr:to>
      <xdr:col>1</xdr:col>
      <xdr:colOff>664697</xdr:colOff>
      <xdr:row>610</xdr:row>
      <xdr:rowOff>174780</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a:xfrm>
          <a:off x="340847" y="90499003"/>
          <a:ext cx="1143000"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7030A0"/>
              </a:solidFill>
            </a:rPr>
            <a:t>Building No.2</a:t>
          </a:r>
        </a:p>
        <a:p>
          <a:pPr algn="ctr"/>
          <a:r>
            <a:rPr lang="en-IN" sz="1200" b="1">
              <a:solidFill>
                <a:srgbClr val="7030A0"/>
              </a:solidFill>
            </a:rPr>
            <a:t>Wing F</a:t>
          </a:r>
        </a:p>
      </xdr:txBody>
    </xdr:sp>
    <xdr:clientData/>
  </xdr:twoCellAnchor>
  <xdr:twoCellAnchor>
    <xdr:from>
      <xdr:col>1</xdr:col>
      <xdr:colOff>611018</xdr:colOff>
      <xdr:row>608</xdr:row>
      <xdr:rowOff>129599</xdr:rowOff>
    </xdr:from>
    <xdr:to>
      <xdr:col>2</xdr:col>
      <xdr:colOff>877350</xdr:colOff>
      <xdr:row>610</xdr:row>
      <xdr:rowOff>197626</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1430168" y="90521849"/>
          <a:ext cx="1123582"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7030A0"/>
              </a:solidFill>
            </a:rPr>
            <a:t>Building No.2</a:t>
          </a:r>
        </a:p>
        <a:p>
          <a:pPr algn="ctr"/>
          <a:r>
            <a:rPr lang="en-IN" sz="1200" b="1">
              <a:solidFill>
                <a:srgbClr val="7030A0"/>
              </a:solidFill>
            </a:rPr>
            <a:t>Wing G</a:t>
          </a:r>
        </a:p>
      </xdr:txBody>
    </xdr:sp>
    <xdr:clientData/>
  </xdr:twoCellAnchor>
  <xdr:twoCellAnchor>
    <xdr:from>
      <xdr:col>2</xdr:col>
      <xdr:colOff>791164</xdr:colOff>
      <xdr:row>608</xdr:row>
      <xdr:rowOff>112684</xdr:rowOff>
    </xdr:from>
    <xdr:to>
      <xdr:col>4</xdr:col>
      <xdr:colOff>23203</xdr:colOff>
      <xdr:row>610</xdr:row>
      <xdr:rowOff>180711</xdr:rowOff>
    </xdr:to>
    <xdr:sp macro="" textlink="">
      <xdr:nvSpPr>
        <xdr:cNvPr id="48" name="Rectangle 47">
          <a:extLst>
            <a:ext uri="{FF2B5EF4-FFF2-40B4-BE49-F238E27FC236}">
              <a16:creationId xmlns:a16="http://schemas.microsoft.com/office/drawing/2014/main" id="{00000000-0008-0000-0000-000030000000}"/>
            </a:ext>
          </a:extLst>
        </xdr:cNvPr>
        <xdr:cNvSpPr/>
      </xdr:nvSpPr>
      <xdr:spPr>
        <a:xfrm>
          <a:off x="2467564" y="90504934"/>
          <a:ext cx="1156089"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7030A0"/>
              </a:solidFill>
            </a:rPr>
            <a:t>Building No.2</a:t>
          </a:r>
        </a:p>
        <a:p>
          <a:pPr algn="ctr"/>
          <a:r>
            <a:rPr lang="en-IN" sz="1200" b="1">
              <a:solidFill>
                <a:srgbClr val="7030A0"/>
              </a:solidFill>
            </a:rPr>
            <a:t>Wing H</a:t>
          </a:r>
        </a:p>
      </xdr:txBody>
    </xdr:sp>
    <xdr:clientData/>
  </xdr:twoCellAnchor>
  <xdr:twoCellAnchor>
    <xdr:from>
      <xdr:col>3</xdr:col>
      <xdr:colOff>900558</xdr:colOff>
      <xdr:row>608</xdr:row>
      <xdr:rowOff>129599</xdr:rowOff>
    </xdr:from>
    <xdr:to>
      <xdr:col>5</xdr:col>
      <xdr:colOff>94238</xdr:colOff>
      <xdr:row>610</xdr:row>
      <xdr:rowOff>197626</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a:xfrm>
          <a:off x="3491358" y="90521849"/>
          <a:ext cx="1041530"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7030A0"/>
              </a:solidFill>
            </a:rPr>
            <a:t>Building No.2</a:t>
          </a:r>
        </a:p>
        <a:p>
          <a:pPr algn="ctr"/>
          <a:r>
            <a:rPr lang="en-IN" sz="1200" b="1">
              <a:solidFill>
                <a:srgbClr val="7030A0"/>
              </a:solidFill>
            </a:rPr>
            <a:t>Wing I</a:t>
          </a:r>
        </a:p>
      </xdr:txBody>
    </xdr:sp>
    <xdr:clientData/>
  </xdr:twoCellAnchor>
  <xdr:twoCellAnchor>
    <xdr:from>
      <xdr:col>2</xdr:col>
      <xdr:colOff>557722</xdr:colOff>
      <xdr:row>600</xdr:row>
      <xdr:rowOff>1673</xdr:rowOff>
    </xdr:from>
    <xdr:to>
      <xdr:col>3</xdr:col>
      <xdr:colOff>442217</xdr:colOff>
      <xdr:row>603</xdr:row>
      <xdr:rowOff>159788</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a:xfrm>
          <a:off x="2234122" y="88793723"/>
          <a:ext cx="798895" cy="758190"/>
        </a:xfrm>
        <a:prstGeom prst="rect">
          <a:avLst/>
        </a:pr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442217</xdr:colOff>
      <xdr:row>600</xdr:row>
      <xdr:rowOff>1673</xdr:rowOff>
    </xdr:from>
    <xdr:to>
      <xdr:col>4</xdr:col>
      <xdr:colOff>490663</xdr:colOff>
      <xdr:row>603</xdr:row>
      <xdr:rowOff>159788</xdr:rowOff>
    </xdr:to>
    <xdr:sp macro="" textlink="">
      <xdr:nvSpPr>
        <xdr:cNvPr id="51" name="Rectangle 50">
          <a:extLst>
            <a:ext uri="{FF2B5EF4-FFF2-40B4-BE49-F238E27FC236}">
              <a16:creationId xmlns:a16="http://schemas.microsoft.com/office/drawing/2014/main" id="{00000000-0008-0000-0000-000033000000}"/>
            </a:ext>
          </a:extLst>
        </xdr:cNvPr>
        <xdr:cNvSpPr/>
      </xdr:nvSpPr>
      <xdr:spPr>
        <a:xfrm>
          <a:off x="3033017" y="88793723"/>
          <a:ext cx="1058096" cy="758190"/>
        </a:xfrm>
        <a:prstGeom prst="rect">
          <a:avLst/>
        </a:pr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504771</xdr:colOff>
      <xdr:row>600</xdr:row>
      <xdr:rowOff>1673</xdr:rowOff>
    </xdr:from>
    <xdr:to>
      <xdr:col>5</xdr:col>
      <xdr:colOff>730442</xdr:colOff>
      <xdr:row>603</xdr:row>
      <xdr:rowOff>159788</xdr:rowOff>
    </xdr:to>
    <xdr:sp macro="" textlink="">
      <xdr:nvSpPr>
        <xdr:cNvPr id="52" name="Rectangle 51">
          <a:extLst>
            <a:ext uri="{FF2B5EF4-FFF2-40B4-BE49-F238E27FC236}">
              <a16:creationId xmlns:a16="http://schemas.microsoft.com/office/drawing/2014/main" id="{00000000-0008-0000-0000-000034000000}"/>
            </a:ext>
          </a:extLst>
        </xdr:cNvPr>
        <xdr:cNvSpPr/>
      </xdr:nvSpPr>
      <xdr:spPr>
        <a:xfrm>
          <a:off x="4105221" y="88793723"/>
          <a:ext cx="1063871" cy="758190"/>
        </a:xfrm>
        <a:prstGeom prst="rect">
          <a:avLst/>
        </a:pr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730442</xdr:colOff>
      <xdr:row>600</xdr:row>
      <xdr:rowOff>1673</xdr:rowOff>
    </xdr:from>
    <xdr:to>
      <xdr:col>6</xdr:col>
      <xdr:colOff>691137</xdr:colOff>
      <xdr:row>603</xdr:row>
      <xdr:rowOff>159788</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5169092" y="88793723"/>
          <a:ext cx="798895" cy="758190"/>
        </a:xfrm>
        <a:prstGeom prst="rect">
          <a:avLst/>
        </a:pr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113430</xdr:colOff>
      <xdr:row>597</xdr:row>
      <xdr:rowOff>122828</xdr:rowOff>
    </xdr:from>
    <xdr:to>
      <xdr:col>3</xdr:col>
      <xdr:colOff>695325</xdr:colOff>
      <xdr:row>599</xdr:row>
      <xdr:rowOff>190855</xdr:rowOff>
    </xdr:to>
    <xdr:sp macro="" textlink="">
      <xdr:nvSpPr>
        <xdr:cNvPr id="65" name="Rectangle 64">
          <a:extLst>
            <a:ext uri="{FF2B5EF4-FFF2-40B4-BE49-F238E27FC236}">
              <a16:creationId xmlns:a16="http://schemas.microsoft.com/office/drawing/2014/main" id="{00000000-0008-0000-0000-000041000000}"/>
            </a:ext>
          </a:extLst>
        </xdr:cNvPr>
        <xdr:cNvSpPr/>
      </xdr:nvSpPr>
      <xdr:spPr>
        <a:xfrm>
          <a:off x="1789830" y="88314803"/>
          <a:ext cx="1496295"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0066FF"/>
              </a:solidFill>
            </a:rPr>
            <a:t>Building No.1</a:t>
          </a:r>
        </a:p>
        <a:p>
          <a:pPr algn="ctr"/>
          <a:r>
            <a:rPr lang="en-IN" sz="1200" b="1">
              <a:solidFill>
                <a:srgbClr val="0066FF"/>
              </a:solidFill>
            </a:rPr>
            <a:t>Wing B </a:t>
          </a:r>
        </a:p>
      </xdr:txBody>
    </xdr:sp>
    <xdr:clientData/>
  </xdr:twoCellAnchor>
  <xdr:twoCellAnchor>
    <xdr:from>
      <xdr:col>3</xdr:col>
      <xdr:colOff>193723</xdr:colOff>
      <xdr:row>597</xdr:row>
      <xdr:rowOff>122827</xdr:rowOff>
    </xdr:from>
    <xdr:to>
      <xdr:col>4</xdr:col>
      <xdr:colOff>685800</xdr:colOff>
      <xdr:row>599</xdr:row>
      <xdr:rowOff>190854</xdr:rowOff>
    </xdr:to>
    <xdr:sp macro="" textlink="">
      <xdr:nvSpPr>
        <xdr:cNvPr id="66" name="Rectangle 65">
          <a:extLst>
            <a:ext uri="{FF2B5EF4-FFF2-40B4-BE49-F238E27FC236}">
              <a16:creationId xmlns:a16="http://schemas.microsoft.com/office/drawing/2014/main" id="{00000000-0008-0000-0000-000042000000}"/>
            </a:ext>
          </a:extLst>
        </xdr:cNvPr>
        <xdr:cNvSpPr/>
      </xdr:nvSpPr>
      <xdr:spPr>
        <a:xfrm>
          <a:off x="2784523" y="88314802"/>
          <a:ext cx="1501727"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0066FF"/>
              </a:solidFill>
            </a:rPr>
            <a:t>Building No.1</a:t>
          </a:r>
        </a:p>
        <a:p>
          <a:pPr algn="ctr"/>
          <a:r>
            <a:rPr lang="en-IN" sz="1200" b="1">
              <a:solidFill>
                <a:srgbClr val="0066FF"/>
              </a:solidFill>
            </a:rPr>
            <a:t>Wing C </a:t>
          </a:r>
        </a:p>
      </xdr:txBody>
    </xdr:sp>
    <xdr:clientData/>
  </xdr:twoCellAnchor>
  <xdr:twoCellAnchor>
    <xdr:from>
      <xdr:col>4</xdr:col>
      <xdr:colOff>485721</xdr:colOff>
      <xdr:row>597</xdr:row>
      <xdr:rowOff>148552</xdr:rowOff>
    </xdr:from>
    <xdr:to>
      <xdr:col>6</xdr:col>
      <xdr:colOff>133350</xdr:colOff>
      <xdr:row>600</xdr:row>
      <xdr:rowOff>16554</xdr:rowOff>
    </xdr:to>
    <xdr:sp macro="" textlink="">
      <xdr:nvSpPr>
        <xdr:cNvPr id="67" name="Rectangle 66">
          <a:extLst>
            <a:ext uri="{FF2B5EF4-FFF2-40B4-BE49-F238E27FC236}">
              <a16:creationId xmlns:a16="http://schemas.microsoft.com/office/drawing/2014/main" id="{00000000-0008-0000-0000-000043000000}"/>
            </a:ext>
          </a:extLst>
        </xdr:cNvPr>
        <xdr:cNvSpPr/>
      </xdr:nvSpPr>
      <xdr:spPr>
        <a:xfrm>
          <a:off x="4086171" y="88340527"/>
          <a:ext cx="1324029"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0066FF"/>
              </a:solidFill>
            </a:rPr>
            <a:t>Building No.1</a:t>
          </a:r>
        </a:p>
        <a:p>
          <a:r>
            <a:rPr lang="en-IN" sz="1200" b="1">
              <a:solidFill>
                <a:srgbClr val="0066FF"/>
              </a:solidFill>
            </a:rPr>
            <a:t>     Wing D</a:t>
          </a:r>
        </a:p>
      </xdr:txBody>
    </xdr:sp>
    <xdr:clientData/>
  </xdr:twoCellAnchor>
  <xdr:twoCellAnchor>
    <xdr:from>
      <xdr:col>5</xdr:col>
      <xdr:colOff>540381</xdr:colOff>
      <xdr:row>597</xdr:row>
      <xdr:rowOff>168682</xdr:rowOff>
    </xdr:from>
    <xdr:to>
      <xdr:col>7</xdr:col>
      <xdr:colOff>247650</xdr:colOff>
      <xdr:row>600</xdr:row>
      <xdr:rowOff>36684</xdr:rowOff>
    </xdr:to>
    <xdr:sp macro="" textlink="">
      <xdr:nvSpPr>
        <xdr:cNvPr id="68" name="Rectangle 67">
          <a:extLst>
            <a:ext uri="{FF2B5EF4-FFF2-40B4-BE49-F238E27FC236}">
              <a16:creationId xmlns:a16="http://schemas.microsoft.com/office/drawing/2014/main" id="{00000000-0008-0000-0000-000044000000}"/>
            </a:ext>
          </a:extLst>
        </xdr:cNvPr>
        <xdr:cNvSpPr/>
      </xdr:nvSpPr>
      <xdr:spPr>
        <a:xfrm>
          <a:off x="4979031" y="88360657"/>
          <a:ext cx="1383669" cy="4680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0066FF"/>
              </a:solidFill>
            </a:rPr>
            <a:t>Building No.1 Wing E </a:t>
          </a:r>
        </a:p>
      </xdr:txBody>
    </xdr:sp>
    <xdr:clientData/>
  </xdr:twoCellAnchor>
  <xdr:twoCellAnchor editAs="oneCell">
    <xdr:from>
      <xdr:col>1</xdr:col>
      <xdr:colOff>180049</xdr:colOff>
      <xdr:row>620</xdr:row>
      <xdr:rowOff>57150</xdr:rowOff>
    </xdr:from>
    <xdr:to>
      <xdr:col>6</xdr:col>
      <xdr:colOff>673351</xdr:colOff>
      <xdr:row>638</xdr:row>
      <xdr:rowOff>72289</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99199" y="92849700"/>
          <a:ext cx="4951002" cy="3615587"/>
        </a:xfrm>
        <a:prstGeom prst="rect">
          <a:avLst/>
        </a:prstGeom>
        <a:ln w="9525">
          <a:solidFill>
            <a:schemeClr val="tx1"/>
          </a:solidFill>
        </a:ln>
      </xdr:spPr>
    </xdr:pic>
    <xdr:clientData/>
  </xdr:twoCellAnchor>
  <xdr:twoCellAnchor editAs="oneCell">
    <xdr:from>
      <xdr:col>0</xdr:col>
      <xdr:colOff>762000</xdr:colOff>
      <xdr:row>638</xdr:row>
      <xdr:rowOff>198846</xdr:rowOff>
    </xdr:from>
    <xdr:to>
      <xdr:col>7</xdr:col>
      <xdr:colOff>46950</xdr:colOff>
      <xdr:row>659</xdr:row>
      <xdr:rowOff>137052</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rotWithShape="1">
        <a:blip xmlns:r="http://schemas.openxmlformats.org/officeDocument/2006/relationships" r:embed="rId4"/>
        <a:srcRect l="27093" t="21702" r="23255" b="10612"/>
        <a:stretch/>
      </xdr:blipFill>
      <xdr:spPr>
        <a:xfrm>
          <a:off x="762000" y="96591846"/>
          <a:ext cx="5400000" cy="4138732"/>
        </a:xfrm>
        <a:prstGeom prst="rect">
          <a:avLst/>
        </a:prstGeom>
        <a:ln w="9525">
          <a:solidFill>
            <a:schemeClr val="tx1"/>
          </a:solidFill>
        </a:ln>
      </xdr:spPr>
    </xdr:pic>
    <xdr:clientData/>
  </xdr:twoCellAnchor>
  <xdr:twoCellAnchor>
    <xdr:from>
      <xdr:col>2</xdr:col>
      <xdr:colOff>891452</xdr:colOff>
      <xdr:row>645</xdr:row>
      <xdr:rowOff>118276</xdr:rowOff>
    </xdr:from>
    <xdr:to>
      <xdr:col>4</xdr:col>
      <xdr:colOff>279516</xdr:colOff>
      <xdr:row>649</xdr:row>
      <xdr:rowOff>143676</xdr:rowOff>
    </xdr:to>
    <xdr:sp macro="" textlink="">
      <xdr:nvSpPr>
        <xdr:cNvPr id="77" name="Freeform 76">
          <a:extLst>
            <a:ext uri="{FF2B5EF4-FFF2-40B4-BE49-F238E27FC236}">
              <a16:creationId xmlns:a16="http://schemas.microsoft.com/office/drawing/2014/main" id="{00000000-0008-0000-0000-00004D000000}"/>
            </a:ext>
          </a:extLst>
        </xdr:cNvPr>
        <xdr:cNvSpPr/>
      </xdr:nvSpPr>
      <xdr:spPr>
        <a:xfrm rot="253903">
          <a:off x="2567852" y="97911451"/>
          <a:ext cx="1312114" cy="825500"/>
        </a:xfrm>
        <a:custGeom>
          <a:avLst/>
          <a:gdLst>
            <a:gd name="connsiteX0" fmla="*/ 31750 w 3333750"/>
            <a:gd name="connsiteY0" fmla="*/ 1460500 h 2076450"/>
            <a:gd name="connsiteX1" fmla="*/ 0 w 3333750"/>
            <a:gd name="connsiteY1" fmla="*/ 622300 h 2076450"/>
            <a:gd name="connsiteX2" fmla="*/ 882650 w 3333750"/>
            <a:gd name="connsiteY2" fmla="*/ 323850 h 2076450"/>
            <a:gd name="connsiteX3" fmla="*/ 1543050 w 3333750"/>
            <a:gd name="connsiteY3" fmla="*/ 114300 h 2076450"/>
            <a:gd name="connsiteX4" fmla="*/ 2247900 w 3333750"/>
            <a:gd name="connsiteY4" fmla="*/ 0 h 2076450"/>
            <a:gd name="connsiteX5" fmla="*/ 2286000 w 3333750"/>
            <a:gd name="connsiteY5" fmla="*/ 514350 h 2076450"/>
            <a:gd name="connsiteX6" fmla="*/ 2089150 w 3333750"/>
            <a:gd name="connsiteY6" fmla="*/ 546100 h 2076450"/>
            <a:gd name="connsiteX7" fmla="*/ 2133600 w 3333750"/>
            <a:gd name="connsiteY7" fmla="*/ 1092200 h 2076450"/>
            <a:gd name="connsiteX8" fmla="*/ 2260600 w 3333750"/>
            <a:gd name="connsiteY8" fmla="*/ 1098550 h 2076450"/>
            <a:gd name="connsiteX9" fmla="*/ 2241550 w 3333750"/>
            <a:gd name="connsiteY9" fmla="*/ 1162050 h 2076450"/>
            <a:gd name="connsiteX10" fmla="*/ 2533650 w 3333750"/>
            <a:gd name="connsiteY10" fmla="*/ 1035050 h 2076450"/>
            <a:gd name="connsiteX11" fmla="*/ 2584450 w 3333750"/>
            <a:gd name="connsiteY11" fmla="*/ 1409700 h 2076450"/>
            <a:gd name="connsiteX12" fmla="*/ 3333750 w 3333750"/>
            <a:gd name="connsiteY12" fmla="*/ 1193800 h 2076450"/>
            <a:gd name="connsiteX13" fmla="*/ 3213100 w 3333750"/>
            <a:gd name="connsiteY13" fmla="*/ 1314450 h 2076450"/>
            <a:gd name="connsiteX14" fmla="*/ 3213100 w 3333750"/>
            <a:gd name="connsiteY14" fmla="*/ 1435100 h 2076450"/>
            <a:gd name="connsiteX15" fmla="*/ 2622550 w 3333750"/>
            <a:gd name="connsiteY15" fmla="*/ 1708150 h 2076450"/>
            <a:gd name="connsiteX16" fmla="*/ 2603500 w 3333750"/>
            <a:gd name="connsiteY16" fmla="*/ 2000250 h 2076450"/>
            <a:gd name="connsiteX17" fmla="*/ 2413000 w 3333750"/>
            <a:gd name="connsiteY17" fmla="*/ 2076450 h 2076450"/>
            <a:gd name="connsiteX18" fmla="*/ 2247900 w 3333750"/>
            <a:gd name="connsiteY18" fmla="*/ 1136650 h 2076450"/>
            <a:gd name="connsiteX19" fmla="*/ 1644650 w 3333750"/>
            <a:gd name="connsiteY19" fmla="*/ 1422400 h 2076450"/>
            <a:gd name="connsiteX20" fmla="*/ 1485900 w 3333750"/>
            <a:gd name="connsiteY20" fmla="*/ 1035050 h 2076450"/>
            <a:gd name="connsiteX21" fmla="*/ 1187450 w 3333750"/>
            <a:gd name="connsiteY21" fmla="*/ 1155700 h 2076450"/>
            <a:gd name="connsiteX22" fmla="*/ 781050 w 3333750"/>
            <a:gd name="connsiteY22" fmla="*/ 1123950 h 2076450"/>
            <a:gd name="connsiteX23" fmla="*/ 704850 w 3333750"/>
            <a:gd name="connsiteY23" fmla="*/ 1225550 h 2076450"/>
            <a:gd name="connsiteX24" fmla="*/ 673100 w 3333750"/>
            <a:gd name="connsiteY24" fmla="*/ 1149350 h 2076450"/>
            <a:gd name="connsiteX25" fmla="*/ 546100 w 3333750"/>
            <a:gd name="connsiteY25" fmla="*/ 1149350 h 2076450"/>
            <a:gd name="connsiteX26" fmla="*/ 533400 w 3333750"/>
            <a:gd name="connsiteY26" fmla="*/ 1441450 h 2076450"/>
            <a:gd name="connsiteX27" fmla="*/ 31750 w 3333750"/>
            <a:gd name="connsiteY27" fmla="*/ 1460500 h 2076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333750" h="2076450">
              <a:moveTo>
                <a:pt x="31750" y="1460500"/>
              </a:moveTo>
              <a:lnTo>
                <a:pt x="0" y="622300"/>
              </a:lnTo>
              <a:lnTo>
                <a:pt x="882650" y="323850"/>
              </a:lnTo>
              <a:lnTo>
                <a:pt x="1543050" y="114300"/>
              </a:lnTo>
              <a:lnTo>
                <a:pt x="2247900" y="0"/>
              </a:lnTo>
              <a:lnTo>
                <a:pt x="2286000" y="514350"/>
              </a:lnTo>
              <a:lnTo>
                <a:pt x="2089150" y="546100"/>
              </a:lnTo>
              <a:lnTo>
                <a:pt x="2133600" y="1092200"/>
              </a:lnTo>
              <a:lnTo>
                <a:pt x="2260600" y="1098550"/>
              </a:lnTo>
              <a:lnTo>
                <a:pt x="2241550" y="1162050"/>
              </a:lnTo>
              <a:lnTo>
                <a:pt x="2533650" y="1035050"/>
              </a:lnTo>
              <a:lnTo>
                <a:pt x="2584450" y="1409700"/>
              </a:lnTo>
              <a:lnTo>
                <a:pt x="3333750" y="1193800"/>
              </a:lnTo>
              <a:lnTo>
                <a:pt x="3213100" y="1314450"/>
              </a:lnTo>
              <a:lnTo>
                <a:pt x="3213100" y="1435100"/>
              </a:lnTo>
              <a:lnTo>
                <a:pt x="2622550" y="1708150"/>
              </a:lnTo>
              <a:lnTo>
                <a:pt x="2603500" y="2000250"/>
              </a:lnTo>
              <a:lnTo>
                <a:pt x="2413000" y="2076450"/>
              </a:lnTo>
              <a:lnTo>
                <a:pt x="2247900" y="1136650"/>
              </a:lnTo>
              <a:lnTo>
                <a:pt x="1644650" y="1422400"/>
              </a:lnTo>
              <a:lnTo>
                <a:pt x="1485900" y="1035050"/>
              </a:lnTo>
              <a:lnTo>
                <a:pt x="1187450" y="1155700"/>
              </a:lnTo>
              <a:lnTo>
                <a:pt x="781050" y="1123950"/>
              </a:lnTo>
              <a:lnTo>
                <a:pt x="704850" y="1225550"/>
              </a:lnTo>
              <a:lnTo>
                <a:pt x="673100" y="1149350"/>
              </a:lnTo>
              <a:lnTo>
                <a:pt x="546100" y="1149350"/>
              </a:lnTo>
              <a:lnTo>
                <a:pt x="533400" y="1441450"/>
              </a:lnTo>
              <a:lnTo>
                <a:pt x="31750" y="146050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78603</xdr:colOff>
      <xdr:row>638</xdr:row>
      <xdr:rowOff>198846</xdr:rowOff>
    </xdr:from>
    <xdr:to>
      <xdr:col>5</xdr:col>
      <xdr:colOff>722493</xdr:colOff>
      <xdr:row>659</xdr:row>
      <xdr:rowOff>137053</xdr:rowOff>
    </xdr:to>
    <xdr:cxnSp macro="">
      <xdr:nvCxnSpPr>
        <xdr:cNvPr id="78" name="Straight Connector 77">
          <a:extLst>
            <a:ext uri="{FF2B5EF4-FFF2-40B4-BE49-F238E27FC236}">
              <a16:creationId xmlns:a16="http://schemas.microsoft.com/office/drawing/2014/main" id="{00000000-0008-0000-0000-00004E000000}"/>
            </a:ext>
          </a:extLst>
        </xdr:cNvPr>
        <xdr:cNvCxnSpPr/>
      </xdr:nvCxnSpPr>
      <xdr:spPr>
        <a:xfrm>
          <a:off x="4517253" y="96591846"/>
          <a:ext cx="643890" cy="4138732"/>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257086</xdr:colOff>
      <xdr:row>638</xdr:row>
      <xdr:rowOff>198846</xdr:rowOff>
    </xdr:from>
    <xdr:to>
      <xdr:col>6</xdr:col>
      <xdr:colOff>62776</xdr:colOff>
      <xdr:row>659</xdr:row>
      <xdr:rowOff>137053</xdr:rowOff>
    </xdr:to>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4695736" y="96591846"/>
          <a:ext cx="643890" cy="4138732"/>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198752</xdr:colOff>
      <xdr:row>647</xdr:row>
      <xdr:rowOff>36364</xdr:rowOff>
    </xdr:from>
    <xdr:to>
      <xdr:col>5</xdr:col>
      <xdr:colOff>660417</xdr:colOff>
      <xdr:row>652</xdr:row>
      <xdr:rowOff>145537</xdr:rowOff>
    </xdr:to>
    <xdr:sp macro="" textlink="">
      <xdr:nvSpPr>
        <xdr:cNvPr id="80" name="TextBox 55">
          <a:extLst>
            <a:ext uri="{FF2B5EF4-FFF2-40B4-BE49-F238E27FC236}">
              <a16:creationId xmlns:a16="http://schemas.microsoft.com/office/drawing/2014/main" id="{00000000-0008-0000-0000-000050000000}"/>
            </a:ext>
          </a:extLst>
        </xdr:cNvPr>
        <xdr:cNvSpPr txBox="1"/>
      </xdr:nvSpPr>
      <xdr:spPr>
        <a:xfrm rot="4961272">
          <a:off x="4313586" y="98553405"/>
          <a:ext cx="110929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Railway Track</a:t>
          </a:r>
        </a:p>
        <a:p>
          <a:endParaRPr lang="en-IN" sz="1200" b="1">
            <a:solidFill>
              <a:srgbClr val="FFFF00"/>
            </a:solidFill>
          </a:endParaRPr>
        </a:p>
      </xdr:txBody>
    </xdr:sp>
    <xdr:clientData/>
  </xdr:twoCellAnchor>
  <xdr:oneCellAnchor>
    <xdr:from>
      <xdr:col>8</xdr:col>
      <xdr:colOff>1149350</xdr:colOff>
      <xdr:row>539</xdr:row>
      <xdr:rowOff>158750</xdr:rowOff>
    </xdr:from>
    <xdr:ext cx="596574"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994650" y="1005776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clientData/>
  </xdr:oneCellAnchor>
  <xdr:twoCellAnchor>
    <xdr:from>
      <xdr:col>8</xdr:col>
      <xdr:colOff>398151</xdr:colOff>
      <xdr:row>535</xdr:row>
      <xdr:rowOff>152400</xdr:rowOff>
    </xdr:from>
    <xdr:to>
      <xdr:col>14</xdr:col>
      <xdr:colOff>355018</xdr:colOff>
      <xdr:row>575</xdr:row>
      <xdr:rowOff>165100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134231" y="103837740"/>
          <a:ext cx="5199427" cy="7937500"/>
          <a:chOff x="840111" y="103511350"/>
          <a:chExt cx="5134657" cy="7886700"/>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840112" y="103511350"/>
            <a:ext cx="1618313"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601343" y="103511350"/>
            <a:ext cx="1618313" cy="2160000"/>
          </a:xfrm>
          <a:prstGeom prst="rect">
            <a:avLst/>
          </a:prstGeom>
          <a:ln>
            <a:solidFill>
              <a:schemeClr val="tx1"/>
            </a:solidFill>
          </a:ln>
        </xdr:spPr>
      </xdr:pic>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356455" y="103511350"/>
            <a:ext cx="1618313" cy="2160000"/>
          </a:xfrm>
          <a:prstGeom prst="rect">
            <a:avLst/>
          </a:prstGeom>
          <a:ln>
            <a:solidFill>
              <a:schemeClr val="tx1"/>
            </a:solidFill>
          </a:ln>
        </xdr:spPr>
      </xdr:pic>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840111" y="105759032"/>
            <a:ext cx="1618313" cy="2160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01343" y="105759032"/>
            <a:ext cx="1618313" cy="2160000"/>
          </a:xfrm>
          <a:prstGeom prst="rect">
            <a:avLst/>
          </a:prstGeom>
          <a:ln>
            <a:solidFill>
              <a:schemeClr val="tx1"/>
            </a:solidFill>
          </a:ln>
        </xdr:spPr>
      </xdr:pic>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356454" y="105759032"/>
            <a:ext cx="1618313" cy="2160000"/>
          </a:xfrm>
          <a:prstGeom prst="rect">
            <a:avLst/>
          </a:prstGeom>
          <a:ln>
            <a:solidFill>
              <a:schemeClr val="tx1"/>
            </a:solidFill>
          </a:ln>
        </xdr:spPr>
      </xdr:pic>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40111" y="108006714"/>
            <a:ext cx="1618313" cy="2160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01342" y="108006714"/>
            <a:ext cx="1618313" cy="2160000"/>
          </a:xfrm>
          <a:prstGeom prst="rect">
            <a:avLst/>
          </a:prstGeom>
          <a:ln>
            <a:solidFill>
              <a:schemeClr val="tx1"/>
            </a:solidFill>
          </a:ln>
        </xdr:spPr>
      </xdr:pic>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28841" y="110254396"/>
            <a:ext cx="1078875" cy="1143654"/>
          </a:xfrm>
          <a:prstGeom prst="rect">
            <a:avLst/>
          </a:prstGeom>
          <a:ln>
            <a:solidFill>
              <a:schemeClr val="tx1"/>
            </a:solidFill>
          </a:ln>
        </xdr:spPr>
      </xdr:pic>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356454" y="108006714"/>
            <a:ext cx="1618313" cy="2160000"/>
          </a:xfrm>
          <a:prstGeom prst="rect">
            <a:avLst/>
          </a:prstGeom>
          <a:ln>
            <a:solidFill>
              <a:schemeClr val="tx1"/>
            </a:solidFill>
          </a:ln>
        </xdr:spPr>
      </xdr:pic>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224788" y="110254396"/>
            <a:ext cx="1078875" cy="1143654"/>
          </a:xfrm>
          <a:prstGeom prst="rect">
            <a:avLst/>
          </a:prstGeom>
          <a:ln>
            <a:solidFill>
              <a:schemeClr val="tx1"/>
            </a:solidFill>
          </a:ln>
        </xdr:spPr>
      </xdr:pic>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181100" y="110254396"/>
            <a:ext cx="1918222" cy="1143654"/>
          </a:xfrm>
          <a:prstGeom prst="rect">
            <a:avLst/>
          </a:prstGeom>
          <a:ln>
            <a:solidFill>
              <a:schemeClr val="tx1"/>
            </a:solidFill>
          </a:ln>
        </xdr:spPr>
      </xdr:pic>
    </xdr:grpSp>
    <xdr:clientData/>
  </xdr:twoCellAnchor>
  <xdr:twoCellAnchor>
    <xdr:from>
      <xdr:col>0</xdr:col>
      <xdr:colOff>670560</xdr:colOff>
      <xdr:row>536</xdr:row>
      <xdr:rowOff>45720</xdr:rowOff>
    </xdr:from>
    <xdr:to>
      <xdr:col>7</xdr:col>
      <xdr:colOff>243842</xdr:colOff>
      <xdr:row>576</xdr:row>
      <xdr:rowOff>68580</xdr:rowOff>
    </xdr:to>
    <xdr:grpSp>
      <xdr:nvGrpSpPr>
        <xdr:cNvPr id="19" name="Group 18">
          <a:extLst>
            <a:ext uri="{FF2B5EF4-FFF2-40B4-BE49-F238E27FC236}">
              <a16:creationId xmlns:a16="http://schemas.microsoft.com/office/drawing/2014/main" id="{1DCE2553-8467-0134-372E-FFEF72B3F979}"/>
            </a:ext>
          </a:extLst>
        </xdr:cNvPr>
        <xdr:cNvGrpSpPr/>
      </xdr:nvGrpSpPr>
      <xdr:grpSpPr>
        <a:xfrm>
          <a:off x="670560" y="103929180"/>
          <a:ext cx="5455922" cy="7947660"/>
          <a:chOff x="701040" y="598170"/>
          <a:chExt cx="5455922" cy="7947660"/>
        </a:xfrm>
      </xdr:grpSpPr>
      <xdr:grpSp>
        <xdr:nvGrpSpPr>
          <xdr:cNvPr id="20" name="Group 19">
            <a:extLst>
              <a:ext uri="{FF2B5EF4-FFF2-40B4-BE49-F238E27FC236}">
                <a16:creationId xmlns:a16="http://schemas.microsoft.com/office/drawing/2014/main" id="{01870ED0-AD60-1C1C-FA7D-DB29CE2B61CA}"/>
              </a:ext>
            </a:extLst>
          </xdr:cNvPr>
          <xdr:cNvGrpSpPr/>
        </xdr:nvGrpSpPr>
        <xdr:grpSpPr>
          <a:xfrm>
            <a:off x="701040" y="2846215"/>
            <a:ext cx="5455921" cy="2109640"/>
            <a:chOff x="0" y="2685327"/>
            <a:chExt cx="5943082" cy="2520000"/>
          </a:xfrm>
        </xdr:grpSpPr>
        <xdr:pic>
          <xdr:nvPicPr>
            <xdr:cNvPr id="58" name="Picture 57">
              <a:extLst>
                <a:ext uri="{FF2B5EF4-FFF2-40B4-BE49-F238E27FC236}">
                  <a16:creationId xmlns:a16="http://schemas.microsoft.com/office/drawing/2014/main" id="{F2F5F151-93EE-7412-7FA9-A800D422CF5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2685327"/>
              <a:ext cx="1888031" cy="2520000"/>
            </a:xfrm>
            <a:prstGeom prst="rect">
              <a:avLst/>
            </a:prstGeom>
            <a:ln>
              <a:solidFill>
                <a:schemeClr val="tx1"/>
              </a:solidFill>
            </a:ln>
          </xdr:spPr>
        </xdr:pic>
        <xdr:pic>
          <xdr:nvPicPr>
            <xdr:cNvPr id="59" name="Picture 58">
              <a:extLst>
                <a:ext uri="{FF2B5EF4-FFF2-40B4-BE49-F238E27FC236}">
                  <a16:creationId xmlns:a16="http://schemas.microsoft.com/office/drawing/2014/main" id="{6575E488-1F77-1345-44F4-4832BB5004E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023775" y="2685327"/>
              <a:ext cx="1888031" cy="2520000"/>
            </a:xfrm>
            <a:prstGeom prst="rect">
              <a:avLst/>
            </a:prstGeom>
            <a:ln>
              <a:solidFill>
                <a:schemeClr val="tx1"/>
              </a:solidFill>
            </a:ln>
          </xdr:spPr>
        </xdr:pic>
        <xdr:pic>
          <xdr:nvPicPr>
            <xdr:cNvPr id="60" name="Picture 59">
              <a:extLst>
                <a:ext uri="{FF2B5EF4-FFF2-40B4-BE49-F238E27FC236}">
                  <a16:creationId xmlns:a16="http://schemas.microsoft.com/office/drawing/2014/main" id="{8BE8E2C0-76D7-8BFF-29E3-7D73AE5448E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055051" y="2685327"/>
              <a:ext cx="1888031" cy="2520000"/>
            </a:xfrm>
            <a:prstGeom prst="rect">
              <a:avLst/>
            </a:prstGeom>
            <a:ln>
              <a:solidFill>
                <a:schemeClr val="tx1"/>
              </a:solidFill>
            </a:ln>
          </xdr:spPr>
        </xdr:pic>
      </xdr:grpSp>
      <xdr:grpSp>
        <xdr:nvGrpSpPr>
          <xdr:cNvPr id="21" name="Group 20">
            <a:extLst>
              <a:ext uri="{FF2B5EF4-FFF2-40B4-BE49-F238E27FC236}">
                <a16:creationId xmlns:a16="http://schemas.microsoft.com/office/drawing/2014/main" id="{A8BBC082-E554-62BB-8B04-93C6CE2DDC30}"/>
              </a:ext>
            </a:extLst>
          </xdr:cNvPr>
          <xdr:cNvGrpSpPr/>
        </xdr:nvGrpSpPr>
        <xdr:grpSpPr>
          <a:xfrm>
            <a:off x="701040" y="598170"/>
            <a:ext cx="5455922" cy="2109640"/>
            <a:chOff x="0" y="0"/>
            <a:chExt cx="5943082" cy="2520000"/>
          </a:xfrm>
        </xdr:grpSpPr>
        <xdr:pic>
          <xdr:nvPicPr>
            <xdr:cNvPr id="55" name="Picture 54">
              <a:extLst>
                <a:ext uri="{FF2B5EF4-FFF2-40B4-BE49-F238E27FC236}">
                  <a16:creationId xmlns:a16="http://schemas.microsoft.com/office/drawing/2014/main" id="{A26C1B70-F3FE-E2CB-FF7C-08539880F59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0" y="0"/>
              <a:ext cx="1888031" cy="2520000"/>
            </a:xfrm>
            <a:prstGeom prst="rect">
              <a:avLst/>
            </a:prstGeom>
            <a:ln>
              <a:solidFill>
                <a:schemeClr val="tx1"/>
              </a:solidFill>
            </a:ln>
          </xdr:spPr>
        </xdr:pic>
        <xdr:pic>
          <xdr:nvPicPr>
            <xdr:cNvPr id="56" name="Picture 55">
              <a:extLst>
                <a:ext uri="{FF2B5EF4-FFF2-40B4-BE49-F238E27FC236}">
                  <a16:creationId xmlns:a16="http://schemas.microsoft.com/office/drawing/2014/main" id="{8C349464-70C2-D8AD-B6E8-3621B34A28D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027525" y="0"/>
              <a:ext cx="1888031" cy="2520000"/>
            </a:xfrm>
            <a:prstGeom prst="rect">
              <a:avLst/>
            </a:prstGeom>
            <a:ln>
              <a:solidFill>
                <a:schemeClr val="tx1"/>
              </a:solidFill>
            </a:ln>
          </xdr:spPr>
        </xdr:pic>
        <xdr:pic>
          <xdr:nvPicPr>
            <xdr:cNvPr id="57" name="Picture 56">
              <a:extLst>
                <a:ext uri="{FF2B5EF4-FFF2-40B4-BE49-F238E27FC236}">
                  <a16:creationId xmlns:a16="http://schemas.microsoft.com/office/drawing/2014/main" id="{F27EDF7F-520D-271D-85BD-E3FB54F2F1E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055051" y="0"/>
              <a:ext cx="1888031" cy="252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CB276777-8A80-7082-B466-C0D7E83322A7}"/>
              </a:ext>
            </a:extLst>
          </xdr:cNvPr>
          <xdr:cNvGrpSpPr/>
        </xdr:nvGrpSpPr>
        <xdr:grpSpPr>
          <a:xfrm>
            <a:off x="1633425" y="5094260"/>
            <a:ext cx="3591151" cy="2109640"/>
            <a:chOff x="1015638" y="5370654"/>
            <a:chExt cx="3911806" cy="2520000"/>
          </a:xfrm>
        </xdr:grpSpPr>
        <xdr:pic>
          <xdr:nvPicPr>
            <xdr:cNvPr id="38" name="Picture 37">
              <a:extLst>
                <a:ext uri="{FF2B5EF4-FFF2-40B4-BE49-F238E27FC236}">
                  <a16:creationId xmlns:a16="http://schemas.microsoft.com/office/drawing/2014/main" id="{5F0EC67F-D762-E5AF-1F85-05B1B8818D9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039413" y="5370654"/>
              <a:ext cx="1888031" cy="2520000"/>
            </a:xfrm>
            <a:prstGeom prst="rect">
              <a:avLst/>
            </a:prstGeom>
            <a:ln>
              <a:solidFill>
                <a:schemeClr val="tx1"/>
              </a:solidFill>
            </a:ln>
          </xdr:spPr>
        </xdr:pic>
        <xdr:pic>
          <xdr:nvPicPr>
            <xdr:cNvPr id="54" name="Picture 53">
              <a:extLst>
                <a:ext uri="{FF2B5EF4-FFF2-40B4-BE49-F238E27FC236}">
                  <a16:creationId xmlns:a16="http://schemas.microsoft.com/office/drawing/2014/main" id="{ACF1746E-785F-2626-0DE7-2F2D68AA92A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15638" y="5370654"/>
              <a:ext cx="1888031" cy="2520000"/>
            </a:xfrm>
            <a:prstGeom prst="rect">
              <a:avLst/>
            </a:prstGeom>
            <a:ln>
              <a:solidFill>
                <a:schemeClr val="tx1"/>
              </a:solidFill>
            </a:ln>
          </xdr:spPr>
        </xdr:pic>
      </xdr:grpSp>
      <xdr:grpSp>
        <xdr:nvGrpSpPr>
          <xdr:cNvPr id="24" name="Group 23">
            <a:extLst>
              <a:ext uri="{FF2B5EF4-FFF2-40B4-BE49-F238E27FC236}">
                <a16:creationId xmlns:a16="http://schemas.microsoft.com/office/drawing/2014/main" id="{88FFF4CF-941F-AAB0-D069-54353D9C67B9}"/>
              </a:ext>
            </a:extLst>
          </xdr:cNvPr>
          <xdr:cNvGrpSpPr/>
        </xdr:nvGrpSpPr>
        <xdr:grpSpPr>
          <a:xfrm>
            <a:off x="1818725" y="7340321"/>
            <a:ext cx="3220548" cy="1205509"/>
            <a:chOff x="1217485" y="8053612"/>
            <a:chExt cx="3508113" cy="1440000"/>
          </a:xfrm>
        </xdr:grpSpPr>
        <xdr:pic>
          <xdr:nvPicPr>
            <xdr:cNvPr id="35" name="Picture 34">
              <a:extLst>
                <a:ext uri="{FF2B5EF4-FFF2-40B4-BE49-F238E27FC236}">
                  <a16:creationId xmlns:a16="http://schemas.microsoft.com/office/drawing/2014/main" id="{33A43A3A-86DB-D91D-1549-045D42F52A87}"/>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2432104" y="8053612"/>
              <a:ext cx="1078875" cy="1440000"/>
            </a:xfrm>
            <a:prstGeom prst="rect">
              <a:avLst/>
            </a:prstGeom>
            <a:ln>
              <a:solidFill>
                <a:schemeClr val="tx1"/>
              </a:solidFill>
            </a:ln>
          </xdr:spPr>
        </xdr:pic>
        <xdr:pic>
          <xdr:nvPicPr>
            <xdr:cNvPr id="36" name="Picture 35">
              <a:extLst>
                <a:ext uri="{FF2B5EF4-FFF2-40B4-BE49-F238E27FC236}">
                  <a16:creationId xmlns:a16="http://schemas.microsoft.com/office/drawing/2014/main" id="{12CB8564-A429-903B-4420-B5421D539952}"/>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3646723" y="8053612"/>
              <a:ext cx="1078875" cy="1440000"/>
            </a:xfrm>
            <a:prstGeom prst="rect">
              <a:avLst/>
            </a:prstGeom>
            <a:ln>
              <a:solidFill>
                <a:schemeClr val="tx1"/>
              </a:solidFill>
            </a:ln>
          </xdr:spPr>
        </xdr:pic>
        <xdr:pic>
          <xdr:nvPicPr>
            <xdr:cNvPr id="37" name="Picture 36">
              <a:extLst>
                <a:ext uri="{FF2B5EF4-FFF2-40B4-BE49-F238E27FC236}">
                  <a16:creationId xmlns:a16="http://schemas.microsoft.com/office/drawing/2014/main" id="{78892B09-8536-0A34-95FA-022E492A433C}"/>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1217485" y="8053612"/>
              <a:ext cx="1078875" cy="1440000"/>
            </a:xfrm>
            <a:prstGeom prst="rect">
              <a:avLst/>
            </a:prstGeom>
            <a:ln>
              <a:solidFill>
                <a:schemeClr val="tx1"/>
              </a:solidFill>
            </a:ln>
          </xdr:spPr>
        </xdr:pic>
      </xdr:grpSp>
      <xdr:sp macro="" textlink="">
        <xdr:nvSpPr>
          <xdr:cNvPr id="25" name="TextBox 17">
            <a:extLst>
              <a:ext uri="{FF2B5EF4-FFF2-40B4-BE49-F238E27FC236}">
                <a16:creationId xmlns:a16="http://schemas.microsoft.com/office/drawing/2014/main" id="{8A696979-7C07-6084-AC98-C765D8022035}"/>
              </a:ext>
            </a:extLst>
          </xdr:cNvPr>
          <xdr:cNvSpPr txBox="1"/>
        </xdr:nvSpPr>
        <xdr:spPr>
          <a:xfrm>
            <a:off x="1419206" y="59817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a:t>
            </a:r>
            <a:endParaRPr lang="en-IN" b="1"/>
          </a:p>
        </xdr:txBody>
      </xdr:sp>
      <xdr:sp macro="" textlink="">
        <xdr:nvSpPr>
          <xdr:cNvPr id="26" name="TextBox 18">
            <a:extLst>
              <a:ext uri="{FF2B5EF4-FFF2-40B4-BE49-F238E27FC236}">
                <a16:creationId xmlns:a16="http://schemas.microsoft.com/office/drawing/2014/main" id="{ED301EBB-46DD-61AD-A50E-4EC511998D99}"/>
              </a:ext>
            </a:extLst>
          </xdr:cNvPr>
          <xdr:cNvSpPr txBox="1"/>
        </xdr:nvSpPr>
        <xdr:spPr>
          <a:xfrm>
            <a:off x="3263493" y="59817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a:t>
            </a:r>
            <a:endParaRPr lang="en-IN" b="1"/>
          </a:p>
        </xdr:txBody>
      </xdr:sp>
      <xdr:sp macro="" textlink="">
        <xdr:nvSpPr>
          <xdr:cNvPr id="29" name="TextBox 19">
            <a:extLst>
              <a:ext uri="{FF2B5EF4-FFF2-40B4-BE49-F238E27FC236}">
                <a16:creationId xmlns:a16="http://schemas.microsoft.com/office/drawing/2014/main" id="{8191E5B1-0FFB-1801-89A2-F645C9A6CD40}"/>
              </a:ext>
            </a:extLst>
          </xdr:cNvPr>
          <xdr:cNvSpPr txBox="1"/>
        </xdr:nvSpPr>
        <xdr:spPr>
          <a:xfrm>
            <a:off x="5165295" y="637665"/>
            <a:ext cx="3064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C</a:t>
            </a:r>
            <a:endParaRPr lang="en-IN" b="1"/>
          </a:p>
        </xdr:txBody>
      </xdr:sp>
      <xdr:sp macro="" textlink="">
        <xdr:nvSpPr>
          <xdr:cNvPr id="30" name="TextBox 20">
            <a:extLst>
              <a:ext uri="{FF2B5EF4-FFF2-40B4-BE49-F238E27FC236}">
                <a16:creationId xmlns:a16="http://schemas.microsoft.com/office/drawing/2014/main" id="{A88E8C47-BDE4-4742-3763-6F3F47CD9750}"/>
              </a:ext>
            </a:extLst>
          </xdr:cNvPr>
          <xdr:cNvSpPr txBox="1"/>
        </xdr:nvSpPr>
        <xdr:spPr>
          <a:xfrm>
            <a:off x="1412794" y="2819552"/>
            <a:ext cx="3305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D</a:t>
            </a:r>
            <a:endParaRPr lang="en-IN" b="1"/>
          </a:p>
        </xdr:txBody>
      </xdr:sp>
      <xdr:sp macro="" textlink="">
        <xdr:nvSpPr>
          <xdr:cNvPr id="31" name="TextBox 21">
            <a:extLst>
              <a:ext uri="{FF2B5EF4-FFF2-40B4-BE49-F238E27FC236}">
                <a16:creationId xmlns:a16="http://schemas.microsoft.com/office/drawing/2014/main" id="{8CB8733B-87DC-6C77-72A7-A114EE9205BC}"/>
              </a:ext>
            </a:extLst>
          </xdr:cNvPr>
          <xdr:cNvSpPr txBox="1"/>
        </xdr:nvSpPr>
        <xdr:spPr>
          <a:xfrm>
            <a:off x="2880441" y="3004218"/>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E</a:t>
            </a:r>
            <a:endParaRPr lang="en-IN" b="1"/>
          </a:p>
        </xdr:txBody>
      </xdr:sp>
      <xdr:sp macro="" textlink="">
        <xdr:nvSpPr>
          <xdr:cNvPr id="32" name="TextBox 22">
            <a:extLst>
              <a:ext uri="{FF2B5EF4-FFF2-40B4-BE49-F238E27FC236}">
                <a16:creationId xmlns:a16="http://schemas.microsoft.com/office/drawing/2014/main" id="{A574E922-35C6-57F2-F8F5-F07129013379}"/>
              </a:ext>
            </a:extLst>
          </xdr:cNvPr>
          <xdr:cNvSpPr txBox="1"/>
        </xdr:nvSpPr>
        <xdr:spPr>
          <a:xfrm>
            <a:off x="4900447" y="2950878"/>
            <a:ext cx="29046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F</a:t>
            </a:r>
            <a:endParaRPr lang="en-IN" b="1"/>
          </a:p>
        </xdr:txBody>
      </xdr:sp>
      <xdr:sp macro="" textlink="">
        <xdr:nvSpPr>
          <xdr:cNvPr id="33" name="TextBox 23">
            <a:extLst>
              <a:ext uri="{FF2B5EF4-FFF2-40B4-BE49-F238E27FC236}">
                <a16:creationId xmlns:a16="http://schemas.microsoft.com/office/drawing/2014/main" id="{A81A79B7-E3B6-2CB0-E87E-21475D8FEA11}"/>
              </a:ext>
            </a:extLst>
          </xdr:cNvPr>
          <xdr:cNvSpPr txBox="1"/>
        </xdr:nvSpPr>
        <xdr:spPr>
          <a:xfrm>
            <a:off x="2313945" y="4982518"/>
            <a:ext cx="74571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G &amp; H</a:t>
            </a:r>
            <a:endParaRPr lang="en-IN" b="1"/>
          </a:p>
        </xdr:txBody>
      </xdr:sp>
      <xdr:sp macro="" textlink="">
        <xdr:nvSpPr>
          <xdr:cNvPr id="34" name="TextBox 24">
            <a:extLst>
              <a:ext uri="{FF2B5EF4-FFF2-40B4-BE49-F238E27FC236}">
                <a16:creationId xmlns:a16="http://schemas.microsoft.com/office/drawing/2014/main" id="{539AC555-AE44-EAA6-9A3B-98ED108177AE}"/>
              </a:ext>
            </a:extLst>
          </xdr:cNvPr>
          <xdr:cNvSpPr txBox="1"/>
        </xdr:nvSpPr>
        <xdr:spPr>
          <a:xfrm>
            <a:off x="4654867" y="5092276"/>
            <a:ext cx="24558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I</a:t>
            </a:r>
            <a:endParaRPr lang="en-IN" b="1"/>
          </a:p>
        </xdr:txBody>
      </xdr:sp>
    </xdr:grpSp>
    <xdr:clientData/>
  </xdr:twoCellAnchor>
  <xdr:twoCellAnchor editAs="oneCell">
    <xdr:from>
      <xdr:col>10</xdr:col>
      <xdr:colOff>91440</xdr:colOff>
      <xdr:row>72</xdr:row>
      <xdr:rowOff>45720</xdr:rowOff>
    </xdr:from>
    <xdr:to>
      <xdr:col>15</xdr:col>
      <xdr:colOff>84160</xdr:colOff>
      <xdr:row>99</xdr:row>
      <xdr:rowOff>130012</xdr:rowOff>
    </xdr:to>
    <xdr:pic>
      <xdr:nvPicPr>
        <xdr:cNvPr id="3" name="Picture 2">
          <a:extLst>
            <a:ext uri="{FF2B5EF4-FFF2-40B4-BE49-F238E27FC236}">
              <a16:creationId xmlns:a16="http://schemas.microsoft.com/office/drawing/2014/main" id="{1E6CAB9A-F549-1B6A-5145-F77B88913401}"/>
            </a:ext>
          </a:extLst>
        </xdr:cNvPr>
        <xdr:cNvPicPr>
          <a:picLocks noChangeAspect="1"/>
        </xdr:cNvPicPr>
      </xdr:nvPicPr>
      <xdr:blipFill>
        <a:blip xmlns:r="http://schemas.openxmlformats.org/officeDocument/2006/relationships" r:embed="rId28"/>
        <a:stretch>
          <a:fillRect/>
        </a:stretch>
      </xdr:blipFill>
      <xdr:spPr>
        <a:xfrm>
          <a:off x="8808720" y="18554700"/>
          <a:ext cx="3924640" cy="5448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4566</xdr:colOff>
      <xdr:row>33</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868706"/>
          <a:ext cx="6403125" cy="3600000"/>
        </a:xfrm>
        <a:prstGeom prst="rect">
          <a:avLst/>
        </a:prstGeom>
        <a:ln>
          <a:solidFill>
            <a:schemeClr val="tx1"/>
          </a:solidFill>
        </a:ln>
      </xdr:spPr>
    </xdr:pic>
    <xdr:clientData/>
  </xdr:twoCellAnchor>
  <xdr:twoCellAnchor editAs="oneCell">
    <xdr:from>
      <xdr:col>6</xdr:col>
      <xdr:colOff>334452</xdr:colOff>
      <xdr:row>15</xdr:row>
      <xdr:rowOff>0</xdr:rowOff>
    </xdr:from>
    <xdr:to>
      <xdr:col>15</xdr:col>
      <xdr:colOff>226960</xdr:colOff>
      <xdr:row>33</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315717" y="2868706"/>
          <a:ext cx="6403125" cy="3600000"/>
        </a:xfrm>
        <a:prstGeom prst="rect">
          <a:avLst/>
        </a:prstGeom>
        <a:ln>
          <a:solidFill>
            <a:schemeClr val="tx1"/>
          </a:solidFill>
        </a:ln>
      </xdr:spPr>
    </xdr:pic>
    <xdr:clientData/>
  </xdr:twoCellAnchor>
  <xdr:twoCellAnchor editAs="oneCell">
    <xdr:from>
      <xdr:col>1</xdr:col>
      <xdr:colOff>0</xdr:colOff>
      <xdr:row>35</xdr:row>
      <xdr:rowOff>94800</xdr:rowOff>
    </xdr:from>
    <xdr:to>
      <xdr:col>6</xdr:col>
      <xdr:colOff>4566</xdr:colOff>
      <xdr:row>54</xdr:row>
      <xdr:rowOff>75300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6" y="6773506"/>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3aKmD14X8TbDXt7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63"/>
  <sheetViews>
    <sheetView tabSelected="1" view="pageBreakPreview" zoomScaleNormal="100" zoomScaleSheetLayoutView="100" workbookViewId="0">
      <selection activeCell="J5" sqref="J5"/>
    </sheetView>
  </sheetViews>
  <sheetFormatPr defaultColWidth="9.21875" defaultRowHeight="15.6" x14ac:dyDescent="0.3"/>
  <cols>
    <col min="1" max="1" width="11.44140625" style="80" customWidth="1"/>
    <col min="2" max="2" width="12" style="77" customWidth="1"/>
    <col min="3" max="3" width="12.77734375" style="77" customWidth="1"/>
    <col min="4" max="4" width="14.21875" style="77" customWidth="1"/>
    <col min="5" max="7" width="11.77734375" style="77" customWidth="1"/>
    <col min="8" max="8" width="12.44140625" style="79" customWidth="1"/>
    <col min="9" max="9" width="17.44140625" style="18" customWidth="1"/>
    <col min="10" max="10" width="11.44140625" style="18" customWidth="1"/>
    <col min="11" max="11" width="10.5546875" style="18" bestFit="1" customWidth="1"/>
    <col min="12" max="12" width="12.6640625" style="18" customWidth="1"/>
    <col min="13" max="13" width="11.77734375" style="18" customWidth="1"/>
    <col min="14" max="14" width="12.5546875" style="18" customWidth="1"/>
    <col min="15" max="15" width="9.77734375" style="18" customWidth="1"/>
    <col min="16" max="16" width="11.77734375" style="18" customWidth="1"/>
    <col min="17"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8" ht="46.5" customHeight="1" x14ac:dyDescent="0.3">
      <c r="A1" s="159" t="s">
        <v>196</v>
      </c>
      <c r="B1" s="159"/>
      <c r="C1" s="159"/>
      <c r="D1" s="159"/>
      <c r="E1" s="159"/>
      <c r="F1" s="159"/>
      <c r="G1" s="159"/>
      <c r="H1" s="159"/>
    </row>
    <row r="2" spans="1:8" ht="16.5" customHeight="1" x14ac:dyDescent="0.3">
      <c r="A2" s="120" t="s">
        <v>0</v>
      </c>
      <c r="B2" s="120"/>
      <c r="C2" s="120"/>
      <c r="D2" s="120"/>
      <c r="E2" s="120"/>
      <c r="F2" s="120"/>
      <c r="G2" s="120"/>
      <c r="H2" s="120"/>
    </row>
    <row r="3" spans="1:8" x14ac:dyDescent="0.3">
      <c r="A3" s="144" t="s">
        <v>1</v>
      </c>
      <c r="B3" s="144"/>
      <c r="C3" s="144"/>
      <c r="D3" s="144"/>
      <c r="E3" s="144" t="str">
        <f ca="1">TEXT(TODAY(),"DD/MM/YYYY")</f>
        <v>18/09/2025</v>
      </c>
      <c r="F3" s="144"/>
      <c r="G3" s="144"/>
      <c r="H3" s="144"/>
    </row>
    <row r="4" spans="1:8" ht="15" customHeight="1" x14ac:dyDescent="0.3">
      <c r="A4" s="144" t="s">
        <v>2</v>
      </c>
      <c r="B4" s="144"/>
      <c r="C4" s="144"/>
      <c r="D4" s="144"/>
      <c r="E4" s="144" t="s">
        <v>163</v>
      </c>
      <c r="F4" s="144"/>
      <c r="G4" s="144"/>
      <c r="H4" s="144"/>
    </row>
    <row r="5" spans="1:8" x14ac:dyDescent="0.3">
      <c r="A5" s="144" t="s">
        <v>3</v>
      </c>
      <c r="B5" s="144"/>
      <c r="C5" s="144"/>
      <c r="D5" s="144"/>
      <c r="E5" s="160">
        <v>45909</v>
      </c>
      <c r="F5" s="144"/>
      <c r="G5" s="144"/>
      <c r="H5" s="144"/>
    </row>
    <row r="6" spans="1:8" ht="16.5" customHeight="1" x14ac:dyDescent="0.3">
      <c r="A6" s="144" t="s">
        <v>4</v>
      </c>
      <c r="B6" s="144"/>
      <c r="C6" s="144"/>
      <c r="D6" s="144"/>
      <c r="E6" s="144" t="s">
        <v>187</v>
      </c>
      <c r="F6" s="144"/>
      <c r="G6" s="144"/>
      <c r="H6" s="144"/>
    </row>
    <row r="7" spans="1:8" ht="15" customHeight="1" x14ac:dyDescent="0.3">
      <c r="A7" s="144" t="s">
        <v>5</v>
      </c>
      <c r="B7" s="144"/>
      <c r="C7" s="144"/>
      <c r="D7" s="144"/>
      <c r="E7" s="144" t="str">
        <f>E6</f>
        <v>Uniquepoonam Homes LLP</v>
      </c>
      <c r="F7" s="144"/>
      <c r="G7" s="144"/>
      <c r="H7" s="144"/>
    </row>
    <row r="8" spans="1:8" x14ac:dyDescent="0.3">
      <c r="A8" s="144" t="s">
        <v>267</v>
      </c>
      <c r="B8" s="144"/>
      <c r="C8" s="144"/>
      <c r="D8" s="144"/>
      <c r="E8" s="130" t="s">
        <v>198</v>
      </c>
      <c r="F8" s="130"/>
      <c r="G8" s="130"/>
      <c r="H8" s="130"/>
    </row>
    <row r="9" spans="1:8" x14ac:dyDescent="0.3">
      <c r="A9" s="144" t="s">
        <v>116</v>
      </c>
      <c r="B9" s="144"/>
      <c r="C9" s="144"/>
      <c r="D9" s="144"/>
      <c r="E9" s="144" t="s">
        <v>164</v>
      </c>
      <c r="F9" s="144"/>
      <c r="G9" s="144"/>
      <c r="H9" s="144"/>
    </row>
    <row r="10" spans="1:8" x14ac:dyDescent="0.3">
      <c r="A10" s="144" t="s">
        <v>199</v>
      </c>
      <c r="B10" s="144"/>
      <c r="C10" s="144"/>
      <c r="D10" s="144"/>
      <c r="E10" s="144" t="s">
        <v>271</v>
      </c>
      <c r="F10" s="144"/>
      <c r="G10" s="144"/>
      <c r="H10" s="144"/>
    </row>
    <row r="11" spans="1:8" ht="46.5" customHeight="1" x14ac:dyDescent="0.3">
      <c r="A11" s="144" t="s">
        <v>6</v>
      </c>
      <c r="B11" s="144"/>
      <c r="C11" s="144"/>
      <c r="D11" s="144"/>
      <c r="E11" s="140" t="s">
        <v>259</v>
      </c>
      <c r="F11" s="144"/>
      <c r="G11" s="144"/>
      <c r="H11" s="144"/>
    </row>
    <row r="12" spans="1:8" ht="17.25" customHeight="1" x14ac:dyDescent="0.3">
      <c r="A12" s="145" t="s">
        <v>7</v>
      </c>
      <c r="B12" s="145"/>
      <c r="C12" s="145"/>
      <c r="D12" s="145"/>
      <c r="E12" s="140" t="s">
        <v>224</v>
      </c>
      <c r="F12" s="140"/>
      <c r="G12" s="140"/>
      <c r="H12" s="140"/>
    </row>
    <row r="13" spans="1:8" ht="34.5" customHeight="1" x14ac:dyDescent="0.3">
      <c r="A13" s="145" t="s">
        <v>8</v>
      </c>
      <c r="B13" s="145"/>
      <c r="C13" s="145"/>
      <c r="D13" s="145"/>
      <c r="E13" s="140" t="s">
        <v>213</v>
      </c>
      <c r="F13" s="144"/>
      <c r="G13" s="144"/>
      <c r="H13" s="144"/>
    </row>
    <row r="14" spans="1:8" ht="62.25" customHeight="1" x14ac:dyDescent="0.3">
      <c r="A14" s="146" t="s">
        <v>9</v>
      </c>
      <c r="B14" s="146"/>
      <c r="C14" s="146" t="str">
        <f>CONCATENATE((IF(OR(E8="",E8="NA"),"",E8)),", ",(IF(OR(A15="",A15="NA"),"",A15)),".",(IF(OR(C15="",C15="NA"),"",C15)),", near ",(IF(OR(C20="",C20="NA"),"",C20)),", ",(IF(OR(C17="",C17="NA"),"",C17)),", ",(IF(OR(C16="",C16="NA"),"",C16)),", ",(IF(OR(G17="",G17="NA"),"",G17)),", ",(IF(OR(C18="",C18="NA"),"",C18)),", ",(IF(OR(C19="",C19="NA"),"",C19)),", ",(IF(OR(G18="",G18="NA"),"",G18))," - ",(IF(OR(G19="",G19="NA"),"",G19)),".")</f>
        <v>Sky City Phase I &amp; II, Survey No.220 H.No. 6 (Pt), S.No.224 H.No. 2(Old), S.No. 224/B/1, 224/B/2, 224/B/3 (New), near Riddhi Vinayak Multispeciality Hospital, Yashavant Nagar Road, Yashavant Nagar, Nilemore, Virar West, Vasai, Palghar - 401303.</v>
      </c>
      <c r="D14" s="146"/>
      <c r="E14" s="146"/>
      <c r="F14" s="146"/>
      <c r="G14" s="146"/>
      <c r="H14" s="146"/>
    </row>
    <row r="15" spans="1:8" ht="16.5" customHeight="1" x14ac:dyDescent="0.3">
      <c r="A15" s="140" t="s">
        <v>165</v>
      </c>
      <c r="B15" s="140"/>
      <c r="C15" s="140" t="s">
        <v>214</v>
      </c>
      <c r="D15" s="140"/>
      <c r="E15" s="140"/>
      <c r="F15" s="140"/>
      <c r="G15" s="140"/>
      <c r="H15" s="140"/>
    </row>
    <row r="16" spans="1:8" ht="15.75" customHeight="1" x14ac:dyDescent="0.3">
      <c r="A16" s="162" t="s">
        <v>160</v>
      </c>
      <c r="B16" s="163"/>
      <c r="C16" s="162" t="s">
        <v>166</v>
      </c>
      <c r="D16" s="164"/>
      <c r="E16" s="164"/>
      <c r="F16" s="164"/>
      <c r="G16" s="164"/>
      <c r="H16" s="163"/>
    </row>
    <row r="17" spans="1:8" ht="15.75" customHeight="1" x14ac:dyDescent="0.3">
      <c r="A17" s="146" t="s">
        <v>10</v>
      </c>
      <c r="B17" s="146"/>
      <c r="C17" s="144" t="s">
        <v>167</v>
      </c>
      <c r="D17" s="144"/>
      <c r="E17" s="146" t="s">
        <v>161</v>
      </c>
      <c r="F17" s="146"/>
      <c r="G17" s="140" t="s">
        <v>168</v>
      </c>
      <c r="H17" s="140"/>
    </row>
    <row r="18" spans="1:8" x14ac:dyDescent="0.3">
      <c r="A18" s="145" t="s">
        <v>12</v>
      </c>
      <c r="B18" s="145"/>
      <c r="C18" s="140" t="s">
        <v>194</v>
      </c>
      <c r="D18" s="140"/>
      <c r="E18" s="146" t="s">
        <v>11</v>
      </c>
      <c r="F18" s="146"/>
      <c r="G18" s="161" t="s">
        <v>169</v>
      </c>
      <c r="H18" s="161"/>
    </row>
    <row r="19" spans="1:8" x14ac:dyDescent="0.3">
      <c r="A19" s="145" t="s">
        <v>69</v>
      </c>
      <c r="B19" s="145"/>
      <c r="C19" s="140" t="s">
        <v>170</v>
      </c>
      <c r="D19" s="140"/>
      <c r="E19" s="146" t="s">
        <v>13</v>
      </c>
      <c r="F19" s="146"/>
      <c r="G19" s="140">
        <v>401303</v>
      </c>
      <c r="H19" s="140"/>
    </row>
    <row r="20" spans="1:8" ht="32.25" customHeight="1" x14ac:dyDescent="0.3">
      <c r="A20" s="145" t="s">
        <v>117</v>
      </c>
      <c r="B20" s="145"/>
      <c r="C20" s="140" t="s">
        <v>171</v>
      </c>
      <c r="D20" s="140"/>
      <c r="E20" s="146" t="s">
        <v>14</v>
      </c>
      <c r="F20" s="146"/>
      <c r="G20" s="140" t="s">
        <v>172</v>
      </c>
      <c r="H20" s="140"/>
    </row>
    <row r="21" spans="1:8" ht="15" customHeight="1" x14ac:dyDescent="0.3">
      <c r="A21" s="146" t="s">
        <v>71</v>
      </c>
      <c r="B21" s="146"/>
      <c r="C21" s="146"/>
      <c r="D21" s="146"/>
      <c r="E21" s="144" t="s">
        <v>15</v>
      </c>
      <c r="F21" s="144"/>
      <c r="G21" s="144"/>
      <c r="H21" s="144"/>
    </row>
    <row r="22" spans="1:8" ht="18.75" customHeight="1" x14ac:dyDescent="0.3">
      <c r="A22" s="146"/>
      <c r="B22" s="146"/>
      <c r="C22" s="146"/>
      <c r="D22" s="146"/>
      <c r="E22" s="144"/>
      <c r="F22" s="144"/>
      <c r="G22" s="144"/>
      <c r="H22" s="144"/>
    </row>
    <row r="23" spans="1:8" ht="15" customHeight="1" x14ac:dyDescent="0.3">
      <c r="A23" s="146" t="s">
        <v>16</v>
      </c>
      <c r="B23" s="146"/>
      <c r="C23" s="146"/>
      <c r="D23" s="146"/>
      <c r="E23" s="140" t="s">
        <v>17</v>
      </c>
      <c r="F23" s="140"/>
      <c r="G23" s="140"/>
      <c r="H23" s="140"/>
    </row>
    <row r="24" spans="1:8" ht="15" customHeight="1" x14ac:dyDescent="0.3">
      <c r="A24" s="145" t="s">
        <v>18</v>
      </c>
      <c r="B24" s="145"/>
      <c r="C24" s="145"/>
      <c r="D24" s="145"/>
      <c r="E24" s="140" t="str">
        <f>IF(AND(G18="Mumbai"),"Upper Class","Middle Class")</f>
        <v>Middle Class</v>
      </c>
      <c r="F24" s="140"/>
      <c r="G24" s="140"/>
      <c r="H24" s="140"/>
    </row>
    <row r="25" spans="1:8" x14ac:dyDescent="0.3">
      <c r="A25" s="145" t="s">
        <v>19</v>
      </c>
      <c r="B25" s="145"/>
      <c r="C25" s="145"/>
      <c r="D25" s="145"/>
      <c r="E25" s="140" t="s">
        <v>20</v>
      </c>
      <c r="F25" s="140"/>
      <c r="G25" s="140"/>
      <c r="H25" s="140"/>
    </row>
    <row r="26" spans="1:8" ht="15.75" customHeight="1" x14ac:dyDescent="0.3">
      <c r="A26" s="145" t="s">
        <v>21</v>
      </c>
      <c r="B26" s="145"/>
      <c r="C26" s="145"/>
      <c r="D26" s="145"/>
      <c r="E26" s="140" t="str">
        <f>IF(AND(G18="Mumbai"),"Developed","Developing")</f>
        <v>Developing</v>
      </c>
      <c r="F26" s="140"/>
      <c r="G26" s="140"/>
      <c r="H26" s="140"/>
    </row>
    <row r="27" spans="1:8" x14ac:dyDescent="0.3">
      <c r="A27" s="145" t="s">
        <v>22</v>
      </c>
      <c r="B27" s="145"/>
      <c r="C27" s="145"/>
      <c r="D27" s="145"/>
      <c r="E27" s="140" t="s">
        <v>23</v>
      </c>
      <c r="F27" s="140"/>
      <c r="G27" s="140"/>
      <c r="H27" s="140"/>
    </row>
    <row r="28" spans="1:8" ht="15.75" customHeight="1" x14ac:dyDescent="0.3">
      <c r="A28" s="145" t="s">
        <v>76</v>
      </c>
      <c r="B28" s="145"/>
      <c r="C28" s="145"/>
      <c r="D28" s="145"/>
      <c r="E28" s="140" t="s">
        <v>77</v>
      </c>
      <c r="F28" s="140"/>
      <c r="G28" s="140"/>
      <c r="H28" s="140"/>
    </row>
    <row r="29" spans="1:8" ht="15" customHeight="1" x14ac:dyDescent="0.3">
      <c r="A29" s="145" t="s">
        <v>31</v>
      </c>
      <c r="B29" s="145"/>
      <c r="C29" s="145"/>
      <c r="D29" s="145"/>
      <c r="E29" s="140"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29" s="140"/>
      <c r="G29" s="140"/>
      <c r="H29" s="140"/>
    </row>
    <row r="30" spans="1:8" ht="15.75" customHeight="1" x14ac:dyDescent="0.3">
      <c r="A30" s="145" t="s">
        <v>88</v>
      </c>
      <c r="B30" s="145"/>
      <c r="C30" s="145"/>
      <c r="D30" s="145"/>
      <c r="E30" s="140" t="s">
        <v>32</v>
      </c>
      <c r="F30" s="140"/>
      <c r="G30" s="140"/>
      <c r="H30" s="140"/>
    </row>
    <row r="31" spans="1:8" s="19" customFormat="1" x14ac:dyDescent="0.3">
      <c r="A31" s="168" t="s">
        <v>89</v>
      </c>
      <c r="B31" s="168"/>
      <c r="C31" s="165" t="s">
        <v>232</v>
      </c>
      <c r="D31" s="165"/>
      <c r="E31" s="165"/>
      <c r="F31" s="165" t="s">
        <v>29</v>
      </c>
      <c r="G31" s="165"/>
      <c r="H31" s="165"/>
    </row>
    <row r="32" spans="1:8" s="19" customFormat="1" x14ac:dyDescent="0.3">
      <c r="A32" s="167" t="s">
        <v>24</v>
      </c>
      <c r="B32" s="167" t="s">
        <v>28</v>
      </c>
      <c r="C32" s="169" t="s">
        <v>236</v>
      </c>
      <c r="D32" s="169"/>
      <c r="E32" s="169"/>
      <c r="F32" s="166" t="s">
        <v>173</v>
      </c>
      <c r="G32" s="166"/>
      <c r="H32" s="166"/>
    </row>
    <row r="33" spans="1:12" x14ac:dyDescent="0.3">
      <c r="A33" s="167" t="s">
        <v>25</v>
      </c>
      <c r="B33" s="167" t="s">
        <v>28</v>
      </c>
      <c r="C33" s="169" t="s">
        <v>237</v>
      </c>
      <c r="D33" s="169"/>
      <c r="E33" s="169"/>
      <c r="F33" s="166" t="s">
        <v>174</v>
      </c>
      <c r="G33" s="166"/>
      <c r="H33" s="166"/>
    </row>
    <row r="34" spans="1:12" s="19" customFormat="1" x14ac:dyDescent="0.3">
      <c r="A34" s="167" t="s">
        <v>27</v>
      </c>
      <c r="B34" s="167" t="s">
        <v>28</v>
      </c>
      <c r="C34" s="169" t="s">
        <v>236</v>
      </c>
      <c r="D34" s="169"/>
      <c r="E34" s="169"/>
      <c r="F34" s="166" t="s">
        <v>235</v>
      </c>
      <c r="G34" s="166"/>
      <c r="H34" s="166"/>
    </row>
    <row r="35" spans="1:12" x14ac:dyDescent="0.3">
      <c r="A35" s="167" t="s">
        <v>26</v>
      </c>
      <c r="B35" s="167" t="s">
        <v>28</v>
      </c>
      <c r="C35" s="169" t="s">
        <v>238</v>
      </c>
      <c r="D35" s="169"/>
      <c r="E35" s="169"/>
      <c r="F35" s="166" t="s">
        <v>171</v>
      </c>
      <c r="G35" s="166"/>
      <c r="H35" s="166"/>
    </row>
    <row r="36" spans="1:12" x14ac:dyDescent="0.3">
      <c r="A36" s="145" t="s">
        <v>30</v>
      </c>
      <c r="B36" s="145"/>
      <c r="C36" s="145"/>
      <c r="D36" s="145"/>
      <c r="E36" s="145"/>
      <c r="F36" s="145"/>
      <c r="G36" s="145"/>
      <c r="H36" s="145"/>
    </row>
    <row r="37" spans="1:12" ht="15.75" customHeight="1" x14ac:dyDescent="0.3">
      <c r="A37" s="145" t="s">
        <v>195</v>
      </c>
      <c r="B37" s="145"/>
      <c r="C37" s="213" t="s">
        <v>233</v>
      </c>
      <c r="D37" s="214"/>
      <c r="E37" s="214"/>
      <c r="F37" s="214"/>
      <c r="G37" s="214"/>
      <c r="H37" s="215"/>
    </row>
    <row r="38" spans="1:12" ht="15.75" customHeight="1" x14ac:dyDescent="0.3">
      <c r="A38" s="145" t="s">
        <v>159</v>
      </c>
      <c r="B38" s="145"/>
      <c r="C38" s="216" t="s">
        <v>234</v>
      </c>
      <c r="D38" s="140"/>
      <c r="E38" s="140"/>
      <c r="F38" s="140"/>
      <c r="G38" s="140"/>
      <c r="H38" s="140"/>
    </row>
    <row r="39" spans="1:12" x14ac:dyDescent="0.3">
      <c r="A39" s="170" t="s">
        <v>33</v>
      </c>
      <c r="B39" s="170"/>
      <c r="C39" s="170"/>
      <c r="D39" s="170"/>
      <c r="E39" s="170"/>
      <c r="F39" s="170"/>
      <c r="G39" s="170"/>
      <c r="H39" s="170"/>
    </row>
    <row r="40" spans="1:12" x14ac:dyDescent="0.3">
      <c r="A40" s="145" t="s">
        <v>34</v>
      </c>
      <c r="B40" s="145"/>
      <c r="C40" s="145"/>
      <c r="D40" s="145"/>
      <c r="E40" s="212">
        <v>12125.88</v>
      </c>
      <c r="F40" s="212"/>
      <c r="G40" s="212"/>
      <c r="H40" s="212"/>
    </row>
    <row r="41" spans="1:12" x14ac:dyDescent="0.3">
      <c r="A41" s="145" t="s">
        <v>35</v>
      </c>
      <c r="B41" s="145"/>
      <c r="C41" s="145"/>
      <c r="D41" s="145"/>
      <c r="E41" s="178">
        <f>13338.47/E40</f>
        <v>1.100000164936483</v>
      </c>
      <c r="F41" s="178"/>
      <c r="G41" s="178"/>
      <c r="H41" s="178"/>
      <c r="J41" s="18">
        <f>13278.41/12071</f>
        <v>1.1000256813851379</v>
      </c>
    </row>
    <row r="42" spans="1:12" x14ac:dyDescent="0.3">
      <c r="A42" s="145" t="s">
        <v>36</v>
      </c>
      <c r="B42" s="145"/>
      <c r="C42" s="145"/>
      <c r="D42" s="145"/>
      <c r="E42" s="178">
        <f>E44/E40-E41</f>
        <v>5.0710620590010791</v>
      </c>
      <c r="F42" s="178"/>
      <c r="G42" s="178"/>
      <c r="H42" s="178"/>
      <c r="J42" s="18">
        <v>12071.28</v>
      </c>
    </row>
    <row r="43" spans="1:12" x14ac:dyDescent="0.3">
      <c r="A43" s="145" t="s">
        <v>37</v>
      </c>
      <c r="B43" s="145"/>
      <c r="C43" s="145"/>
      <c r="D43" s="145"/>
      <c r="E43" s="178">
        <f>E41+E42</f>
        <v>6.1710622239375619</v>
      </c>
      <c r="F43" s="178"/>
      <c r="G43" s="178"/>
      <c r="H43" s="178"/>
      <c r="J43" s="18">
        <v>13278.41</v>
      </c>
      <c r="K43" s="18">
        <f>J43/J42</f>
        <v>1.1000001656825125</v>
      </c>
      <c r="L43" s="39">
        <f>K44-K43</f>
        <v>4.4266415823342671</v>
      </c>
    </row>
    <row r="44" spans="1:12" x14ac:dyDescent="0.3">
      <c r="A44" s="145" t="s">
        <v>87</v>
      </c>
      <c r="B44" s="145"/>
      <c r="C44" s="145"/>
      <c r="D44" s="145"/>
      <c r="E44" s="199">
        <v>74829.56</v>
      </c>
      <c r="F44" s="199"/>
      <c r="G44" s="199"/>
      <c r="H44" s="199"/>
      <c r="J44" s="18">
        <v>66713.64</v>
      </c>
      <c r="K44" s="39">
        <f>J44/J42</f>
        <v>5.5266417480167798</v>
      </c>
    </row>
    <row r="45" spans="1:12" x14ac:dyDescent="0.3">
      <c r="A45" s="144" t="s">
        <v>38</v>
      </c>
      <c r="B45" s="144"/>
      <c r="C45" s="144"/>
      <c r="D45" s="144"/>
      <c r="E45" s="144" t="s">
        <v>225</v>
      </c>
      <c r="F45" s="144"/>
      <c r="G45" s="144"/>
      <c r="H45" s="144"/>
    </row>
    <row r="46" spans="1:12" x14ac:dyDescent="0.3">
      <c r="A46" s="170" t="s">
        <v>39</v>
      </c>
      <c r="B46" s="170"/>
      <c r="C46" s="170"/>
      <c r="D46" s="170"/>
      <c r="E46" s="170"/>
      <c r="F46" s="170"/>
      <c r="G46" s="170"/>
      <c r="H46" s="170"/>
    </row>
    <row r="47" spans="1:12" ht="33.75" customHeight="1" x14ac:dyDescent="0.3">
      <c r="A47" s="179" t="s">
        <v>147</v>
      </c>
      <c r="B47" s="180"/>
      <c r="C47" s="206" t="s">
        <v>175</v>
      </c>
      <c r="D47" s="207"/>
      <c r="E47" s="207"/>
      <c r="F47" s="207"/>
      <c r="G47" s="207"/>
      <c r="H47" s="208"/>
    </row>
    <row r="48" spans="1:12" ht="31.5" customHeight="1" x14ac:dyDescent="0.3">
      <c r="A48" s="179" t="s">
        <v>40</v>
      </c>
      <c r="B48" s="180"/>
      <c r="C48" s="184" t="s">
        <v>200</v>
      </c>
      <c r="D48" s="185"/>
      <c r="E48" s="186"/>
      <c r="F48" s="57" t="s">
        <v>41</v>
      </c>
      <c r="G48" s="176">
        <v>44999</v>
      </c>
      <c r="H48" s="186"/>
    </row>
    <row r="49" spans="1:14" ht="33" customHeight="1" x14ac:dyDescent="0.3">
      <c r="A49" s="179" t="s">
        <v>42</v>
      </c>
      <c r="B49" s="180"/>
      <c r="C49" s="184" t="str">
        <f>C48</f>
        <v>VVCMC/TP/AMEND/VP/6157 &amp; 5894/540/2022-23</v>
      </c>
      <c r="D49" s="185"/>
      <c r="E49" s="186"/>
      <c r="F49" s="57" t="s">
        <v>41</v>
      </c>
      <c r="G49" s="176">
        <v>44999</v>
      </c>
      <c r="H49" s="177"/>
    </row>
    <row r="50" spans="1:14" ht="33" customHeight="1" x14ac:dyDescent="0.3">
      <c r="A50" s="187" t="s">
        <v>151</v>
      </c>
      <c r="B50" s="188"/>
      <c r="C50" s="184" t="s">
        <v>205</v>
      </c>
      <c r="D50" s="185"/>
      <c r="E50" s="186"/>
      <c r="F50" s="57" t="s">
        <v>41</v>
      </c>
      <c r="G50" s="176">
        <v>44999</v>
      </c>
      <c r="H50" s="186"/>
    </row>
    <row r="51" spans="1:14" ht="51" customHeight="1" x14ac:dyDescent="0.3">
      <c r="A51" s="189"/>
      <c r="B51" s="190"/>
      <c r="C51" s="179" t="s">
        <v>226</v>
      </c>
      <c r="D51" s="191"/>
      <c r="E51" s="191"/>
      <c r="F51" s="191"/>
      <c r="G51" s="191"/>
      <c r="H51" s="180"/>
    </row>
    <row r="52" spans="1:14" x14ac:dyDescent="0.3">
      <c r="A52" s="192" t="s">
        <v>162</v>
      </c>
      <c r="B52" s="193"/>
      <c r="C52" s="196" t="s">
        <v>28</v>
      </c>
      <c r="D52" s="197"/>
      <c r="E52" s="198"/>
      <c r="F52" s="67" t="s">
        <v>41</v>
      </c>
      <c r="G52" s="182" t="s">
        <v>28</v>
      </c>
      <c r="H52" s="183"/>
    </row>
    <row r="53" spans="1:14" x14ac:dyDescent="0.3">
      <c r="A53" s="194"/>
      <c r="B53" s="195"/>
      <c r="C53" s="196" t="s">
        <v>28</v>
      </c>
      <c r="D53" s="197"/>
      <c r="E53" s="197"/>
      <c r="F53" s="197"/>
      <c r="G53" s="197"/>
      <c r="H53" s="198"/>
    </row>
    <row r="54" spans="1:14" x14ac:dyDescent="0.3">
      <c r="A54" s="158" t="s">
        <v>44</v>
      </c>
      <c r="B54" s="158"/>
      <c r="C54" s="158"/>
      <c r="D54" s="158"/>
      <c r="E54" s="158"/>
      <c r="F54" s="158"/>
      <c r="G54" s="158"/>
      <c r="H54" s="158"/>
      <c r="I54" s="20"/>
    </row>
    <row r="55" spans="1:14" ht="16.5" customHeight="1" x14ac:dyDescent="0.3">
      <c r="A55" s="146" t="s">
        <v>86</v>
      </c>
      <c r="B55" s="146"/>
      <c r="C55" s="146"/>
      <c r="D55" s="199">
        <f>E44</f>
        <v>74829.56</v>
      </c>
      <c r="E55" s="145"/>
      <c r="F55" s="145"/>
      <c r="G55" s="145"/>
      <c r="H55" s="145"/>
    </row>
    <row r="56" spans="1:14" ht="15.75" customHeight="1" x14ac:dyDescent="0.3">
      <c r="A56" s="140" t="s">
        <v>45</v>
      </c>
      <c r="B56" s="144"/>
      <c r="C56" s="144"/>
      <c r="D56" s="181" t="s">
        <v>257</v>
      </c>
      <c r="E56" s="181"/>
      <c r="F56" s="181"/>
      <c r="G56" s="181"/>
      <c r="H56" s="181"/>
    </row>
    <row r="57" spans="1:14" ht="96" customHeight="1" x14ac:dyDescent="0.3">
      <c r="A57" s="173" t="s">
        <v>46</v>
      </c>
      <c r="B57" s="174"/>
      <c r="C57" s="175"/>
      <c r="D57" s="171" t="s">
        <v>231</v>
      </c>
      <c r="E57" s="172"/>
      <c r="F57" s="172"/>
      <c r="G57" s="172"/>
      <c r="H57" s="172"/>
    </row>
    <row r="58" spans="1:14" ht="15.75" customHeight="1" x14ac:dyDescent="0.3">
      <c r="A58" s="140" t="s">
        <v>84</v>
      </c>
      <c r="B58" s="140"/>
      <c r="C58" s="140"/>
      <c r="D58" s="140" t="s">
        <v>268</v>
      </c>
      <c r="E58" s="144"/>
      <c r="F58" s="144"/>
      <c r="G58" s="144"/>
      <c r="H58" s="144"/>
    </row>
    <row r="59" spans="1:14" ht="15.75" hidden="1" customHeight="1" x14ac:dyDescent="0.3">
      <c r="A59" s="140"/>
      <c r="B59" s="140"/>
      <c r="C59" s="140"/>
      <c r="D59" s="140" t="s">
        <v>218</v>
      </c>
      <c r="E59" s="144"/>
      <c r="F59" s="144"/>
      <c r="G59" s="144"/>
      <c r="H59" s="144"/>
    </row>
    <row r="60" spans="1:14" ht="15.75" hidden="1" customHeight="1" x14ac:dyDescent="0.3">
      <c r="A60" s="140"/>
      <c r="B60" s="140"/>
      <c r="C60" s="140"/>
      <c r="D60" s="140" t="s">
        <v>219</v>
      </c>
      <c r="E60" s="144"/>
      <c r="F60" s="144"/>
      <c r="G60" s="144"/>
      <c r="H60" s="144"/>
      <c r="J60" s="21"/>
      <c r="K60" s="20"/>
      <c r="N60" s="20"/>
    </row>
    <row r="61" spans="1:14" ht="15.75" hidden="1" customHeight="1" x14ac:dyDescent="0.3">
      <c r="A61" s="140"/>
      <c r="B61" s="140"/>
      <c r="C61" s="140"/>
      <c r="D61" s="140" t="s">
        <v>220</v>
      </c>
      <c r="E61" s="144"/>
      <c r="F61" s="144"/>
      <c r="G61" s="144"/>
      <c r="H61" s="144"/>
      <c r="N61" s="20"/>
    </row>
    <row r="62" spans="1:14" ht="15.75" customHeight="1" x14ac:dyDescent="0.3">
      <c r="A62" s="140"/>
      <c r="B62" s="140"/>
      <c r="C62" s="140"/>
      <c r="D62" s="140" t="s">
        <v>221</v>
      </c>
      <c r="E62" s="144"/>
      <c r="F62" s="144"/>
      <c r="G62" s="144"/>
      <c r="H62" s="144"/>
      <c r="J62" s="22"/>
    </row>
    <row r="63" spans="1:14" ht="15.75" customHeight="1" x14ac:dyDescent="0.3">
      <c r="A63" s="140"/>
      <c r="B63" s="140"/>
      <c r="C63" s="140"/>
      <c r="D63" s="140" t="s">
        <v>227</v>
      </c>
      <c r="E63" s="140"/>
      <c r="F63" s="140"/>
      <c r="G63" s="140"/>
      <c r="H63" s="140"/>
      <c r="J63" s="22"/>
    </row>
    <row r="64" spans="1:14" ht="15.75" customHeight="1" x14ac:dyDescent="0.3">
      <c r="A64" s="140"/>
      <c r="B64" s="140"/>
      <c r="C64" s="140"/>
      <c r="D64" s="140" t="s">
        <v>228</v>
      </c>
      <c r="E64" s="140"/>
      <c r="F64" s="140"/>
      <c r="G64" s="140"/>
      <c r="H64" s="140"/>
      <c r="J64" s="22"/>
    </row>
    <row r="65" spans="1:13" ht="15.75" customHeight="1" x14ac:dyDescent="0.3">
      <c r="A65" s="140"/>
      <c r="B65" s="140"/>
      <c r="C65" s="140"/>
      <c r="D65" s="140" t="s">
        <v>229</v>
      </c>
      <c r="E65" s="140"/>
      <c r="F65" s="140"/>
      <c r="G65" s="140"/>
      <c r="H65" s="140"/>
      <c r="J65" s="22"/>
    </row>
    <row r="66" spans="1:13" ht="15.75" customHeight="1" x14ac:dyDescent="0.3">
      <c r="A66" s="140"/>
      <c r="B66" s="140"/>
      <c r="C66" s="140"/>
      <c r="D66" s="140" t="s">
        <v>230</v>
      </c>
      <c r="E66" s="140"/>
      <c r="F66" s="140"/>
      <c r="G66" s="140"/>
      <c r="H66" s="140"/>
      <c r="J66" s="22"/>
    </row>
    <row r="67" spans="1:13" ht="16.2" thickBot="1" x14ac:dyDescent="0.35">
      <c r="A67" s="145" t="s">
        <v>43</v>
      </c>
      <c r="B67" s="145"/>
      <c r="C67" s="145"/>
      <c r="D67" s="146" t="s">
        <v>215</v>
      </c>
      <c r="E67" s="146"/>
      <c r="F67" s="146"/>
      <c r="G67" s="146"/>
      <c r="H67" s="146"/>
      <c r="J67" s="22"/>
    </row>
    <row r="68" spans="1:13" ht="15.75" customHeight="1" x14ac:dyDescent="0.3">
      <c r="A68" s="145" t="s">
        <v>82</v>
      </c>
      <c r="B68" s="145"/>
      <c r="C68" s="145"/>
      <c r="D68" s="219" t="str">
        <f>(IF(G52="NA","60 Years After Completion",IF(G52&lt;&gt;"NA",""&amp;60-ROUNDDOWN((E3-G52)/360,0)&amp;" Years"," ")))</f>
        <v>60 Years After Completion</v>
      </c>
      <c r="E68" s="219"/>
      <c r="F68" s="219"/>
      <c r="G68" s="219"/>
      <c r="H68" s="219"/>
      <c r="I68" s="69" t="str">
        <f ca="1">IF(D87=100%,"All work Completed. Possession granted to the Building.",IF(D86=100%,"All work Completed, Waiting for OC",I69&amp;""&amp;I70&amp;""&amp;J69&amp;""&amp;J68&amp;" "&amp;J70))</f>
        <v>All work Completed, Waiting for OC</v>
      </c>
      <c r="J68" s="36"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row>
    <row r="69" spans="1:13" x14ac:dyDescent="0.3">
      <c r="A69" s="145" t="s">
        <v>83</v>
      </c>
      <c r="B69" s="145"/>
      <c r="C69" s="145"/>
      <c r="D69" s="146" t="s">
        <v>23</v>
      </c>
      <c r="E69" s="146"/>
      <c r="F69" s="146"/>
      <c r="G69" s="146"/>
      <c r="H69" s="146"/>
      <c r="I69" s="70" t="str">
        <f ca="1">IF(D78=100%,"Excavation","")&amp;IF(D79=100%,", Plinth","")&amp;IF(D80=100%,", RCC Slab","")&amp;IF(D81=100%,", Brickwork","")&amp;IF(D82=100%,", Internal Plaster","")&amp;IF(D83=100%,", External Plaster","")&amp;IF(D84=100%,", Flooring","")&amp;IF(D85=100%,", Painting","")&amp;IF(D86=100%,", Building common Amenities","")</f>
        <v>Excavation, Plinth, RCC Slab, Brickwork, Internal Plaster, External Plaster, Flooring, Painting, Building common Amenities</v>
      </c>
      <c r="J69" s="37" t="str">
        <f ca="1">(IF(C78=0,"Work not yet Started.",IF(D78=25%,"Piling work in process",IF(D78=50%,"Excavation work in process",IF(D78=100%,"","0")))))&amp;(IF(C79=0%,"",IF(C79=J74,", Footing work is process",IF(C79=J75,", Footing work Completed",IF(C79=J76,", 1st Basement Completed",IF(C79=J77,", 1st &amp; 2nd Basement Completed",IF(C79=J78,", 1st to 3rd Basement Completed",IF(C79=J79,", 1st to 4th Basement Completed",IF(C79=J80,", Plinth work is process",IF(C79=J81,"","0"))))))))))</f>
        <v/>
      </c>
    </row>
    <row r="70" spans="1:13" ht="66.75" customHeight="1" x14ac:dyDescent="0.3">
      <c r="A70" s="145" t="s">
        <v>70</v>
      </c>
      <c r="B70" s="145"/>
      <c r="C70" s="145"/>
      <c r="D70" s="140" t="s">
        <v>248</v>
      </c>
      <c r="E70" s="146"/>
      <c r="F70" s="146"/>
      <c r="G70" s="146"/>
      <c r="H70" s="146"/>
      <c r="I70" s="70" t="str">
        <f ca="1">IF(I69&lt;&gt;""," Completed","")</f>
        <v xml:space="preserve"> Completed</v>
      </c>
      <c r="J70" s="37" t="str">
        <f ca="1">IF(J68&lt;&gt;"","Completed","")</f>
        <v/>
      </c>
      <c r="K70" s="85" t="s">
        <v>247</v>
      </c>
      <c r="L70" s="86"/>
      <c r="M70" s="86"/>
    </row>
    <row r="71" spans="1:13" ht="15.75" customHeight="1" x14ac:dyDescent="0.3">
      <c r="A71" s="146" t="s">
        <v>144</v>
      </c>
      <c r="B71" s="146"/>
      <c r="C71" s="146"/>
      <c r="D71" s="146" t="s">
        <v>28</v>
      </c>
      <c r="E71" s="146"/>
      <c r="F71" s="146"/>
      <c r="G71" s="146"/>
      <c r="H71" s="146"/>
      <c r="I71" s="14" t="s">
        <v>136</v>
      </c>
      <c r="J71" s="23">
        <f ca="1">H75*25%</f>
        <v>5.5</v>
      </c>
    </row>
    <row r="72" spans="1:13" x14ac:dyDescent="0.3">
      <c r="A72" s="217" t="s">
        <v>81</v>
      </c>
      <c r="B72" s="217"/>
      <c r="C72" s="217"/>
      <c r="D72" s="171" t="str">
        <f ca="1">(IF(G78&gt;95%,"Nothing",IF(G78&gt;0%,"Cement, Aggregate, Steel, etc",IF(G78=0%,"Work not yet Started"))))</f>
        <v>Cement, Aggregate, Steel, etc</v>
      </c>
      <c r="E72" s="171"/>
      <c r="F72" s="171"/>
      <c r="G72" s="171"/>
      <c r="H72" s="171"/>
      <c r="I72" s="14" t="s">
        <v>96</v>
      </c>
      <c r="J72" s="24">
        <f ca="1">H75*50%</f>
        <v>11</v>
      </c>
      <c r="L72" s="227">
        <v>45918</v>
      </c>
    </row>
    <row r="73" spans="1:13" ht="16.2" thickBot="1" x14ac:dyDescent="0.35">
      <c r="A73" s="218" t="s">
        <v>113</v>
      </c>
      <c r="B73" s="218"/>
      <c r="C73" s="218"/>
      <c r="D73" s="171" t="str">
        <f ca="1">(IF(D72="Nothing","Yes",IF(D72="Cement, Aggregate, Steel, etc","Under Construction",IF(D72="Work not yet Started","Work not yet Started"))))</f>
        <v>Under Construction</v>
      </c>
      <c r="E73" s="171"/>
      <c r="F73" s="171" t="str">
        <f ca="1">(IF(D72="Nothing","Yes",IF(D72="Cement, Aggregate, Steel, etc","Under Construction",IF(D72="Work not yet Started","Work not yet Started"))))</f>
        <v>Under Construction</v>
      </c>
      <c r="G73" s="171"/>
      <c r="H73" s="171"/>
      <c r="I73" s="14" t="s">
        <v>97</v>
      </c>
      <c r="J73" s="24">
        <f ca="1">H75</f>
        <v>22</v>
      </c>
    </row>
    <row r="74" spans="1:13" ht="15.75" customHeight="1" x14ac:dyDescent="0.3">
      <c r="A74" s="220" t="s">
        <v>135</v>
      </c>
      <c r="B74" s="221"/>
      <c r="C74" s="127" t="s">
        <v>269</v>
      </c>
      <c r="D74" s="128"/>
      <c r="E74" s="128"/>
      <c r="F74" s="128"/>
      <c r="G74" s="128"/>
      <c r="H74" s="129"/>
      <c r="I74" s="14" t="s">
        <v>98</v>
      </c>
      <c r="J74" s="25">
        <f ca="1">(IF(B75&gt;1,(H75/(B75+2)),H75/4))</f>
        <v>5.5</v>
      </c>
    </row>
    <row r="75" spans="1:13" ht="15.75" customHeight="1" x14ac:dyDescent="0.3">
      <c r="A75" s="47" t="s">
        <v>137</v>
      </c>
      <c r="B75" s="47">
        <v>0</v>
      </c>
      <c r="C75" s="47" t="s">
        <v>68</v>
      </c>
      <c r="D75" s="47">
        <v>1</v>
      </c>
      <c r="E75" s="47" t="s">
        <v>67</v>
      </c>
      <c r="F75" s="47">
        <v>0</v>
      </c>
      <c r="G75" s="44" t="s">
        <v>75</v>
      </c>
      <c r="H75" s="47">
        <f ca="1">--TRIM(RIGHT(SUBSTITUTE(LEFT(C74,_xlfn.AGGREGATE(16,6,FIND({0,1,2,3,4,5,6,7,8,9},C74,ROW(INDIRECT("1:"&amp;LEN(C74)))),1))," ",REPT(" ",LEN(C74))),LEN(C74)))</f>
        <v>22</v>
      </c>
      <c r="I75" s="14" t="s">
        <v>99</v>
      </c>
      <c r="J75" s="25">
        <f ca="1">(IF(B75&gt;1,(H75/(B75+2)+J74),H75/4+J74))</f>
        <v>11</v>
      </c>
    </row>
    <row r="76" spans="1:13" x14ac:dyDescent="0.3">
      <c r="A76" s="130" t="s">
        <v>85</v>
      </c>
      <c r="B76" s="130"/>
      <c r="C76" s="152" t="str">
        <f ca="1">(IF($C$53=C74,"All work Completed. OC Received.",I68))</f>
        <v>All work Completed, Waiting for OC</v>
      </c>
      <c r="D76" s="152"/>
      <c r="E76" s="152"/>
      <c r="F76" s="152"/>
      <c r="G76" s="152"/>
      <c r="H76" s="152"/>
      <c r="I76" s="14" t="s">
        <v>142</v>
      </c>
      <c r="J76" s="25">
        <f>(IF(B75&gt;1,(H75/(B75+2)+J75),0))</f>
        <v>0</v>
      </c>
    </row>
    <row r="77" spans="1:13" ht="15" customHeight="1" x14ac:dyDescent="0.3">
      <c r="A77" s="132" t="s">
        <v>47</v>
      </c>
      <c r="B77" s="132"/>
      <c r="C77" s="65" t="s">
        <v>134</v>
      </c>
      <c r="D77" s="65" t="s">
        <v>78</v>
      </c>
      <c r="E77" s="132" t="s">
        <v>80</v>
      </c>
      <c r="F77" s="132"/>
      <c r="G77" s="132" t="s">
        <v>79</v>
      </c>
      <c r="H77" s="132"/>
      <c r="I77" s="14" t="s">
        <v>138</v>
      </c>
      <c r="J77" s="25">
        <f>(IF(B75&gt;2,(H75/(B75+2)+J76),0))</f>
        <v>0</v>
      </c>
    </row>
    <row r="78" spans="1:13" ht="15.75" customHeight="1" x14ac:dyDescent="0.3">
      <c r="A78" s="132" t="s">
        <v>123</v>
      </c>
      <c r="B78" s="132"/>
      <c r="C78" s="40">
        <f ca="1">J73</f>
        <v>22</v>
      </c>
      <c r="D78" s="16">
        <f ca="1">((100/H75)*C78)/100</f>
        <v>1.0000000000000002</v>
      </c>
      <c r="E78" s="133">
        <f ca="1">(((C79/H75*10)+(40/(D75+F75+H75)*C80)+(7.5/(H75)*C81)+(7.5/(H75)*C82)+(10/H75*C83)+(10/H75*C84)+(5/H75*C85)+(5/H75*C86)+(5/H75*C87))/100)</f>
        <v>0.95</v>
      </c>
      <c r="F78" s="134"/>
      <c r="G78" s="133">
        <f ca="1">((((C78/H75)*20)+((C79/H75)*25)+(30/(H75+F75+D75)*C80)+(5/H75*C81)+(5/H75*C82)+(5/H75*C83)+(5/H75*C84)+(0/H75*C85)+(0/H75*C86)+(5/H75*C87))/100)</f>
        <v>0.95</v>
      </c>
      <c r="H78" s="134"/>
      <c r="I78" s="14" t="s">
        <v>139</v>
      </c>
      <c r="J78" s="26">
        <f>(IF(B75&gt;3,(H75/(B75+2)+J77),0))</f>
        <v>0</v>
      </c>
    </row>
    <row r="79" spans="1:13" ht="15.75" customHeight="1" x14ac:dyDescent="0.3">
      <c r="A79" s="132" t="s">
        <v>48</v>
      </c>
      <c r="B79" s="132"/>
      <c r="C79" s="40">
        <f ca="1">J81</f>
        <v>22</v>
      </c>
      <c r="D79" s="16">
        <f ca="1">((100/H75)*C79)/100</f>
        <v>1.0000000000000002</v>
      </c>
      <c r="E79" s="135"/>
      <c r="F79" s="136"/>
      <c r="G79" s="135"/>
      <c r="H79" s="136"/>
      <c r="I79" s="14" t="s">
        <v>140</v>
      </c>
      <c r="J79" s="25">
        <f>(IF(B75&gt;4,(H75/(B75+2)+J78),0))</f>
        <v>0</v>
      </c>
    </row>
    <row r="80" spans="1:13" ht="15.75" customHeight="1" x14ac:dyDescent="0.3">
      <c r="A80" s="132" t="s">
        <v>124</v>
      </c>
      <c r="B80" s="132"/>
      <c r="C80" s="65">
        <v>23</v>
      </c>
      <c r="D80" s="16">
        <f ca="1">((100/(D75+F75+H75))*C80)/100</f>
        <v>1</v>
      </c>
      <c r="E80" s="135"/>
      <c r="F80" s="136"/>
      <c r="G80" s="135"/>
      <c r="H80" s="136"/>
      <c r="I80" s="14" t="s">
        <v>143</v>
      </c>
      <c r="J80" s="25">
        <f ca="1">(IF(B75=1,(H75/(B75+3)+J75),IF(B75=0,(H75/4+J75),IF(B75&gt;1,0))))</f>
        <v>16.5</v>
      </c>
    </row>
    <row r="81" spans="1:10" ht="16.2" thickBot="1" x14ac:dyDescent="0.35">
      <c r="A81" s="132" t="s">
        <v>131</v>
      </c>
      <c r="B81" s="132" t="s">
        <v>125</v>
      </c>
      <c r="C81" s="65">
        <v>22</v>
      </c>
      <c r="D81" s="16">
        <f ca="1">((100/H75)*C81)/100</f>
        <v>1.0000000000000002</v>
      </c>
      <c r="E81" s="135"/>
      <c r="F81" s="136"/>
      <c r="G81" s="135"/>
      <c r="H81" s="136"/>
      <c r="I81" s="15" t="s">
        <v>100</v>
      </c>
      <c r="J81" s="27">
        <f ca="1">(IF(B75&gt;1.5,(H75/(B75+2)+J75+MAX(0,J76-J75)+MAX(0,J77-J76)+MAX(0,J78-J77)+MAX(0,J79-J78)+MAX(0,J80-J79)),IF(B75=1,(H75/(B75+3)+J80),IF(B75=0,H75/4+J80))))</f>
        <v>22</v>
      </c>
    </row>
    <row r="82" spans="1:10" ht="15.75" customHeight="1" x14ac:dyDescent="0.3">
      <c r="A82" s="132" t="s">
        <v>132</v>
      </c>
      <c r="B82" s="132" t="s">
        <v>125</v>
      </c>
      <c r="C82" s="65">
        <v>22</v>
      </c>
      <c r="D82" s="16">
        <f ca="1">((100/H75)*C82)/100</f>
        <v>1.0000000000000002</v>
      </c>
      <c r="E82" s="135"/>
      <c r="F82" s="136"/>
      <c r="G82" s="135"/>
      <c r="H82" s="136"/>
      <c r="I82" s="69" t="str">
        <f ca="1">IF(D101=100%,"All work Completed. Possession granted to the Building.",IF(D100=100%,"All work Completed, Waiting for OC",I83&amp;""&amp;I84&amp;""&amp;J83&amp;""&amp;J82&amp;" "&amp;J84))</f>
        <v>All work Completed, Waiting for OC</v>
      </c>
      <c r="J82" s="36"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row>
    <row r="83" spans="1:10" x14ac:dyDescent="0.3">
      <c r="A83" s="132" t="s">
        <v>130</v>
      </c>
      <c r="B83" s="132" t="s">
        <v>127</v>
      </c>
      <c r="C83" s="65">
        <v>22</v>
      </c>
      <c r="D83" s="16">
        <f ca="1">((100/(H75))*C83)/100</f>
        <v>1.0000000000000002</v>
      </c>
      <c r="E83" s="135"/>
      <c r="F83" s="136"/>
      <c r="G83" s="135"/>
      <c r="H83" s="136"/>
      <c r="I83" s="70" t="str">
        <f ca="1">IF(D92=100%,"Excavation","")&amp;IF(D93=100%,", Plinth","")&amp;IF(D94=100%,", RCC Slab","")&amp;IF(D95=100%,", Brickwork","")&amp;IF(D96=100%,", Internal Plaster","")&amp;IF(D97=100%,", External Plaster","")&amp;IF(D98=100%,", Flooring","")&amp;IF(D99=100%,", Painting","")&amp;IF(D100=100%,", Building common Amenities","")</f>
        <v>Excavation, Plinth, RCC Slab, Brickwork, Internal Plaster, External Plaster, Flooring, Painting, Building common Amenities</v>
      </c>
      <c r="J83" s="37" t="str">
        <f ca="1">(IF(C92=0,"Work not yet Started.",IF(D92=25%,"Piling work in process",IF(D92=50%,"Excavation work in process",IF(D92=100%,"","0")))))&amp;(IF(C93=0%,"",IF(C93=J88,", Footing work is process",IF(C93=J89,", Footing work Completed",IF(C93=J90,", 1st Basement Completed",IF(C93=J91,", 1st &amp; 2nd Basement Completed",IF(C93=J92,", 1st to 3rd Basement Completed",IF(C93=J93,", 1st to 4th Basement Completed",IF(C93=J94,", Plinth work is process",IF(C93=J95,"","0"))))))))))</f>
        <v/>
      </c>
    </row>
    <row r="84" spans="1:10" x14ac:dyDescent="0.3">
      <c r="A84" s="132" t="s">
        <v>126</v>
      </c>
      <c r="B84" s="132" t="s">
        <v>126</v>
      </c>
      <c r="C84" s="65">
        <v>22</v>
      </c>
      <c r="D84" s="16">
        <f ca="1">((100/H75)*C84)/100</f>
        <v>1.0000000000000002</v>
      </c>
      <c r="E84" s="135"/>
      <c r="F84" s="136"/>
      <c r="G84" s="135"/>
      <c r="H84" s="136"/>
      <c r="I84" s="70" t="str">
        <f ca="1">IF(I83&lt;&gt;""," Completed","")</f>
        <v xml:space="preserve"> Completed</v>
      </c>
      <c r="J84" s="37" t="str">
        <f ca="1">IF(J82&lt;&gt;"","Completed","")</f>
        <v/>
      </c>
    </row>
    <row r="85" spans="1:10" ht="15.75" customHeight="1" x14ac:dyDescent="0.3">
      <c r="A85" s="132" t="s">
        <v>133</v>
      </c>
      <c r="B85" s="132"/>
      <c r="C85" s="65">
        <v>22</v>
      </c>
      <c r="D85" s="16">
        <f ca="1">((100/H75)*C85)/100</f>
        <v>1.0000000000000002</v>
      </c>
      <c r="E85" s="135"/>
      <c r="F85" s="136"/>
      <c r="G85" s="135"/>
      <c r="H85" s="136"/>
      <c r="I85" s="14" t="s">
        <v>136</v>
      </c>
      <c r="J85" s="23">
        <f ca="1">H89*25%</f>
        <v>5.5</v>
      </c>
    </row>
    <row r="86" spans="1:10" x14ac:dyDescent="0.3">
      <c r="A86" s="132" t="s">
        <v>128</v>
      </c>
      <c r="B86" s="132" t="s">
        <v>128</v>
      </c>
      <c r="C86" s="65">
        <v>22</v>
      </c>
      <c r="D86" s="16">
        <f ca="1">((100/(H75))*C86)/100</f>
        <v>1.0000000000000002</v>
      </c>
      <c r="E86" s="135"/>
      <c r="F86" s="136"/>
      <c r="G86" s="135"/>
      <c r="H86" s="136"/>
      <c r="I86" s="14" t="s">
        <v>96</v>
      </c>
      <c r="J86" s="24">
        <f ca="1">H89*50%</f>
        <v>11</v>
      </c>
    </row>
    <row r="87" spans="1:10" ht="16.2" thickBot="1" x14ac:dyDescent="0.35">
      <c r="A87" s="139" t="s">
        <v>129</v>
      </c>
      <c r="B87" s="139"/>
      <c r="C87" s="66">
        <v>0</v>
      </c>
      <c r="D87" s="17">
        <f ca="1">((100/(H75))*C87)/100</f>
        <v>0</v>
      </c>
      <c r="E87" s="137"/>
      <c r="F87" s="138"/>
      <c r="G87" s="137"/>
      <c r="H87" s="138"/>
      <c r="I87" s="14" t="s">
        <v>97</v>
      </c>
      <c r="J87" s="24">
        <f ca="1">H89</f>
        <v>22</v>
      </c>
    </row>
    <row r="88" spans="1:10" ht="15.75" customHeight="1" x14ac:dyDescent="0.3">
      <c r="A88" s="127" t="s">
        <v>135</v>
      </c>
      <c r="B88" s="129"/>
      <c r="C88" s="127" t="s">
        <v>270</v>
      </c>
      <c r="D88" s="128"/>
      <c r="E88" s="128"/>
      <c r="F88" s="128"/>
      <c r="G88" s="128"/>
      <c r="H88" s="129"/>
      <c r="I88" s="14" t="s">
        <v>98</v>
      </c>
      <c r="J88" s="25">
        <f ca="1">(IF(B89&gt;1,(H89/(B89+2)),H89/4))</f>
        <v>5.5</v>
      </c>
    </row>
    <row r="89" spans="1:10" ht="15.75" customHeight="1" x14ac:dyDescent="0.3">
      <c r="A89" s="47" t="s">
        <v>137</v>
      </c>
      <c r="B89" s="47">
        <v>0</v>
      </c>
      <c r="C89" s="47" t="s">
        <v>68</v>
      </c>
      <c r="D89" s="47">
        <v>1</v>
      </c>
      <c r="E89" s="47" t="s">
        <v>67</v>
      </c>
      <c r="F89" s="47">
        <v>0</v>
      </c>
      <c r="G89" s="44" t="s">
        <v>75</v>
      </c>
      <c r="H89" s="47">
        <f ca="1">--TRIM(RIGHT(SUBSTITUTE(LEFT(C88,_xlfn.AGGREGATE(16,6,FIND({0,1,2,3,4,5,6,7,8,9},C88,ROW(INDIRECT("1:"&amp;LEN(C88)))),1))," ",REPT(" ",LEN(C88))),LEN(C88)))</f>
        <v>22</v>
      </c>
      <c r="I89" s="14" t="s">
        <v>99</v>
      </c>
      <c r="J89" s="25">
        <f ca="1">(IF(B89&gt;1,(H89/(B89+2)+J88),H89/4+J88))</f>
        <v>11</v>
      </c>
    </row>
    <row r="90" spans="1:10" x14ac:dyDescent="0.3">
      <c r="A90" s="130" t="s">
        <v>85</v>
      </c>
      <c r="B90" s="130"/>
      <c r="C90" s="152" t="str">
        <f ca="1">(IF($C$53=C88,"All work Completed. OC Received.",I82))</f>
        <v>All work Completed, Waiting for OC</v>
      </c>
      <c r="D90" s="152"/>
      <c r="E90" s="152"/>
      <c r="F90" s="152"/>
      <c r="G90" s="152"/>
      <c r="H90" s="152"/>
      <c r="I90" s="14" t="s">
        <v>142</v>
      </c>
      <c r="J90" s="25">
        <f>(IF(B89&gt;1,(H89/(B89+2)+J89),0))</f>
        <v>0</v>
      </c>
    </row>
    <row r="91" spans="1:10" ht="15" customHeight="1" x14ac:dyDescent="0.3">
      <c r="A91" s="132" t="s">
        <v>47</v>
      </c>
      <c r="B91" s="132"/>
      <c r="C91" s="65" t="s">
        <v>134</v>
      </c>
      <c r="D91" s="65" t="s">
        <v>78</v>
      </c>
      <c r="E91" s="132" t="s">
        <v>80</v>
      </c>
      <c r="F91" s="132"/>
      <c r="G91" s="132" t="s">
        <v>79</v>
      </c>
      <c r="H91" s="132"/>
      <c r="I91" s="14" t="s">
        <v>138</v>
      </c>
      <c r="J91" s="25">
        <f>(IF(B89&gt;2,(H89/(B89+2)+J90),0))</f>
        <v>0</v>
      </c>
    </row>
    <row r="92" spans="1:10" ht="15.75" customHeight="1" x14ac:dyDescent="0.3">
      <c r="A92" s="132" t="s">
        <v>123</v>
      </c>
      <c r="B92" s="132"/>
      <c r="C92" s="40">
        <f ca="1">J87</f>
        <v>22</v>
      </c>
      <c r="D92" s="16">
        <f ca="1">((100/H89)*C92)/100</f>
        <v>1.0000000000000002</v>
      </c>
      <c r="E92" s="133">
        <f ca="1">(((C93/H89*10)+(40/(D89+F89+H89)*C94)+(7.5/(H89)*C95)+(7.5/(H89)*C96)+(10/H89*C97)+(10/H89*C98)+(5/H89*C99)+(5/H89*C100)+(5/H89*C101))/100)</f>
        <v>0.95</v>
      </c>
      <c r="F92" s="134"/>
      <c r="G92" s="133">
        <f ca="1">((((C92/H89)*20)+((C93/H89)*25)+(30/(H89+F89+D89)*C94)+(5/H89*C95)+(5/H89*C96)+(5/H89*C97)+(5/H89*C98)+(0/H89*C99)+(0/H89*C100)+(5/H89*C101))/100)</f>
        <v>0.95</v>
      </c>
      <c r="H92" s="134"/>
      <c r="I92" s="14" t="s">
        <v>139</v>
      </c>
      <c r="J92" s="26">
        <f>(IF(B89&gt;3,(H89/(B89+2)+J91),0))</f>
        <v>0</v>
      </c>
    </row>
    <row r="93" spans="1:10" ht="15.75" customHeight="1" x14ac:dyDescent="0.3">
      <c r="A93" s="132" t="s">
        <v>48</v>
      </c>
      <c r="B93" s="132"/>
      <c r="C93" s="40">
        <f ca="1">J95</f>
        <v>22</v>
      </c>
      <c r="D93" s="16">
        <f ca="1">((100/H89)*C93)/100</f>
        <v>1.0000000000000002</v>
      </c>
      <c r="E93" s="135"/>
      <c r="F93" s="136"/>
      <c r="G93" s="135"/>
      <c r="H93" s="136"/>
      <c r="I93" s="14" t="s">
        <v>140</v>
      </c>
      <c r="J93" s="25">
        <f>(IF(B89&gt;4,(H89/(B89+2)+J92),0))</f>
        <v>0</v>
      </c>
    </row>
    <row r="94" spans="1:10" ht="15.75" customHeight="1" x14ac:dyDescent="0.3">
      <c r="A94" s="132" t="s">
        <v>124</v>
      </c>
      <c r="B94" s="132"/>
      <c r="C94" s="65">
        <v>23</v>
      </c>
      <c r="D94" s="16">
        <f ca="1">((100/(D89+F89+H89))*C94)/100</f>
        <v>1</v>
      </c>
      <c r="E94" s="135"/>
      <c r="F94" s="136"/>
      <c r="G94" s="135"/>
      <c r="H94" s="136"/>
      <c r="I94" s="14" t="s">
        <v>143</v>
      </c>
      <c r="J94" s="25">
        <f ca="1">(IF(B89=1,(H89/(B89+3)+J89),IF(B89=0,(H89/4+J89),IF(B89&gt;1,0))))</f>
        <v>16.5</v>
      </c>
    </row>
    <row r="95" spans="1:10" ht="16.2" thickBot="1" x14ac:dyDescent="0.35">
      <c r="A95" s="132" t="s">
        <v>131</v>
      </c>
      <c r="B95" s="132" t="s">
        <v>125</v>
      </c>
      <c r="C95" s="65">
        <v>22</v>
      </c>
      <c r="D95" s="16">
        <f ca="1">((100/H89)*C95)/100</f>
        <v>1.0000000000000002</v>
      </c>
      <c r="E95" s="135"/>
      <c r="F95" s="136"/>
      <c r="G95" s="135"/>
      <c r="H95" s="136"/>
      <c r="I95" s="15" t="s">
        <v>100</v>
      </c>
      <c r="J95" s="27">
        <f ca="1">(IF(B89&gt;1.5,(H89/(B89+2)+J89+MAX(0,J90-J89)+MAX(0,J91-J90)+MAX(0,J92-J91)+MAX(0,J93-J92)+MAX(0,J94-J93)),IF(B89=1,(H89/(B89+3)+J94),IF(B89=0,H89/4+J94))))</f>
        <v>22</v>
      </c>
    </row>
    <row r="96" spans="1:10" ht="15.75" customHeight="1" x14ac:dyDescent="0.3">
      <c r="A96" s="132" t="s">
        <v>132</v>
      </c>
      <c r="B96" s="132" t="s">
        <v>125</v>
      </c>
      <c r="C96" s="65">
        <v>22</v>
      </c>
      <c r="D96" s="16">
        <f ca="1">((100/H89)*C96)/100</f>
        <v>1.0000000000000002</v>
      </c>
      <c r="E96" s="135"/>
      <c r="F96" s="136"/>
      <c r="G96" s="135"/>
      <c r="H96" s="136"/>
      <c r="I96" s="69" t="str">
        <f ca="1">IF(D115=100%,"All work Completed. Possession granted to the Building.",IF(D114=100%,"All work Completed, Waiting for OC",I97&amp;""&amp;I98&amp;""&amp;J97&amp;""&amp;J96&amp;" "&amp;J98))</f>
        <v>Excavation, Plinth, RCC Slab, Brickwork Completed, Internal Plaster upto 20 Floor, External Plaster upto 18 Floor, Flooring upto 10 Floor Completed</v>
      </c>
      <c r="J96" s="36" t="str">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 Internal Plaster upto 20 Floor, External Plaster upto 18 Floor, Flooring upto 10 Floor</v>
      </c>
    </row>
    <row r="97" spans="1:10" x14ac:dyDescent="0.3">
      <c r="A97" s="132" t="s">
        <v>130</v>
      </c>
      <c r="B97" s="132" t="s">
        <v>127</v>
      </c>
      <c r="C97" s="65">
        <v>22</v>
      </c>
      <c r="D97" s="16">
        <f ca="1">((100/(H89))*C97)/100</f>
        <v>1.0000000000000002</v>
      </c>
      <c r="E97" s="135"/>
      <c r="F97" s="136"/>
      <c r="G97" s="135"/>
      <c r="H97" s="136"/>
      <c r="I97" s="70" t="str">
        <f ca="1">IF(D106=100%,"Excavation","")&amp;IF(D107=100%,", Plinth","")&amp;IF(D108=100%,", RCC Slab","")&amp;IF(D109=100%,", Brickwork","")&amp;IF(D110=100%,", Internal Plaster","")&amp;IF(D111=100%,", External Plaster","")&amp;IF(D112=100%,", Flooring","")&amp;IF(D113=100%,", Painting","")&amp;IF(D114=100%,", Building common Amenities","")</f>
        <v>Excavation, Plinth, RCC Slab, Brickwork</v>
      </c>
      <c r="J97" s="37" t="str">
        <f ca="1">(IF(C106=0,"Work not yet Started.",IF(D106=25%,"Piling work in process",IF(D106=50%,"Excavation work in process",IF(D106=100%,"","0")))))&amp;(IF(C107=0%,"",IF(C107=J102,", Footing work is process",IF(C107=J103,", Footing work Completed",IF(C107=J104,", 1st Basement Completed",IF(C107=J105,", 1st &amp; 2nd Basement Completed",IF(C107=J106,", 1st to 3rd Basement Completed",IF(C107=J107,", 1st to 4th Basement Completed",IF(C107=J108,", Plinth work is process",IF(C107=J109,"","0"))))))))))</f>
        <v/>
      </c>
    </row>
    <row r="98" spans="1:10" x14ac:dyDescent="0.3">
      <c r="A98" s="132" t="s">
        <v>126</v>
      </c>
      <c r="B98" s="132" t="s">
        <v>126</v>
      </c>
      <c r="C98" s="65">
        <v>22</v>
      </c>
      <c r="D98" s="16">
        <f ca="1">((100/H89)*C98)/100</f>
        <v>1.0000000000000002</v>
      </c>
      <c r="E98" s="135"/>
      <c r="F98" s="136"/>
      <c r="G98" s="135"/>
      <c r="H98" s="136"/>
      <c r="I98" s="70" t="str">
        <f ca="1">IF(I97&lt;&gt;""," Completed","")</f>
        <v xml:space="preserve"> Completed</v>
      </c>
      <c r="J98" s="37" t="str">
        <f ca="1">IF(J96&lt;&gt;"","Completed","")</f>
        <v>Completed</v>
      </c>
    </row>
    <row r="99" spans="1:10" ht="15.75" customHeight="1" x14ac:dyDescent="0.3">
      <c r="A99" s="132" t="s">
        <v>133</v>
      </c>
      <c r="B99" s="132"/>
      <c r="C99" s="65">
        <v>22</v>
      </c>
      <c r="D99" s="16">
        <f ca="1">((100/H89)*C99)/100</f>
        <v>1.0000000000000002</v>
      </c>
      <c r="E99" s="135"/>
      <c r="F99" s="136"/>
      <c r="G99" s="135"/>
      <c r="H99" s="136"/>
      <c r="I99" s="14" t="s">
        <v>136</v>
      </c>
      <c r="J99" s="23">
        <f ca="1">H103*25%</f>
        <v>5.5</v>
      </c>
    </row>
    <row r="100" spans="1:10" x14ac:dyDescent="0.3">
      <c r="A100" s="132" t="s">
        <v>128</v>
      </c>
      <c r="B100" s="132" t="s">
        <v>128</v>
      </c>
      <c r="C100" s="65">
        <v>22</v>
      </c>
      <c r="D100" s="16">
        <f ca="1">((100/(H89))*C100)/100</f>
        <v>1.0000000000000002</v>
      </c>
      <c r="E100" s="135"/>
      <c r="F100" s="136"/>
      <c r="G100" s="135"/>
      <c r="H100" s="136"/>
      <c r="I100" s="14" t="s">
        <v>96</v>
      </c>
      <c r="J100" s="24">
        <f ca="1">H103*50%</f>
        <v>11</v>
      </c>
    </row>
    <row r="101" spans="1:10" ht="16.2" thickBot="1" x14ac:dyDescent="0.35">
      <c r="A101" s="139" t="s">
        <v>129</v>
      </c>
      <c r="B101" s="139"/>
      <c r="C101" s="66">
        <v>0</v>
      </c>
      <c r="D101" s="17">
        <f ca="1">((100/(H89))*C101)/100</f>
        <v>0</v>
      </c>
      <c r="E101" s="137"/>
      <c r="F101" s="138"/>
      <c r="G101" s="137"/>
      <c r="H101" s="138"/>
      <c r="I101" s="14" t="s">
        <v>97</v>
      </c>
      <c r="J101" s="24">
        <f ca="1">H103</f>
        <v>22</v>
      </c>
    </row>
    <row r="102" spans="1:10" ht="15.75" hidden="1" customHeight="1" x14ac:dyDescent="0.3">
      <c r="A102" s="127" t="s">
        <v>135</v>
      </c>
      <c r="B102" s="129"/>
      <c r="C102" s="127" t="str">
        <f>D60</f>
        <v>Phase I = Building No.2 (Wing H) = Gr + 1st to 22nd Floor</v>
      </c>
      <c r="D102" s="128"/>
      <c r="E102" s="128"/>
      <c r="F102" s="128"/>
      <c r="G102" s="128"/>
      <c r="H102" s="129"/>
      <c r="I102" s="14" t="s">
        <v>98</v>
      </c>
      <c r="J102" s="25">
        <f ca="1">(IF(B103&gt;1,(H103/(B103+2)),H103/4))</f>
        <v>5.5</v>
      </c>
    </row>
    <row r="103" spans="1:10" ht="15.75" hidden="1" customHeight="1" x14ac:dyDescent="0.3">
      <c r="A103" s="47" t="s">
        <v>137</v>
      </c>
      <c r="B103" s="47">
        <v>0</v>
      </c>
      <c r="C103" s="47" t="s">
        <v>68</v>
      </c>
      <c r="D103" s="47">
        <v>1</v>
      </c>
      <c r="E103" s="47" t="s">
        <v>67</v>
      </c>
      <c r="F103" s="47">
        <v>0</v>
      </c>
      <c r="G103" s="44" t="s">
        <v>75</v>
      </c>
      <c r="H103" s="47">
        <f ca="1">--TRIM(RIGHT(SUBSTITUTE(LEFT(C102,_xlfn.AGGREGATE(16,6,FIND({0,1,2,3,4,5,6,7,8,9},C102,ROW(INDIRECT("1:"&amp;LEN(C102)))),1))," ",REPT(" ",LEN(C102))),LEN(C102)))</f>
        <v>22</v>
      </c>
      <c r="I103" s="14" t="s">
        <v>99</v>
      </c>
      <c r="J103" s="25">
        <f ca="1">(IF(B103&gt;1,(H103/(B103+2)+J102),H103/4+J102))</f>
        <v>11</v>
      </c>
    </row>
    <row r="104" spans="1:10" ht="33" hidden="1" customHeight="1" x14ac:dyDescent="0.3">
      <c r="A104" s="130" t="s">
        <v>85</v>
      </c>
      <c r="B104" s="130"/>
      <c r="C104" s="152" t="str">
        <f ca="1">(IF($C$53=C102,"All work Completed. OC Received.",I96))</f>
        <v>Excavation, Plinth, RCC Slab, Brickwork Completed, Internal Plaster upto 20 Floor, External Plaster upto 18 Floor, Flooring upto 10 Floor Completed</v>
      </c>
      <c r="D104" s="152"/>
      <c r="E104" s="152"/>
      <c r="F104" s="152"/>
      <c r="G104" s="152"/>
      <c r="H104" s="152"/>
      <c r="I104" s="14" t="s">
        <v>142</v>
      </c>
      <c r="J104" s="25">
        <f>(IF(B103&gt;1,(H103/(B103+2)+J103),0))</f>
        <v>0</v>
      </c>
    </row>
    <row r="105" spans="1:10" ht="15" hidden="1" customHeight="1" x14ac:dyDescent="0.3">
      <c r="A105" s="132" t="s">
        <v>47</v>
      </c>
      <c r="B105" s="132"/>
      <c r="C105" s="65" t="s">
        <v>134</v>
      </c>
      <c r="D105" s="65" t="s">
        <v>78</v>
      </c>
      <c r="E105" s="132" t="s">
        <v>80</v>
      </c>
      <c r="F105" s="132"/>
      <c r="G105" s="132" t="s">
        <v>79</v>
      </c>
      <c r="H105" s="132"/>
      <c r="I105" s="14" t="s">
        <v>138</v>
      </c>
      <c r="J105" s="25">
        <f>(IF(B103&gt;2,(H103/(B103+2)+J104),0))</f>
        <v>0</v>
      </c>
    </row>
    <row r="106" spans="1:10" ht="15.75" hidden="1" customHeight="1" x14ac:dyDescent="0.3">
      <c r="A106" s="132" t="s">
        <v>123</v>
      </c>
      <c r="B106" s="132"/>
      <c r="C106" s="40">
        <f ca="1">J101</f>
        <v>22</v>
      </c>
      <c r="D106" s="16">
        <f ca="1">((100/H103)*C106)/100</f>
        <v>1.0000000000000002</v>
      </c>
      <c r="E106" s="133">
        <f ca="1">(((C107/H103*10)+(40/(D103+F103+H103)*C108)+(7.5/(H103)*C109)+(7.5/(H103)*C110)+(10/H103*C111)+(10/H103*C112)+(5/H103*C113)+(5/H103*C114)+(5/H103*C115))/100)</f>
        <v>0.7704545454545455</v>
      </c>
      <c r="F106" s="134"/>
      <c r="G106" s="133">
        <f ca="1">((((C106/H103)*20)+((C107/H103)*25)+(30/(H103+F103+D103)*C108)+(5/H103*C109)+(5/H103*C110)+(5/H103*C111)+(5/H103*C112)+(0/H103*C113)+(0/H103*C114)+(5/H103*C115))/100)</f>
        <v>0.90909090909090906</v>
      </c>
      <c r="H106" s="134"/>
      <c r="I106" s="14" t="s">
        <v>139</v>
      </c>
      <c r="J106" s="26">
        <f>(IF(B103&gt;3,(H103/(B103+2)+J105),0))</f>
        <v>0</v>
      </c>
    </row>
    <row r="107" spans="1:10" ht="15.75" hidden="1" customHeight="1" x14ac:dyDescent="0.3">
      <c r="A107" s="132" t="s">
        <v>48</v>
      </c>
      <c r="B107" s="132"/>
      <c r="C107" s="40">
        <f ca="1">J109</f>
        <v>22</v>
      </c>
      <c r="D107" s="16">
        <f ca="1">((100/H103)*C107)/100</f>
        <v>1.0000000000000002</v>
      </c>
      <c r="E107" s="135"/>
      <c r="F107" s="136"/>
      <c r="G107" s="135"/>
      <c r="H107" s="136"/>
      <c r="I107" s="14" t="s">
        <v>140</v>
      </c>
      <c r="J107" s="25">
        <f>(IF(B103&gt;4,(H103/(B103+2)+J106),0))</f>
        <v>0</v>
      </c>
    </row>
    <row r="108" spans="1:10" ht="15.75" hidden="1" customHeight="1" x14ac:dyDescent="0.3">
      <c r="A108" s="132" t="s">
        <v>124</v>
      </c>
      <c r="B108" s="132"/>
      <c r="C108" s="65">
        <v>23</v>
      </c>
      <c r="D108" s="16">
        <f ca="1">((100/(D103+F103+H103))*C108)/100</f>
        <v>1</v>
      </c>
      <c r="E108" s="135"/>
      <c r="F108" s="136"/>
      <c r="G108" s="135"/>
      <c r="H108" s="136"/>
      <c r="I108" s="14" t="s">
        <v>143</v>
      </c>
      <c r="J108" s="25">
        <f ca="1">(IF(B103=1,(H103/(B103+3)+J103),IF(B103=0,(H103/4+J103),IF(B103&gt;1,0))))</f>
        <v>16.5</v>
      </c>
    </row>
    <row r="109" spans="1:10" ht="16.2" hidden="1" thickBot="1" x14ac:dyDescent="0.35">
      <c r="A109" s="132" t="s">
        <v>131</v>
      </c>
      <c r="B109" s="132" t="s">
        <v>125</v>
      </c>
      <c r="C109" s="65">
        <v>22</v>
      </c>
      <c r="D109" s="16">
        <f ca="1">((100/H103)*C109)/100</f>
        <v>1.0000000000000002</v>
      </c>
      <c r="E109" s="135"/>
      <c r="F109" s="136"/>
      <c r="G109" s="135"/>
      <c r="H109" s="136"/>
      <c r="I109" s="15" t="s">
        <v>100</v>
      </c>
      <c r="J109" s="27">
        <f ca="1">(IF(B103&gt;1.5,(H103/(B103+2)+J103+MAX(0,J104-J103)+MAX(0,J105-J104)+MAX(0,J106-J105)+MAX(0,J107-J106)+MAX(0,J108-J107)),IF(B103=1,(H103/(B103+3)+J108),IF(B103=0,H103/4+J108))))</f>
        <v>22</v>
      </c>
    </row>
    <row r="110" spans="1:10" ht="15.75" hidden="1" customHeight="1" x14ac:dyDescent="0.3">
      <c r="A110" s="132" t="s">
        <v>132</v>
      </c>
      <c r="B110" s="132" t="s">
        <v>125</v>
      </c>
      <c r="C110" s="65">
        <v>20</v>
      </c>
      <c r="D110" s="16">
        <f ca="1">((100/H103)*C110)/100</f>
        <v>0.90909090909090917</v>
      </c>
      <c r="E110" s="135"/>
      <c r="F110" s="136"/>
      <c r="G110" s="135"/>
      <c r="H110" s="136"/>
      <c r="I110" s="69" t="str">
        <f ca="1">IF(D129=100%,"All work Completed. Possession granted to the Building.",IF(D128=100%,"All work Completed, Waiting for OC",I111&amp;""&amp;I112&amp;""&amp;J111&amp;""&amp;J110&amp;" "&amp;J112))</f>
        <v>Excavation, Plinth, RCC Slab, Brickwork Completed, Internal Plaster upto 20 Floor, External Plaster upto 18 Floor, Flooring upto 10 Floor Completed</v>
      </c>
      <c r="J110" s="36" t="str">
        <f ca="1">(IF(C122=(D117+F117+H117),"",IF(C122&gt;0,", RCC upto "&amp;C122&amp;" Slab","")))&amp;(IF(C123=H117,"",IF(C123&gt;0,", Brickwork upto "&amp;C123&amp;" Floor","")))&amp;(IF(C124=H117,"",IF(C124&gt;0,", Internal Plaster upto "&amp;C124&amp;" Floor","")))&amp;(IF(C125=H117,"",IF(C125&gt;0,", External Plaster upto "&amp;C125&amp;" Floor","")))&amp;(IF(C126=H117,"",IF(C126&gt;0,", Flooring upto "&amp;C126&amp;" Floor","")))&amp;(IF(C127=H117,"",IF(C127&gt;0,", Painting upto "&amp;C127&amp;" Floor","")))&amp;(IF(C128=H117,"",IF(C128&gt;0,", Finishing upto "&amp;C128&amp;" Floor","")))&amp;(IF(C129=H117,"",IF(C129&gt;0,", Possession upto "&amp;C129&amp;" Floor","")))</f>
        <v>, Internal Plaster upto 20 Floor, External Plaster upto 18 Floor, Flooring upto 10 Floor</v>
      </c>
    </row>
    <row r="111" spans="1:10" hidden="1" x14ac:dyDescent="0.3">
      <c r="A111" s="132" t="s">
        <v>130</v>
      </c>
      <c r="B111" s="132" t="s">
        <v>127</v>
      </c>
      <c r="C111" s="65">
        <v>18</v>
      </c>
      <c r="D111" s="16">
        <f ca="1">((100/(H103))*C111)/100</f>
        <v>0.81818181818181823</v>
      </c>
      <c r="E111" s="135"/>
      <c r="F111" s="136"/>
      <c r="G111" s="135"/>
      <c r="H111" s="136"/>
      <c r="I111" s="70" t="str">
        <f ca="1">IF(D120=100%,"Excavation","")&amp;IF(D121=100%,", Plinth","")&amp;IF(D122=100%,", RCC Slab","")&amp;IF(D123=100%,", Brickwork","")&amp;IF(D124=100%,", Internal Plaster","")&amp;IF(D125=100%,", External Plaster","")&amp;IF(D126=100%,", Flooring","")&amp;IF(D127=100%,", Painting","")&amp;IF(D128=100%,", Building common Amenities","")</f>
        <v>Excavation, Plinth, RCC Slab, Brickwork</v>
      </c>
      <c r="J111" s="37" t="str">
        <f ca="1">(IF(C120=0,"Work not yet Started.",IF(D120=25%,"Piling work in process",IF(D120=50%,"Excavation work in process",IF(D120=100%,"","0")))))&amp;(IF(C121=0%,"",IF(C121=J116,", Footing work is process",IF(C121=J117,", Footing work Completed",IF(C121=J118,", 1st Basement Completed",IF(C121=J119,", 1st &amp; 2nd Basement Completed",IF(C121=J120,", 1st to 3rd Basement Completed",IF(C121=J121,", 1st to 4th Basement Completed",IF(C121=J122,", Plinth work is process",IF(C121=J123,"","0"))))))))))</f>
        <v/>
      </c>
    </row>
    <row r="112" spans="1:10" hidden="1" x14ac:dyDescent="0.3">
      <c r="A112" s="132" t="s">
        <v>126</v>
      </c>
      <c r="B112" s="132" t="s">
        <v>126</v>
      </c>
      <c r="C112" s="65">
        <v>10</v>
      </c>
      <c r="D112" s="16">
        <f ca="1">((100/H103)*C112)/100</f>
        <v>0.45454545454545459</v>
      </c>
      <c r="E112" s="135"/>
      <c r="F112" s="136"/>
      <c r="G112" s="135"/>
      <c r="H112" s="136"/>
      <c r="I112" s="70" t="str">
        <f ca="1">IF(I111&lt;&gt;""," Completed","")</f>
        <v xml:space="preserve"> Completed</v>
      </c>
      <c r="J112" s="37" t="str">
        <f ca="1">IF(J110&lt;&gt;"","Completed","")</f>
        <v>Completed</v>
      </c>
    </row>
    <row r="113" spans="1:10" ht="15.75" hidden="1" customHeight="1" x14ac:dyDescent="0.3">
      <c r="A113" s="132" t="s">
        <v>133</v>
      </c>
      <c r="B113" s="132"/>
      <c r="C113" s="65">
        <v>0</v>
      </c>
      <c r="D113" s="16">
        <f ca="1">((100/H103)*C113)/100</f>
        <v>0</v>
      </c>
      <c r="E113" s="135"/>
      <c r="F113" s="136"/>
      <c r="G113" s="135"/>
      <c r="H113" s="136"/>
      <c r="I113" s="14" t="s">
        <v>136</v>
      </c>
      <c r="J113" s="23">
        <f ca="1">H117*25%</f>
        <v>5.5</v>
      </c>
    </row>
    <row r="114" spans="1:10" hidden="1" x14ac:dyDescent="0.3">
      <c r="A114" s="132" t="s">
        <v>128</v>
      </c>
      <c r="B114" s="132" t="s">
        <v>128</v>
      </c>
      <c r="C114" s="65">
        <v>0</v>
      </c>
      <c r="D114" s="16">
        <f ca="1">((100/(H103))*C114)/100</f>
        <v>0</v>
      </c>
      <c r="E114" s="135"/>
      <c r="F114" s="136"/>
      <c r="G114" s="135"/>
      <c r="H114" s="136"/>
      <c r="I114" s="14" t="s">
        <v>96</v>
      </c>
      <c r="J114" s="24">
        <f ca="1">H117*50%</f>
        <v>11</v>
      </c>
    </row>
    <row r="115" spans="1:10" ht="16.2" hidden="1" thickBot="1" x14ac:dyDescent="0.35">
      <c r="A115" s="139" t="s">
        <v>129</v>
      </c>
      <c r="B115" s="139"/>
      <c r="C115" s="66">
        <v>0</v>
      </c>
      <c r="D115" s="17">
        <f ca="1">((100/(H103))*C115)/100</f>
        <v>0</v>
      </c>
      <c r="E115" s="137"/>
      <c r="F115" s="138"/>
      <c r="G115" s="137"/>
      <c r="H115" s="138"/>
      <c r="I115" s="14" t="s">
        <v>97</v>
      </c>
      <c r="J115" s="24">
        <f ca="1">H117</f>
        <v>22</v>
      </c>
    </row>
    <row r="116" spans="1:10" ht="15.75" hidden="1" customHeight="1" x14ac:dyDescent="0.3">
      <c r="A116" s="127" t="s">
        <v>135</v>
      </c>
      <c r="B116" s="129"/>
      <c r="C116" s="127" t="str">
        <f>D61</f>
        <v>Phase I = Building No.2 (Wing I) = Gr + 1st to 22nd Floor</v>
      </c>
      <c r="D116" s="128"/>
      <c r="E116" s="128"/>
      <c r="F116" s="128"/>
      <c r="G116" s="128"/>
      <c r="H116" s="129"/>
      <c r="I116" s="14" t="s">
        <v>98</v>
      </c>
      <c r="J116" s="25">
        <f ca="1">(IF(B117&gt;1,(H117/(B117+2)),H117/4))</f>
        <v>5.5</v>
      </c>
    </row>
    <row r="117" spans="1:10" ht="15.75" hidden="1" customHeight="1" x14ac:dyDescent="0.3">
      <c r="A117" s="47" t="s">
        <v>137</v>
      </c>
      <c r="B117" s="47">
        <v>0</v>
      </c>
      <c r="C117" s="47" t="s">
        <v>68</v>
      </c>
      <c r="D117" s="47">
        <v>1</v>
      </c>
      <c r="E117" s="47" t="s">
        <v>67</v>
      </c>
      <c r="F117" s="47">
        <v>0</v>
      </c>
      <c r="G117" s="44" t="s">
        <v>75</v>
      </c>
      <c r="H117" s="47">
        <f ca="1">--TRIM(RIGHT(SUBSTITUTE(LEFT(C116,_xlfn.AGGREGATE(16,6,FIND({0,1,2,3,4,5,6,7,8,9},C116,ROW(INDIRECT("1:"&amp;LEN(C116)))),1))," ",REPT(" ",LEN(C116))),LEN(C116)))</f>
        <v>22</v>
      </c>
      <c r="I117" s="14" t="s">
        <v>99</v>
      </c>
      <c r="J117" s="25">
        <f ca="1">(IF(B117&gt;1,(H117/(B117+2)+J116),H117/4+J116))</f>
        <v>11</v>
      </c>
    </row>
    <row r="118" spans="1:10" ht="32.25" hidden="1" customHeight="1" x14ac:dyDescent="0.3">
      <c r="A118" s="130" t="s">
        <v>85</v>
      </c>
      <c r="B118" s="130"/>
      <c r="C118" s="152" t="str">
        <f ca="1">(IF($C$53=C116,"All work Completed. OC Received.",I110))</f>
        <v>Excavation, Plinth, RCC Slab, Brickwork Completed, Internal Plaster upto 20 Floor, External Plaster upto 18 Floor, Flooring upto 10 Floor Completed</v>
      </c>
      <c r="D118" s="152"/>
      <c r="E118" s="152"/>
      <c r="F118" s="152"/>
      <c r="G118" s="152"/>
      <c r="H118" s="152"/>
      <c r="I118" s="14" t="s">
        <v>142</v>
      </c>
      <c r="J118" s="25">
        <f>(IF(B117&gt;1,(H117/(B117+2)+J117),0))</f>
        <v>0</v>
      </c>
    </row>
    <row r="119" spans="1:10" ht="15" hidden="1" customHeight="1" x14ac:dyDescent="0.3">
      <c r="A119" s="132" t="s">
        <v>47</v>
      </c>
      <c r="B119" s="132"/>
      <c r="C119" s="65" t="s">
        <v>134</v>
      </c>
      <c r="D119" s="65" t="s">
        <v>78</v>
      </c>
      <c r="E119" s="132" t="s">
        <v>80</v>
      </c>
      <c r="F119" s="132"/>
      <c r="G119" s="132" t="s">
        <v>79</v>
      </c>
      <c r="H119" s="132"/>
      <c r="I119" s="14" t="s">
        <v>138</v>
      </c>
      <c r="J119" s="25">
        <f>(IF(B117&gt;2,(H117/(B117+2)+J118),0))</f>
        <v>0</v>
      </c>
    </row>
    <row r="120" spans="1:10" ht="15.75" hidden="1" customHeight="1" x14ac:dyDescent="0.3">
      <c r="A120" s="132" t="s">
        <v>123</v>
      </c>
      <c r="B120" s="132"/>
      <c r="C120" s="40">
        <f ca="1">J115</f>
        <v>22</v>
      </c>
      <c r="D120" s="16">
        <f ca="1">((100/H117)*C120)/100</f>
        <v>1.0000000000000002</v>
      </c>
      <c r="E120" s="133">
        <f ca="1">(((C121/H117*10)+(40/(D117+F117+H117)*C122)+(7.5/(H117)*C123)+(7.5/(H117)*C124)+(10/H117*C125)+(10/H117*C126)+(5/H117*C127)+(5/H117*C128)+(5/H117*C129))/100)</f>
        <v>0.7704545454545455</v>
      </c>
      <c r="F120" s="134"/>
      <c r="G120" s="133">
        <f ca="1">((((C120/H117)*20)+((C121/H117)*25)+(30/(H117+F117+D117)*C122)+(5/H117*C123)+(5/H117*C124)+(5/H117*C125)+(5/H117*C126)+(0/H117*C127)+(0/H117*C128)+(5/H117*C129))/100)</f>
        <v>0.90909090909090906</v>
      </c>
      <c r="H120" s="134"/>
      <c r="I120" s="14" t="s">
        <v>139</v>
      </c>
      <c r="J120" s="26">
        <f>(IF(B117&gt;3,(H117/(B117+2)+J119),0))</f>
        <v>0</v>
      </c>
    </row>
    <row r="121" spans="1:10" ht="15.75" hidden="1" customHeight="1" x14ac:dyDescent="0.3">
      <c r="A121" s="132" t="s">
        <v>48</v>
      </c>
      <c r="B121" s="132"/>
      <c r="C121" s="40">
        <f ca="1">J123</f>
        <v>22</v>
      </c>
      <c r="D121" s="16">
        <f ca="1">((100/H117)*C121)/100</f>
        <v>1.0000000000000002</v>
      </c>
      <c r="E121" s="135"/>
      <c r="F121" s="136"/>
      <c r="G121" s="135"/>
      <c r="H121" s="136"/>
      <c r="I121" s="14" t="s">
        <v>140</v>
      </c>
      <c r="J121" s="25">
        <f>(IF(B117&gt;4,(H117/(B117+2)+J120),0))</f>
        <v>0</v>
      </c>
    </row>
    <row r="122" spans="1:10" ht="15.75" hidden="1" customHeight="1" x14ac:dyDescent="0.3">
      <c r="A122" s="132" t="s">
        <v>124</v>
      </c>
      <c r="B122" s="132"/>
      <c r="C122" s="65">
        <v>23</v>
      </c>
      <c r="D122" s="16">
        <f ca="1">((100/(D117+F117+H117))*C122)/100</f>
        <v>1</v>
      </c>
      <c r="E122" s="135"/>
      <c r="F122" s="136"/>
      <c r="G122" s="135"/>
      <c r="H122" s="136"/>
      <c r="I122" s="14" t="s">
        <v>143</v>
      </c>
      <c r="J122" s="25">
        <f ca="1">(IF(B117=1,(H117/(B117+3)+J117),IF(B117=0,(H117/4+J117),IF(B117&gt;1,0))))</f>
        <v>16.5</v>
      </c>
    </row>
    <row r="123" spans="1:10" ht="16.2" hidden="1" thickBot="1" x14ac:dyDescent="0.35">
      <c r="A123" s="132" t="s">
        <v>131</v>
      </c>
      <c r="B123" s="132" t="s">
        <v>125</v>
      </c>
      <c r="C123" s="65">
        <v>22</v>
      </c>
      <c r="D123" s="16">
        <f ca="1">((100/H117)*C123)/100</f>
        <v>1.0000000000000002</v>
      </c>
      <c r="E123" s="135"/>
      <c r="F123" s="136"/>
      <c r="G123" s="135"/>
      <c r="H123" s="136"/>
      <c r="I123" s="15" t="s">
        <v>100</v>
      </c>
      <c r="J123" s="27">
        <f ca="1">(IF(B117&gt;1.5,(H117/(B117+2)+J117+MAX(0,J118-J117)+MAX(0,J119-J118)+MAX(0,J120-J119)+MAX(0,J121-J120)+MAX(0,J122-J121)),IF(B117=1,(H117/(B117+3)+J122),IF(B117=0,H117/4+J122))))</f>
        <v>22</v>
      </c>
    </row>
    <row r="124" spans="1:10" hidden="1" x14ac:dyDescent="0.3">
      <c r="A124" s="132" t="s">
        <v>132</v>
      </c>
      <c r="B124" s="132" t="s">
        <v>125</v>
      </c>
      <c r="C124" s="65">
        <v>20</v>
      </c>
      <c r="D124" s="16">
        <f ca="1">((100/H117)*C124)/100</f>
        <v>0.90909090909090917</v>
      </c>
      <c r="E124" s="135"/>
      <c r="F124" s="136"/>
      <c r="G124" s="135"/>
      <c r="H124" s="136"/>
    </row>
    <row r="125" spans="1:10" hidden="1" x14ac:dyDescent="0.3">
      <c r="A125" s="132" t="s">
        <v>130</v>
      </c>
      <c r="B125" s="132" t="s">
        <v>127</v>
      </c>
      <c r="C125" s="65">
        <v>18</v>
      </c>
      <c r="D125" s="16">
        <f ca="1">((100/(H117))*C125)/100</f>
        <v>0.81818181818181823</v>
      </c>
      <c r="E125" s="135"/>
      <c r="F125" s="136"/>
      <c r="G125" s="135"/>
      <c r="H125" s="136"/>
    </row>
    <row r="126" spans="1:10" hidden="1" x14ac:dyDescent="0.3">
      <c r="A126" s="132" t="s">
        <v>126</v>
      </c>
      <c r="B126" s="132" t="s">
        <v>126</v>
      </c>
      <c r="C126" s="65">
        <v>10</v>
      </c>
      <c r="D126" s="16">
        <f ca="1">((100/H117)*C126)/100</f>
        <v>0.45454545454545459</v>
      </c>
      <c r="E126" s="135"/>
      <c r="F126" s="136"/>
      <c r="G126" s="135"/>
      <c r="H126" s="136"/>
    </row>
    <row r="127" spans="1:10" hidden="1" x14ac:dyDescent="0.3">
      <c r="A127" s="132" t="s">
        <v>133</v>
      </c>
      <c r="B127" s="132"/>
      <c r="C127" s="65">
        <v>0</v>
      </c>
      <c r="D127" s="16">
        <f ca="1">((100/H117)*C127)/100</f>
        <v>0</v>
      </c>
      <c r="E127" s="135"/>
      <c r="F127" s="136"/>
      <c r="G127" s="135"/>
      <c r="H127" s="136"/>
    </row>
    <row r="128" spans="1:10" s="28" customFormat="1" hidden="1" x14ac:dyDescent="0.25">
      <c r="A128" s="132" t="s">
        <v>128</v>
      </c>
      <c r="B128" s="132" t="s">
        <v>128</v>
      </c>
      <c r="C128" s="65">
        <v>0</v>
      </c>
      <c r="D128" s="16">
        <f ca="1">((100/(H117))*C128)/100</f>
        <v>0</v>
      </c>
      <c r="E128" s="135"/>
      <c r="F128" s="136"/>
      <c r="G128" s="135"/>
      <c r="H128" s="136"/>
    </row>
    <row r="129" spans="1:12" s="28" customFormat="1" ht="16.2" hidden="1" thickBot="1" x14ac:dyDescent="0.3">
      <c r="A129" s="139" t="s">
        <v>129</v>
      </c>
      <c r="B129" s="139"/>
      <c r="C129" s="66">
        <v>0</v>
      </c>
      <c r="D129" s="17">
        <f ca="1">((100/(H117))*C129)/100</f>
        <v>0</v>
      </c>
      <c r="E129" s="137"/>
      <c r="F129" s="138"/>
      <c r="G129" s="137"/>
      <c r="H129" s="138"/>
      <c r="J129" s="46"/>
      <c r="K129" s="46"/>
      <c r="L129" s="46"/>
    </row>
    <row r="130" spans="1:12" ht="15.75" customHeight="1" x14ac:dyDescent="0.3">
      <c r="A130" s="127" t="s">
        <v>135</v>
      </c>
      <c r="B130" s="129"/>
      <c r="C130" s="127" t="str">
        <f>D62</f>
        <v>Phase II = Building No.2 (Wing A) = Gr/St + 1st to 23rd Floor</v>
      </c>
      <c r="D130" s="128"/>
      <c r="E130" s="128"/>
      <c r="F130" s="128"/>
      <c r="G130" s="128"/>
      <c r="H130" s="129"/>
      <c r="I130" s="71" t="str">
        <f>IF(D143=100%,"All work Completed. Possession granted to the Building.",IF(D142=100%,"All work Completed, Waiting for OC",I131&amp;""&amp;I132&amp;""&amp;J131&amp;""&amp;J130&amp;" "&amp;J132))</f>
        <v>Excavation, Plinth, RCC Slab, Brickwork, Internal Plaster Completed, External Plaster upto 22 Floor, Flooring upto 18 Floor, Painting upto 18 Floor Completed</v>
      </c>
      <c r="J130" s="36" t="str">
        <f>(IF(C136=(D131+F131+H131),"",IF(C136&gt;0,", RCC upto "&amp;C136&amp;" Slab","")))&amp;(IF(C137=H131,"",IF(C137&gt;0,", Brickwork upto "&amp;C137&amp;" Floor","")))&amp;(IF(C138=H131,"",IF(C138&gt;0,", Internal Plaster upto "&amp;C138&amp;" Floor","")))&amp;(IF(C139=H131,"",IF(C139&gt;0,", External Plaster upto "&amp;C139&amp;" Floor","")))&amp;(IF(C140=H131,"",IF(C140&gt;0,", Flooring upto "&amp;C140&amp;" Floor","")))&amp;(IF(C141=H131,"",IF(C141&gt;0,", Painting upto "&amp;C141&amp;" Floor","")))&amp;(IF(C142=H131,"",IF(C142&gt;0,", Finishing upto "&amp;C142&amp;" Floor","")))&amp;(IF(C143=H131,"",IF(C143&gt;0,", Possession upto "&amp;C143&amp;" Floor","")))</f>
        <v>, External Plaster upto 22 Floor, Flooring upto 18 Floor, Painting upto 18 Floor</v>
      </c>
    </row>
    <row r="131" spans="1:12" x14ac:dyDescent="0.3">
      <c r="A131" s="47" t="s">
        <v>137</v>
      </c>
      <c r="B131" s="47">
        <v>0</v>
      </c>
      <c r="C131" s="48" t="s">
        <v>68</v>
      </c>
      <c r="D131" s="48">
        <v>1</v>
      </c>
      <c r="E131" s="48" t="s">
        <v>67</v>
      </c>
      <c r="F131" s="48">
        <v>0</v>
      </c>
      <c r="G131" s="48" t="s">
        <v>75</v>
      </c>
      <c r="H131" s="48">
        <v>23</v>
      </c>
      <c r="I131" s="72" t="str">
        <f>IF(D134=100%,"Excavation","")&amp;IF(D135=100%,", Plinth","")&amp;IF(D136=100%,", RCC Slab","")&amp;IF(D137=100%,", Brickwork","")&amp;IF(D138=100%,", Internal Plaster","")&amp;IF(D139=100%,", External Plaster","")&amp;IF(D140=100%,", Flooring","")&amp;IF(D141=100%,", Painting","")&amp;IF(D142=100%,", Building common Amenities","")</f>
        <v>Excavation, Plinth, RCC Slab, Brickwork, Internal Plaster</v>
      </c>
      <c r="J131" s="49" t="str">
        <f>(IF(C134=0,"Work not yet Started.",IF(D134=25%,"Piling work in process",IF(D134=50%,"Excavation work in process",IF(D134=100%,"","0")))))&amp;(IF(C135=0%,"",IF(C135=J136,", Footing work is process",IF(C135=J137,", Footing work Completed",IF(C135=J138,", 1st Basement Completed",IF(C135=J139,", 1st &amp; 2nd Basement Completed",IF(C135=J140,", 1st to 3rd Basement Completed",IF(C135=J141,", 1st to 4th Basement Completed",IF(C135=J142,", Plinth work is process",IF(C135=J143,"","0"))))))))))</f>
        <v/>
      </c>
    </row>
    <row r="132" spans="1:12" ht="33" customHeight="1" x14ac:dyDescent="0.3">
      <c r="A132" s="130" t="s">
        <v>85</v>
      </c>
      <c r="B132" s="130"/>
      <c r="C132" s="131" t="str">
        <f>I130</f>
        <v>Excavation, Plinth, RCC Slab, Brickwork, Internal Plaster Completed, External Plaster upto 22 Floor, Flooring upto 18 Floor, Painting upto 18 Floor Completed</v>
      </c>
      <c r="D132" s="131"/>
      <c r="E132" s="131"/>
      <c r="F132" s="131"/>
      <c r="G132" s="131"/>
      <c r="H132" s="131"/>
      <c r="I132" s="72" t="str">
        <f>IF(I131&lt;&gt;""," Completed","")</f>
        <v xml:space="preserve"> Completed</v>
      </c>
      <c r="J132" s="49" t="str">
        <f>IF(J130&lt;&gt;"","Completed","")</f>
        <v>Completed</v>
      </c>
    </row>
    <row r="133" spans="1:12" ht="15.75" customHeight="1" x14ac:dyDescent="0.3">
      <c r="A133" s="132" t="s">
        <v>47</v>
      </c>
      <c r="B133" s="132"/>
      <c r="C133" s="65" t="s">
        <v>134</v>
      </c>
      <c r="D133" s="65" t="s">
        <v>78</v>
      </c>
      <c r="E133" s="132" t="s">
        <v>80</v>
      </c>
      <c r="F133" s="132"/>
      <c r="G133" s="132" t="s">
        <v>79</v>
      </c>
      <c r="H133" s="132"/>
      <c r="I133" s="50" t="s">
        <v>136</v>
      </c>
      <c r="J133" s="23">
        <f>H131*25%</f>
        <v>5.75</v>
      </c>
    </row>
    <row r="134" spans="1:12" x14ac:dyDescent="0.3">
      <c r="A134" s="132" t="s">
        <v>123</v>
      </c>
      <c r="B134" s="132"/>
      <c r="C134" s="65">
        <v>23</v>
      </c>
      <c r="D134" s="16">
        <f>((100/H131)*C134)/100</f>
        <v>1</v>
      </c>
      <c r="E134" s="133">
        <f>(((C135/H131*10)+(40/(D131+F131+H131)*C136)+(7.5/(H131)*C137)+(7.5/(H131)*C138)+(10/H131*C139)+(10/H131*C140)+(5/H131*C141)+(5/H131*C142)+(5/H131*C143))/100)</f>
        <v>0.86304347826086958</v>
      </c>
      <c r="F134" s="134"/>
      <c r="G134" s="133">
        <f>((((C134/H131)*20)+((C135/H131)*25)+(30/(H131+F131+D131)*C136)+(5/H131*C137)+(5/H131*C138)+(5/H131*C139)+(5/H131*C140)+(0/H131*C141)+(0/H131*C142)+(5/H131*C143))/100)</f>
        <v>0.93695652173913047</v>
      </c>
      <c r="H134" s="134"/>
      <c r="I134" s="50" t="s">
        <v>96</v>
      </c>
      <c r="J134" s="51">
        <f>H131*50%</f>
        <v>11.5</v>
      </c>
    </row>
    <row r="135" spans="1:12" x14ac:dyDescent="0.3">
      <c r="A135" s="132" t="s">
        <v>48</v>
      </c>
      <c r="B135" s="132"/>
      <c r="C135" s="40">
        <f>J143</f>
        <v>23</v>
      </c>
      <c r="D135" s="16">
        <f>((100/H131)*C135)/100</f>
        <v>1</v>
      </c>
      <c r="E135" s="135"/>
      <c r="F135" s="136"/>
      <c r="G135" s="135"/>
      <c r="H135" s="136"/>
      <c r="I135" s="50" t="s">
        <v>97</v>
      </c>
      <c r="J135" s="51">
        <f>H131</f>
        <v>23</v>
      </c>
    </row>
    <row r="136" spans="1:12" ht="15.75" customHeight="1" x14ac:dyDescent="0.3">
      <c r="A136" s="132" t="s">
        <v>124</v>
      </c>
      <c r="B136" s="132"/>
      <c r="C136" s="65">
        <v>24</v>
      </c>
      <c r="D136" s="16">
        <f>((100/(D131+F131+H131))*C136)/100</f>
        <v>1</v>
      </c>
      <c r="E136" s="135"/>
      <c r="F136" s="136"/>
      <c r="G136" s="135"/>
      <c r="H136" s="136"/>
      <c r="I136" s="50" t="s">
        <v>98</v>
      </c>
      <c r="J136" s="52">
        <f>(IF(B131&gt;1,(H131/(B131+2)),H131/4))</f>
        <v>5.75</v>
      </c>
    </row>
    <row r="137" spans="1:12" ht="15.75" customHeight="1" x14ac:dyDescent="0.3">
      <c r="A137" s="132" t="s">
        <v>131</v>
      </c>
      <c r="B137" s="132" t="s">
        <v>125</v>
      </c>
      <c r="C137" s="65">
        <v>23</v>
      </c>
      <c r="D137" s="16">
        <f>((100/H131)*C137)/100</f>
        <v>1</v>
      </c>
      <c r="E137" s="135"/>
      <c r="F137" s="136"/>
      <c r="G137" s="135"/>
      <c r="H137" s="136"/>
      <c r="I137" s="50" t="s">
        <v>99</v>
      </c>
      <c r="J137" s="52">
        <f>(IF(B131&gt;1,(H131/(B131+2)+J136),H131/4+J136))</f>
        <v>11.5</v>
      </c>
    </row>
    <row r="138" spans="1:12" ht="15.75" customHeight="1" x14ac:dyDescent="0.3">
      <c r="A138" s="132" t="s">
        <v>132</v>
      </c>
      <c r="B138" s="132" t="s">
        <v>125</v>
      </c>
      <c r="C138" s="65">
        <v>23</v>
      </c>
      <c r="D138" s="16">
        <f>((100/H131)*C138)/100</f>
        <v>1</v>
      </c>
      <c r="E138" s="135"/>
      <c r="F138" s="136"/>
      <c r="G138" s="135"/>
      <c r="H138" s="136"/>
      <c r="I138" s="50" t="s">
        <v>142</v>
      </c>
      <c r="J138" s="52">
        <f>(IF(B131&gt;1,(H131/(B131+2)+J137),0))</f>
        <v>0</v>
      </c>
    </row>
    <row r="139" spans="1:12" ht="15" customHeight="1" x14ac:dyDescent="0.3">
      <c r="A139" s="132" t="s">
        <v>130</v>
      </c>
      <c r="B139" s="132" t="s">
        <v>127</v>
      </c>
      <c r="C139" s="65">
        <v>22</v>
      </c>
      <c r="D139" s="16">
        <f>((100/(H131))*C139)/100</f>
        <v>0.9565217391304347</v>
      </c>
      <c r="E139" s="135"/>
      <c r="F139" s="136"/>
      <c r="G139" s="135"/>
      <c r="H139" s="136"/>
      <c r="I139" s="50" t="s">
        <v>138</v>
      </c>
      <c r="J139" s="52">
        <f>(IF(B131&gt;2,(H131/(B131+2)+J138),0))</f>
        <v>0</v>
      </c>
    </row>
    <row r="140" spans="1:12" ht="15.75" customHeight="1" x14ac:dyDescent="0.3">
      <c r="A140" s="132" t="s">
        <v>126</v>
      </c>
      <c r="B140" s="132" t="s">
        <v>126</v>
      </c>
      <c r="C140" s="65">
        <v>18</v>
      </c>
      <c r="D140" s="16">
        <f>((100/H131)*C140)/100</f>
        <v>0.78260869565217395</v>
      </c>
      <c r="E140" s="135"/>
      <c r="F140" s="136"/>
      <c r="G140" s="135"/>
      <c r="H140" s="136"/>
      <c r="I140" s="50" t="s">
        <v>139</v>
      </c>
      <c r="J140" s="53">
        <f>(IF(B131&gt;3,(H131/(B131+2)+J139),0))</f>
        <v>0</v>
      </c>
    </row>
    <row r="141" spans="1:12" ht="15.75" customHeight="1" x14ac:dyDescent="0.3">
      <c r="A141" s="132" t="s">
        <v>133</v>
      </c>
      <c r="B141" s="132"/>
      <c r="C141" s="65">
        <v>18</v>
      </c>
      <c r="D141" s="16">
        <f>((100/H131)*C141)/100</f>
        <v>0.78260869565217395</v>
      </c>
      <c r="E141" s="135"/>
      <c r="F141" s="136"/>
      <c r="G141" s="135"/>
      <c r="H141" s="136"/>
      <c r="I141" s="50" t="s">
        <v>140</v>
      </c>
      <c r="J141" s="52">
        <f>(IF(B131&gt;4,(H131/(B131+2)+J140),0))</f>
        <v>0</v>
      </c>
    </row>
    <row r="142" spans="1:12" ht="15.75" customHeight="1" x14ac:dyDescent="0.3">
      <c r="A142" s="132" t="s">
        <v>128</v>
      </c>
      <c r="B142" s="132" t="s">
        <v>128</v>
      </c>
      <c r="C142" s="65">
        <v>0</v>
      </c>
      <c r="D142" s="16">
        <f>((100/(H131))*C142)/100</f>
        <v>0</v>
      </c>
      <c r="E142" s="135"/>
      <c r="F142" s="136"/>
      <c r="G142" s="135"/>
      <c r="H142" s="136"/>
      <c r="I142" s="50" t="s">
        <v>143</v>
      </c>
      <c r="J142" s="52">
        <f>(IF(B131=1,(H131/(B131+3)+J137),IF(B131=0,(H131/4+J137),IF(B131&gt;1,0))))</f>
        <v>17.25</v>
      </c>
    </row>
    <row r="143" spans="1:12" ht="16.2" thickBot="1" x14ac:dyDescent="0.35">
      <c r="A143" s="139" t="s">
        <v>129</v>
      </c>
      <c r="B143" s="139"/>
      <c r="C143" s="66">
        <v>0</v>
      </c>
      <c r="D143" s="17">
        <f>((100/(H131))*C143)/100</f>
        <v>0</v>
      </c>
      <c r="E143" s="137"/>
      <c r="F143" s="138"/>
      <c r="G143" s="137"/>
      <c r="H143" s="138"/>
      <c r="I143" s="54" t="s">
        <v>100</v>
      </c>
      <c r="J143" s="55">
        <f>(IF(B131&gt;1.5,(H131/(B131+2)+J137+MAX(0,J138-J137)+MAX(0,J139-J138)+MAX(0,J140-J139)+MAX(0,J141-J140)+MAX(0,J142-J141)),IF(B131=1,(H131/(B131+3)+J142),IF(B131=0,H131/4+J142))))</f>
        <v>23</v>
      </c>
    </row>
    <row r="144" spans="1:12" ht="15.75" customHeight="1" x14ac:dyDescent="0.3">
      <c r="A144" s="127" t="s">
        <v>135</v>
      </c>
      <c r="B144" s="129"/>
      <c r="C144" s="127" t="str">
        <f>D63</f>
        <v>Phase II = Building No.1 (Wing B) = Gr/St (Pt) + 1st to 23rd Floor</v>
      </c>
      <c r="D144" s="128"/>
      <c r="E144" s="128"/>
      <c r="F144" s="128"/>
      <c r="G144" s="128"/>
      <c r="H144" s="129"/>
      <c r="I144" s="71" t="str">
        <f>IF(D157=100%,"All work Completed. Possession granted to the Building.",IF(D156=100%,"All work Completed, Waiting for OC",I145&amp;""&amp;I146&amp;""&amp;J145&amp;""&amp;J144&amp;" "&amp;J146))</f>
        <v>Excavation, Plinth, RCC Slab, Brickwork, Internal Plaster Completed, External Plaster upto 21 Floor, Flooring upto 15 Floor, Painting upto 4 Floor Completed</v>
      </c>
      <c r="J144" s="36" t="str">
        <f>(IF(C150=(D145+F145+H145),"",IF(C150&gt;0,", RCC upto "&amp;C150&amp;" Slab","")))&amp;(IF(C151=H145,"",IF(C151&gt;0,", Brickwork upto "&amp;C151&amp;" Floor","")))&amp;(IF(C152=H145,"",IF(C152&gt;0,", Internal Plaster upto "&amp;C152&amp;" Floor","")))&amp;(IF(C153=H145,"",IF(C153&gt;0,", External Plaster upto "&amp;C153&amp;" Floor","")))&amp;(IF(C154=H145,"",IF(C154&gt;0,", Flooring upto "&amp;C154&amp;" Floor","")))&amp;(IF(C155=H145,"",IF(C155&gt;0,", Painting upto "&amp;C155&amp;" Floor","")))&amp;(IF(C156=H145,"",IF(C156&gt;0,", Finishing upto "&amp;C156&amp;" Floor","")))&amp;(IF(C157=H145,"",IF(C157&gt;0,", Possession upto "&amp;C157&amp;" Floor","")))</f>
        <v>, External Plaster upto 21 Floor, Flooring upto 15 Floor, Painting upto 4 Floor</v>
      </c>
    </row>
    <row r="145" spans="1:10" x14ac:dyDescent="0.3">
      <c r="A145" s="47" t="s">
        <v>137</v>
      </c>
      <c r="B145" s="47">
        <v>0</v>
      </c>
      <c r="C145" s="48" t="s">
        <v>68</v>
      </c>
      <c r="D145" s="48">
        <v>1</v>
      </c>
      <c r="E145" s="48" t="s">
        <v>67</v>
      </c>
      <c r="F145" s="48">
        <v>0</v>
      </c>
      <c r="G145" s="48" t="s">
        <v>75</v>
      </c>
      <c r="H145" s="48">
        <v>23</v>
      </c>
      <c r="I145" s="72" t="str">
        <f>IF(D148=100%,"Excavation","")&amp;IF(D149=100%,", Plinth","")&amp;IF(D150=100%,", RCC Slab","")&amp;IF(D151=100%,", Brickwork","")&amp;IF(D152=100%,", Internal Plaster","")&amp;IF(D153=100%,", External Plaster","")&amp;IF(D154=100%,", Flooring","")&amp;IF(D155=100%,", Painting","")&amp;IF(D156=100%,", Building common Amenities","")</f>
        <v>Excavation, Plinth, RCC Slab, Brickwork, Internal Plaster</v>
      </c>
      <c r="J145" s="49" t="str">
        <f>(IF(C148=0,"Work not yet Started.",IF(D148=25%,"Piling work in process",IF(D148=50%,"Excavation work in process",IF(D148=100%,"","0")))))&amp;(IF(C149=0%,"",IF(C149=J150,", Footing work is process",IF(C149=J151,", Footing work Completed",IF(C149=J152,", 1st Basement Completed",IF(C149=J153,", 1st &amp; 2nd Basement Completed",IF(C149=J154,", 1st to 3rd Basement Completed",IF(C149=J155,", 1st to 4th Basement Completed",IF(C149=J156,", Plinth work is process",IF(C149=J157,"","0"))))))))))</f>
        <v/>
      </c>
    </row>
    <row r="146" spans="1:10" ht="47.55" customHeight="1" x14ac:dyDescent="0.3">
      <c r="A146" s="130" t="s">
        <v>85</v>
      </c>
      <c r="B146" s="130"/>
      <c r="C146" s="131" t="str">
        <f>I144</f>
        <v>Excavation, Plinth, RCC Slab, Brickwork, Internal Plaster Completed, External Plaster upto 21 Floor, Flooring upto 15 Floor, Painting upto 4 Floor Completed</v>
      </c>
      <c r="D146" s="131"/>
      <c r="E146" s="131"/>
      <c r="F146" s="131"/>
      <c r="G146" s="131"/>
      <c r="H146" s="131"/>
      <c r="I146" s="72" t="str">
        <f>IF(I145&lt;&gt;""," Completed","")</f>
        <v xml:space="preserve"> Completed</v>
      </c>
      <c r="J146" s="49" t="str">
        <f>IF(J144&lt;&gt;"","Completed","")</f>
        <v>Completed</v>
      </c>
    </row>
    <row r="147" spans="1:10" ht="15.75" customHeight="1" x14ac:dyDescent="0.3">
      <c r="A147" s="132" t="s">
        <v>47</v>
      </c>
      <c r="B147" s="132"/>
      <c r="C147" s="65" t="s">
        <v>134</v>
      </c>
      <c r="D147" s="65" t="s">
        <v>78</v>
      </c>
      <c r="E147" s="132" t="s">
        <v>80</v>
      </c>
      <c r="F147" s="132"/>
      <c r="G147" s="132" t="s">
        <v>79</v>
      </c>
      <c r="H147" s="132"/>
      <c r="I147" s="50" t="s">
        <v>136</v>
      </c>
      <c r="J147" s="23">
        <f>H145*25%</f>
        <v>5.75</v>
      </c>
    </row>
    <row r="148" spans="1:10" x14ac:dyDescent="0.3">
      <c r="A148" s="132" t="s">
        <v>123</v>
      </c>
      <c r="B148" s="132"/>
      <c r="C148" s="65">
        <v>23</v>
      </c>
      <c r="D148" s="16">
        <f>((100/H145)*C148)/100</f>
        <v>1</v>
      </c>
      <c r="E148" s="133">
        <f>(((C149/H145*10)+(40/(D145+F145+H145)*C150)+(7.5/(H145)*C151)+(7.5/(H145)*C152)+(10/H145*C153)+(10/H145*C154)+(5/H145*C155)+(5/H145*C156)+(5/H145*C157))/100)</f>
        <v>0.81521739130434767</v>
      </c>
      <c r="F148" s="134"/>
      <c r="G148" s="133">
        <f>((((C148/H145)*20)+((C149/H145)*25)+(30/(H145+F145+D145)*C150)+(5/H145*C151)+(5/H145*C152)+(5/H145*C153)+(5/H145*C154)+(0/H145*C155)+(0/H145*C156)+(5/H145*C157))/100)</f>
        <v>0.92826086956521736</v>
      </c>
      <c r="H148" s="134"/>
      <c r="I148" s="50" t="s">
        <v>96</v>
      </c>
      <c r="J148" s="51">
        <f>H145*50%</f>
        <v>11.5</v>
      </c>
    </row>
    <row r="149" spans="1:10" x14ac:dyDescent="0.3">
      <c r="A149" s="132" t="s">
        <v>48</v>
      </c>
      <c r="B149" s="132"/>
      <c r="C149" s="40">
        <f>J157</f>
        <v>23</v>
      </c>
      <c r="D149" s="16">
        <f>((100/H145)*C149)/100</f>
        <v>1</v>
      </c>
      <c r="E149" s="135"/>
      <c r="F149" s="136"/>
      <c r="G149" s="135"/>
      <c r="H149" s="136"/>
      <c r="I149" s="50" t="s">
        <v>97</v>
      </c>
      <c r="J149" s="51">
        <f>H145</f>
        <v>23</v>
      </c>
    </row>
    <row r="150" spans="1:10" ht="15.75" customHeight="1" x14ac:dyDescent="0.3">
      <c r="A150" s="132" t="s">
        <v>124</v>
      </c>
      <c r="B150" s="132"/>
      <c r="C150" s="65">
        <v>24</v>
      </c>
      <c r="D150" s="16">
        <f>((100/(D145+F145+H145))*C150)/100</f>
        <v>1</v>
      </c>
      <c r="E150" s="135"/>
      <c r="F150" s="136"/>
      <c r="G150" s="135"/>
      <c r="H150" s="136"/>
      <c r="I150" s="50" t="s">
        <v>98</v>
      </c>
      <c r="J150" s="52">
        <f>(IF(B145&gt;1,(H145/(B145+2)),H145/4))</f>
        <v>5.75</v>
      </c>
    </row>
    <row r="151" spans="1:10" ht="15.75" customHeight="1" x14ac:dyDescent="0.3">
      <c r="A151" s="132" t="s">
        <v>131</v>
      </c>
      <c r="B151" s="132" t="s">
        <v>125</v>
      </c>
      <c r="C151" s="65">
        <v>23</v>
      </c>
      <c r="D151" s="16">
        <f>((100/H145)*C151)/100</f>
        <v>1</v>
      </c>
      <c r="E151" s="135"/>
      <c r="F151" s="136"/>
      <c r="G151" s="135"/>
      <c r="H151" s="136"/>
      <c r="I151" s="50" t="s">
        <v>99</v>
      </c>
      <c r="J151" s="52">
        <f>(IF(B145&gt;1,(H145/(B145+2)+J150),H145/4+J150))</f>
        <v>11.5</v>
      </c>
    </row>
    <row r="152" spans="1:10" ht="15.75" customHeight="1" x14ac:dyDescent="0.3">
      <c r="A152" s="132" t="s">
        <v>132</v>
      </c>
      <c r="B152" s="132" t="s">
        <v>125</v>
      </c>
      <c r="C152" s="65">
        <v>23</v>
      </c>
      <c r="D152" s="16">
        <f>((100/H145)*C152)/100</f>
        <v>1</v>
      </c>
      <c r="E152" s="135"/>
      <c r="F152" s="136"/>
      <c r="G152" s="135"/>
      <c r="H152" s="136"/>
      <c r="I152" s="50" t="s">
        <v>142</v>
      </c>
      <c r="J152" s="52">
        <f>(IF(B145&gt;1,(H145/(B145+2)+J151),0))</f>
        <v>0</v>
      </c>
    </row>
    <row r="153" spans="1:10" ht="15" customHeight="1" x14ac:dyDescent="0.3">
      <c r="A153" s="132" t="s">
        <v>130</v>
      </c>
      <c r="B153" s="132" t="s">
        <v>127</v>
      </c>
      <c r="C153" s="65">
        <v>21</v>
      </c>
      <c r="D153" s="16">
        <f>((100/(H145))*C153)/100</f>
        <v>0.91304347826086951</v>
      </c>
      <c r="E153" s="135"/>
      <c r="F153" s="136"/>
      <c r="G153" s="135"/>
      <c r="H153" s="136"/>
      <c r="I153" s="50" t="s">
        <v>138</v>
      </c>
      <c r="J153" s="52">
        <f>(IF(B145&gt;2,(H145/(B145+2)+J152),0))</f>
        <v>0</v>
      </c>
    </row>
    <row r="154" spans="1:10" ht="15.75" customHeight="1" x14ac:dyDescent="0.3">
      <c r="A154" s="132" t="s">
        <v>126</v>
      </c>
      <c r="B154" s="132" t="s">
        <v>126</v>
      </c>
      <c r="C154" s="65">
        <v>15</v>
      </c>
      <c r="D154" s="16">
        <f>((100/H145)*C154)/100</f>
        <v>0.65217391304347827</v>
      </c>
      <c r="E154" s="135"/>
      <c r="F154" s="136"/>
      <c r="G154" s="135"/>
      <c r="H154" s="136"/>
      <c r="I154" s="50" t="s">
        <v>139</v>
      </c>
      <c r="J154" s="53">
        <f>(IF(B145&gt;3,(H145/(B145+2)+J153),0))</f>
        <v>0</v>
      </c>
    </row>
    <row r="155" spans="1:10" ht="15.75" customHeight="1" x14ac:dyDescent="0.3">
      <c r="A155" s="132" t="s">
        <v>133</v>
      </c>
      <c r="B155" s="132"/>
      <c r="C155" s="65">
        <v>4</v>
      </c>
      <c r="D155" s="16">
        <f>((100/H145)*C155)/100</f>
        <v>0.17391304347826086</v>
      </c>
      <c r="E155" s="135"/>
      <c r="F155" s="136"/>
      <c r="G155" s="135"/>
      <c r="H155" s="136"/>
      <c r="I155" s="50" t="s">
        <v>140</v>
      </c>
      <c r="J155" s="52">
        <f>(IF(B145&gt;4,(H145/(B145+2)+J154),0))</f>
        <v>0</v>
      </c>
    </row>
    <row r="156" spans="1:10" ht="15.75" customHeight="1" x14ac:dyDescent="0.3">
      <c r="A156" s="132" t="s">
        <v>128</v>
      </c>
      <c r="B156" s="132" t="s">
        <v>128</v>
      </c>
      <c r="C156" s="65">
        <v>0</v>
      </c>
      <c r="D156" s="16">
        <f>((100/(H145))*C156)/100</f>
        <v>0</v>
      </c>
      <c r="E156" s="135"/>
      <c r="F156" s="136"/>
      <c r="G156" s="135"/>
      <c r="H156" s="136"/>
      <c r="I156" s="50" t="s">
        <v>143</v>
      </c>
      <c r="J156" s="52">
        <f>(IF(B145=1,(H145/(B145+3)+J151),IF(B145=0,(H145/4+J151),IF(B145&gt;1,0))))</f>
        <v>17.25</v>
      </c>
    </row>
    <row r="157" spans="1:10" ht="16.2" thickBot="1" x14ac:dyDescent="0.35">
      <c r="A157" s="139" t="s">
        <v>129</v>
      </c>
      <c r="B157" s="139"/>
      <c r="C157" s="66">
        <v>0</v>
      </c>
      <c r="D157" s="17">
        <f>((100/(H145))*C157)/100</f>
        <v>0</v>
      </c>
      <c r="E157" s="137"/>
      <c r="F157" s="138"/>
      <c r="G157" s="137"/>
      <c r="H157" s="138"/>
      <c r="I157" s="54" t="s">
        <v>100</v>
      </c>
      <c r="J157" s="55">
        <f>(IF(B145&gt;1.5,(H145/(B145+2)+J151+MAX(0,J152-J151)+MAX(0,J153-J152)+MAX(0,J154-J153)+MAX(0,J155-J154)+MAX(0,J156-J155)),IF(B145=1,(H145/(B145+3)+J156),IF(B145=0,H145/4+J156))))</f>
        <v>23</v>
      </c>
    </row>
    <row r="158" spans="1:10" ht="15.75" customHeight="1" x14ac:dyDescent="0.3">
      <c r="A158" s="127" t="s">
        <v>135</v>
      </c>
      <c r="B158" s="129"/>
      <c r="C158" s="127" t="str">
        <f>D64</f>
        <v>Phase II = Building No.1 (Wing C) = Gr/St (Pt) + 1st to 23rd Floor</v>
      </c>
      <c r="D158" s="128"/>
      <c r="E158" s="128"/>
      <c r="F158" s="128"/>
      <c r="G158" s="128"/>
      <c r="H158" s="129"/>
      <c r="I158" s="71" t="str">
        <f>IF(D171=100%,"All work Completed. Possession granted to the Building.",IF(D170=100%,"All work Completed, Waiting for OC",I159&amp;""&amp;I160&amp;""&amp;J159&amp;""&amp;J158&amp;" "&amp;J160))</f>
        <v>Excavation, Plinth, RCC Slab, Brickwork, Internal Plaster Completed, External Plaster upto 20 Floor, Flooring upto 10 Floor, Painting upto 5 Floor Completed</v>
      </c>
      <c r="J158" s="36" t="str">
        <f>(IF(C164=(D159+F159+H159),"",IF(C164&gt;0,", RCC upto "&amp;C164&amp;" Slab","")))&amp;(IF(C165=H159,"",IF(C165&gt;0,", Brickwork upto "&amp;C165&amp;" Floor","")))&amp;(IF(C166=H159,"",IF(C166&gt;0,", Internal Plaster upto "&amp;C166&amp;" Floor","")))&amp;(IF(C167=H159,"",IF(C167&gt;0,", External Plaster upto "&amp;C167&amp;" Floor","")))&amp;(IF(C168=H159,"",IF(C168&gt;0,", Flooring upto "&amp;C168&amp;" Floor","")))&amp;(IF(C169=H159,"",IF(C169&gt;0,", Painting upto "&amp;C169&amp;" Floor","")))&amp;(IF(C170=H159,"",IF(C170&gt;0,", Finishing upto "&amp;C170&amp;" Floor","")))&amp;(IF(C171=H159,"",IF(C171&gt;0,", Possession upto "&amp;C171&amp;" Floor","")))</f>
        <v>, External Plaster upto 20 Floor, Flooring upto 10 Floor, Painting upto 5 Floor</v>
      </c>
    </row>
    <row r="159" spans="1:10" x14ac:dyDescent="0.3">
      <c r="A159" s="47" t="s">
        <v>137</v>
      </c>
      <c r="B159" s="47">
        <v>0</v>
      </c>
      <c r="C159" s="48" t="s">
        <v>68</v>
      </c>
      <c r="D159" s="48">
        <v>1</v>
      </c>
      <c r="E159" s="48" t="s">
        <v>67</v>
      </c>
      <c r="F159" s="48">
        <v>0</v>
      </c>
      <c r="G159" s="48" t="s">
        <v>75</v>
      </c>
      <c r="H159" s="48">
        <v>23</v>
      </c>
      <c r="I159" s="72" t="str">
        <f>IF(D162=100%,"Excavation","")&amp;IF(D163=100%,", Plinth","")&amp;IF(D164=100%,", RCC Slab","")&amp;IF(D165=100%,", Brickwork","")&amp;IF(D166=100%,", Internal Plaster","")&amp;IF(D167=100%,", External Plaster","")&amp;IF(D168=100%,", Flooring","")&amp;IF(D169=100%,", Painting","")&amp;IF(D170=100%,", Building common Amenities","")</f>
        <v>Excavation, Plinth, RCC Slab, Brickwork, Internal Plaster</v>
      </c>
      <c r="J159" s="49" t="str">
        <f>(IF(C162=0,"Work not yet Started.",IF(D162=25%,"Piling work in process",IF(D162=50%,"Excavation work in process",IF(D162=100%,"","0")))))&amp;(IF(C163=0%,"",IF(C163=J164,", Footing work is process",IF(C163=J165,", Footing work Completed",IF(C163=J166,", 1st Basement Completed",IF(C163=J167,", 1st &amp; 2nd Basement Completed",IF(C163=J168,", 1st to 3rd Basement Completed",IF(C163=J169,", 1st to 4th Basement Completed",IF(C163=J170,", Plinth work is process",IF(C163=J171,"","0"))))))))))</f>
        <v/>
      </c>
    </row>
    <row r="160" spans="1:10" ht="32.700000000000003" customHeight="1" x14ac:dyDescent="0.3">
      <c r="A160" s="130" t="s">
        <v>85</v>
      </c>
      <c r="B160" s="130"/>
      <c r="C160" s="131" t="str">
        <f>I158</f>
        <v>Excavation, Plinth, RCC Slab, Brickwork, Internal Plaster Completed, External Plaster upto 20 Floor, Flooring upto 10 Floor, Painting upto 5 Floor Completed</v>
      </c>
      <c r="D160" s="131"/>
      <c r="E160" s="131"/>
      <c r="F160" s="131"/>
      <c r="G160" s="131"/>
      <c r="H160" s="131"/>
      <c r="I160" s="72" t="str">
        <f>IF(I159&lt;&gt;""," Completed","")</f>
        <v xml:space="preserve"> Completed</v>
      </c>
      <c r="J160" s="49" t="str">
        <f>IF(J158&lt;&gt;"","Completed","")</f>
        <v>Completed</v>
      </c>
    </row>
    <row r="161" spans="1:10" ht="15.75" customHeight="1" x14ac:dyDescent="0.3">
      <c r="A161" s="132" t="s">
        <v>47</v>
      </c>
      <c r="B161" s="132"/>
      <c r="C161" s="65" t="s">
        <v>134</v>
      </c>
      <c r="D161" s="65" t="s">
        <v>78</v>
      </c>
      <c r="E161" s="132" t="s">
        <v>80</v>
      </c>
      <c r="F161" s="132"/>
      <c r="G161" s="132" t="s">
        <v>79</v>
      </c>
      <c r="H161" s="132"/>
      <c r="I161" s="50" t="s">
        <v>136</v>
      </c>
      <c r="J161" s="23">
        <f>H159*25%</f>
        <v>5.75</v>
      </c>
    </row>
    <row r="162" spans="1:10" x14ac:dyDescent="0.3">
      <c r="A162" s="132" t="s">
        <v>123</v>
      </c>
      <c r="B162" s="132"/>
      <c r="C162" s="65">
        <v>23</v>
      </c>
      <c r="D162" s="16">
        <f>((100/H159)*C162)/100</f>
        <v>1</v>
      </c>
      <c r="E162" s="133">
        <f>(((C163/H159*10)+(40/(D159+F159+H159)*C164)+(7.5/(H159)*C165)+(7.5/(H159)*C166)+(10/H159*C167)+(10/H159*C168)+(5/H159*C169)+(5/H159*C170)+(5/H159*C171))/100)</f>
        <v>0.79130434782608683</v>
      </c>
      <c r="F162" s="134"/>
      <c r="G162" s="133">
        <f>((((C162/H159)*20)+((C163/H159)*25)+(30/(H159+F159+D159)*C164)+(5/H159*C165)+(5/H159*C166)+(5/H159*C167)+(5/H159*C168)+(0/H159*C169)+(0/H159*C170)+(5/H159*C171))/100)</f>
        <v>0.91521739130434776</v>
      </c>
      <c r="H162" s="134"/>
      <c r="I162" s="50" t="s">
        <v>96</v>
      </c>
      <c r="J162" s="51">
        <f>H159*50%</f>
        <v>11.5</v>
      </c>
    </row>
    <row r="163" spans="1:10" x14ac:dyDescent="0.3">
      <c r="A163" s="132" t="s">
        <v>48</v>
      </c>
      <c r="B163" s="132"/>
      <c r="C163" s="40">
        <f>J171</f>
        <v>23</v>
      </c>
      <c r="D163" s="16">
        <f>((100/H159)*C163)/100</f>
        <v>1</v>
      </c>
      <c r="E163" s="135"/>
      <c r="F163" s="136"/>
      <c r="G163" s="135"/>
      <c r="H163" s="136"/>
      <c r="I163" s="50" t="s">
        <v>97</v>
      </c>
      <c r="J163" s="51">
        <f>H159</f>
        <v>23</v>
      </c>
    </row>
    <row r="164" spans="1:10" ht="15.75" customHeight="1" x14ac:dyDescent="0.3">
      <c r="A164" s="132" t="s">
        <v>124</v>
      </c>
      <c r="B164" s="132"/>
      <c r="C164" s="65">
        <v>24</v>
      </c>
      <c r="D164" s="16">
        <f>((100/(D159+F159+H159))*C164)/100</f>
        <v>1</v>
      </c>
      <c r="E164" s="135"/>
      <c r="F164" s="136"/>
      <c r="G164" s="135"/>
      <c r="H164" s="136"/>
      <c r="I164" s="50" t="s">
        <v>98</v>
      </c>
      <c r="J164" s="52">
        <f>(IF(B159&gt;1,(H159/(B159+2)),H159/4))</f>
        <v>5.75</v>
      </c>
    </row>
    <row r="165" spans="1:10" ht="15.75" customHeight="1" x14ac:dyDescent="0.3">
      <c r="A165" s="132" t="s">
        <v>131</v>
      </c>
      <c r="B165" s="132" t="s">
        <v>125</v>
      </c>
      <c r="C165" s="65">
        <v>23</v>
      </c>
      <c r="D165" s="16">
        <f>((100/H159)*C165)/100</f>
        <v>1</v>
      </c>
      <c r="E165" s="135"/>
      <c r="F165" s="136"/>
      <c r="G165" s="135"/>
      <c r="H165" s="136"/>
      <c r="I165" s="50" t="s">
        <v>99</v>
      </c>
      <c r="J165" s="52">
        <f>(IF(B159&gt;1,(H159/(B159+2)+J164),H159/4+J164))</f>
        <v>11.5</v>
      </c>
    </row>
    <row r="166" spans="1:10" ht="15.75" customHeight="1" x14ac:dyDescent="0.3">
      <c r="A166" s="132" t="s">
        <v>132</v>
      </c>
      <c r="B166" s="132" t="s">
        <v>125</v>
      </c>
      <c r="C166" s="65">
        <v>23</v>
      </c>
      <c r="D166" s="16">
        <f>((100/H159)*C166)/100</f>
        <v>1</v>
      </c>
      <c r="E166" s="135"/>
      <c r="F166" s="136"/>
      <c r="G166" s="135"/>
      <c r="H166" s="136"/>
      <c r="I166" s="50" t="s">
        <v>142</v>
      </c>
      <c r="J166" s="52">
        <f>(IF(B159&gt;1,(H159/(B159+2)+J165),0))</f>
        <v>0</v>
      </c>
    </row>
    <row r="167" spans="1:10" ht="15" customHeight="1" x14ac:dyDescent="0.3">
      <c r="A167" s="132" t="s">
        <v>130</v>
      </c>
      <c r="B167" s="132" t="s">
        <v>127</v>
      </c>
      <c r="C167" s="65">
        <v>20</v>
      </c>
      <c r="D167" s="16">
        <f>((100/(H159))*C167)/100</f>
        <v>0.86956521739130432</v>
      </c>
      <c r="E167" s="135"/>
      <c r="F167" s="136"/>
      <c r="G167" s="135"/>
      <c r="H167" s="136"/>
      <c r="I167" s="50" t="s">
        <v>138</v>
      </c>
      <c r="J167" s="52">
        <f>(IF(B159&gt;2,(H159/(B159+2)+J166),0))</f>
        <v>0</v>
      </c>
    </row>
    <row r="168" spans="1:10" ht="15.75" customHeight="1" x14ac:dyDescent="0.3">
      <c r="A168" s="132" t="s">
        <v>126</v>
      </c>
      <c r="B168" s="132" t="s">
        <v>126</v>
      </c>
      <c r="C168" s="65">
        <v>10</v>
      </c>
      <c r="D168" s="16">
        <f>((100/H159)*C168)/100</f>
        <v>0.43478260869565216</v>
      </c>
      <c r="E168" s="135"/>
      <c r="F168" s="136"/>
      <c r="G168" s="135"/>
      <c r="H168" s="136"/>
      <c r="I168" s="50" t="s">
        <v>139</v>
      </c>
      <c r="J168" s="53">
        <f>(IF(B159&gt;3,(H159/(B159+2)+J167),0))</f>
        <v>0</v>
      </c>
    </row>
    <row r="169" spans="1:10" ht="15.75" customHeight="1" x14ac:dyDescent="0.3">
      <c r="A169" s="132" t="s">
        <v>133</v>
      </c>
      <c r="B169" s="132"/>
      <c r="C169" s="65">
        <v>5</v>
      </c>
      <c r="D169" s="16">
        <f>((100/H159)*C169)/100</f>
        <v>0.21739130434782608</v>
      </c>
      <c r="E169" s="135"/>
      <c r="F169" s="136"/>
      <c r="G169" s="135"/>
      <c r="H169" s="136"/>
      <c r="I169" s="50" t="s">
        <v>140</v>
      </c>
      <c r="J169" s="52">
        <f>(IF(B159&gt;4,(H159/(B159+2)+J168),0))</f>
        <v>0</v>
      </c>
    </row>
    <row r="170" spans="1:10" ht="15.75" customHeight="1" x14ac:dyDescent="0.3">
      <c r="A170" s="132" t="s">
        <v>128</v>
      </c>
      <c r="B170" s="132" t="s">
        <v>128</v>
      </c>
      <c r="C170" s="65">
        <v>0</v>
      </c>
      <c r="D170" s="16">
        <f>((100/(H159))*C170)/100</f>
        <v>0</v>
      </c>
      <c r="E170" s="135"/>
      <c r="F170" s="136"/>
      <c r="G170" s="135"/>
      <c r="H170" s="136"/>
      <c r="I170" s="50" t="s">
        <v>143</v>
      </c>
      <c r="J170" s="52">
        <f>(IF(B159=1,(H159/(B159+3)+J165),IF(B159=0,(H159/4+J165),IF(B159&gt;1,0))))</f>
        <v>17.25</v>
      </c>
    </row>
    <row r="171" spans="1:10" ht="16.2" thickBot="1" x14ac:dyDescent="0.35">
      <c r="A171" s="139" t="s">
        <v>129</v>
      </c>
      <c r="B171" s="139"/>
      <c r="C171" s="66">
        <v>0</v>
      </c>
      <c r="D171" s="17">
        <f>((100/(H159))*C171)/100</f>
        <v>0</v>
      </c>
      <c r="E171" s="137"/>
      <c r="F171" s="138"/>
      <c r="G171" s="137"/>
      <c r="H171" s="138"/>
      <c r="I171" s="54" t="s">
        <v>100</v>
      </c>
      <c r="J171" s="55">
        <f>(IF(B159&gt;1.5,(H159/(B159+2)+J165+MAX(0,J166-J165)+MAX(0,J167-J166)+MAX(0,J168-J167)+MAX(0,J169-J168)+MAX(0,J170-J169)),IF(B159=1,(H159/(B159+3)+J170),IF(B159=0,H159/4+J170))))</f>
        <v>23</v>
      </c>
    </row>
    <row r="172" spans="1:10" ht="15.75" customHeight="1" x14ac:dyDescent="0.3">
      <c r="A172" s="127" t="s">
        <v>135</v>
      </c>
      <c r="B172" s="129"/>
      <c r="C172" s="127" t="str">
        <f>D65</f>
        <v>Phase II = Building No.1 (Wing D) = Gr/St (Pt) + 1st to 23rd Floor</v>
      </c>
      <c r="D172" s="128"/>
      <c r="E172" s="128"/>
      <c r="F172" s="128"/>
      <c r="G172" s="128"/>
      <c r="H172" s="129"/>
      <c r="I172" s="71" t="str">
        <f>IF(D185=100%,"All work Completed. Possession granted to the Building.",IF(D184=100%,"All work Completed, Waiting for OC",I173&amp;""&amp;I174&amp;""&amp;J173&amp;""&amp;J172&amp;" "&amp;J174))</f>
        <v>Excavation, Plinth, RCC Slab, Brickwork, Internal Plaster Completed, External Plaster upto 18 Floor Completed</v>
      </c>
      <c r="J172" s="36" t="str">
        <f>(IF(C178=(D173+F173+H173),"",IF(C178&gt;0,", RCC upto "&amp;C178&amp;" Slab","")))&amp;(IF(C179=H173,"",IF(C179&gt;0,", Brickwork upto "&amp;C179&amp;" Floor","")))&amp;(IF(C180=H173,"",IF(C180&gt;0,", Internal Plaster upto "&amp;C180&amp;" Floor","")))&amp;(IF(C181=H173,"",IF(C181&gt;0,", External Plaster upto "&amp;C181&amp;" Floor","")))&amp;(IF(C182=H173,"",IF(C182&gt;0,", Flooring upto "&amp;C182&amp;" Floor","")))&amp;(IF(C183=H173,"",IF(C183&gt;0,", Painting upto "&amp;C183&amp;" Floor","")))&amp;(IF(C184=H173,"",IF(C184&gt;0,", Finishing upto "&amp;C184&amp;" Floor","")))&amp;(IF(C185=H173,"",IF(C185&gt;0,", Possession upto "&amp;C185&amp;" Floor","")))</f>
        <v>, External Plaster upto 18 Floor</v>
      </c>
    </row>
    <row r="173" spans="1:10" x14ac:dyDescent="0.3">
      <c r="A173" s="47" t="s">
        <v>137</v>
      </c>
      <c r="B173" s="47">
        <v>0</v>
      </c>
      <c r="C173" s="48" t="s">
        <v>68</v>
      </c>
      <c r="D173" s="48">
        <v>1</v>
      </c>
      <c r="E173" s="48" t="s">
        <v>67</v>
      </c>
      <c r="F173" s="48">
        <v>0</v>
      </c>
      <c r="G173" s="48" t="s">
        <v>75</v>
      </c>
      <c r="H173" s="48">
        <v>23</v>
      </c>
      <c r="I173" s="72" t="str">
        <f>IF(D176=100%,"Excavation","")&amp;IF(D177=100%,", Plinth","")&amp;IF(D178=100%,", RCC Slab","")&amp;IF(D179=100%,", Brickwork","")&amp;IF(D180=100%,", Internal Plaster","")&amp;IF(D181=100%,", External Plaster","")&amp;IF(D182=100%,", Flooring","")&amp;IF(D183=100%,", Painting","")&amp;IF(D184=100%,", Building common Amenities","")</f>
        <v>Excavation, Plinth, RCC Slab, Brickwork, Internal Plaster</v>
      </c>
      <c r="J173" s="49" t="str">
        <f>(IF(C176=0,"Work not yet Started.",IF(D176=25%,"Piling work in process",IF(D176=50%,"Excavation work in process",IF(D176=100%,"","0")))))&amp;(IF(C177=0%,"",IF(C177=J178,", Footing work is process",IF(C177=J179,", Footing work Completed",IF(C177=J180,", 1st Basement Completed",IF(C177=J181,", 1st &amp; 2nd Basement Completed",IF(C177=J182,", 1st to 3rd Basement Completed",IF(C177=J183,", 1st to 4th Basement Completed",IF(C177=J184,", Plinth work is process",IF(C177=J185,"","0"))))))))))</f>
        <v/>
      </c>
    </row>
    <row r="174" spans="1:10" ht="30" customHeight="1" x14ac:dyDescent="0.3">
      <c r="A174" s="130" t="s">
        <v>85</v>
      </c>
      <c r="B174" s="130"/>
      <c r="C174" s="131" t="str">
        <f>I172</f>
        <v>Excavation, Plinth, RCC Slab, Brickwork, Internal Plaster Completed, External Plaster upto 18 Floor Completed</v>
      </c>
      <c r="D174" s="131"/>
      <c r="E174" s="131"/>
      <c r="F174" s="131"/>
      <c r="G174" s="131"/>
      <c r="H174" s="131"/>
      <c r="I174" s="72" t="str">
        <f>IF(I173&lt;&gt;""," Completed","")</f>
        <v xml:space="preserve"> Completed</v>
      </c>
      <c r="J174" s="49" t="str">
        <f>IF(J172&lt;&gt;"","Completed","")</f>
        <v>Completed</v>
      </c>
    </row>
    <row r="175" spans="1:10" ht="15.75" customHeight="1" x14ac:dyDescent="0.3">
      <c r="A175" s="132" t="s">
        <v>47</v>
      </c>
      <c r="B175" s="132"/>
      <c r="C175" s="65" t="s">
        <v>134</v>
      </c>
      <c r="D175" s="65" t="s">
        <v>78</v>
      </c>
      <c r="E175" s="132" t="s">
        <v>80</v>
      </c>
      <c r="F175" s="132"/>
      <c r="G175" s="132" t="s">
        <v>79</v>
      </c>
      <c r="H175" s="132"/>
      <c r="I175" s="50" t="s">
        <v>136</v>
      </c>
      <c r="J175" s="23">
        <f>H173*25%</f>
        <v>5.75</v>
      </c>
    </row>
    <row r="176" spans="1:10" x14ac:dyDescent="0.3">
      <c r="A176" s="132" t="s">
        <v>123</v>
      </c>
      <c r="B176" s="132"/>
      <c r="C176" s="65">
        <v>23</v>
      </c>
      <c r="D176" s="16">
        <f>((100/H173)*C176)/100</f>
        <v>1</v>
      </c>
      <c r="E176" s="133">
        <f>(((C177/H173*10)+(40/(D173+F173+H173)*C178)+(7.5/(H173)*C179)+(7.5/(H173)*C180)+(10/H173*C181)+(10/H173*C182)+(5/H173*C183)+(5/H173*C184)+(5/H173*C185))/100)</f>
        <v>0.72826086956521729</v>
      </c>
      <c r="F176" s="134"/>
      <c r="G176" s="133">
        <f>((((C176/H173)*20)+((C177/H173)*25)+(30/(H173+F173+D173)*C178)+(5/H173*C179)+(5/H173*C180)+(5/H173*C181)+(5/H173*C182)+(0/H173*C183)+(0/H173*C184)+(5/H173*C185))/100)</f>
        <v>0.88913043478260878</v>
      </c>
      <c r="H176" s="134"/>
      <c r="I176" s="50" t="s">
        <v>96</v>
      </c>
      <c r="J176" s="51">
        <f>H173*50%</f>
        <v>11.5</v>
      </c>
    </row>
    <row r="177" spans="1:10" x14ac:dyDescent="0.3">
      <c r="A177" s="132" t="s">
        <v>48</v>
      </c>
      <c r="B177" s="132"/>
      <c r="C177" s="40">
        <f>J185</f>
        <v>23</v>
      </c>
      <c r="D177" s="16">
        <f>((100/H173)*C177)/100</f>
        <v>1</v>
      </c>
      <c r="E177" s="135"/>
      <c r="F177" s="136"/>
      <c r="G177" s="135"/>
      <c r="H177" s="136"/>
      <c r="I177" s="50" t="s">
        <v>97</v>
      </c>
      <c r="J177" s="51">
        <f>H173</f>
        <v>23</v>
      </c>
    </row>
    <row r="178" spans="1:10" ht="15.75" customHeight="1" x14ac:dyDescent="0.3">
      <c r="A178" s="132" t="s">
        <v>124</v>
      </c>
      <c r="B178" s="132"/>
      <c r="C178" s="65">
        <v>24</v>
      </c>
      <c r="D178" s="16">
        <f>((100/(D173+F173+H173))*C178)/100</f>
        <v>1</v>
      </c>
      <c r="E178" s="135"/>
      <c r="F178" s="136"/>
      <c r="G178" s="135"/>
      <c r="H178" s="136"/>
      <c r="I178" s="50" t="s">
        <v>98</v>
      </c>
      <c r="J178" s="52">
        <f>(IF(B173&gt;1,(H173/(B173+2)),H173/4))</f>
        <v>5.75</v>
      </c>
    </row>
    <row r="179" spans="1:10" ht="15.75" customHeight="1" x14ac:dyDescent="0.3">
      <c r="A179" s="132" t="s">
        <v>131</v>
      </c>
      <c r="B179" s="132" t="s">
        <v>125</v>
      </c>
      <c r="C179" s="65">
        <v>23</v>
      </c>
      <c r="D179" s="16">
        <f>((100/H173)*C179)/100</f>
        <v>1</v>
      </c>
      <c r="E179" s="135"/>
      <c r="F179" s="136"/>
      <c r="G179" s="135"/>
      <c r="H179" s="136"/>
      <c r="I179" s="50" t="s">
        <v>99</v>
      </c>
      <c r="J179" s="52">
        <f>(IF(B173&gt;1,(H173/(B173+2)+J178),H173/4+J178))</f>
        <v>11.5</v>
      </c>
    </row>
    <row r="180" spans="1:10" ht="15.75" customHeight="1" x14ac:dyDescent="0.3">
      <c r="A180" s="132" t="s">
        <v>132</v>
      </c>
      <c r="B180" s="132" t="s">
        <v>125</v>
      </c>
      <c r="C180" s="65">
        <v>23</v>
      </c>
      <c r="D180" s="16">
        <f>((100/H173)*C180)/100</f>
        <v>1</v>
      </c>
      <c r="E180" s="135"/>
      <c r="F180" s="136"/>
      <c r="G180" s="135"/>
      <c r="H180" s="136"/>
      <c r="I180" s="50" t="s">
        <v>142</v>
      </c>
      <c r="J180" s="52">
        <f>(IF(B173&gt;1,(H173/(B173+2)+J179),0))</f>
        <v>0</v>
      </c>
    </row>
    <row r="181" spans="1:10" ht="15" customHeight="1" x14ac:dyDescent="0.3">
      <c r="A181" s="132" t="s">
        <v>130</v>
      </c>
      <c r="B181" s="132" t="s">
        <v>127</v>
      </c>
      <c r="C181" s="65">
        <v>18</v>
      </c>
      <c r="D181" s="16">
        <f>((100/(H173))*C181)/100</f>
        <v>0.78260869565217395</v>
      </c>
      <c r="E181" s="135"/>
      <c r="F181" s="136"/>
      <c r="G181" s="135"/>
      <c r="H181" s="136"/>
      <c r="I181" s="50" t="s">
        <v>138</v>
      </c>
      <c r="J181" s="52">
        <f>(IF(B173&gt;2,(H173/(B173+2)+J180),0))</f>
        <v>0</v>
      </c>
    </row>
    <row r="182" spans="1:10" ht="15.75" customHeight="1" x14ac:dyDescent="0.3">
      <c r="A182" s="132" t="s">
        <v>126</v>
      </c>
      <c r="B182" s="132" t="s">
        <v>126</v>
      </c>
      <c r="C182" s="65">
        <v>0</v>
      </c>
      <c r="D182" s="16">
        <f>((100/H173)*C182)/100</f>
        <v>0</v>
      </c>
      <c r="E182" s="135"/>
      <c r="F182" s="136"/>
      <c r="G182" s="135"/>
      <c r="H182" s="136"/>
      <c r="I182" s="50" t="s">
        <v>139</v>
      </c>
      <c r="J182" s="53">
        <f>(IF(B173&gt;3,(H173/(B173+2)+J181),0))</f>
        <v>0</v>
      </c>
    </row>
    <row r="183" spans="1:10" ht="15.75" customHeight="1" x14ac:dyDescent="0.3">
      <c r="A183" s="132" t="s">
        <v>133</v>
      </c>
      <c r="B183" s="132"/>
      <c r="C183" s="65">
        <v>0</v>
      </c>
      <c r="D183" s="16">
        <f>((100/H173)*C183)/100</f>
        <v>0</v>
      </c>
      <c r="E183" s="135"/>
      <c r="F183" s="136"/>
      <c r="G183" s="135"/>
      <c r="H183" s="136"/>
      <c r="I183" s="50" t="s">
        <v>140</v>
      </c>
      <c r="J183" s="52">
        <f>(IF(B173&gt;4,(H173/(B173+2)+J182),0))</f>
        <v>0</v>
      </c>
    </row>
    <row r="184" spans="1:10" ht="15.75" customHeight="1" x14ac:dyDescent="0.3">
      <c r="A184" s="132" t="s">
        <v>128</v>
      </c>
      <c r="B184" s="132" t="s">
        <v>128</v>
      </c>
      <c r="C184" s="65">
        <v>0</v>
      </c>
      <c r="D184" s="16">
        <f>((100/(H173))*C184)/100</f>
        <v>0</v>
      </c>
      <c r="E184" s="135"/>
      <c r="F184" s="136"/>
      <c r="G184" s="135"/>
      <c r="H184" s="136"/>
      <c r="I184" s="50" t="s">
        <v>143</v>
      </c>
      <c r="J184" s="52">
        <f>(IF(B173=1,(H173/(B173+3)+J179),IF(B173=0,(H173/4+J179),IF(B173&gt;1,0))))</f>
        <v>17.25</v>
      </c>
    </row>
    <row r="185" spans="1:10" ht="16.2" thickBot="1" x14ac:dyDescent="0.35">
      <c r="A185" s="139" t="s">
        <v>129</v>
      </c>
      <c r="B185" s="139"/>
      <c r="C185" s="66">
        <v>0</v>
      </c>
      <c r="D185" s="17">
        <f>((100/(H173))*C185)/100</f>
        <v>0</v>
      </c>
      <c r="E185" s="137"/>
      <c r="F185" s="138"/>
      <c r="G185" s="137"/>
      <c r="H185" s="138"/>
      <c r="I185" s="54" t="s">
        <v>100</v>
      </c>
      <c r="J185" s="55">
        <f>(IF(B173&gt;1.5,(H173/(B173+2)+J179+MAX(0,J180-J179)+MAX(0,J181-J180)+MAX(0,J182-J181)+MAX(0,J183-J182)+MAX(0,J184-J183)),IF(B173=1,(H173/(B173+3)+J184),IF(B173=0,H173/4+J184))))</f>
        <v>23</v>
      </c>
    </row>
    <row r="186" spans="1:10" ht="15.75" customHeight="1" x14ac:dyDescent="0.3">
      <c r="A186" s="127" t="s">
        <v>135</v>
      </c>
      <c r="B186" s="129"/>
      <c r="C186" s="127" t="str">
        <f>D66</f>
        <v>Phase II = Building No.1 (Wing E) = Gr/St (Pt) + 1st to 23rd Floor</v>
      </c>
      <c r="D186" s="128"/>
      <c r="E186" s="128"/>
      <c r="F186" s="128"/>
      <c r="G186" s="128"/>
      <c r="H186" s="129"/>
      <c r="I186" s="71" t="str">
        <f>IF(D199=100%,"All work Completed. Possession granted to the Building.",IF(D198=100%,"All work Completed, Waiting for OC",I187&amp;""&amp;I188&amp;""&amp;J187&amp;""&amp;J186&amp;" "&amp;J188))</f>
        <v>Excavation, Plinth, RCC Slab, Brickwork Completed, Internal Plaster upto 15 Floor, External Plaster upto 15 Floor Completed</v>
      </c>
      <c r="J186" s="36" t="str">
        <f>(IF(C192=(D187+F187+H187),"",IF(C192&gt;0,", RCC upto "&amp;C192&amp;" Slab","")))&amp;(IF(C193=H187,"",IF(C193&gt;0,", Brickwork upto "&amp;C193&amp;" Floor","")))&amp;(IF(C194=H187,"",IF(C194&gt;0,", Internal Plaster upto "&amp;C194&amp;" Floor","")))&amp;(IF(C195=H187,"",IF(C195&gt;0,", External Plaster upto "&amp;C195&amp;" Floor","")))&amp;(IF(C196=H187,"",IF(C196&gt;0,", Flooring upto "&amp;C196&amp;" Floor","")))&amp;(IF(C197=H187,"",IF(C197&gt;0,", Painting upto "&amp;C197&amp;" Floor","")))&amp;(IF(C198=H187,"",IF(C198&gt;0,", Finishing upto "&amp;C198&amp;" Floor","")))&amp;(IF(C199=H187,"",IF(C199&gt;0,", Possession upto "&amp;C199&amp;" Floor","")))</f>
        <v>, Internal Plaster upto 15 Floor, External Plaster upto 15 Floor</v>
      </c>
    </row>
    <row r="187" spans="1:10" x14ac:dyDescent="0.3">
      <c r="A187" s="47" t="s">
        <v>137</v>
      </c>
      <c r="B187" s="47">
        <v>0</v>
      </c>
      <c r="C187" s="48" t="s">
        <v>68</v>
      </c>
      <c r="D187" s="48">
        <v>1</v>
      </c>
      <c r="E187" s="48" t="s">
        <v>67</v>
      </c>
      <c r="F187" s="48">
        <v>0</v>
      </c>
      <c r="G187" s="48" t="s">
        <v>75</v>
      </c>
      <c r="H187" s="48">
        <v>23</v>
      </c>
      <c r="I187" s="72" t="str">
        <f>IF(D190=100%,"Excavation","")&amp;IF(D191=100%,", Plinth","")&amp;IF(D192=100%,", RCC Slab","")&amp;IF(D193=100%,", Brickwork","")&amp;IF(D194=100%,", Internal Plaster","")&amp;IF(D195=100%,", External Plaster","")&amp;IF(D196=100%,", Flooring","")&amp;IF(D197=100%,", Painting","")&amp;IF(D198=100%,", Building common Amenities","")</f>
        <v>Excavation, Plinth, RCC Slab, Brickwork</v>
      </c>
      <c r="J187" s="49" t="str">
        <f>(IF(C190=0,"Work not yet Started.",IF(D190=25%,"Piling work in process",IF(D190=50%,"Excavation work in process",IF(D190=100%,"","0")))))&amp;(IF(C191=0%,"",IF(C191=J192,", Footing work is process",IF(C191=J193,", Footing work Completed",IF(C191=J194,", 1st Basement Completed",IF(C191=J195,", 1st &amp; 2nd Basement Completed",IF(C191=J196,", 1st to 3rd Basement Completed",IF(C191=J197,", 1st to 4th Basement Completed",IF(C191=J198,", Plinth work is process",IF(C191=J199,"","0"))))))))))</f>
        <v/>
      </c>
    </row>
    <row r="188" spans="1:10" ht="31.2" customHeight="1" x14ac:dyDescent="0.3">
      <c r="A188" s="130" t="s">
        <v>85</v>
      </c>
      <c r="B188" s="130"/>
      <c r="C188" s="131" t="str">
        <f>I186</f>
        <v>Excavation, Plinth, RCC Slab, Brickwork Completed, Internal Plaster upto 15 Floor, External Plaster upto 15 Floor Completed</v>
      </c>
      <c r="D188" s="131"/>
      <c r="E188" s="131"/>
      <c r="F188" s="131"/>
      <c r="G188" s="131"/>
      <c r="H188" s="131"/>
      <c r="I188" s="72" t="str">
        <f>IF(I187&lt;&gt;""," Completed","")</f>
        <v xml:space="preserve"> Completed</v>
      </c>
      <c r="J188" s="49" t="str">
        <f>IF(J186&lt;&gt;"","Completed","")</f>
        <v>Completed</v>
      </c>
    </row>
    <row r="189" spans="1:10" ht="15.75" customHeight="1" x14ac:dyDescent="0.3">
      <c r="A189" s="132" t="s">
        <v>47</v>
      </c>
      <c r="B189" s="132"/>
      <c r="C189" s="65" t="s">
        <v>134</v>
      </c>
      <c r="D189" s="65" t="s">
        <v>78</v>
      </c>
      <c r="E189" s="132" t="s">
        <v>80</v>
      </c>
      <c r="F189" s="132"/>
      <c r="G189" s="132" t="s">
        <v>79</v>
      </c>
      <c r="H189" s="132"/>
      <c r="I189" s="50" t="s">
        <v>136</v>
      </c>
      <c r="J189" s="23">
        <f>H187*25%</f>
        <v>5.75</v>
      </c>
    </row>
    <row r="190" spans="1:10" x14ac:dyDescent="0.3">
      <c r="A190" s="132" t="s">
        <v>123</v>
      </c>
      <c r="B190" s="132"/>
      <c r="C190" s="65">
        <v>23</v>
      </c>
      <c r="D190" s="16">
        <f>((100/H187)*C190)/100</f>
        <v>1</v>
      </c>
      <c r="E190" s="133">
        <f>(((C191/H187*10)+(40/(D187+F187+H187)*C192)+(7.5/(H187)*C193)+(7.5/(H187)*C194)+(10/H187*C195)+(10/H187*C196)+(5/H187*C197)+(5/H187*C198)+(5/H187*C199))/100)</f>
        <v>0.68913043478260871</v>
      </c>
      <c r="F190" s="134"/>
      <c r="G190" s="133">
        <f>((((C190/H187)*20)+((C191/H187)*25)+(30/(H187+F187+D187)*C192)+(5/H187*C193)+(5/H187*C194)+(5/H187*C195)+(5/H187*C196)+(0/H187*C197)+(0/H187*C198)+(5/H187*C199))/100)</f>
        <v>0.86521739130434783</v>
      </c>
      <c r="H190" s="134"/>
      <c r="I190" s="50" t="s">
        <v>96</v>
      </c>
      <c r="J190" s="51">
        <f>H187*50%</f>
        <v>11.5</v>
      </c>
    </row>
    <row r="191" spans="1:10" x14ac:dyDescent="0.3">
      <c r="A191" s="132" t="s">
        <v>48</v>
      </c>
      <c r="B191" s="132"/>
      <c r="C191" s="40">
        <v>23</v>
      </c>
      <c r="D191" s="16">
        <f>((100/H187)*C191)/100</f>
        <v>1</v>
      </c>
      <c r="E191" s="135"/>
      <c r="F191" s="136"/>
      <c r="G191" s="135"/>
      <c r="H191" s="136"/>
      <c r="I191" s="50" t="s">
        <v>97</v>
      </c>
      <c r="J191" s="51">
        <f>H187</f>
        <v>23</v>
      </c>
    </row>
    <row r="192" spans="1:10" ht="15.75" customHeight="1" x14ac:dyDescent="0.3">
      <c r="A192" s="132" t="s">
        <v>124</v>
      </c>
      <c r="B192" s="132"/>
      <c r="C192" s="65">
        <v>24</v>
      </c>
      <c r="D192" s="16">
        <f>((100/(D187+F187+H187))*C192)/100</f>
        <v>1</v>
      </c>
      <c r="E192" s="135"/>
      <c r="F192" s="136"/>
      <c r="G192" s="135"/>
      <c r="H192" s="136"/>
      <c r="I192" s="50" t="s">
        <v>98</v>
      </c>
      <c r="J192" s="52">
        <f>(IF(B187&gt;1,(H187/(B187+2)),H187/4))</f>
        <v>5.75</v>
      </c>
    </row>
    <row r="193" spans="1:15" ht="15.75" customHeight="1" x14ac:dyDescent="0.3">
      <c r="A193" s="132" t="s">
        <v>131</v>
      </c>
      <c r="B193" s="132" t="s">
        <v>125</v>
      </c>
      <c r="C193" s="65">
        <v>23</v>
      </c>
      <c r="D193" s="16">
        <f>((100/H187)*C193)/100</f>
        <v>1</v>
      </c>
      <c r="E193" s="135"/>
      <c r="F193" s="136"/>
      <c r="G193" s="135"/>
      <c r="H193" s="136"/>
      <c r="I193" s="50" t="s">
        <v>99</v>
      </c>
      <c r="J193" s="52">
        <f>(IF(B187&gt;1,(H187/(B187+2)+J192),H187/4+J192))</f>
        <v>11.5</v>
      </c>
    </row>
    <row r="194" spans="1:15" ht="15.75" customHeight="1" x14ac:dyDescent="0.3">
      <c r="A194" s="132" t="s">
        <v>132</v>
      </c>
      <c r="B194" s="132" t="s">
        <v>125</v>
      </c>
      <c r="C194" s="65">
        <v>15</v>
      </c>
      <c r="D194" s="16">
        <f>((100/H187)*C194)/100</f>
        <v>0.65217391304347827</v>
      </c>
      <c r="E194" s="135"/>
      <c r="F194" s="136"/>
      <c r="G194" s="135"/>
      <c r="H194" s="136"/>
      <c r="I194" s="50" t="s">
        <v>142</v>
      </c>
      <c r="J194" s="52">
        <f>(IF(B187&gt;1,(H187/(B187+2)+J193),0))</f>
        <v>0</v>
      </c>
    </row>
    <row r="195" spans="1:15" ht="15" customHeight="1" x14ac:dyDescent="0.3">
      <c r="A195" s="132" t="s">
        <v>130</v>
      </c>
      <c r="B195" s="132" t="s">
        <v>127</v>
      </c>
      <c r="C195" s="65">
        <v>15</v>
      </c>
      <c r="D195" s="16">
        <f>((100/(H187))*C195)/100</f>
        <v>0.65217391304347827</v>
      </c>
      <c r="E195" s="135"/>
      <c r="F195" s="136"/>
      <c r="G195" s="135"/>
      <c r="H195" s="136"/>
      <c r="I195" s="50" t="s">
        <v>138</v>
      </c>
      <c r="J195" s="52">
        <f>(IF(B187&gt;2,(H187/(B187+2)+J194),0))</f>
        <v>0</v>
      </c>
    </row>
    <row r="196" spans="1:15" ht="15.75" customHeight="1" x14ac:dyDescent="0.3">
      <c r="A196" s="132" t="s">
        <v>126</v>
      </c>
      <c r="B196" s="132" t="s">
        <v>126</v>
      </c>
      <c r="C196" s="65">
        <v>0</v>
      </c>
      <c r="D196" s="16">
        <f>((100/H187)*C196)/100</f>
        <v>0</v>
      </c>
      <c r="E196" s="135"/>
      <c r="F196" s="136"/>
      <c r="G196" s="135"/>
      <c r="H196" s="136"/>
      <c r="I196" s="50" t="s">
        <v>139</v>
      </c>
      <c r="J196" s="53">
        <f>(IF(B187&gt;3,(H187/(B187+2)+J195),0))</f>
        <v>0</v>
      </c>
    </row>
    <row r="197" spans="1:15" ht="15.75" customHeight="1" x14ac:dyDescent="0.3">
      <c r="A197" s="132" t="s">
        <v>133</v>
      </c>
      <c r="B197" s="132"/>
      <c r="C197" s="65">
        <v>0</v>
      </c>
      <c r="D197" s="16">
        <f>((100/H187)*C197)/100</f>
        <v>0</v>
      </c>
      <c r="E197" s="135"/>
      <c r="F197" s="136"/>
      <c r="G197" s="135"/>
      <c r="H197" s="136"/>
      <c r="I197" s="50" t="s">
        <v>140</v>
      </c>
      <c r="J197" s="52">
        <f>(IF(B187&gt;4,(H187/(B187+2)+J196),0))</f>
        <v>0</v>
      </c>
    </row>
    <row r="198" spans="1:15" ht="15.75" customHeight="1" x14ac:dyDescent="0.3">
      <c r="A198" s="132" t="s">
        <v>128</v>
      </c>
      <c r="B198" s="132" t="s">
        <v>128</v>
      </c>
      <c r="C198" s="65">
        <v>0</v>
      </c>
      <c r="D198" s="16">
        <f>((100/(H187))*C198)/100</f>
        <v>0</v>
      </c>
      <c r="E198" s="135"/>
      <c r="F198" s="136"/>
      <c r="G198" s="135"/>
      <c r="H198" s="136"/>
      <c r="I198" s="50" t="s">
        <v>143</v>
      </c>
      <c r="J198" s="52">
        <f>(IF(B187=1,(H187/(B187+3)+J193),IF(B187=0,(H187/4+J193),IF(B187&gt;1,0))))</f>
        <v>17.25</v>
      </c>
    </row>
    <row r="199" spans="1:15" ht="16.2" thickBot="1" x14ac:dyDescent="0.35">
      <c r="A199" s="139" t="s">
        <v>129</v>
      </c>
      <c r="B199" s="139"/>
      <c r="C199" s="66">
        <v>0</v>
      </c>
      <c r="D199" s="17">
        <f>((100/(H187))*C199)/100</f>
        <v>0</v>
      </c>
      <c r="E199" s="137"/>
      <c r="F199" s="138"/>
      <c r="G199" s="137"/>
      <c r="H199" s="138"/>
      <c r="I199" s="54" t="s">
        <v>100</v>
      </c>
      <c r="J199" s="55">
        <f>(IF(B187&gt;1.5,(H187/(B187+2)+J193+MAX(0,J194-J193)+MAX(0,J195-J194)+MAX(0,J196-J195)+MAX(0,J197-J196)+MAX(0,J198-J197)),IF(B187=1,(H187/(B187+3)+J198),IF(B187=0,H187/4+J198))))</f>
        <v>23</v>
      </c>
    </row>
    <row r="200" spans="1:15" s="28" customFormat="1" x14ac:dyDescent="0.25">
      <c r="A200" s="151" t="s">
        <v>152</v>
      </c>
      <c r="B200" s="151"/>
      <c r="C200" s="151"/>
      <c r="D200" s="151"/>
      <c r="E200" s="151"/>
      <c r="F200" s="149" t="s">
        <v>157</v>
      </c>
      <c r="G200" s="149"/>
      <c r="H200" s="149"/>
      <c r="K200" s="28" t="s">
        <v>262</v>
      </c>
      <c r="L200" s="28" t="s">
        <v>263</v>
      </c>
      <c r="M200" s="64">
        <v>45306</v>
      </c>
    </row>
    <row r="201" spans="1:15" s="28" customFormat="1" x14ac:dyDescent="0.3">
      <c r="A201" s="145" t="s">
        <v>155</v>
      </c>
      <c r="B201" s="145"/>
      <c r="C201" s="145"/>
      <c r="D201" s="145"/>
      <c r="E201" s="145"/>
      <c r="F201" s="150">
        <v>6600</v>
      </c>
      <c r="G201" s="150"/>
      <c r="H201" s="150"/>
      <c r="K201" s="45" t="s">
        <v>197</v>
      </c>
    </row>
    <row r="202" spans="1:15" s="28" customFormat="1" x14ac:dyDescent="0.25">
      <c r="A202" s="145" t="s">
        <v>154</v>
      </c>
      <c r="B202" s="145"/>
      <c r="C202" s="145"/>
      <c r="D202" s="145"/>
      <c r="E202" s="145"/>
      <c r="F202" s="150">
        <v>11000</v>
      </c>
      <c r="G202" s="150"/>
      <c r="H202" s="150"/>
      <c r="K202" s="28" t="s">
        <v>264</v>
      </c>
      <c r="L202" s="64">
        <v>45372</v>
      </c>
      <c r="M202" s="28" t="s">
        <v>265</v>
      </c>
    </row>
    <row r="203" spans="1:15" s="28" customFormat="1" hidden="1" x14ac:dyDescent="0.25">
      <c r="A203" s="145" t="s">
        <v>156</v>
      </c>
      <c r="B203" s="145"/>
      <c r="C203" s="145"/>
      <c r="D203" s="145"/>
      <c r="E203" s="145"/>
      <c r="F203" s="150"/>
      <c r="G203" s="150"/>
      <c r="H203" s="150"/>
    </row>
    <row r="204" spans="1:15" s="28" customFormat="1" hidden="1" x14ac:dyDescent="0.25">
      <c r="A204" s="145" t="s">
        <v>153</v>
      </c>
      <c r="B204" s="145"/>
      <c r="C204" s="145"/>
      <c r="D204" s="145"/>
      <c r="E204" s="145"/>
      <c r="F204" s="150"/>
      <c r="G204" s="150"/>
      <c r="H204" s="150"/>
    </row>
    <row r="205" spans="1:15" s="28" customFormat="1" x14ac:dyDescent="0.3">
      <c r="A205" s="145" t="s">
        <v>90</v>
      </c>
      <c r="B205" s="145"/>
      <c r="C205" s="145"/>
      <c r="D205" s="145"/>
      <c r="E205" s="145"/>
      <c r="F205" s="150">
        <v>150000</v>
      </c>
      <c r="G205" s="150"/>
      <c r="H205" s="150"/>
      <c r="K205" s="18" t="s">
        <v>185</v>
      </c>
      <c r="L205" s="18"/>
      <c r="M205" s="42" t="s">
        <v>192</v>
      </c>
      <c r="N205" s="43">
        <v>45009</v>
      </c>
      <c r="O205" s="42" t="s">
        <v>193</v>
      </c>
    </row>
    <row r="206" spans="1:15" hidden="1" x14ac:dyDescent="0.3">
      <c r="A206" s="145" t="s">
        <v>91</v>
      </c>
      <c r="B206" s="145"/>
      <c r="C206" s="145"/>
      <c r="D206" s="145"/>
      <c r="E206" s="145"/>
      <c r="F206" s="150"/>
      <c r="G206" s="150"/>
      <c r="H206" s="150"/>
      <c r="J206" s="18" t="s">
        <v>186</v>
      </c>
    </row>
    <row r="207" spans="1:15" s="29" customFormat="1" hidden="1" x14ac:dyDescent="0.3">
      <c r="A207" s="145" t="s">
        <v>158</v>
      </c>
      <c r="B207" s="145"/>
      <c r="C207" s="145"/>
      <c r="D207" s="145"/>
      <c r="E207" s="145"/>
      <c r="F207" s="150"/>
      <c r="G207" s="150"/>
      <c r="H207" s="150"/>
    </row>
    <row r="208" spans="1:15" s="30" customFormat="1" hidden="1" x14ac:dyDescent="0.3">
      <c r="A208" s="145" t="s">
        <v>92</v>
      </c>
      <c r="B208" s="145"/>
      <c r="C208" s="145"/>
      <c r="D208" s="145"/>
      <c r="E208" s="145"/>
      <c r="F208" s="150"/>
      <c r="G208" s="150"/>
      <c r="H208" s="150"/>
    </row>
    <row r="209" spans="1:12" s="30" customFormat="1" ht="15.75" hidden="1" customHeight="1" x14ac:dyDescent="0.3">
      <c r="A209" s="145" t="s">
        <v>93</v>
      </c>
      <c r="B209" s="145"/>
      <c r="C209" s="145"/>
      <c r="D209" s="145"/>
      <c r="E209" s="145"/>
      <c r="F209" s="150"/>
      <c r="G209" s="150"/>
      <c r="H209" s="150"/>
    </row>
    <row r="210" spans="1:12" s="30" customFormat="1" x14ac:dyDescent="0.3">
      <c r="A210" s="145" t="s">
        <v>94</v>
      </c>
      <c r="B210" s="145"/>
      <c r="C210" s="145"/>
      <c r="D210" s="145"/>
      <c r="E210" s="145"/>
      <c r="F210" s="150">
        <v>100000</v>
      </c>
      <c r="G210" s="150"/>
      <c r="H210" s="150"/>
      <c r="K210" s="30" t="s">
        <v>189</v>
      </c>
    </row>
    <row r="211" spans="1:12" s="30" customFormat="1" ht="15.75" customHeight="1" x14ac:dyDescent="0.3">
      <c r="A211" s="145" t="s">
        <v>95</v>
      </c>
      <c r="B211" s="145"/>
      <c r="C211" s="145"/>
      <c r="D211" s="145"/>
      <c r="E211" s="145"/>
      <c r="F211" s="150">
        <v>50000</v>
      </c>
      <c r="G211" s="150"/>
      <c r="H211" s="150"/>
      <c r="K211" s="30" t="s">
        <v>190</v>
      </c>
      <c r="L211" s="30" t="s">
        <v>191</v>
      </c>
    </row>
    <row r="212" spans="1:12" s="30" customFormat="1" ht="15.75" customHeight="1" x14ac:dyDescent="0.3">
      <c r="A212" s="145" t="s">
        <v>49</v>
      </c>
      <c r="B212" s="145"/>
      <c r="C212" s="145"/>
      <c r="D212" s="145"/>
      <c r="E212" s="145"/>
      <c r="F212" s="150">
        <v>200000</v>
      </c>
      <c r="G212" s="150"/>
      <c r="H212" s="150"/>
      <c r="K212" s="30">
        <v>6300</v>
      </c>
      <c r="L212" s="30">
        <v>6400</v>
      </c>
    </row>
    <row r="213" spans="1:12" s="30" customFormat="1" ht="15.75" customHeight="1" x14ac:dyDescent="0.3">
      <c r="A213" s="130" t="s">
        <v>50</v>
      </c>
      <c r="B213" s="130"/>
      <c r="C213" s="130"/>
      <c r="D213" s="130"/>
      <c r="E213" s="130"/>
      <c r="F213" s="150">
        <f>F201*0.8</f>
        <v>5280</v>
      </c>
      <c r="G213" s="150"/>
      <c r="H213" s="150"/>
    </row>
    <row r="214" spans="1:12" s="30" customFormat="1" ht="15.75" customHeight="1" x14ac:dyDescent="0.3">
      <c r="A214" s="114" t="s">
        <v>260</v>
      </c>
      <c r="B214" s="114"/>
      <c r="C214" s="114"/>
      <c r="D214" s="114"/>
      <c r="E214" s="114"/>
      <c r="F214" s="114"/>
      <c r="G214" s="114"/>
      <c r="H214" s="114"/>
    </row>
    <row r="215" spans="1:12" s="30" customFormat="1" ht="15.75" customHeight="1" x14ac:dyDescent="0.3">
      <c r="A215" s="119" t="s">
        <v>51</v>
      </c>
      <c r="B215" s="119"/>
      <c r="C215" s="116" t="s">
        <v>73</v>
      </c>
      <c r="D215" s="116"/>
      <c r="E215" s="118" t="s">
        <v>52</v>
      </c>
      <c r="F215" s="118"/>
      <c r="G215" s="119" t="s">
        <v>53</v>
      </c>
      <c r="H215" s="119"/>
    </row>
    <row r="216" spans="1:12" s="30" customFormat="1" ht="15.75" customHeight="1" x14ac:dyDescent="0.3">
      <c r="A216" s="225" t="s">
        <v>202</v>
      </c>
      <c r="B216" s="58" t="s">
        <v>204</v>
      </c>
      <c r="C216" s="110">
        <f>COUNT(D245:D252)</f>
        <v>8</v>
      </c>
      <c r="D216" s="111"/>
      <c r="E216" s="112">
        <f>SUM(D245:D252)</f>
        <v>1088.5633199999997</v>
      </c>
      <c r="F216" s="113"/>
      <c r="G216" s="112">
        <f>SUM(F245:F252)</f>
        <v>1741.7013119999999</v>
      </c>
      <c r="H216" s="113"/>
    </row>
    <row r="217" spans="1:12" s="30" customFormat="1" ht="15.75" customHeight="1" x14ac:dyDescent="0.3">
      <c r="A217" s="225"/>
      <c r="B217" s="58" t="s">
        <v>209</v>
      </c>
      <c r="C217" s="110">
        <f>COUNT(D255:D266)</f>
        <v>12</v>
      </c>
      <c r="D217" s="111"/>
      <c r="E217" s="112">
        <f>SUM(D255:D266)</f>
        <v>1504.1613600000001</v>
      </c>
      <c r="F217" s="113"/>
      <c r="G217" s="112">
        <f>SUM(F255:F266)</f>
        <v>2406.6581759999999</v>
      </c>
      <c r="H217" s="113"/>
    </row>
    <row r="218" spans="1:12" s="30" customFormat="1" ht="15.75" customHeight="1" x14ac:dyDescent="0.3">
      <c r="A218" s="225"/>
      <c r="B218" s="58" t="s">
        <v>210</v>
      </c>
      <c r="C218" s="110">
        <f>COUNT(D269:D280)</f>
        <v>12</v>
      </c>
      <c r="D218" s="111"/>
      <c r="E218" s="112">
        <f>SUM(D269:D280)</f>
        <v>1504.1613600000001</v>
      </c>
      <c r="F218" s="113"/>
      <c r="G218" s="112">
        <f>SUM(F269:F280)</f>
        <v>2406.6581759999999</v>
      </c>
      <c r="H218" s="113"/>
    </row>
    <row r="219" spans="1:12" s="30" customFormat="1" ht="15.75" customHeight="1" x14ac:dyDescent="0.3">
      <c r="A219" s="225"/>
      <c r="B219" s="58" t="s">
        <v>211</v>
      </c>
      <c r="C219" s="110">
        <f>COUNT(D283:D290)</f>
        <v>8</v>
      </c>
      <c r="D219" s="111"/>
      <c r="E219" s="112">
        <f>SUM(D283:D290)</f>
        <v>1091.25432</v>
      </c>
      <c r="F219" s="113"/>
      <c r="G219" s="112">
        <f>SUM(F283:F290)</f>
        <v>1746.0069119999998</v>
      </c>
      <c r="H219" s="113"/>
    </row>
    <row r="220" spans="1:12" s="30" customFormat="1" ht="15.75" customHeight="1" x14ac:dyDescent="0.3">
      <c r="A220" s="114" t="s">
        <v>146</v>
      </c>
      <c r="B220" s="114"/>
      <c r="C220" s="115">
        <f t="shared" ref="C220:G220" si="0">SUM(C216:D219)</f>
        <v>40</v>
      </c>
      <c r="D220" s="116"/>
      <c r="E220" s="117">
        <f t="shared" si="0"/>
        <v>5188.1403599999994</v>
      </c>
      <c r="F220" s="118"/>
      <c r="G220" s="119">
        <f t="shared" si="0"/>
        <v>8301.0245759999998</v>
      </c>
      <c r="H220" s="119"/>
    </row>
    <row r="221" spans="1:12" s="30" customFormat="1" ht="15.75" customHeight="1" x14ac:dyDescent="0.3">
      <c r="A221" s="148" t="s">
        <v>208</v>
      </c>
      <c r="B221" s="148"/>
      <c r="C221" s="148"/>
      <c r="D221" s="148"/>
      <c r="E221" s="148"/>
      <c r="F221" s="148"/>
      <c r="G221" s="148"/>
      <c r="H221" s="148"/>
    </row>
    <row r="222" spans="1:12" s="29" customFormat="1" ht="15.75" customHeight="1" x14ac:dyDescent="0.3">
      <c r="A222" s="154" t="s">
        <v>51</v>
      </c>
      <c r="B222" s="154"/>
      <c r="C222" s="147" t="s">
        <v>73</v>
      </c>
      <c r="D222" s="147"/>
      <c r="E222" s="222" t="s">
        <v>52</v>
      </c>
      <c r="F222" s="222"/>
      <c r="G222" s="154" t="s">
        <v>53</v>
      </c>
      <c r="H222" s="154"/>
    </row>
    <row r="223" spans="1:12" ht="15.75" customHeight="1" x14ac:dyDescent="0.3">
      <c r="A223" s="202" t="s">
        <v>188</v>
      </c>
      <c r="B223" s="58" t="s">
        <v>177</v>
      </c>
      <c r="C223" s="122">
        <f>COUNT(D299:D306)*19+COUNT(D308:D309,D311:D315)*3</f>
        <v>173</v>
      </c>
      <c r="D223" s="122"/>
      <c r="E223" s="121">
        <f>SUM(D299:D306)*19+SUM(D308:D309,D311:D315)*3</f>
        <v>49347.558000000005</v>
      </c>
      <c r="F223" s="121"/>
      <c r="G223" s="121">
        <f>SUM(F299:F306)*19+SUM(F308:F309,F311:F315)*3</f>
        <v>76488.714899999992</v>
      </c>
      <c r="H223" s="121"/>
    </row>
    <row r="224" spans="1:12" x14ac:dyDescent="0.3">
      <c r="A224" s="203"/>
      <c r="B224" s="58" t="s">
        <v>182</v>
      </c>
      <c r="C224" s="122">
        <f>COUNT(D319:D326)*19+COUNT(D328:D329,D331:D335)*3</f>
        <v>173</v>
      </c>
      <c r="D224" s="122"/>
      <c r="E224" s="121">
        <f>SUM(D319:D326)*19+SUM(D328:D329,D331:D335)*3</f>
        <v>49347.558000000005</v>
      </c>
      <c r="F224" s="121"/>
      <c r="G224" s="121">
        <f>SUM(F319:F326)*19+SUM(F328:F329,F331:F335)*3</f>
        <v>76488.714899999992</v>
      </c>
      <c r="H224" s="121"/>
      <c r="I224" s="31"/>
    </row>
    <row r="225" spans="1:10" s="32" customFormat="1" x14ac:dyDescent="0.3">
      <c r="A225" s="203"/>
      <c r="B225" s="58" t="s">
        <v>183</v>
      </c>
      <c r="C225" s="122">
        <f>COUNT(D339:D346)*19+COUNT(D348:D349,D351:D355)*3</f>
        <v>173</v>
      </c>
      <c r="D225" s="122"/>
      <c r="E225" s="121">
        <f>SUM(D339:D346)*19+SUM(D348:D349,D351:D355)*3</f>
        <v>49347.558000000005</v>
      </c>
      <c r="F225" s="121"/>
      <c r="G225" s="121">
        <f>SUM(F339:F346)*19+SUM(F348:F349,F351:F355)*3</f>
        <v>76488.714899999992</v>
      </c>
      <c r="H225" s="121"/>
      <c r="I225" s="31"/>
    </row>
    <row r="226" spans="1:10" s="32" customFormat="1" x14ac:dyDescent="0.3">
      <c r="A226" s="204"/>
      <c r="B226" s="58" t="s">
        <v>184</v>
      </c>
      <c r="C226" s="122">
        <f>COUNT(D359:D366)*19+COUNT(D368:D369,D371:D375)*3</f>
        <v>173</v>
      </c>
      <c r="D226" s="122"/>
      <c r="E226" s="121">
        <f>SUM(D359:D366)*19+SUM(D368:D369,D371:D375)*3</f>
        <v>56049.224399999992</v>
      </c>
      <c r="F226" s="121"/>
      <c r="G226" s="121">
        <f>SUM(F359:F366)*19+SUM(F368:F369,F371:F375)*3</f>
        <v>86876.297820000007</v>
      </c>
      <c r="H226" s="121"/>
      <c r="J226" s="31"/>
    </row>
    <row r="227" spans="1:10" s="32" customFormat="1" x14ac:dyDescent="0.3">
      <c r="A227" s="148" t="s">
        <v>146</v>
      </c>
      <c r="B227" s="148"/>
      <c r="C227" s="147">
        <f>SUM(C223:D226)</f>
        <v>692</v>
      </c>
      <c r="D227" s="147"/>
      <c r="E227" s="200">
        <f>SUM(E223:F226)</f>
        <v>204091.89840000001</v>
      </c>
      <c r="F227" s="200"/>
      <c r="G227" s="200">
        <f>SUM(G223:H226)</f>
        <v>316342.44251999998</v>
      </c>
      <c r="H227" s="200"/>
      <c r="J227" s="31"/>
    </row>
    <row r="228" spans="1:10" s="32" customFormat="1" x14ac:dyDescent="0.3">
      <c r="A228" s="148" t="s">
        <v>207</v>
      </c>
      <c r="B228" s="148"/>
      <c r="C228" s="148"/>
      <c r="D228" s="148"/>
      <c r="E228" s="148"/>
      <c r="F228" s="148"/>
      <c r="G228" s="148"/>
      <c r="H228" s="148"/>
      <c r="J228" s="31"/>
    </row>
    <row r="229" spans="1:10" s="32" customFormat="1" x14ac:dyDescent="0.3">
      <c r="A229" s="154" t="s">
        <v>51</v>
      </c>
      <c r="B229" s="154"/>
      <c r="C229" s="147" t="s">
        <v>73</v>
      </c>
      <c r="D229" s="147"/>
      <c r="E229" s="222" t="s">
        <v>52</v>
      </c>
      <c r="F229" s="222"/>
      <c r="G229" s="154" t="s">
        <v>53</v>
      </c>
      <c r="H229" s="154"/>
      <c r="J229" s="31"/>
    </row>
    <row r="230" spans="1:10" s="32" customFormat="1" x14ac:dyDescent="0.3">
      <c r="A230" s="202" t="s">
        <v>202</v>
      </c>
      <c r="B230" s="58" t="s">
        <v>204</v>
      </c>
      <c r="C230" s="201">
        <f>COUNT(D412:D417)+COUNT(D419:D424)*19+COUNT(D426,D428:D431)*3</f>
        <v>135</v>
      </c>
      <c r="D230" s="201"/>
      <c r="E230" s="121">
        <f>SUM(D412:D417)+SUM(D419:D424)*19+SUM(D426,D428:D431)*3</f>
        <v>57091.287239999998</v>
      </c>
      <c r="F230" s="121"/>
      <c r="G230" s="121">
        <f>SUM(F412:F417)+SUM(F419:F424)*19+SUM(F426,F428:F431)*3</f>
        <v>88518.136121999982</v>
      </c>
      <c r="H230" s="121"/>
      <c r="J230" s="31"/>
    </row>
    <row r="231" spans="1:10" s="32" customFormat="1" x14ac:dyDescent="0.3">
      <c r="A231" s="203"/>
      <c r="B231" s="58" t="s">
        <v>209</v>
      </c>
      <c r="C231" s="201">
        <f>COUNT(D434:D441)+COUNT(D443:D450)*19+COUNT(D452:D454,D456:D459)*3</f>
        <v>181</v>
      </c>
      <c r="D231" s="201"/>
      <c r="E231" s="121">
        <f>SUM(D434:D441)+SUM(D443:D450)*19+SUM(D452:D454,D456:D459)*3</f>
        <v>74564.811359999992</v>
      </c>
      <c r="F231" s="121"/>
      <c r="G231" s="121">
        <f>SUM(F434:F441)+SUM(F443:F450)*19+SUM(F452:F454,F456:F459)*3</f>
        <v>115628.73940799999</v>
      </c>
      <c r="H231" s="121"/>
      <c r="J231" s="31"/>
    </row>
    <row r="232" spans="1:10" s="32" customFormat="1" x14ac:dyDescent="0.3">
      <c r="A232" s="203"/>
      <c r="B232" s="58" t="s">
        <v>210</v>
      </c>
      <c r="C232" s="201">
        <f>COUNT(D462:D469)+COUNT(D471:D478)*19+COUNT(D480:D482,D484:D487)*3</f>
        <v>181</v>
      </c>
      <c r="D232" s="201"/>
      <c r="E232" s="121">
        <f>SUM(D462:D469)+SUM(D471:D478)*19+SUM(D480:D482,D484:D487)*3</f>
        <v>74564.811359999992</v>
      </c>
      <c r="F232" s="121"/>
      <c r="G232" s="121">
        <f>SUM(F462:F469)+SUM(F471:F478)*19+SUM(F480:F482,F484:F487)*3</f>
        <v>115628.73940799999</v>
      </c>
      <c r="H232" s="121"/>
      <c r="J232" s="31"/>
    </row>
    <row r="233" spans="1:10" s="32" customFormat="1" x14ac:dyDescent="0.3">
      <c r="A233" s="204"/>
      <c r="B233" s="58" t="s">
        <v>211</v>
      </c>
      <c r="C233" s="201">
        <f>COUNT(D490:D495)+COUNT(D497:D502)*19+COUNT(D504:D505,D507:D509)*3</f>
        <v>135</v>
      </c>
      <c r="D233" s="201"/>
      <c r="E233" s="121">
        <f>SUM(D490:D495)+SUM(D497:D502)*19+SUM(D504:D505,D507:D509)*3</f>
        <v>57362.109479999999</v>
      </c>
      <c r="F233" s="121"/>
      <c r="G233" s="121">
        <f>SUM(F490:F495)+SUM(F497:F502)*19+SUM(F504:F505,F507:F509)*3</f>
        <v>88937.910593999986</v>
      </c>
      <c r="H233" s="121"/>
      <c r="J233" s="31"/>
    </row>
    <row r="234" spans="1:10" s="32" customFormat="1" x14ac:dyDescent="0.3">
      <c r="A234" s="75" t="s">
        <v>188</v>
      </c>
      <c r="B234" s="58" t="s">
        <v>206</v>
      </c>
      <c r="C234" s="122">
        <f>COUNT(D381:D388)*20+COUNT(D390:D394,D396:D397)*3</f>
        <v>181</v>
      </c>
      <c r="D234" s="122"/>
      <c r="E234" s="201">
        <f>SUM(D381:D388)*20+SUM(D390:D394,D396:D397)*3</f>
        <v>66120.560999999987</v>
      </c>
      <c r="F234" s="201"/>
      <c r="G234" s="201">
        <f>SUM(F381:F388)*20+SUM(F390:F394,F396:F397)*3</f>
        <v>102486.86955</v>
      </c>
      <c r="H234" s="201"/>
      <c r="I234" s="32">
        <f>1588-83</f>
        <v>1505</v>
      </c>
      <c r="J234" s="31"/>
    </row>
    <row r="235" spans="1:10" s="32" customFormat="1" x14ac:dyDescent="0.3">
      <c r="A235" s="148" t="s">
        <v>146</v>
      </c>
      <c r="B235" s="148"/>
      <c r="C235" s="201">
        <f t="shared" ref="C235:G235" si="1">SUM(C230:D234)</f>
        <v>813</v>
      </c>
      <c r="D235" s="122"/>
      <c r="E235" s="201">
        <f t="shared" si="1"/>
        <v>329703.58043999999</v>
      </c>
      <c r="F235" s="201"/>
      <c r="G235" s="201">
        <f t="shared" si="1"/>
        <v>511200.395082</v>
      </c>
      <c r="H235" s="201"/>
      <c r="J235" s="31"/>
    </row>
    <row r="236" spans="1:10" s="32" customFormat="1" x14ac:dyDescent="0.3">
      <c r="A236" s="148" t="s">
        <v>216</v>
      </c>
      <c r="B236" s="148"/>
      <c r="C236" s="200">
        <f>C227+C235</f>
        <v>1505</v>
      </c>
      <c r="D236" s="147"/>
      <c r="E236" s="200">
        <f t="shared" ref="E236" si="2">E227+E235</f>
        <v>533795.47884</v>
      </c>
      <c r="F236" s="147"/>
      <c r="G236" s="200">
        <f t="shared" ref="G236" si="3">G227+G235</f>
        <v>827542.83760199999</v>
      </c>
      <c r="H236" s="147"/>
      <c r="J236" s="31"/>
    </row>
    <row r="237" spans="1:10" s="32" customFormat="1" x14ac:dyDescent="0.3">
      <c r="A237" s="165" t="s">
        <v>54</v>
      </c>
      <c r="B237" s="165"/>
      <c r="C237" s="165"/>
      <c r="D237" s="165"/>
      <c r="E237" s="165"/>
      <c r="F237" s="165"/>
      <c r="G237" s="165"/>
      <c r="H237" s="165"/>
      <c r="J237" s="31"/>
    </row>
    <row r="238" spans="1:10" s="32" customFormat="1" x14ac:dyDescent="0.3">
      <c r="A238" s="120" t="s">
        <v>240</v>
      </c>
      <c r="B238" s="120"/>
      <c r="C238" s="120"/>
      <c r="D238" s="120"/>
      <c r="E238" s="120"/>
      <c r="F238" s="120"/>
      <c r="G238" s="120"/>
      <c r="H238" s="120"/>
      <c r="J238" s="31"/>
    </row>
    <row r="239" spans="1:10" s="32" customFormat="1" ht="46.8" x14ac:dyDescent="0.3">
      <c r="A239" s="102" t="s">
        <v>241</v>
      </c>
      <c r="B239" s="102" t="s">
        <v>242</v>
      </c>
      <c r="C239" s="102" t="s">
        <v>55</v>
      </c>
      <c r="D239" s="102" t="s">
        <v>56</v>
      </c>
      <c r="E239" s="104" t="s">
        <v>243</v>
      </c>
      <c r="F239" s="68" t="s">
        <v>145</v>
      </c>
      <c r="G239" s="106" t="s">
        <v>58</v>
      </c>
      <c r="H239" s="107"/>
      <c r="J239" s="31"/>
    </row>
    <row r="240" spans="1:10" s="32" customFormat="1" x14ac:dyDescent="0.3">
      <c r="A240" s="103"/>
      <c r="B240" s="103"/>
      <c r="C240" s="103"/>
      <c r="D240" s="103"/>
      <c r="E240" s="105"/>
      <c r="F240" s="13">
        <v>0.6</v>
      </c>
      <c r="G240" s="108"/>
      <c r="H240" s="109"/>
      <c r="J240" s="31"/>
    </row>
    <row r="241" spans="1:11" s="32" customFormat="1" x14ac:dyDescent="0.3">
      <c r="A241" s="90" t="s">
        <v>203</v>
      </c>
      <c r="B241" s="91"/>
      <c r="C241" s="91"/>
      <c r="D241" s="91"/>
      <c r="E241" s="91"/>
      <c r="F241" s="91"/>
      <c r="G241" s="91"/>
      <c r="H241" s="92"/>
      <c r="J241" s="31"/>
    </row>
    <row r="242" spans="1:11" s="32" customFormat="1" ht="15.75" customHeight="1" x14ac:dyDescent="0.3">
      <c r="A242" s="93" t="s">
        <v>202</v>
      </c>
      <c r="B242" s="94"/>
      <c r="C242" s="94"/>
      <c r="D242" s="94"/>
      <c r="E242" s="94"/>
      <c r="F242" s="94"/>
      <c r="G242" s="94"/>
      <c r="H242" s="95"/>
      <c r="I242" s="73">
        <v>10.763999999999999</v>
      </c>
      <c r="J242" s="31"/>
    </row>
    <row r="243" spans="1:11" s="32" customFormat="1" ht="15.75" customHeight="1" x14ac:dyDescent="0.3">
      <c r="A243" s="93" t="s">
        <v>204</v>
      </c>
      <c r="B243" s="94"/>
      <c r="C243" s="94"/>
      <c r="D243" s="94"/>
      <c r="E243" s="94"/>
      <c r="F243" s="94"/>
      <c r="G243" s="94"/>
      <c r="H243" s="95"/>
      <c r="J243" s="31"/>
    </row>
    <row r="244" spans="1:11" s="32" customFormat="1" ht="15.75" customHeight="1" x14ac:dyDescent="0.3">
      <c r="A244" s="93" t="s">
        <v>244</v>
      </c>
      <c r="B244" s="94"/>
      <c r="C244" s="94"/>
      <c r="D244" s="94"/>
      <c r="E244" s="94"/>
      <c r="F244" s="94"/>
      <c r="G244" s="94"/>
      <c r="H244" s="95"/>
      <c r="J244" s="31"/>
    </row>
    <row r="245" spans="1:11" s="32" customFormat="1" ht="15.75" customHeight="1" x14ac:dyDescent="0.3">
      <c r="A245" s="87">
        <v>1</v>
      </c>
      <c r="B245" s="88"/>
      <c r="C245" s="60" t="s">
        <v>245</v>
      </c>
      <c r="D245" s="56">
        <f>(16.47)*10.764</f>
        <v>177.28307999999998</v>
      </c>
      <c r="E245" s="60">
        <v>0</v>
      </c>
      <c r="F245" s="60">
        <f t="shared" ref="F245:F252" si="4">(D245+E245)*(($F$240)+1)</f>
        <v>283.65292799999997</v>
      </c>
      <c r="G245" s="96" t="str">
        <f>A244</f>
        <v>Ground Floor For Commercial, Entrance Lobby, Meter Room, Driver Room &amp; Parking</v>
      </c>
      <c r="H245" s="97"/>
      <c r="I245" s="32">
        <f>3.05*4.1+1.7*1.15+1.2*1</f>
        <v>15.659999999999998</v>
      </c>
      <c r="J245" s="31">
        <f>177*0.6</f>
        <v>106.2</v>
      </c>
      <c r="K245" s="62"/>
    </row>
    <row r="246" spans="1:11" s="32" customFormat="1" ht="15.75" customHeight="1" x14ac:dyDescent="0.3">
      <c r="A246" s="87">
        <v>2</v>
      </c>
      <c r="B246" s="88"/>
      <c r="C246" s="60" t="s">
        <v>245</v>
      </c>
      <c r="D246" s="56">
        <f>(14.79)*10.764</f>
        <v>159.19955999999999</v>
      </c>
      <c r="E246" s="60">
        <v>0</v>
      </c>
      <c r="F246" s="60">
        <f t="shared" si="4"/>
        <v>254.71929599999999</v>
      </c>
      <c r="G246" s="98"/>
      <c r="H246" s="99"/>
      <c r="J246" s="31"/>
    </row>
    <row r="247" spans="1:11" s="32" customFormat="1" x14ac:dyDescent="0.3">
      <c r="A247" s="87">
        <v>3</v>
      </c>
      <c r="B247" s="88"/>
      <c r="C247" s="60" t="s">
        <v>245</v>
      </c>
      <c r="D247" s="56">
        <f>(11.41)*10.764</f>
        <v>122.81724</v>
      </c>
      <c r="E247" s="60">
        <v>0</v>
      </c>
      <c r="F247" s="60">
        <f t="shared" si="4"/>
        <v>196.50758400000001</v>
      </c>
      <c r="G247" s="98"/>
      <c r="H247" s="99"/>
      <c r="J247" s="31"/>
    </row>
    <row r="248" spans="1:11" s="32" customFormat="1" x14ac:dyDescent="0.3">
      <c r="A248" s="87">
        <v>4</v>
      </c>
      <c r="B248" s="88"/>
      <c r="C248" s="60" t="s">
        <v>245</v>
      </c>
      <c r="D248" s="56">
        <f>(8.92)*10.764</f>
        <v>96.014879999999991</v>
      </c>
      <c r="E248" s="60">
        <v>0</v>
      </c>
      <c r="F248" s="60">
        <f t="shared" si="4"/>
        <v>153.623808</v>
      </c>
      <c r="G248" s="98"/>
      <c r="H248" s="99"/>
      <c r="J248" s="31"/>
    </row>
    <row r="249" spans="1:11" s="32" customFormat="1" x14ac:dyDescent="0.3">
      <c r="A249" s="87">
        <v>5</v>
      </c>
      <c r="B249" s="88"/>
      <c r="C249" s="60" t="s">
        <v>245</v>
      </c>
      <c r="D249" s="56">
        <f>(11.41)*10.764</f>
        <v>122.81724</v>
      </c>
      <c r="E249" s="60">
        <v>0</v>
      </c>
      <c r="F249" s="60">
        <f t="shared" si="4"/>
        <v>196.50758400000001</v>
      </c>
      <c r="G249" s="98"/>
      <c r="H249" s="99"/>
      <c r="I249" s="32">
        <f>2.75*2.85+1.4*1.15+1.2</f>
        <v>10.647499999999999</v>
      </c>
      <c r="J249" s="31"/>
    </row>
    <row r="250" spans="1:11" s="32" customFormat="1" x14ac:dyDescent="0.3">
      <c r="A250" s="87">
        <v>6</v>
      </c>
      <c r="B250" s="88"/>
      <c r="C250" s="60" t="s">
        <v>245</v>
      </c>
      <c r="D250" s="56">
        <f>(14.71)*10.764</f>
        <v>158.33843999999999</v>
      </c>
      <c r="E250" s="60">
        <v>0</v>
      </c>
      <c r="F250" s="60">
        <f t="shared" si="4"/>
        <v>253.34150399999999</v>
      </c>
      <c r="G250" s="98"/>
      <c r="H250" s="99"/>
      <c r="J250" s="31"/>
    </row>
    <row r="251" spans="1:11" s="32" customFormat="1" x14ac:dyDescent="0.3">
      <c r="A251" s="87">
        <v>7</v>
      </c>
      <c r="B251" s="88"/>
      <c r="C251" s="60" t="s">
        <v>245</v>
      </c>
      <c r="D251" s="56">
        <f>(10.77)*10.764</f>
        <v>115.92827999999999</v>
      </c>
      <c r="E251" s="60">
        <v>0</v>
      </c>
      <c r="F251" s="60">
        <f t="shared" si="4"/>
        <v>185.48524799999998</v>
      </c>
      <c r="G251" s="98"/>
      <c r="H251" s="99"/>
      <c r="J251" s="31"/>
    </row>
    <row r="252" spans="1:11" s="32" customFormat="1" x14ac:dyDescent="0.3">
      <c r="A252" s="87">
        <v>8</v>
      </c>
      <c r="B252" s="88"/>
      <c r="C252" s="60" t="s">
        <v>245</v>
      </c>
      <c r="D252" s="56">
        <f>(12.65)*10.764</f>
        <v>136.16460000000001</v>
      </c>
      <c r="E252" s="60">
        <v>0</v>
      </c>
      <c r="F252" s="60">
        <f t="shared" si="4"/>
        <v>217.86336000000003</v>
      </c>
      <c r="G252" s="100"/>
      <c r="H252" s="101"/>
      <c r="I252" s="32">
        <f>2.75*3.3+1.4*1.15+1.2</f>
        <v>11.884999999999998</v>
      </c>
      <c r="J252" s="31"/>
    </row>
    <row r="253" spans="1:11" s="32" customFormat="1" x14ac:dyDescent="0.3">
      <c r="A253" s="93" t="s">
        <v>209</v>
      </c>
      <c r="B253" s="94"/>
      <c r="C253" s="94"/>
      <c r="D253" s="94"/>
      <c r="E253" s="94"/>
      <c r="F253" s="94"/>
      <c r="G253" s="94"/>
      <c r="H253" s="95"/>
      <c r="J253" s="31"/>
    </row>
    <row r="254" spans="1:11" s="32" customFormat="1" ht="31.5" customHeight="1" x14ac:dyDescent="0.3">
      <c r="A254" s="89" t="s">
        <v>254</v>
      </c>
      <c r="B254" s="89"/>
      <c r="C254" s="89"/>
      <c r="D254" s="89"/>
      <c r="E254" s="89"/>
      <c r="F254" s="89"/>
      <c r="G254" s="89"/>
      <c r="H254" s="89"/>
      <c r="J254" s="31"/>
    </row>
    <row r="255" spans="1:11" s="32" customFormat="1" ht="15.75" customHeight="1" x14ac:dyDescent="0.3">
      <c r="A255" s="123">
        <v>9</v>
      </c>
      <c r="B255" s="123"/>
      <c r="C255" s="60" t="s">
        <v>245</v>
      </c>
      <c r="D255" s="56">
        <f>(12.65)*10.764</f>
        <v>136.16460000000001</v>
      </c>
      <c r="E255" s="60">
        <v>0</v>
      </c>
      <c r="F255" s="60">
        <f>(D255+E255)*(($F$240)+1)</f>
        <v>217.86336000000003</v>
      </c>
      <c r="G255" s="123" t="str">
        <f>A254</f>
        <v>Ground Floor For Commercial, Entrance Lobby, Society Office, Creche, Fitness Center, Meter Room, Driver Room, Fire Panel Room &amp; Parking</v>
      </c>
      <c r="H255" s="123"/>
      <c r="I255" s="32">
        <f>2.75*3.3+1.4*1.15+1.2*1</f>
        <v>11.884999999999998</v>
      </c>
      <c r="J255" s="31"/>
    </row>
    <row r="256" spans="1:11" s="32" customFormat="1" ht="15.75" customHeight="1" x14ac:dyDescent="0.3">
      <c r="A256" s="123">
        <v>10</v>
      </c>
      <c r="B256" s="123"/>
      <c r="C256" s="60" t="s">
        <v>245</v>
      </c>
      <c r="D256" s="56">
        <f>(10.77)*10.764</f>
        <v>115.92827999999999</v>
      </c>
      <c r="E256" s="60">
        <v>0</v>
      </c>
      <c r="F256" s="60">
        <f t="shared" ref="F256:F261" si="5">(D256+E256)*(($F$240)+1)</f>
        <v>185.48524799999998</v>
      </c>
      <c r="G256" s="123"/>
      <c r="H256" s="123"/>
      <c r="J256" s="31"/>
    </row>
    <row r="257" spans="1:10" s="32" customFormat="1" x14ac:dyDescent="0.3">
      <c r="A257" s="123">
        <v>11</v>
      </c>
      <c r="B257" s="123"/>
      <c r="C257" s="60" t="s">
        <v>245</v>
      </c>
      <c r="D257" s="56">
        <f>(14.71)*10.764</f>
        <v>158.33843999999999</v>
      </c>
      <c r="E257" s="60">
        <v>0</v>
      </c>
      <c r="F257" s="60">
        <f t="shared" si="5"/>
        <v>253.34150399999999</v>
      </c>
      <c r="G257" s="123"/>
      <c r="H257" s="123"/>
      <c r="J257" s="31"/>
    </row>
    <row r="258" spans="1:10" s="32" customFormat="1" x14ac:dyDescent="0.3">
      <c r="A258" s="123">
        <v>12</v>
      </c>
      <c r="B258" s="123"/>
      <c r="C258" s="60" t="s">
        <v>245</v>
      </c>
      <c r="D258" s="56">
        <f>(11.41)*10.764</f>
        <v>122.81724</v>
      </c>
      <c r="E258" s="60">
        <v>0</v>
      </c>
      <c r="F258" s="60">
        <f t="shared" si="5"/>
        <v>196.50758400000001</v>
      </c>
      <c r="G258" s="123"/>
      <c r="H258" s="123"/>
      <c r="J258" s="31"/>
    </row>
    <row r="259" spans="1:10" s="32" customFormat="1" x14ac:dyDescent="0.3">
      <c r="A259" s="123">
        <v>13</v>
      </c>
      <c r="B259" s="123"/>
      <c r="C259" s="60" t="s">
        <v>245</v>
      </c>
      <c r="D259" s="56">
        <f>(8.92)*10.764</f>
        <v>96.014879999999991</v>
      </c>
      <c r="E259" s="60">
        <v>0</v>
      </c>
      <c r="F259" s="60">
        <f t="shared" si="5"/>
        <v>153.623808</v>
      </c>
      <c r="G259" s="123"/>
      <c r="H259" s="123"/>
      <c r="J259" s="31"/>
    </row>
    <row r="260" spans="1:10" s="32" customFormat="1" x14ac:dyDescent="0.3">
      <c r="A260" s="123">
        <v>14</v>
      </c>
      <c r="B260" s="123"/>
      <c r="C260" s="60" t="s">
        <v>245</v>
      </c>
      <c r="D260" s="56">
        <f>(11.41)*10.764</f>
        <v>122.81724</v>
      </c>
      <c r="E260" s="60">
        <v>0</v>
      </c>
      <c r="F260" s="60">
        <f t="shared" si="5"/>
        <v>196.50758400000001</v>
      </c>
      <c r="G260" s="123"/>
      <c r="H260" s="123"/>
      <c r="J260" s="31"/>
    </row>
    <row r="261" spans="1:10" s="32" customFormat="1" x14ac:dyDescent="0.3">
      <c r="A261" s="123">
        <v>15</v>
      </c>
      <c r="B261" s="123"/>
      <c r="C261" s="60" t="s">
        <v>245</v>
      </c>
      <c r="D261" s="56">
        <f>(11.41)*10.764</f>
        <v>122.81724</v>
      </c>
      <c r="E261" s="60">
        <v>0</v>
      </c>
      <c r="F261" s="60">
        <f t="shared" si="5"/>
        <v>196.50758400000001</v>
      </c>
      <c r="G261" s="123"/>
      <c r="H261" s="123"/>
      <c r="J261" s="31"/>
    </row>
    <row r="262" spans="1:10" s="32" customFormat="1" x14ac:dyDescent="0.3">
      <c r="A262" s="123">
        <v>16</v>
      </c>
      <c r="B262" s="123"/>
      <c r="C262" s="60" t="s">
        <v>245</v>
      </c>
      <c r="D262" s="56">
        <f>(8.92)*10.764</f>
        <v>96.014879999999991</v>
      </c>
      <c r="E262" s="60">
        <v>0</v>
      </c>
      <c r="F262" s="60">
        <f>(D262+E262)*(($F$240)+1)</f>
        <v>153.623808</v>
      </c>
      <c r="G262" s="123"/>
      <c r="H262" s="123"/>
      <c r="J262" s="31"/>
    </row>
    <row r="263" spans="1:10" s="32" customFormat="1" x14ac:dyDescent="0.3">
      <c r="A263" s="123">
        <v>17</v>
      </c>
      <c r="B263" s="123"/>
      <c r="C263" s="60" t="s">
        <v>245</v>
      </c>
      <c r="D263" s="56">
        <f>(11.41)*10.764</f>
        <v>122.81724</v>
      </c>
      <c r="E263" s="60">
        <v>0</v>
      </c>
      <c r="F263" s="60">
        <f>(D263+E263)*(($F$240)+1)</f>
        <v>196.50758400000001</v>
      </c>
      <c r="G263" s="123"/>
      <c r="H263" s="123"/>
      <c r="J263" s="31"/>
    </row>
    <row r="264" spans="1:10" s="32" customFormat="1" x14ac:dyDescent="0.3">
      <c r="A264" s="123">
        <v>18</v>
      </c>
      <c r="B264" s="123"/>
      <c r="C264" s="60" t="s">
        <v>245</v>
      </c>
      <c r="D264" s="56">
        <f>(14.71)*10.764</f>
        <v>158.33843999999999</v>
      </c>
      <c r="E264" s="60">
        <v>0</v>
      </c>
      <c r="F264" s="60">
        <f>(D264+E264)*(($F$240)+1)</f>
        <v>253.34150399999999</v>
      </c>
      <c r="G264" s="123"/>
      <c r="H264" s="123"/>
      <c r="J264" s="31"/>
    </row>
    <row r="265" spans="1:10" s="32" customFormat="1" x14ac:dyDescent="0.3">
      <c r="A265" s="123">
        <v>19</v>
      </c>
      <c r="B265" s="123"/>
      <c r="C265" s="60" t="s">
        <v>245</v>
      </c>
      <c r="D265" s="56">
        <f>(10.77)*10.764</f>
        <v>115.92827999999999</v>
      </c>
      <c r="E265" s="60">
        <v>0</v>
      </c>
      <c r="F265" s="60">
        <f>(D265+E265)*(($F$240)+1)</f>
        <v>185.48524799999998</v>
      </c>
      <c r="G265" s="123"/>
      <c r="H265" s="123"/>
      <c r="J265" s="31"/>
    </row>
    <row r="266" spans="1:10" s="32" customFormat="1" x14ac:dyDescent="0.3">
      <c r="A266" s="123">
        <v>20</v>
      </c>
      <c r="B266" s="123"/>
      <c r="C266" s="60" t="s">
        <v>245</v>
      </c>
      <c r="D266" s="56">
        <f>(12.65)*10.764</f>
        <v>136.16460000000001</v>
      </c>
      <c r="E266" s="60">
        <v>0</v>
      </c>
      <c r="F266" s="60">
        <f>(D266+E266)*(($F$240)+1)</f>
        <v>217.86336000000003</v>
      </c>
      <c r="G266" s="123"/>
      <c r="H266" s="123"/>
      <c r="J266" s="31"/>
    </row>
    <row r="267" spans="1:10" s="32" customFormat="1" x14ac:dyDescent="0.3">
      <c r="A267" s="93" t="s">
        <v>210</v>
      </c>
      <c r="B267" s="94"/>
      <c r="C267" s="94"/>
      <c r="D267" s="94"/>
      <c r="E267" s="94"/>
      <c r="F267" s="94"/>
      <c r="G267" s="94"/>
      <c r="H267" s="95"/>
      <c r="J267" s="31"/>
    </row>
    <row r="268" spans="1:10" s="32" customFormat="1" x14ac:dyDescent="0.3">
      <c r="A268" s="93" t="s">
        <v>256</v>
      </c>
      <c r="B268" s="94"/>
      <c r="C268" s="94"/>
      <c r="D268" s="94"/>
      <c r="E268" s="94"/>
      <c r="F268" s="94"/>
      <c r="G268" s="94"/>
      <c r="H268" s="95"/>
      <c r="J268" s="31"/>
    </row>
    <row r="269" spans="1:10" s="32" customFormat="1" x14ac:dyDescent="0.3">
      <c r="A269" s="87">
        <v>21</v>
      </c>
      <c r="B269" s="88"/>
      <c r="C269" s="60" t="s">
        <v>245</v>
      </c>
      <c r="D269" s="56">
        <f>(12.65)*10.764</f>
        <v>136.16460000000001</v>
      </c>
      <c r="E269" s="60">
        <v>0</v>
      </c>
      <c r="F269" s="60">
        <f>(D269+E269)*(($F$240)+1)</f>
        <v>217.86336000000003</v>
      </c>
      <c r="G269" s="96" t="str">
        <f>A268</f>
        <v>Ground Floor For Commercial, Entrance Lobby, Meter Room, Fire Panel Room &amp; Parking</v>
      </c>
      <c r="H269" s="97"/>
      <c r="J269" s="31"/>
    </row>
    <row r="270" spans="1:10" s="32" customFormat="1" x14ac:dyDescent="0.3">
      <c r="A270" s="87">
        <v>22</v>
      </c>
      <c r="B270" s="88"/>
      <c r="C270" s="60" t="s">
        <v>245</v>
      </c>
      <c r="D270" s="56">
        <f>(10.77)*10.764</f>
        <v>115.92827999999999</v>
      </c>
      <c r="E270" s="60">
        <v>0</v>
      </c>
      <c r="F270" s="60">
        <f t="shared" ref="F270:F275" si="6">(D270+E270)*(($F$240)+1)</f>
        <v>185.48524799999998</v>
      </c>
      <c r="G270" s="98"/>
      <c r="H270" s="99"/>
      <c r="J270" s="31"/>
    </row>
    <row r="271" spans="1:10" s="32" customFormat="1" x14ac:dyDescent="0.3">
      <c r="A271" s="87">
        <v>23</v>
      </c>
      <c r="B271" s="88"/>
      <c r="C271" s="60" t="s">
        <v>245</v>
      </c>
      <c r="D271" s="56">
        <f>(14.71)*10.764</f>
        <v>158.33843999999999</v>
      </c>
      <c r="E271" s="60">
        <v>0</v>
      </c>
      <c r="F271" s="60">
        <f t="shared" si="6"/>
        <v>253.34150399999999</v>
      </c>
      <c r="G271" s="98"/>
      <c r="H271" s="99"/>
      <c r="J271" s="31"/>
    </row>
    <row r="272" spans="1:10" s="32" customFormat="1" x14ac:dyDescent="0.3">
      <c r="A272" s="87">
        <v>24</v>
      </c>
      <c r="B272" s="88"/>
      <c r="C272" s="60" t="s">
        <v>245</v>
      </c>
      <c r="D272" s="56">
        <f>(11.41)*10.764</f>
        <v>122.81724</v>
      </c>
      <c r="E272" s="60">
        <v>0</v>
      </c>
      <c r="F272" s="60">
        <f t="shared" si="6"/>
        <v>196.50758400000001</v>
      </c>
      <c r="G272" s="98"/>
      <c r="H272" s="99"/>
      <c r="J272" s="31"/>
    </row>
    <row r="273" spans="1:10" s="32" customFormat="1" x14ac:dyDescent="0.3">
      <c r="A273" s="87">
        <v>25</v>
      </c>
      <c r="B273" s="88"/>
      <c r="C273" s="60" t="s">
        <v>245</v>
      </c>
      <c r="D273" s="56">
        <f>(8.92)*10.764</f>
        <v>96.014879999999991</v>
      </c>
      <c r="E273" s="60">
        <v>0</v>
      </c>
      <c r="F273" s="60">
        <f t="shared" si="6"/>
        <v>153.623808</v>
      </c>
      <c r="G273" s="98"/>
      <c r="H273" s="99"/>
      <c r="J273" s="31" t="s">
        <v>253</v>
      </c>
    </row>
    <row r="274" spans="1:10" s="32" customFormat="1" x14ac:dyDescent="0.3">
      <c r="A274" s="87">
        <v>26</v>
      </c>
      <c r="B274" s="88"/>
      <c r="C274" s="60" t="s">
        <v>245</v>
      </c>
      <c r="D274" s="56">
        <f>(11.41)*10.764</f>
        <v>122.81724</v>
      </c>
      <c r="E274" s="60">
        <v>0</v>
      </c>
      <c r="F274" s="60">
        <f t="shared" si="6"/>
        <v>196.50758400000001</v>
      </c>
      <c r="G274" s="98"/>
      <c r="H274" s="99"/>
      <c r="J274" s="31"/>
    </row>
    <row r="275" spans="1:10" s="32" customFormat="1" x14ac:dyDescent="0.3">
      <c r="A275" s="87">
        <v>27</v>
      </c>
      <c r="B275" s="88"/>
      <c r="C275" s="60" t="s">
        <v>245</v>
      </c>
      <c r="D275" s="56">
        <f>(11.41)*10.764</f>
        <v>122.81724</v>
      </c>
      <c r="E275" s="60">
        <v>0</v>
      </c>
      <c r="F275" s="60">
        <f t="shared" si="6"/>
        <v>196.50758400000001</v>
      </c>
      <c r="G275" s="98"/>
      <c r="H275" s="99"/>
      <c r="J275" s="31"/>
    </row>
    <row r="276" spans="1:10" s="32" customFormat="1" x14ac:dyDescent="0.3">
      <c r="A276" s="87">
        <v>28</v>
      </c>
      <c r="B276" s="88"/>
      <c r="C276" s="60" t="s">
        <v>245</v>
      </c>
      <c r="D276" s="56">
        <f>(8.92)*10.764</f>
        <v>96.014879999999991</v>
      </c>
      <c r="E276" s="60">
        <v>0</v>
      </c>
      <c r="F276" s="60">
        <f>(D276+E276)*(($F$240)+1)</f>
        <v>153.623808</v>
      </c>
      <c r="G276" s="98"/>
      <c r="H276" s="99"/>
      <c r="J276" s="41">
        <f>1.36*1.6</f>
        <v>2.1760000000000002</v>
      </c>
    </row>
    <row r="277" spans="1:10" s="32" customFormat="1" x14ac:dyDescent="0.3">
      <c r="A277" s="87">
        <v>29</v>
      </c>
      <c r="B277" s="88"/>
      <c r="C277" s="60" t="s">
        <v>245</v>
      </c>
      <c r="D277" s="56">
        <f>(11.41)*10.764</f>
        <v>122.81724</v>
      </c>
      <c r="E277" s="60">
        <v>0</v>
      </c>
      <c r="F277" s="60">
        <f t="shared" ref="F277:F280" si="7">(D277+E277)*(($F$240)+1)</f>
        <v>196.50758400000001</v>
      </c>
      <c r="G277" s="98"/>
      <c r="H277" s="99"/>
      <c r="J277" s="31"/>
    </row>
    <row r="278" spans="1:10" s="32" customFormat="1" x14ac:dyDescent="0.3">
      <c r="A278" s="87">
        <v>30</v>
      </c>
      <c r="B278" s="88"/>
      <c r="C278" s="60" t="s">
        <v>245</v>
      </c>
      <c r="D278" s="56">
        <f>(14.71)*10.764</f>
        <v>158.33843999999999</v>
      </c>
      <c r="E278" s="60">
        <v>0</v>
      </c>
      <c r="F278" s="60">
        <f>(D278+E278)*(($F$240)+1)</f>
        <v>253.34150399999999</v>
      </c>
      <c r="G278" s="98"/>
      <c r="H278" s="99"/>
      <c r="J278" s="31"/>
    </row>
    <row r="279" spans="1:10" s="32" customFormat="1" x14ac:dyDescent="0.3">
      <c r="A279" s="87">
        <v>31</v>
      </c>
      <c r="B279" s="88"/>
      <c r="C279" s="60" t="s">
        <v>245</v>
      </c>
      <c r="D279" s="56">
        <f>(10.77)*10.764</f>
        <v>115.92827999999999</v>
      </c>
      <c r="E279" s="60">
        <v>0</v>
      </c>
      <c r="F279" s="60">
        <f t="shared" si="7"/>
        <v>185.48524799999998</v>
      </c>
      <c r="G279" s="98"/>
      <c r="H279" s="99"/>
      <c r="J279" s="31"/>
    </row>
    <row r="280" spans="1:10" s="32" customFormat="1" x14ac:dyDescent="0.3">
      <c r="A280" s="87">
        <v>32</v>
      </c>
      <c r="B280" s="88"/>
      <c r="C280" s="60" t="s">
        <v>245</v>
      </c>
      <c r="D280" s="56">
        <f>(12.65)*10.764</f>
        <v>136.16460000000001</v>
      </c>
      <c r="E280" s="60">
        <v>0</v>
      </c>
      <c r="F280" s="60">
        <f t="shared" si="7"/>
        <v>217.86336000000003</v>
      </c>
      <c r="G280" s="100"/>
      <c r="H280" s="101"/>
      <c r="J280" s="31"/>
    </row>
    <row r="281" spans="1:10" s="32" customFormat="1" x14ac:dyDescent="0.3">
      <c r="A281" s="93" t="s">
        <v>211</v>
      </c>
      <c r="B281" s="94"/>
      <c r="C281" s="94"/>
      <c r="D281" s="94"/>
      <c r="E281" s="94"/>
      <c r="F281" s="94"/>
      <c r="G281" s="94"/>
      <c r="H281" s="95"/>
      <c r="J281" s="31"/>
    </row>
    <row r="282" spans="1:10" s="32" customFormat="1" x14ac:dyDescent="0.3">
      <c r="A282" s="93" t="s">
        <v>244</v>
      </c>
      <c r="B282" s="94"/>
      <c r="C282" s="94"/>
      <c r="D282" s="94"/>
      <c r="E282" s="94"/>
      <c r="F282" s="94"/>
      <c r="G282" s="94"/>
      <c r="H282" s="95"/>
      <c r="J282" s="31"/>
    </row>
    <row r="283" spans="1:10" s="32" customFormat="1" ht="15.75" customHeight="1" x14ac:dyDescent="0.3">
      <c r="A283" s="87">
        <v>33</v>
      </c>
      <c r="B283" s="88"/>
      <c r="C283" s="60" t="s">
        <v>245</v>
      </c>
      <c r="D283" s="56">
        <f>(12.65)*10.764</f>
        <v>136.16460000000001</v>
      </c>
      <c r="E283" s="60">
        <v>0</v>
      </c>
      <c r="F283" s="60">
        <f>(D283+E283)*(($F$240)+1)</f>
        <v>217.86336000000003</v>
      </c>
      <c r="G283" s="96" t="str">
        <f>A282</f>
        <v>Ground Floor For Commercial, Entrance Lobby, Meter Room, Driver Room &amp; Parking</v>
      </c>
      <c r="H283" s="97"/>
      <c r="J283" s="31"/>
    </row>
    <row r="284" spans="1:10" s="32" customFormat="1" x14ac:dyDescent="0.3">
      <c r="A284" s="87">
        <v>34</v>
      </c>
      <c r="B284" s="88"/>
      <c r="C284" s="60" t="s">
        <v>245</v>
      </c>
      <c r="D284" s="56">
        <f>(9.89)*10.764</f>
        <v>106.45596</v>
      </c>
      <c r="E284" s="60">
        <v>0</v>
      </c>
      <c r="F284" s="60">
        <f t="shared" ref="F284:F290" si="8">(D284+E284)*(($F$240)+1)</f>
        <v>170.32953600000002</v>
      </c>
      <c r="G284" s="98"/>
      <c r="H284" s="99"/>
      <c r="J284" s="31"/>
    </row>
    <row r="285" spans="1:10" s="32" customFormat="1" x14ac:dyDescent="0.3">
      <c r="A285" s="87">
        <v>35</v>
      </c>
      <c r="B285" s="88"/>
      <c r="C285" s="60" t="s">
        <v>245</v>
      </c>
      <c r="D285" s="56">
        <f>(14.71)*10.764</f>
        <v>158.33843999999999</v>
      </c>
      <c r="E285" s="60">
        <v>0</v>
      </c>
      <c r="F285" s="60">
        <f>(D285+E285)*(($F$240)+1)</f>
        <v>253.34150399999999</v>
      </c>
      <c r="G285" s="98"/>
      <c r="H285" s="99"/>
      <c r="J285" s="31"/>
    </row>
    <row r="286" spans="1:10" s="32" customFormat="1" x14ac:dyDescent="0.3">
      <c r="A286" s="87">
        <v>36</v>
      </c>
      <c r="B286" s="88"/>
      <c r="C286" s="60" t="s">
        <v>245</v>
      </c>
      <c r="D286" s="56">
        <f>(11.41)*10.764</f>
        <v>122.81724</v>
      </c>
      <c r="E286" s="60">
        <v>0</v>
      </c>
      <c r="F286" s="60">
        <f t="shared" si="8"/>
        <v>196.50758400000001</v>
      </c>
      <c r="G286" s="98"/>
      <c r="H286" s="99"/>
      <c r="J286" s="31"/>
    </row>
    <row r="287" spans="1:10" s="32" customFormat="1" x14ac:dyDescent="0.3">
      <c r="A287" s="87">
        <v>37</v>
      </c>
      <c r="B287" s="88"/>
      <c r="C287" s="60" t="s">
        <v>245</v>
      </c>
      <c r="D287" s="56">
        <f>(8.92)*10.764</f>
        <v>96.014879999999991</v>
      </c>
      <c r="E287" s="60">
        <v>0</v>
      </c>
      <c r="F287" s="60">
        <f t="shared" si="8"/>
        <v>153.623808</v>
      </c>
      <c r="G287" s="98"/>
      <c r="H287" s="99"/>
      <c r="J287" s="31"/>
    </row>
    <row r="288" spans="1:10" s="32" customFormat="1" x14ac:dyDescent="0.3">
      <c r="A288" s="87">
        <v>38</v>
      </c>
      <c r="B288" s="88"/>
      <c r="C288" s="60" t="s">
        <v>245</v>
      </c>
      <c r="D288" s="56">
        <f>(11.41)*10.764</f>
        <v>122.81724</v>
      </c>
      <c r="E288" s="60">
        <v>0</v>
      </c>
      <c r="F288" s="60">
        <f t="shared" si="8"/>
        <v>196.50758400000001</v>
      </c>
      <c r="G288" s="98"/>
      <c r="H288" s="99"/>
      <c r="J288" s="31"/>
    </row>
    <row r="289" spans="1:16" s="32" customFormat="1" x14ac:dyDescent="0.3">
      <c r="A289" s="87">
        <v>39</v>
      </c>
      <c r="B289" s="88"/>
      <c r="C289" s="60" t="s">
        <v>245</v>
      </c>
      <c r="D289" s="56">
        <f>(15.92)*10.764</f>
        <v>171.36287999999999</v>
      </c>
      <c r="E289" s="60">
        <v>0</v>
      </c>
      <c r="F289" s="60">
        <f>(D289+E289)*(($F$240)+1)</f>
        <v>274.18060800000001</v>
      </c>
      <c r="G289" s="98"/>
      <c r="H289" s="99"/>
      <c r="J289" s="31"/>
    </row>
    <row r="290" spans="1:16" s="32" customFormat="1" x14ac:dyDescent="0.3">
      <c r="A290" s="87">
        <v>40</v>
      </c>
      <c r="B290" s="88"/>
      <c r="C290" s="60" t="s">
        <v>245</v>
      </c>
      <c r="D290" s="56">
        <f>(16.47)*10.764</f>
        <v>177.28307999999998</v>
      </c>
      <c r="E290" s="60">
        <v>0</v>
      </c>
      <c r="F290" s="60">
        <f t="shared" si="8"/>
        <v>283.65292799999997</v>
      </c>
      <c r="G290" s="98"/>
      <c r="H290" s="99"/>
      <c r="J290" s="31"/>
    </row>
    <row r="291" spans="1:16" s="32" customFormat="1" x14ac:dyDescent="0.3">
      <c r="A291" s="100"/>
      <c r="B291" s="224"/>
      <c r="C291" s="224"/>
      <c r="D291" s="224"/>
      <c r="E291" s="224"/>
      <c r="F291" s="224"/>
      <c r="G291" s="224"/>
      <c r="H291" s="101"/>
      <c r="J291" s="31"/>
    </row>
    <row r="292" spans="1:16" s="32" customFormat="1" ht="33.75" customHeight="1" x14ac:dyDescent="0.3">
      <c r="A292" s="106" t="s">
        <v>114</v>
      </c>
      <c r="B292" s="106" t="s">
        <v>115</v>
      </c>
      <c r="C292" s="102" t="s">
        <v>55</v>
      </c>
      <c r="D292" s="102" t="s">
        <v>56</v>
      </c>
      <c r="E292" s="104" t="s">
        <v>57</v>
      </c>
      <c r="F292" s="68" t="s">
        <v>145</v>
      </c>
      <c r="G292" s="106" t="s">
        <v>58</v>
      </c>
      <c r="H292" s="107"/>
      <c r="I292" s="31"/>
    </row>
    <row r="293" spans="1:16" s="32" customFormat="1" ht="15.75" customHeight="1" x14ac:dyDescent="0.3">
      <c r="A293" s="108"/>
      <c r="B293" s="108"/>
      <c r="C293" s="103"/>
      <c r="D293" s="103"/>
      <c r="E293" s="105"/>
      <c r="F293" s="13">
        <v>0.55000000000000004</v>
      </c>
      <c r="G293" s="108"/>
      <c r="H293" s="109"/>
      <c r="I293" s="31">
        <f>2799000/F299</f>
        <v>6330.698595643421</v>
      </c>
      <c r="J293" s="41">
        <f>2.45*4.15+2.13*2.15+2.45*2.85+1.05*0.45+0.93*1.2+1.05*1.4</f>
        <v>24.788</v>
      </c>
      <c r="K293" s="32">
        <f t="shared" ref="K293:K324" si="9">5900*F299</f>
        <v>2608574.67</v>
      </c>
      <c r="L293" s="32">
        <v>101</v>
      </c>
      <c r="M293" s="32">
        <v>2201</v>
      </c>
      <c r="P293" s="32" t="str">
        <f>L293&amp;""&amp;",...,"&amp;""&amp;M293</f>
        <v>101,...,2201</v>
      </c>
    </row>
    <row r="294" spans="1:16" s="32" customFormat="1" ht="15.75" customHeight="1" x14ac:dyDescent="0.3">
      <c r="A294" s="90" t="s">
        <v>201</v>
      </c>
      <c r="B294" s="91"/>
      <c r="C294" s="91"/>
      <c r="D294" s="91"/>
      <c r="E294" s="91"/>
      <c r="F294" s="91"/>
      <c r="G294" s="91"/>
      <c r="H294" s="92"/>
      <c r="I294" s="31">
        <f>2850000/F300</f>
        <v>6446.0489451889061</v>
      </c>
      <c r="K294" s="32">
        <f t="shared" si="9"/>
        <v>2608574.67</v>
      </c>
      <c r="L294" s="32">
        <v>102</v>
      </c>
      <c r="M294" s="32">
        <v>2202</v>
      </c>
      <c r="P294" s="32" t="str">
        <f t="shared" ref="P294:P300" si="10">L294&amp;""&amp;",...,"&amp;""&amp;M294</f>
        <v>102,...,2202</v>
      </c>
    </row>
    <row r="295" spans="1:16" s="32" customFormat="1" ht="15.75" customHeight="1" x14ac:dyDescent="0.3">
      <c r="A295" s="93" t="s">
        <v>188</v>
      </c>
      <c r="B295" s="94"/>
      <c r="C295" s="94"/>
      <c r="D295" s="94"/>
      <c r="E295" s="94"/>
      <c r="F295" s="94"/>
      <c r="G295" s="94"/>
      <c r="H295" s="95"/>
      <c r="I295" s="31"/>
      <c r="K295" s="32">
        <f t="shared" si="9"/>
        <v>2608574.67</v>
      </c>
      <c r="L295" s="32">
        <v>103</v>
      </c>
      <c r="M295" s="32">
        <v>2203</v>
      </c>
      <c r="P295" s="32" t="str">
        <f t="shared" si="10"/>
        <v>103,...,2203</v>
      </c>
    </row>
    <row r="296" spans="1:16" s="32" customFormat="1" ht="15.75" customHeight="1" x14ac:dyDescent="0.3">
      <c r="A296" s="93" t="s">
        <v>177</v>
      </c>
      <c r="B296" s="94"/>
      <c r="C296" s="94"/>
      <c r="D296" s="94"/>
      <c r="E296" s="94"/>
      <c r="F296" s="94"/>
      <c r="G296" s="94"/>
      <c r="H296" s="95"/>
      <c r="I296" s="31"/>
      <c r="K296" s="32">
        <f t="shared" si="9"/>
        <v>2608574.67</v>
      </c>
      <c r="L296" s="32">
        <v>104</v>
      </c>
      <c r="M296" s="32">
        <v>2204</v>
      </c>
      <c r="P296" s="32" t="str">
        <f t="shared" si="10"/>
        <v>104,...,2204</v>
      </c>
    </row>
    <row r="297" spans="1:16" s="32" customFormat="1" ht="15.75" customHeight="1" x14ac:dyDescent="0.3">
      <c r="A297" s="93" t="s">
        <v>178</v>
      </c>
      <c r="B297" s="94"/>
      <c r="C297" s="94"/>
      <c r="D297" s="94"/>
      <c r="E297" s="94"/>
      <c r="F297" s="94"/>
      <c r="G297" s="94"/>
      <c r="H297" s="95"/>
      <c r="I297" s="31"/>
      <c r="K297" s="32">
        <f t="shared" si="9"/>
        <v>2608574.67</v>
      </c>
      <c r="L297" s="32">
        <v>105</v>
      </c>
      <c r="M297" s="32">
        <v>2205</v>
      </c>
      <c r="P297" s="32" t="str">
        <f t="shared" si="10"/>
        <v>105,...,2205</v>
      </c>
    </row>
    <row r="298" spans="1:16" s="32" customFormat="1" ht="15.75" customHeight="1" x14ac:dyDescent="0.3">
      <c r="A298" s="93" t="s">
        <v>179</v>
      </c>
      <c r="B298" s="94"/>
      <c r="C298" s="94"/>
      <c r="D298" s="94"/>
      <c r="E298" s="94"/>
      <c r="F298" s="94"/>
      <c r="G298" s="94"/>
      <c r="H298" s="95"/>
      <c r="I298" s="31"/>
      <c r="K298" s="32">
        <f t="shared" si="9"/>
        <v>2608574.67</v>
      </c>
      <c r="L298" s="32">
        <v>106</v>
      </c>
      <c r="M298" s="32">
        <v>2206</v>
      </c>
      <c r="P298" s="32" t="str">
        <f t="shared" si="10"/>
        <v>106,...,2206</v>
      </c>
    </row>
    <row r="299" spans="1:16" s="32" customFormat="1" ht="15.75" customHeight="1" x14ac:dyDescent="0.3">
      <c r="A299" s="87">
        <v>1</v>
      </c>
      <c r="B299" s="88"/>
      <c r="C299" s="38">
        <v>1</v>
      </c>
      <c r="D299" s="60">
        <f>26.5*10.764</f>
        <v>285.24599999999998</v>
      </c>
      <c r="E299" s="60">
        <v>0</v>
      </c>
      <c r="F299" s="60">
        <f t="shared" ref="F299:F306" si="11">D299*(($F$293)+1)+(IF(E299&lt;101,E299,IF(E299&lt;201,E299/2,IF(E299&lt;=301,E299/3,E299/4))))</f>
        <v>442.13130000000001</v>
      </c>
      <c r="G299" s="96" t="str">
        <f>A298</f>
        <v>1st to 7th &amp; 9th to 12th &amp; 14th to 17th &amp; 19th to 22nd Floor For Residential</v>
      </c>
      <c r="H299" s="97"/>
      <c r="I299" s="31"/>
      <c r="K299" s="32">
        <f t="shared" si="9"/>
        <v>2608574.67</v>
      </c>
      <c r="L299" s="32">
        <v>107</v>
      </c>
      <c r="M299" s="32">
        <v>2207</v>
      </c>
      <c r="P299" s="32" t="str">
        <f t="shared" si="10"/>
        <v>107,...,2207</v>
      </c>
    </row>
    <row r="300" spans="1:16" s="32" customFormat="1" ht="15.75" customHeight="1" x14ac:dyDescent="0.3">
      <c r="A300" s="87">
        <v>2</v>
      </c>
      <c r="B300" s="88"/>
      <c r="C300" s="38">
        <v>1</v>
      </c>
      <c r="D300" s="60">
        <f t="shared" ref="D300:D305" si="12">26.5*10.764</f>
        <v>285.24599999999998</v>
      </c>
      <c r="E300" s="60">
        <v>0</v>
      </c>
      <c r="F300" s="60">
        <f t="shared" si="11"/>
        <v>442.13130000000001</v>
      </c>
      <c r="G300" s="98"/>
      <c r="H300" s="99"/>
      <c r="I300" s="31"/>
      <c r="K300" s="32">
        <f t="shared" si="9"/>
        <v>2608574.67</v>
      </c>
      <c r="L300" s="32">
        <v>108</v>
      </c>
      <c r="M300" s="32">
        <v>2208</v>
      </c>
      <c r="P300" s="32" t="str">
        <f t="shared" si="10"/>
        <v>108,...,2208</v>
      </c>
    </row>
    <row r="301" spans="1:16" s="32" customFormat="1" ht="15.75" customHeight="1" x14ac:dyDescent="0.3">
      <c r="A301" s="87">
        <v>3</v>
      </c>
      <c r="B301" s="88"/>
      <c r="C301" s="38">
        <v>1</v>
      </c>
      <c r="D301" s="60">
        <f t="shared" si="12"/>
        <v>285.24599999999998</v>
      </c>
      <c r="E301" s="60">
        <v>0</v>
      </c>
      <c r="F301" s="60">
        <f t="shared" si="11"/>
        <v>442.13130000000001</v>
      </c>
      <c r="G301" s="98"/>
      <c r="H301" s="99"/>
      <c r="I301" s="31"/>
      <c r="K301" s="32">
        <f t="shared" si="9"/>
        <v>0</v>
      </c>
    </row>
    <row r="302" spans="1:16" s="32" customFormat="1" ht="15.75" customHeight="1" x14ac:dyDescent="0.3">
      <c r="A302" s="87">
        <v>4</v>
      </c>
      <c r="B302" s="88"/>
      <c r="C302" s="38">
        <v>1</v>
      </c>
      <c r="D302" s="60">
        <f t="shared" si="12"/>
        <v>285.24599999999998</v>
      </c>
      <c r="E302" s="60">
        <v>0</v>
      </c>
      <c r="F302" s="60">
        <f t="shared" si="11"/>
        <v>442.13130000000001</v>
      </c>
      <c r="G302" s="98"/>
      <c r="H302" s="99"/>
      <c r="I302" s="31"/>
      <c r="K302" s="32">
        <f t="shared" si="9"/>
        <v>2608574.67</v>
      </c>
    </row>
    <row r="303" spans="1:16" s="32" customFormat="1" ht="15.75" customHeight="1" x14ac:dyDescent="0.3">
      <c r="A303" s="87">
        <v>5</v>
      </c>
      <c r="B303" s="88"/>
      <c r="C303" s="38">
        <v>1</v>
      </c>
      <c r="D303" s="60">
        <f t="shared" si="12"/>
        <v>285.24599999999998</v>
      </c>
      <c r="E303" s="60">
        <v>0</v>
      </c>
      <c r="F303" s="60">
        <f t="shared" si="11"/>
        <v>442.13130000000001</v>
      </c>
      <c r="G303" s="98"/>
      <c r="H303" s="99"/>
      <c r="I303" s="31"/>
      <c r="K303" s="32">
        <f t="shared" si="9"/>
        <v>2608574.67</v>
      </c>
    </row>
    <row r="304" spans="1:16" s="32" customFormat="1" ht="15.75" customHeight="1" x14ac:dyDescent="0.3">
      <c r="A304" s="87">
        <v>6</v>
      </c>
      <c r="B304" s="88"/>
      <c r="C304" s="38">
        <v>1</v>
      </c>
      <c r="D304" s="60">
        <f t="shared" si="12"/>
        <v>285.24599999999998</v>
      </c>
      <c r="E304" s="60">
        <v>0</v>
      </c>
      <c r="F304" s="60">
        <f t="shared" si="11"/>
        <v>442.13130000000001</v>
      </c>
      <c r="G304" s="98"/>
      <c r="H304" s="99"/>
      <c r="I304" s="31"/>
      <c r="K304" s="32">
        <f t="shared" si="9"/>
        <v>0</v>
      </c>
    </row>
    <row r="305" spans="1:16" s="32" customFormat="1" ht="15.75" customHeight="1" x14ac:dyDescent="0.3">
      <c r="A305" s="87">
        <v>7</v>
      </c>
      <c r="B305" s="88"/>
      <c r="C305" s="38">
        <v>1</v>
      </c>
      <c r="D305" s="60">
        <f t="shared" si="12"/>
        <v>285.24599999999998</v>
      </c>
      <c r="E305" s="60">
        <v>0</v>
      </c>
      <c r="F305" s="60">
        <f t="shared" si="11"/>
        <v>442.13130000000001</v>
      </c>
      <c r="G305" s="98"/>
      <c r="H305" s="99"/>
      <c r="I305" s="31"/>
      <c r="K305" s="32">
        <f t="shared" si="9"/>
        <v>2608574.67</v>
      </c>
    </row>
    <row r="306" spans="1:16" s="32" customFormat="1" ht="15.75" customHeight="1" x14ac:dyDescent="0.3">
      <c r="A306" s="87">
        <v>8</v>
      </c>
      <c r="B306" s="88"/>
      <c r="C306" s="38">
        <v>1</v>
      </c>
      <c r="D306" s="60">
        <f>26.5*10.764</f>
        <v>285.24599999999998</v>
      </c>
      <c r="E306" s="60">
        <v>0</v>
      </c>
      <c r="F306" s="60">
        <f t="shared" si="11"/>
        <v>442.13130000000001</v>
      </c>
      <c r="G306" s="100"/>
      <c r="H306" s="101"/>
      <c r="I306" s="31"/>
      <c r="K306" s="32">
        <f t="shared" si="9"/>
        <v>2608574.67</v>
      </c>
    </row>
    <row r="307" spans="1:16" s="32" customFormat="1" ht="15.75" customHeight="1" x14ac:dyDescent="0.3">
      <c r="A307" s="89" t="s">
        <v>181</v>
      </c>
      <c r="B307" s="89"/>
      <c r="C307" s="89"/>
      <c r="D307" s="89"/>
      <c r="E307" s="89"/>
      <c r="F307" s="89"/>
      <c r="G307" s="89"/>
      <c r="H307" s="89"/>
      <c r="I307" s="31"/>
      <c r="K307" s="32">
        <f t="shared" si="9"/>
        <v>2608574.67</v>
      </c>
    </row>
    <row r="308" spans="1:16" s="32" customFormat="1" ht="15.75" customHeight="1" x14ac:dyDescent="0.3">
      <c r="A308" s="123">
        <v>1</v>
      </c>
      <c r="B308" s="123"/>
      <c r="C308" s="38">
        <v>1</v>
      </c>
      <c r="D308" s="60">
        <f>26.5*10.764</f>
        <v>285.24599999999998</v>
      </c>
      <c r="E308" s="60">
        <v>0</v>
      </c>
      <c r="F308" s="60">
        <f>D308*(($F$293)+1)+(IF(E308&lt;101,E308,IF(E308&lt;201,E308/2,IF(E308&lt;=301,E308/3,E308/4))))</f>
        <v>442.13130000000001</v>
      </c>
      <c r="G308" s="123" t="str">
        <f>A307</f>
        <v>8th, 13th &amp; 18th Floor (Part Refuge Area)</v>
      </c>
      <c r="H308" s="123"/>
      <c r="I308" s="31"/>
      <c r="K308" s="32">
        <f t="shared" si="9"/>
        <v>2608574.67</v>
      </c>
    </row>
    <row r="309" spans="1:16" s="32" customFormat="1" ht="15.75" customHeight="1" x14ac:dyDescent="0.3">
      <c r="A309" s="123">
        <v>2</v>
      </c>
      <c r="B309" s="123"/>
      <c r="C309" s="38">
        <v>1</v>
      </c>
      <c r="D309" s="60">
        <f>26.5*10.764</f>
        <v>285.24599999999998</v>
      </c>
      <c r="E309" s="60">
        <v>0</v>
      </c>
      <c r="F309" s="60">
        <f>D309*(($F$293)+1)+(IF(E309&lt;101,E309,IF(E309&lt;201,E309/2,IF(E309&lt;=301,E309/3,E309/4))))</f>
        <v>442.13130000000001</v>
      </c>
      <c r="G309" s="123"/>
      <c r="H309" s="123"/>
      <c r="I309" s="31"/>
      <c r="K309" s="32">
        <f t="shared" si="9"/>
        <v>2608574.67</v>
      </c>
    </row>
    <row r="310" spans="1:16" s="32" customFormat="1" x14ac:dyDescent="0.3">
      <c r="A310" s="123">
        <v>3</v>
      </c>
      <c r="B310" s="123"/>
      <c r="C310" s="155" t="s">
        <v>180</v>
      </c>
      <c r="D310" s="155"/>
      <c r="E310" s="155"/>
      <c r="F310" s="155"/>
      <c r="G310" s="123"/>
      <c r="H310" s="123"/>
      <c r="J310" s="31"/>
      <c r="K310" s="32">
        <f t="shared" si="9"/>
        <v>0</v>
      </c>
    </row>
    <row r="311" spans="1:16" s="32" customFormat="1" x14ac:dyDescent="0.3">
      <c r="A311" s="123">
        <v>4</v>
      </c>
      <c r="B311" s="123"/>
      <c r="C311" s="38">
        <v>1</v>
      </c>
      <c r="D311" s="60">
        <f>26.5*10.764</f>
        <v>285.24599999999998</v>
      </c>
      <c r="E311" s="60">
        <v>0</v>
      </c>
      <c r="F311" s="60">
        <f>D311*(($F$293)+1)+(IF(E311&lt;101,E311,IF(E311&lt;201,E311/2,IF(E311&lt;=301,E311/3,E311/4))))</f>
        <v>442.13130000000001</v>
      </c>
      <c r="G311" s="123"/>
      <c r="H311" s="123"/>
      <c r="J311" s="31"/>
      <c r="K311" s="32">
        <f t="shared" si="9"/>
        <v>0</v>
      </c>
    </row>
    <row r="312" spans="1:16" s="32" customFormat="1" ht="15.75" customHeight="1" x14ac:dyDescent="0.3">
      <c r="A312" s="123">
        <v>5</v>
      </c>
      <c r="B312" s="123"/>
      <c r="C312" s="38">
        <v>1</v>
      </c>
      <c r="D312" s="60">
        <f>26.5*10.764</f>
        <v>285.24599999999998</v>
      </c>
      <c r="E312" s="60">
        <v>0</v>
      </c>
      <c r="F312" s="60">
        <f>D312*(($F$293)+1)+(IF(E312&lt;101,E312,IF(E312&lt;201,E312/2,IF(E312&lt;=301,E312/3,E312/4))))</f>
        <v>442.13130000000001</v>
      </c>
      <c r="G312" s="123"/>
      <c r="H312" s="123"/>
      <c r="I312" s="31"/>
      <c r="K312" s="32">
        <f t="shared" si="9"/>
        <v>0</v>
      </c>
    </row>
    <row r="313" spans="1:16" s="32" customFormat="1" ht="15.75" customHeight="1" x14ac:dyDescent="0.3">
      <c r="A313" s="123">
        <v>6</v>
      </c>
      <c r="B313" s="123"/>
      <c r="C313" s="38">
        <v>1</v>
      </c>
      <c r="D313" s="60">
        <f>26.5*10.764</f>
        <v>285.24599999999998</v>
      </c>
      <c r="E313" s="60">
        <v>0</v>
      </c>
      <c r="F313" s="60">
        <f>D313*(($F$293)+1)+(IF(E313&lt;101,E313,IF(E313&lt;201,E313/2,IF(E313&lt;=301,E313/3,E313/4))))</f>
        <v>442.13130000000001</v>
      </c>
      <c r="G313" s="123"/>
      <c r="H313" s="123"/>
      <c r="I313" s="31"/>
      <c r="K313" s="32">
        <f t="shared" si="9"/>
        <v>2608574.67</v>
      </c>
      <c r="N313" s="32">
        <v>101</v>
      </c>
      <c r="O313" s="32">
        <v>2201</v>
      </c>
      <c r="P313" s="32" t="str">
        <f>N313&amp;""&amp;",...,"&amp;""&amp;O313</f>
        <v>101,...,2201</v>
      </c>
    </row>
    <row r="314" spans="1:16" s="32" customFormat="1" ht="15.75" customHeight="1" x14ac:dyDescent="0.3">
      <c r="A314" s="123">
        <v>7</v>
      </c>
      <c r="B314" s="123"/>
      <c r="C314" s="38">
        <v>1</v>
      </c>
      <c r="D314" s="60">
        <f>26.5*10.764</f>
        <v>285.24599999999998</v>
      </c>
      <c r="E314" s="60">
        <v>0</v>
      </c>
      <c r="F314" s="60">
        <f>D314*(($F$293)+1)+(IF(E314&lt;101,E314,IF(E314&lt;201,E314/2,IF(E314&lt;=301,E314/3,E314/4))))</f>
        <v>442.13130000000001</v>
      </c>
      <c r="G314" s="123"/>
      <c r="H314" s="123"/>
      <c r="I314" s="31"/>
      <c r="K314" s="32">
        <f t="shared" si="9"/>
        <v>2608574.67</v>
      </c>
      <c r="N314" s="32">
        <v>102</v>
      </c>
      <c r="O314" s="32">
        <v>2202</v>
      </c>
      <c r="P314" s="32" t="str">
        <f t="shared" ref="P314:P320" si="13">N314&amp;""&amp;",...,"&amp;""&amp;O314</f>
        <v>102,...,2202</v>
      </c>
    </row>
    <row r="315" spans="1:16" s="32" customFormat="1" ht="15.75" customHeight="1" x14ac:dyDescent="0.3">
      <c r="A315" s="123">
        <v>8</v>
      </c>
      <c r="B315" s="123"/>
      <c r="C315" s="38">
        <v>1</v>
      </c>
      <c r="D315" s="60">
        <f>26.5*10.764</f>
        <v>285.24599999999998</v>
      </c>
      <c r="E315" s="60">
        <v>0</v>
      </c>
      <c r="F315" s="60">
        <f>D315*(($F$293)+1)+(IF(E315&lt;101,E315,IF(E315&lt;201,E315/2,IF(E315&lt;=301,E315/3,E315/4))))</f>
        <v>442.13130000000001</v>
      </c>
      <c r="G315" s="123"/>
      <c r="H315" s="123"/>
      <c r="I315" s="31"/>
      <c r="K315" s="32">
        <f t="shared" si="9"/>
        <v>2608574.67</v>
      </c>
      <c r="N315" s="32">
        <v>103</v>
      </c>
      <c r="O315" s="32">
        <v>2203</v>
      </c>
      <c r="P315" s="32" t="str">
        <f t="shared" si="13"/>
        <v>103,...,2203</v>
      </c>
    </row>
    <row r="316" spans="1:16" s="32" customFormat="1" ht="15.75" customHeight="1" x14ac:dyDescent="0.3">
      <c r="A316" s="93" t="s">
        <v>182</v>
      </c>
      <c r="B316" s="94"/>
      <c r="C316" s="94"/>
      <c r="D316" s="94"/>
      <c r="E316" s="94"/>
      <c r="F316" s="94"/>
      <c r="G316" s="94"/>
      <c r="H316" s="95"/>
      <c r="I316" s="31"/>
      <c r="K316" s="32">
        <f t="shared" si="9"/>
        <v>2608574.67</v>
      </c>
      <c r="N316" s="32">
        <v>104</v>
      </c>
      <c r="O316" s="32">
        <v>2204</v>
      </c>
      <c r="P316" s="32" t="str">
        <f t="shared" si="13"/>
        <v>104,...,2204</v>
      </c>
    </row>
    <row r="317" spans="1:16" s="32" customFormat="1" ht="15.75" customHeight="1" x14ac:dyDescent="0.3">
      <c r="A317" s="93" t="s">
        <v>178</v>
      </c>
      <c r="B317" s="94"/>
      <c r="C317" s="94"/>
      <c r="D317" s="94"/>
      <c r="E317" s="94"/>
      <c r="F317" s="94"/>
      <c r="G317" s="94"/>
      <c r="H317" s="95"/>
      <c r="I317" s="31"/>
      <c r="K317" s="32">
        <f t="shared" si="9"/>
        <v>2608574.67</v>
      </c>
      <c r="N317" s="32">
        <v>105</v>
      </c>
      <c r="O317" s="32">
        <v>2205</v>
      </c>
      <c r="P317" s="32" t="str">
        <f t="shared" si="13"/>
        <v>105,...,2205</v>
      </c>
    </row>
    <row r="318" spans="1:16" s="32" customFormat="1" ht="15.75" customHeight="1" x14ac:dyDescent="0.3">
      <c r="A318" s="93" t="s">
        <v>179</v>
      </c>
      <c r="B318" s="94"/>
      <c r="C318" s="94"/>
      <c r="D318" s="94"/>
      <c r="E318" s="94"/>
      <c r="F318" s="94"/>
      <c r="G318" s="94"/>
      <c r="H318" s="95"/>
      <c r="I318" s="31"/>
      <c r="K318" s="32">
        <f t="shared" si="9"/>
        <v>2608574.67</v>
      </c>
      <c r="N318" s="32">
        <v>106</v>
      </c>
      <c r="O318" s="32">
        <v>2206</v>
      </c>
      <c r="P318" s="32" t="str">
        <f t="shared" si="13"/>
        <v>106,...,2206</v>
      </c>
    </row>
    <row r="319" spans="1:16" s="32" customFormat="1" ht="15.75" customHeight="1" x14ac:dyDescent="0.3">
      <c r="A319" s="87">
        <v>1</v>
      </c>
      <c r="B319" s="88"/>
      <c r="C319" s="38">
        <v>1</v>
      </c>
      <c r="D319" s="60">
        <f>26.5*10.764</f>
        <v>285.24599999999998</v>
      </c>
      <c r="E319" s="60">
        <v>0</v>
      </c>
      <c r="F319" s="60">
        <f t="shared" ref="F319:F326" si="14">D319*(($F$293)+1)+(IF(E319&lt;101,E319,IF(E319&lt;201,E319/2,IF(E319&lt;=301,E319/3,E319/4))))</f>
        <v>442.13130000000001</v>
      </c>
      <c r="G319" s="96" t="str">
        <f>A318</f>
        <v>1st to 7th &amp; 9th to 12th &amp; 14th to 17th &amp; 19th to 22nd Floor For Residential</v>
      </c>
      <c r="H319" s="97"/>
      <c r="I319" s="31"/>
      <c r="K319" s="32">
        <f t="shared" si="9"/>
        <v>2608574.67</v>
      </c>
      <c r="N319" s="32">
        <v>107</v>
      </c>
      <c r="O319" s="32">
        <v>2207</v>
      </c>
      <c r="P319" s="32" t="str">
        <f t="shared" si="13"/>
        <v>107,...,2207</v>
      </c>
    </row>
    <row r="320" spans="1:16" s="32" customFormat="1" ht="15.75" customHeight="1" x14ac:dyDescent="0.3">
      <c r="A320" s="87">
        <v>2</v>
      </c>
      <c r="B320" s="88"/>
      <c r="C320" s="38">
        <v>1</v>
      </c>
      <c r="D320" s="60">
        <f t="shared" ref="D320:D325" si="15">26.5*10.764</f>
        <v>285.24599999999998</v>
      </c>
      <c r="E320" s="60">
        <v>0</v>
      </c>
      <c r="F320" s="60">
        <f t="shared" si="14"/>
        <v>442.13130000000001</v>
      </c>
      <c r="G320" s="98"/>
      <c r="H320" s="99"/>
      <c r="I320" s="31"/>
      <c r="K320" s="32">
        <f t="shared" si="9"/>
        <v>2608574.67</v>
      </c>
      <c r="N320" s="32">
        <v>108</v>
      </c>
      <c r="O320" s="32">
        <v>2208</v>
      </c>
      <c r="P320" s="32" t="str">
        <f t="shared" si="13"/>
        <v>108,...,2208</v>
      </c>
    </row>
    <row r="321" spans="1:16" s="32" customFormat="1" ht="15.75" customHeight="1" x14ac:dyDescent="0.3">
      <c r="A321" s="87">
        <v>3</v>
      </c>
      <c r="B321" s="88"/>
      <c r="C321" s="38">
        <v>1</v>
      </c>
      <c r="D321" s="60">
        <f t="shared" si="15"/>
        <v>285.24599999999998</v>
      </c>
      <c r="E321" s="60">
        <v>0</v>
      </c>
      <c r="F321" s="60">
        <f t="shared" si="14"/>
        <v>442.13130000000001</v>
      </c>
      <c r="G321" s="98"/>
      <c r="H321" s="99"/>
      <c r="I321" s="31"/>
      <c r="K321" s="32">
        <f t="shared" si="9"/>
        <v>0</v>
      </c>
    </row>
    <row r="322" spans="1:16" s="32" customFormat="1" ht="15.75" customHeight="1" x14ac:dyDescent="0.3">
      <c r="A322" s="87">
        <v>4</v>
      </c>
      <c r="B322" s="88"/>
      <c r="C322" s="38">
        <v>1</v>
      </c>
      <c r="D322" s="60">
        <f t="shared" si="15"/>
        <v>285.24599999999998</v>
      </c>
      <c r="E322" s="60">
        <v>0</v>
      </c>
      <c r="F322" s="60">
        <f t="shared" si="14"/>
        <v>442.13130000000001</v>
      </c>
      <c r="G322" s="98"/>
      <c r="H322" s="99"/>
      <c r="I322" s="31"/>
      <c r="K322" s="32">
        <f t="shared" si="9"/>
        <v>2608574.67</v>
      </c>
    </row>
    <row r="323" spans="1:16" s="32" customFormat="1" ht="15.75" customHeight="1" x14ac:dyDescent="0.3">
      <c r="A323" s="87">
        <v>5</v>
      </c>
      <c r="B323" s="88"/>
      <c r="C323" s="38">
        <v>1</v>
      </c>
      <c r="D323" s="60">
        <f t="shared" si="15"/>
        <v>285.24599999999998</v>
      </c>
      <c r="E323" s="60">
        <v>0</v>
      </c>
      <c r="F323" s="60">
        <f t="shared" si="14"/>
        <v>442.13130000000001</v>
      </c>
      <c r="G323" s="98"/>
      <c r="H323" s="99"/>
      <c r="I323" s="31"/>
      <c r="K323" s="32">
        <f t="shared" si="9"/>
        <v>2608574.67</v>
      </c>
    </row>
    <row r="324" spans="1:16" s="32" customFormat="1" ht="15.75" customHeight="1" x14ac:dyDescent="0.3">
      <c r="A324" s="87">
        <v>6</v>
      </c>
      <c r="B324" s="88"/>
      <c r="C324" s="38">
        <v>1</v>
      </c>
      <c r="D324" s="60">
        <f t="shared" si="15"/>
        <v>285.24599999999998</v>
      </c>
      <c r="E324" s="60">
        <v>0</v>
      </c>
      <c r="F324" s="60">
        <f t="shared" si="14"/>
        <v>442.13130000000001</v>
      </c>
      <c r="G324" s="98"/>
      <c r="H324" s="99"/>
      <c r="I324" s="31"/>
      <c r="K324" s="32">
        <f t="shared" si="9"/>
        <v>0</v>
      </c>
    </row>
    <row r="325" spans="1:16" s="32" customFormat="1" ht="15.75" customHeight="1" x14ac:dyDescent="0.3">
      <c r="A325" s="87">
        <v>7</v>
      </c>
      <c r="B325" s="88"/>
      <c r="C325" s="38">
        <v>1</v>
      </c>
      <c r="D325" s="60">
        <f t="shared" si="15"/>
        <v>285.24599999999998</v>
      </c>
      <c r="E325" s="60">
        <v>0</v>
      </c>
      <c r="F325" s="60">
        <f t="shared" si="14"/>
        <v>442.13130000000001</v>
      </c>
      <c r="G325" s="98"/>
      <c r="H325" s="99"/>
      <c r="I325" s="31"/>
      <c r="K325" s="32">
        <f t="shared" ref="K325:K356" si="16">5900*F331</f>
        <v>2608574.67</v>
      </c>
    </row>
    <row r="326" spans="1:16" s="32" customFormat="1" ht="15.75" customHeight="1" x14ac:dyDescent="0.3">
      <c r="A326" s="87">
        <v>8</v>
      </c>
      <c r="B326" s="88"/>
      <c r="C326" s="38">
        <v>1</v>
      </c>
      <c r="D326" s="60">
        <f>26.5*10.764</f>
        <v>285.24599999999998</v>
      </c>
      <c r="E326" s="60">
        <v>0</v>
      </c>
      <c r="F326" s="60">
        <f t="shared" si="14"/>
        <v>442.13130000000001</v>
      </c>
      <c r="G326" s="100"/>
      <c r="H326" s="101"/>
      <c r="I326" s="31"/>
      <c r="K326" s="32">
        <f t="shared" si="16"/>
        <v>2608574.67</v>
      </c>
    </row>
    <row r="327" spans="1:16" s="32" customFormat="1" ht="15.75" customHeight="1" x14ac:dyDescent="0.3">
      <c r="A327" s="93" t="s">
        <v>181</v>
      </c>
      <c r="B327" s="94"/>
      <c r="C327" s="94"/>
      <c r="D327" s="94"/>
      <c r="E327" s="94"/>
      <c r="F327" s="94"/>
      <c r="G327" s="94"/>
      <c r="H327" s="95"/>
      <c r="I327" s="31"/>
      <c r="K327" s="32">
        <f t="shared" si="16"/>
        <v>2608574.67</v>
      </c>
    </row>
    <row r="328" spans="1:16" s="32" customFormat="1" ht="15.75" customHeight="1" x14ac:dyDescent="0.3">
      <c r="A328" s="87">
        <v>1</v>
      </c>
      <c r="B328" s="88"/>
      <c r="C328" s="38">
        <v>1</v>
      </c>
      <c r="D328" s="60">
        <f>26.5*10.764</f>
        <v>285.24599999999998</v>
      </c>
      <c r="E328" s="60">
        <v>0</v>
      </c>
      <c r="F328" s="60">
        <f>D328*(($F$293)+1)+(IF(E328&lt;101,E328,IF(E328&lt;201,E328/2,IF(E328&lt;=301,E328/3,E328/4))))</f>
        <v>442.13130000000001</v>
      </c>
      <c r="G328" s="96" t="str">
        <f>A327</f>
        <v>8th, 13th &amp; 18th Floor (Part Refuge Area)</v>
      </c>
      <c r="H328" s="97"/>
      <c r="I328" s="31"/>
      <c r="K328" s="32">
        <f t="shared" si="16"/>
        <v>2608574.67</v>
      </c>
    </row>
    <row r="329" spans="1:16" s="32" customFormat="1" ht="15.75" customHeight="1" x14ac:dyDescent="0.3">
      <c r="A329" s="87">
        <v>2</v>
      </c>
      <c r="B329" s="88"/>
      <c r="C329" s="38">
        <v>1</v>
      </c>
      <c r="D329" s="60">
        <f>26.5*10.764</f>
        <v>285.24599999999998</v>
      </c>
      <c r="E329" s="60">
        <v>0</v>
      </c>
      <c r="F329" s="60">
        <f>D329*(($F$293)+1)+(IF(E329&lt;101,E329,IF(E329&lt;201,E329/2,IF(E329&lt;=301,E329/3,E329/4))))</f>
        <v>442.13130000000001</v>
      </c>
      <c r="G329" s="98"/>
      <c r="H329" s="99"/>
      <c r="I329" s="31"/>
      <c r="K329" s="32">
        <f t="shared" si="16"/>
        <v>2608574.67</v>
      </c>
    </row>
    <row r="330" spans="1:16" s="32" customFormat="1" x14ac:dyDescent="0.3">
      <c r="A330" s="87">
        <v>3</v>
      </c>
      <c r="B330" s="88"/>
      <c r="C330" s="124" t="s">
        <v>180</v>
      </c>
      <c r="D330" s="125"/>
      <c r="E330" s="125"/>
      <c r="F330" s="126"/>
      <c r="G330" s="98"/>
      <c r="H330" s="99"/>
      <c r="J330" s="31"/>
      <c r="K330" s="32">
        <f t="shared" si="16"/>
        <v>0</v>
      </c>
    </row>
    <row r="331" spans="1:16" s="32" customFormat="1" x14ac:dyDescent="0.3">
      <c r="A331" s="87">
        <v>4</v>
      </c>
      <c r="B331" s="88"/>
      <c r="C331" s="38">
        <v>1</v>
      </c>
      <c r="D331" s="60">
        <f>26.5*10.764</f>
        <v>285.24599999999998</v>
      </c>
      <c r="E331" s="60">
        <v>0</v>
      </c>
      <c r="F331" s="60">
        <f>D331*(($F$293)+1)+(IF(E331&lt;101,E331,IF(E331&lt;201,E331/2,IF(E331&lt;=301,E331/3,E331/4))))</f>
        <v>442.13130000000001</v>
      </c>
      <c r="G331" s="98"/>
      <c r="H331" s="99"/>
      <c r="J331" s="31"/>
      <c r="K331" s="32">
        <f t="shared" si="16"/>
        <v>0</v>
      </c>
    </row>
    <row r="332" spans="1:16" s="32" customFormat="1" ht="15.75" customHeight="1" x14ac:dyDescent="0.3">
      <c r="A332" s="87">
        <v>5</v>
      </c>
      <c r="B332" s="88"/>
      <c r="C332" s="38">
        <v>1</v>
      </c>
      <c r="D332" s="60">
        <f>26.5*10.764</f>
        <v>285.24599999999998</v>
      </c>
      <c r="E332" s="60">
        <v>0</v>
      </c>
      <c r="F332" s="60">
        <f>D332*(($F$293)+1)+(IF(E332&lt;101,E332,IF(E332&lt;201,E332/2,IF(E332&lt;=301,E332/3,E332/4))))</f>
        <v>442.13130000000001</v>
      </c>
      <c r="G332" s="98"/>
      <c r="H332" s="99"/>
      <c r="I332" s="31"/>
      <c r="K332" s="32">
        <f t="shared" si="16"/>
        <v>0</v>
      </c>
    </row>
    <row r="333" spans="1:16" s="32" customFormat="1" ht="15.75" customHeight="1" x14ac:dyDescent="0.3">
      <c r="A333" s="87">
        <v>6</v>
      </c>
      <c r="B333" s="88"/>
      <c r="C333" s="38">
        <v>1</v>
      </c>
      <c r="D333" s="60">
        <f>26.5*10.764</f>
        <v>285.24599999999998</v>
      </c>
      <c r="E333" s="60">
        <v>0</v>
      </c>
      <c r="F333" s="60">
        <f>D333*(($F$293)+1)+(IF(E333&lt;101,E333,IF(E333&lt;201,E333/2,IF(E333&lt;=301,E333/3,E333/4))))</f>
        <v>442.13130000000001</v>
      </c>
      <c r="G333" s="98"/>
      <c r="H333" s="99"/>
      <c r="I333" s="31"/>
      <c r="K333" s="32">
        <f t="shared" si="16"/>
        <v>2608574.67</v>
      </c>
      <c r="N333" s="32">
        <v>101</v>
      </c>
      <c r="O333" s="32">
        <v>2201</v>
      </c>
      <c r="P333" s="32" t="str">
        <f>N333&amp;""&amp;",...,"&amp;""&amp;O333</f>
        <v>101,...,2201</v>
      </c>
    </row>
    <row r="334" spans="1:16" s="32" customFormat="1" ht="15.75" customHeight="1" x14ac:dyDescent="0.3">
      <c r="A334" s="87">
        <v>7</v>
      </c>
      <c r="B334" s="88"/>
      <c r="C334" s="38">
        <v>1</v>
      </c>
      <c r="D334" s="60">
        <f>26.5*10.764</f>
        <v>285.24599999999998</v>
      </c>
      <c r="E334" s="60">
        <v>0</v>
      </c>
      <c r="F334" s="60">
        <f>D334*(($F$293)+1)+(IF(E334&lt;101,E334,IF(E334&lt;201,E334/2,IF(E334&lt;=301,E334/3,E334/4))))</f>
        <v>442.13130000000001</v>
      </c>
      <c r="G334" s="98"/>
      <c r="H334" s="99"/>
      <c r="I334" s="31"/>
      <c r="K334" s="32">
        <f t="shared" si="16"/>
        <v>2608574.67</v>
      </c>
      <c r="N334" s="32">
        <v>102</v>
      </c>
      <c r="O334" s="32">
        <v>2202</v>
      </c>
      <c r="P334" s="32" t="str">
        <f t="shared" ref="P334:P340" si="17">N334&amp;""&amp;",...,"&amp;""&amp;O334</f>
        <v>102,...,2202</v>
      </c>
    </row>
    <row r="335" spans="1:16" s="32" customFormat="1" ht="15.75" customHeight="1" x14ac:dyDescent="0.3">
      <c r="A335" s="87">
        <v>8</v>
      </c>
      <c r="B335" s="88"/>
      <c r="C335" s="38">
        <v>1</v>
      </c>
      <c r="D335" s="60">
        <f>26.5*10.764</f>
        <v>285.24599999999998</v>
      </c>
      <c r="E335" s="60">
        <v>0</v>
      </c>
      <c r="F335" s="60">
        <f>D335*(($F$293)+1)+(IF(E335&lt;101,E335,IF(E335&lt;201,E335/2,IF(E335&lt;=301,E335/3,E335/4))))</f>
        <v>442.13130000000001</v>
      </c>
      <c r="G335" s="100"/>
      <c r="H335" s="101"/>
      <c r="I335" s="31"/>
      <c r="K335" s="32">
        <f t="shared" si="16"/>
        <v>2608574.67</v>
      </c>
      <c r="N335" s="32">
        <v>103</v>
      </c>
      <c r="O335" s="32">
        <v>2203</v>
      </c>
      <c r="P335" s="32" t="str">
        <f t="shared" si="17"/>
        <v>103,...,2203</v>
      </c>
    </row>
    <row r="336" spans="1:16" s="32" customFormat="1" ht="15.75" customHeight="1" x14ac:dyDescent="0.3">
      <c r="A336" s="93" t="s">
        <v>183</v>
      </c>
      <c r="B336" s="94"/>
      <c r="C336" s="94"/>
      <c r="D336" s="94"/>
      <c r="E336" s="94"/>
      <c r="F336" s="94"/>
      <c r="G336" s="94"/>
      <c r="H336" s="95"/>
      <c r="I336" s="31"/>
      <c r="K336" s="32">
        <f t="shared" si="16"/>
        <v>2608574.67</v>
      </c>
      <c r="N336" s="32">
        <v>104</v>
      </c>
      <c r="O336" s="32">
        <v>2204</v>
      </c>
      <c r="P336" s="32" t="str">
        <f t="shared" si="17"/>
        <v>104,...,2204</v>
      </c>
    </row>
    <row r="337" spans="1:16" s="32" customFormat="1" ht="15.75" customHeight="1" x14ac:dyDescent="0.3">
      <c r="A337" s="93" t="s">
        <v>178</v>
      </c>
      <c r="B337" s="94"/>
      <c r="C337" s="94"/>
      <c r="D337" s="94"/>
      <c r="E337" s="94"/>
      <c r="F337" s="94"/>
      <c r="G337" s="94"/>
      <c r="H337" s="95"/>
      <c r="I337" s="31"/>
      <c r="K337" s="32">
        <f t="shared" si="16"/>
        <v>2608574.67</v>
      </c>
      <c r="N337" s="32">
        <v>105</v>
      </c>
      <c r="O337" s="32">
        <v>2205</v>
      </c>
      <c r="P337" s="32" t="str">
        <f t="shared" si="17"/>
        <v>105,...,2205</v>
      </c>
    </row>
    <row r="338" spans="1:16" s="32" customFormat="1" ht="15.75" customHeight="1" x14ac:dyDescent="0.3">
      <c r="A338" s="93" t="s">
        <v>179</v>
      </c>
      <c r="B338" s="94"/>
      <c r="C338" s="94"/>
      <c r="D338" s="94"/>
      <c r="E338" s="94"/>
      <c r="F338" s="94"/>
      <c r="G338" s="94"/>
      <c r="H338" s="95"/>
      <c r="I338" s="31"/>
      <c r="K338" s="32">
        <f t="shared" si="16"/>
        <v>2608574.67</v>
      </c>
      <c r="N338" s="32">
        <v>106</v>
      </c>
      <c r="O338" s="32">
        <v>2206</v>
      </c>
      <c r="P338" s="32" t="str">
        <f t="shared" si="17"/>
        <v>106,...,2206</v>
      </c>
    </row>
    <row r="339" spans="1:16" s="32" customFormat="1" ht="15.75" customHeight="1" x14ac:dyDescent="0.3">
      <c r="A339" s="87">
        <v>1</v>
      </c>
      <c r="B339" s="88"/>
      <c r="C339" s="38">
        <v>1</v>
      </c>
      <c r="D339" s="60">
        <f>26.5*10.764</f>
        <v>285.24599999999998</v>
      </c>
      <c r="E339" s="60">
        <v>0</v>
      </c>
      <c r="F339" s="60">
        <f t="shared" ref="F339:F346" si="18">D339*(($F$293)+1)+(IF(E339&lt;101,E339,IF(E339&lt;201,E339/2,IF(E339&lt;=301,E339/3,E339/4))))</f>
        <v>442.13130000000001</v>
      </c>
      <c r="G339" s="96" t="str">
        <f>A338</f>
        <v>1st to 7th &amp; 9th to 12th &amp; 14th to 17th &amp; 19th to 22nd Floor For Residential</v>
      </c>
      <c r="H339" s="97"/>
      <c r="I339" s="31"/>
      <c r="K339" s="32">
        <f t="shared" si="16"/>
        <v>2608574.67</v>
      </c>
      <c r="N339" s="32">
        <v>107</v>
      </c>
      <c r="O339" s="32">
        <v>2207</v>
      </c>
      <c r="P339" s="32" t="str">
        <f t="shared" si="17"/>
        <v>107,...,2207</v>
      </c>
    </row>
    <row r="340" spans="1:16" s="32" customFormat="1" ht="15.75" customHeight="1" x14ac:dyDescent="0.3">
      <c r="A340" s="87">
        <v>2</v>
      </c>
      <c r="B340" s="88"/>
      <c r="C340" s="38">
        <v>1</v>
      </c>
      <c r="D340" s="60">
        <f t="shared" ref="D340:D345" si="19">26.5*10.764</f>
        <v>285.24599999999998</v>
      </c>
      <c r="E340" s="60">
        <v>0</v>
      </c>
      <c r="F340" s="60">
        <f t="shared" si="18"/>
        <v>442.13130000000001</v>
      </c>
      <c r="G340" s="98"/>
      <c r="H340" s="99"/>
      <c r="I340" s="31"/>
      <c r="K340" s="32">
        <f t="shared" si="16"/>
        <v>2608574.67</v>
      </c>
      <c r="N340" s="32">
        <v>108</v>
      </c>
      <c r="O340" s="32">
        <v>2208</v>
      </c>
      <c r="P340" s="32" t="str">
        <f t="shared" si="17"/>
        <v>108,...,2208</v>
      </c>
    </row>
    <row r="341" spans="1:16" s="32" customFormat="1" ht="15.75" customHeight="1" x14ac:dyDescent="0.3">
      <c r="A341" s="87">
        <v>3</v>
      </c>
      <c r="B341" s="88"/>
      <c r="C341" s="38">
        <v>1</v>
      </c>
      <c r="D341" s="60">
        <f t="shared" si="19"/>
        <v>285.24599999999998</v>
      </c>
      <c r="E341" s="60">
        <v>0</v>
      </c>
      <c r="F341" s="60">
        <f t="shared" si="18"/>
        <v>442.13130000000001</v>
      </c>
      <c r="G341" s="98"/>
      <c r="H341" s="99"/>
      <c r="I341" s="31"/>
      <c r="K341" s="32">
        <f t="shared" si="16"/>
        <v>0</v>
      </c>
    </row>
    <row r="342" spans="1:16" s="32" customFormat="1" ht="15.75" customHeight="1" x14ac:dyDescent="0.3">
      <c r="A342" s="87">
        <v>4</v>
      </c>
      <c r="B342" s="88"/>
      <c r="C342" s="38">
        <v>1</v>
      </c>
      <c r="D342" s="60">
        <f t="shared" si="19"/>
        <v>285.24599999999998</v>
      </c>
      <c r="E342" s="60">
        <v>0</v>
      </c>
      <c r="F342" s="60">
        <f t="shared" si="18"/>
        <v>442.13130000000001</v>
      </c>
      <c r="G342" s="98"/>
      <c r="H342" s="99"/>
      <c r="I342" s="31"/>
      <c r="K342" s="32">
        <f t="shared" si="16"/>
        <v>2608574.67</v>
      </c>
    </row>
    <row r="343" spans="1:16" s="32" customFormat="1" ht="15.75" customHeight="1" x14ac:dyDescent="0.3">
      <c r="A343" s="87">
        <v>5</v>
      </c>
      <c r="B343" s="88"/>
      <c r="C343" s="38">
        <v>1</v>
      </c>
      <c r="D343" s="60">
        <f t="shared" si="19"/>
        <v>285.24599999999998</v>
      </c>
      <c r="E343" s="60">
        <v>0</v>
      </c>
      <c r="F343" s="60">
        <f t="shared" si="18"/>
        <v>442.13130000000001</v>
      </c>
      <c r="G343" s="98"/>
      <c r="H343" s="99"/>
      <c r="I343" s="31"/>
      <c r="K343" s="32">
        <f t="shared" si="16"/>
        <v>2608574.67</v>
      </c>
    </row>
    <row r="344" spans="1:16" s="32" customFormat="1" ht="15.75" customHeight="1" x14ac:dyDescent="0.3">
      <c r="A344" s="87">
        <v>6</v>
      </c>
      <c r="B344" s="88"/>
      <c r="C344" s="38">
        <v>1</v>
      </c>
      <c r="D344" s="60">
        <f t="shared" si="19"/>
        <v>285.24599999999998</v>
      </c>
      <c r="E344" s="60">
        <v>0</v>
      </c>
      <c r="F344" s="60">
        <f t="shared" si="18"/>
        <v>442.13130000000001</v>
      </c>
      <c r="G344" s="98"/>
      <c r="H344" s="99"/>
      <c r="I344" s="31"/>
      <c r="K344" s="32">
        <f t="shared" si="16"/>
        <v>0</v>
      </c>
    </row>
    <row r="345" spans="1:16" s="32" customFormat="1" ht="15.75" customHeight="1" x14ac:dyDescent="0.3">
      <c r="A345" s="87">
        <v>7</v>
      </c>
      <c r="B345" s="88"/>
      <c r="C345" s="38">
        <v>1</v>
      </c>
      <c r="D345" s="60">
        <f t="shared" si="19"/>
        <v>285.24599999999998</v>
      </c>
      <c r="E345" s="60">
        <v>0</v>
      </c>
      <c r="F345" s="60">
        <f t="shared" si="18"/>
        <v>442.13130000000001</v>
      </c>
      <c r="G345" s="98"/>
      <c r="H345" s="99"/>
      <c r="I345" s="31"/>
      <c r="K345" s="32">
        <f t="shared" si="16"/>
        <v>2608574.67</v>
      </c>
    </row>
    <row r="346" spans="1:16" s="32" customFormat="1" ht="15.75" customHeight="1" x14ac:dyDescent="0.3">
      <c r="A346" s="87">
        <v>8</v>
      </c>
      <c r="B346" s="88"/>
      <c r="C346" s="38">
        <v>1</v>
      </c>
      <c r="D346" s="60">
        <f>26.5*10.764</f>
        <v>285.24599999999998</v>
      </c>
      <c r="E346" s="60">
        <v>0</v>
      </c>
      <c r="F346" s="60">
        <f t="shared" si="18"/>
        <v>442.13130000000001</v>
      </c>
      <c r="G346" s="100"/>
      <c r="H346" s="101"/>
      <c r="I346" s="31"/>
      <c r="K346" s="32">
        <f t="shared" si="16"/>
        <v>2608574.67</v>
      </c>
    </row>
    <row r="347" spans="1:16" s="32" customFormat="1" ht="15.75" customHeight="1" x14ac:dyDescent="0.3">
      <c r="A347" s="89" t="s">
        <v>181</v>
      </c>
      <c r="B347" s="89"/>
      <c r="C347" s="89"/>
      <c r="D347" s="89"/>
      <c r="E347" s="89"/>
      <c r="F347" s="89"/>
      <c r="G347" s="89"/>
      <c r="H347" s="89"/>
      <c r="I347" s="31"/>
      <c r="K347" s="32">
        <f t="shared" si="16"/>
        <v>2608574.67</v>
      </c>
    </row>
    <row r="348" spans="1:16" s="32" customFormat="1" ht="15.75" customHeight="1" x14ac:dyDescent="0.3">
      <c r="A348" s="123">
        <v>1</v>
      </c>
      <c r="B348" s="123"/>
      <c r="C348" s="38">
        <v>1</v>
      </c>
      <c r="D348" s="60">
        <f>26.5*10.764</f>
        <v>285.24599999999998</v>
      </c>
      <c r="E348" s="60">
        <v>0</v>
      </c>
      <c r="F348" s="60">
        <f>D348*(($F$293)+1)+(IF(E348&lt;101,E348,IF(E348&lt;201,E348/2,IF(E348&lt;=301,E348/3,E348/4))))</f>
        <v>442.13130000000001</v>
      </c>
      <c r="G348" s="123" t="str">
        <f>A347</f>
        <v>8th, 13th &amp; 18th Floor (Part Refuge Area)</v>
      </c>
      <c r="H348" s="123"/>
      <c r="I348" s="31"/>
      <c r="K348" s="32">
        <f t="shared" si="16"/>
        <v>2608574.67</v>
      </c>
    </row>
    <row r="349" spans="1:16" s="32" customFormat="1" ht="15.75" customHeight="1" x14ac:dyDescent="0.3">
      <c r="A349" s="123">
        <v>2</v>
      </c>
      <c r="B349" s="123"/>
      <c r="C349" s="38">
        <v>1</v>
      </c>
      <c r="D349" s="60">
        <f>26.5*10.764</f>
        <v>285.24599999999998</v>
      </c>
      <c r="E349" s="60">
        <v>0</v>
      </c>
      <c r="F349" s="60">
        <f>D349*(($F$293)+1)+(IF(E349&lt;101,E349,IF(E349&lt;201,E349/2,IF(E349&lt;=301,E349/3,E349/4))))</f>
        <v>442.13130000000001</v>
      </c>
      <c r="G349" s="123"/>
      <c r="H349" s="123"/>
      <c r="I349" s="31"/>
      <c r="K349" s="32">
        <f t="shared" si="16"/>
        <v>2608574.67</v>
      </c>
    </row>
    <row r="350" spans="1:16" s="32" customFormat="1" x14ac:dyDescent="0.3">
      <c r="A350" s="123">
        <v>3</v>
      </c>
      <c r="B350" s="123"/>
      <c r="C350" s="155" t="s">
        <v>180</v>
      </c>
      <c r="D350" s="155"/>
      <c r="E350" s="155"/>
      <c r="F350" s="155"/>
      <c r="G350" s="123"/>
      <c r="H350" s="123"/>
      <c r="J350" s="31"/>
      <c r="K350" s="32">
        <f t="shared" si="16"/>
        <v>0</v>
      </c>
    </row>
    <row r="351" spans="1:16" s="32" customFormat="1" x14ac:dyDescent="0.3">
      <c r="A351" s="123">
        <v>4</v>
      </c>
      <c r="B351" s="123"/>
      <c r="C351" s="38">
        <v>1</v>
      </c>
      <c r="D351" s="60">
        <f>26.5*10.764</f>
        <v>285.24599999999998</v>
      </c>
      <c r="E351" s="60">
        <v>0</v>
      </c>
      <c r="F351" s="60">
        <f>D351*(($F$293)+1)+(IF(E351&lt;101,E351,IF(E351&lt;201,E351/2,IF(E351&lt;=301,E351/3,E351/4))))</f>
        <v>442.13130000000001</v>
      </c>
      <c r="G351" s="123"/>
      <c r="H351" s="123"/>
      <c r="J351" s="31"/>
      <c r="K351" s="32">
        <f t="shared" si="16"/>
        <v>0</v>
      </c>
    </row>
    <row r="352" spans="1:16" s="32" customFormat="1" ht="15.75" customHeight="1" x14ac:dyDescent="0.3">
      <c r="A352" s="123">
        <v>5</v>
      </c>
      <c r="B352" s="123"/>
      <c r="C352" s="38">
        <v>1</v>
      </c>
      <c r="D352" s="60">
        <f>26.5*10.764</f>
        <v>285.24599999999998</v>
      </c>
      <c r="E352" s="60">
        <v>0</v>
      </c>
      <c r="F352" s="60">
        <f>D352*(($F$293)+1)+(IF(E352&lt;101,E352,IF(E352&lt;201,E352/2,IF(E352&lt;=301,E352/3,E352/4))))</f>
        <v>442.13130000000001</v>
      </c>
      <c r="G352" s="123"/>
      <c r="H352" s="123"/>
      <c r="I352" s="31"/>
      <c r="K352" s="32">
        <f t="shared" si="16"/>
        <v>0</v>
      </c>
    </row>
    <row r="353" spans="1:16" s="32" customFormat="1" ht="15.75" customHeight="1" x14ac:dyDescent="0.3">
      <c r="A353" s="123">
        <v>6</v>
      </c>
      <c r="B353" s="123"/>
      <c r="C353" s="38">
        <v>1</v>
      </c>
      <c r="D353" s="60">
        <f>26.5*10.764</f>
        <v>285.24599999999998</v>
      </c>
      <c r="E353" s="60">
        <v>0</v>
      </c>
      <c r="F353" s="60">
        <f>D353*(($F$293)+1)+(IF(E353&lt;101,E353,IF(E353&lt;201,E353/2,IF(E353&lt;=301,E353/3,E353/4))))</f>
        <v>442.13130000000001</v>
      </c>
      <c r="G353" s="123"/>
      <c r="H353" s="123"/>
      <c r="I353" s="31"/>
      <c r="K353" s="32">
        <f t="shared" si="16"/>
        <v>3322241.3249999997</v>
      </c>
      <c r="N353" s="32">
        <v>101</v>
      </c>
      <c r="O353" s="32">
        <v>2201</v>
      </c>
      <c r="P353" s="32" t="str">
        <f>N353&amp;""&amp;",...,"&amp;""&amp;O353</f>
        <v>101,...,2201</v>
      </c>
    </row>
    <row r="354" spans="1:16" s="32" customFormat="1" ht="15.75" customHeight="1" x14ac:dyDescent="0.3">
      <c r="A354" s="123">
        <v>7</v>
      </c>
      <c r="B354" s="123"/>
      <c r="C354" s="38">
        <v>1</v>
      </c>
      <c r="D354" s="60">
        <f>26.5*10.764</f>
        <v>285.24599999999998</v>
      </c>
      <c r="E354" s="60">
        <v>0</v>
      </c>
      <c r="F354" s="60">
        <f>D354*(($F$293)+1)+(IF(E354&lt;101,E354,IF(E354&lt;201,E354/2,IF(E354&lt;=301,E354/3,E354/4))))</f>
        <v>442.13130000000001</v>
      </c>
      <c r="G354" s="123"/>
      <c r="H354" s="123"/>
      <c r="I354" s="31"/>
      <c r="K354" s="32">
        <f t="shared" si="16"/>
        <v>3322241.3249999997</v>
      </c>
      <c r="N354" s="32">
        <v>102</v>
      </c>
      <c r="O354" s="32">
        <v>2202</v>
      </c>
      <c r="P354" s="32" t="str">
        <f t="shared" ref="P354:P360" si="20">N354&amp;""&amp;",...,"&amp;""&amp;O354</f>
        <v>102,...,2202</v>
      </c>
    </row>
    <row r="355" spans="1:16" s="32" customFormat="1" ht="15.75" customHeight="1" x14ac:dyDescent="0.3">
      <c r="A355" s="123">
        <v>8</v>
      </c>
      <c r="B355" s="123"/>
      <c r="C355" s="38">
        <v>1</v>
      </c>
      <c r="D355" s="60">
        <f>26.5*10.764</f>
        <v>285.24599999999998</v>
      </c>
      <c r="E355" s="60">
        <v>0</v>
      </c>
      <c r="F355" s="60">
        <f>D355*(($F$293)+1)+(IF(E355&lt;101,E355,IF(E355&lt;201,E355/2,IF(E355&lt;=301,E355/3,E355/4))))</f>
        <v>442.13130000000001</v>
      </c>
      <c r="G355" s="123"/>
      <c r="H355" s="123"/>
      <c r="I355" s="31"/>
      <c r="K355" s="32">
        <f t="shared" si="16"/>
        <v>2608574.67</v>
      </c>
      <c r="N355" s="32">
        <v>103</v>
      </c>
      <c r="O355" s="32">
        <v>2203</v>
      </c>
      <c r="P355" s="32" t="str">
        <f t="shared" si="20"/>
        <v>103,...,2203</v>
      </c>
    </row>
    <row r="356" spans="1:16" s="32" customFormat="1" ht="15.75" customHeight="1" x14ac:dyDescent="0.3">
      <c r="A356" s="93" t="s">
        <v>184</v>
      </c>
      <c r="B356" s="94"/>
      <c r="C356" s="94"/>
      <c r="D356" s="94"/>
      <c r="E356" s="94"/>
      <c r="F356" s="94"/>
      <c r="G356" s="94"/>
      <c r="H356" s="95"/>
      <c r="I356" s="31"/>
      <c r="K356" s="32">
        <f t="shared" si="16"/>
        <v>2608574.67</v>
      </c>
      <c r="N356" s="32">
        <v>104</v>
      </c>
      <c r="O356" s="32">
        <v>2204</v>
      </c>
      <c r="P356" s="32" t="str">
        <f t="shared" si="20"/>
        <v>104,...,2204</v>
      </c>
    </row>
    <row r="357" spans="1:16" s="32" customFormat="1" ht="15.75" customHeight="1" x14ac:dyDescent="0.3">
      <c r="A357" s="93" t="s">
        <v>178</v>
      </c>
      <c r="B357" s="94"/>
      <c r="C357" s="94"/>
      <c r="D357" s="94"/>
      <c r="E357" s="94"/>
      <c r="F357" s="94"/>
      <c r="G357" s="94"/>
      <c r="H357" s="95"/>
      <c r="I357" s="31"/>
      <c r="K357" s="32">
        <f>5900*F363</f>
        <v>3322241.3249999997</v>
      </c>
      <c r="N357" s="32">
        <v>105</v>
      </c>
      <c r="O357" s="32">
        <v>2205</v>
      </c>
      <c r="P357" s="32" t="str">
        <f t="shared" si="20"/>
        <v>105,...,2205</v>
      </c>
    </row>
    <row r="358" spans="1:16" s="32" customFormat="1" ht="15.75" customHeight="1" x14ac:dyDescent="0.3">
      <c r="A358" s="93" t="s">
        <v>179</v>
      </c>
      <c r="B358" s="94"/>
      <c r="C358" s="94"/>
      <c r="D358" s="94"/>
      <c r="E358" s="94"/>
      <c r="F358" s="94"/>
      <c r="G358" s="94"/>
      <c r="H358" s="95"/>
      <c r="I358" s="31"/>
      <c r="K358" s="32">
        <f t="shared" ref="K358:K369" si="21">5900*F364</f>
        <v>3322241.3249999997</v>
      </c>
      <c r="N358" s="32">
        <v>106</v>
      </c>
      <c r="O358" s="32">
        <v>2206</v>
      </c>
      <c r="P358" s="32" t="str">
        <f t="shared" si="20"/>
        <v>106,...,2206</v>
      </c>
    </row>
    <row r="359" spans="1:16" s="32" customFormat="1" ht="15.75" customHeight="1" x14ac:dyDescent="0.3">
      <c r="A359" s="87">
        <v>1</v>
      </c>
      <c r="B359" s="88"/>
      <c r="C359" s="38">
        <v>1</v>
      </c>
      <c r="D359" s="60">
        <f>33.75*10.764</f>
        <v>363.28499999999997</v>
      </c>
      <c r="E359" s="60">
        <v>0</v>
      </c>
      <c r="F359" s="60">
        <f t="shared" ref="F359:F366" si="22">D359*(($F$293)+1)+(IF(E359&lt;101,E359,IF(E359&lt;201,E359/2,IF(E359&lt;=301,E359/3,E359/4))))</f>
        <v>563.09174999999993</v>
      </c>
      <c r="G359" s="96" t="str">
        <f>A358</f>
        <v>1st to 7th &amp; 9th to 12th &amp; 14th to 17th &amp; 19th to 22nd Floor For Residential</v>
      </c>
      <c r="H359" s="97"/>
      <c r="I359" s="31"/>
      <c r="K359" s="32">
        <f t="shared" si="21"/>
        <v>2574121.7969999998</v>
      </c>
      <c r="N359" s="32">
        <v>107</v>
      </c>
      <c r="O359" s="32">
        <v>2207</v>
      </c>
      <c r="P359" s="32" t="str">
        <f t="shared" si="20"/>
        <v>107,...,2207</v>
      </c>
    </row>
    <row r="360" spans="1:16" s="32" customFormat="1" ht="15.75" customHeight="1" x14ac:dyDescent="0.3">
      <c r="A360" s="87">
        <v>2</v>
      </c>
      <c r="B360" s="88"/>
      <c r="C360" s="38">
        <v>1</v>
      </c>
      <c r="D360" s="60">
        <f>33.75*10.764</f>
        <v>363.28499999999997</v>
      </c>
      <c r="E360" s="60">
        <v>0</v>
      </c>
      <c r="F360" s="60">
        <f t="shared" si="22"/>
        <v>563.09174999999993</v>
      </c>
      <c r="G360" s="98"/>
      <c r="H360" s="99"/>
      <c r="I360" s="31"/>
      <c r="J360" s="32">
        <f>27.98+5.77</f>
        <v>33.75</v>
      </c>
      <c r="K360" s="32">
        <f t="shared" si="21"/>
        <v>2574121.7969999998</v>
      </c>
      <c r="N360" s="32">
        <v>108</v>
      </c>
      <c r="O360" s="32">
        <v>2208</v>
      </c>
      <c r="P360" s="32" t="str">
        <f t="shared" si="20"/>
        <v>108,...,2208</v>
      </c>
    </row>
    <row r="361" spans="1:16" s="32" customFormat="1" ht="15.75" customHeight="1" x14ac:dyDescent="0.3">
      <c r="A361" s="87">
        <v>3</v>
      </c>
      <c r="B361" s="88"/>
      <c r="C361" s="38">
        <v>1</v>
      </c>
      <c r="D361" s="60">
        <f>26.5*10.764</f>
        <v>285.24599999999998</v>
      </c>
      <c r="E361" s="60">
        <v>0</v>
      </c>
      <c r="F361" s="60">
        <f t="shared" si="22"/>
        <v>442.13130000000001</v>
      </c>
      <c r="G361" s="98"/>
      <c r="H361" s="99"/>
      <c r="I361" s="31"/>
      <c r="K361" s="32">
        <f t="shared" si="21"/>
        <v>0</v>
      </c>
    </row>
    <row r="362" spans="1:16" s="32" customFormat="1" ht="15.75" customHeight="1" x14ac:dyDescent="0.3">
      <c r="A362" s="87">
        <v>4</v>
      </c>
      <c r="B362" s="88"/>
      <c r="C362" s="38">
        <v>1</v>
      </c>
      <c r="D362" s="60">
        <f>26.5*10.764</f>
        <v>285.24599999999998</v>
      </c>
      <c r="E362" s="60">
        <v>0</v>
      </c>
      <c r="F362" s="60">
        <f t="shared" si="22"/>
        <v>442.13130000000001</v>
      </c>
      <c r="G362" s="98"/>
      <c r="H362" s="99"/>
      <c r="I362" s="31"/>
      <c r="K362" s="32">
        <f t="shared" si="21"/>
        <v>3322241.3249999997</v>
      </c>
    </row>
    <row r="363" spans="1:16" s="32" customFormat="1" ht="15.75" customHeight="1" x14ac:dyDescent="0.3">
      <c r="A363" s="87">
        <v>5</v>
      </c>
      <c r="B363" s="88"/>
      <c r="C363" s="38">
        <v>1</v>
      </c>
      <c r="D363" s="60">
        <f>33.75*10.764</f>
        <v>363.28499999999997</v>
      </c>
      <c r="E363" s="60">
        <v>0</v>
      </c>
      <c r="F363" s="60">
        <f t="shared" si="22"/>
        <v>563.09174999999993</v>
      </c>
      <c r="G363" s="98"/>
      <c r="H363" s="99"/>
      <c r="I363" s="31"/>
      <c r="K363" s="32">
        <f t="shared" si="21"/>
        <v>3322241.3249999997</v>
      </c>
    </row>
    <row r="364" spans="1:16" s="32" customFormat="1" ht="15.75" customHeight="1" x14ac:dyDescent="0.3">
      <c r="A364" s="87">
        <v>6</v>
      </c>
      <c r="B364" s="88"/>
      <c r="C364" s="38">
        <v>1</v>
      </c>
      <c r="D364" s="60">
        <f>33.75*10.764</f>
        <v>363.28499999999997</v>
      </c>
      <c r="E364" s="60">
        <v>0</v>
      </c>
      <c r="F364" s="60">
        <f t="shared" si="22"/>
        <v>563.09174999999993</v>
      </c>
      <c r="G364" s="98"/>
      <c r="H364" s="99"/>
      <c r="I364" s="31"/>
      <c r="K364" s="32">
        <f t="shared" si="21"/>
        <v>0</v>
      </c>
    </row>
    <row r="365" spans="1:16" s="32" customFormat="1" ht="15.75" customHeight="1" x14ac:dyDescent="0.3">
      <c r="A365" s="87">
        <v>7</v>
      </c>
      <c r="B365" s="88"/>
      <c r="C365" s="38">
        <v>1</v>
      </c>
      <c r="D365" s="60">
        <f>26.15*10.764</f>
        <v>281.47859999999997</v>
      </c>
      <c r="E365" s="60">
        <v>0</v>
      </c>
      <c r="F365" s="60">
        <f t="shared" si="22"/>
        <v>436.29182999999995</v>
      </c>
      <c r="G365" s="98"/>
      <c r="H365" s="99"/>
      <c r="I365" s="31"/>
      <c r="K365" s="32">
        <f t="shared" si="21"/>
        <v>2608574.67</v>
      </c>
    </row>
    <row r="366" spans="1:16" s="32" customFormat="1" ht="15.75" customHeight="1" x14ac:dyDescent="0.3">
      <c r="A366" s="87">
        <v>8</v>
      </c>
      <c r="B366" s="88"/>
      <c r="C366" s="38">
        <v>1</v>
      </c>
      <c r="D366" s="60">
        <f>26.15*10.764</f>
        <v>281.47859999999997</v>
      </c>
      <c r="E366" s="60">
        <v>0</v>
      </c>
      <c r="F366" s="60">
        <f t="shared" si="22"/>
        <v>436.29182999999995</v>
      </c>
      <c r="G366" s="100"/>
      <c r="H366" s="101"/>
      <c r="I366" s="31"/>
      <c r="K366" s="32">
        <f t="shared" si="21"/>
        <v>3322241.3249999997</v>
      </c>
    </row>
    <row r="367" spans="1:16" s="32" customFormat="1" ht="15.75" customHeight="1" x14ac:dyDescent="0.3">
      <c r="A367" s="93" t="s">
        <v>181</v>
      </c>
      <c r="B367" s="94"/>
      <c r="C367" s="94"/>
      <c r="D367" s="94"/>
      <c r="E367" s="94"/>
      <c r="F367" s="94"/>
      <c r="G367" s="94"/>
      <c r="H367" s="95"/>
      <c r="I367" s="31"/>
      <c r="K367" s="32">
        <f t="shared" si="21"/>
        <v>3322241.3249999997</v>
      </c>
    </row>
    <row r="368" spans="1:16" s="32" customFormat="1" ht="15.75" customHeight="1" x14ac:dyDescent="0.3">
      <c r="A368" s="87">
        <v>1</v>
      </c>
      <c r="B368" s="88"/>
      <c r="C368" s="38">
        <v>1</v>
      </c>
      <c r="D368" s="60">
        <f>33.75*10.764</f>
        <v>363.28499999999997</v>
      </c>
      <c r="E368" s="60">
        <v>0</v>
      </c>
      <c r="F368" s="60">
        <f>D368*(($F$293)+1)+(IF(E368&lt;101,E368,IF(E368&lt;201,E368/2,IF(E368&lt;=301,E368/3,E368/4))))</f>
        <v>563.09174999999993</v>
      </c>
      <c r="G368" s="96" t="str">
        <f>A367</f>
        <v>8th, 13th &amp; 18th Floor (Part Refuge Area)</v>
      </c>
      <c r="H368" s="97"/>
      <c r="I368" s="31"/>
      <c r="K368" s="32">
        <f t="shared" si="21"/>
        <v>2574121.7969999998</v>
      </c>
    </row>
    <row r="369" spans="1:14" s="32" customFormat="1" ht="15.75" customHeight="1" x14ac:dyDescent="0.3">
      <c r="A369" s="87">
        <v>2</v>
      </c>
      <c r="B369" s="88"/>
      <c r="C369" s="38">
        <v>1</v>
      </c>
      <c r="D369" s="60">
        <f>33.75*10.764</f>
        <v>363.28499999999997</v>
      </c>
      <c r="E369" s="60">
        <v>0</v>
      </c>
      <c r="F369" s="60">
        <f>D369*(($F$293)+1)+(IF(E369&lt;101,E369,IF(E369&lt;201,E369/2,IF(E369&lt;=301,E369/3,E369/4))))</f>
        <v>563.09174999999993</v>
      </c>
      <c r="G369" s="98"/>
      <c r="H369" s="99"/>
      <c r="I369" s="31"/>
      <c r="K369" s="32">
        <f t="shared" si="21"/>
        <v>2574121.7969999998</v>
      </c>
    </row>
    <row r="370" spans="1:14" s="32" customFormat="1" x14ac:dyDescent="0.3">
      <c r="A370" s="87">
        <v>3</v>
      </c>
      <c r="B370" s="88"/>
      <c r="C370" s="124" t="s">
        <v>180</v>
      </c>
      <c r="D370" s="125"/>
      <c r="E370" s="125"/>
      <c r="F370" s="126"/>
      <c r="G370" s="98"/>
      <c r="H370" s="99"/>
      <c r="J370" s="31"/>
      <c r="K370" s="32">
        <f>6000*F380</f>
        <v>0</v>
      </c>
    </row>
    <row r="371" spans="1:14" s="32" customFormat="1" x14ac:dyDescent="0.3">
      <c r="A371" s="87">
        <v>4</v>
      </c>
      <c r="B371" s="88"/>
      <c r="C371" s="38">
        <v>1</v>
      </c>
      <c r="D371" s="60">
        <f>26.5*10.764</f>
        <v>285.24599999999998</v>
      </c>
      <c r="E371" s="60">
        <v>0</v>
      </c>
      <c r="F371" s="60">
        <f>D371*(($F$293)+1)+(IF(E371&lt;101,E371,IF(E371&lt;201,E371/2,IF(E371&lt;=301,E371/3,E371/4))))</f>
        <v>442.13130000000001</v>
      </c>
      <c r="G371" s="98"/>
      <c r="H371" s="99"/>
      <c r="I371" s="31"/>
      <c r="K371" s="32">
        <f>6000*F381</f>
        <v>2604737.304</v>
      </c>
      <c r="L371" s="205"/>
      <c r="M371" s="205"/>
      <c r="N371" s="31"/>
    </row>
    <row r="372" spans="1:14" s="32" customFormat="1" x14ac:dyDescent="0.3">
      <c r="A372" s="87">
        <v>5</v>
      </c>
      <c r="B372" s="88"/>
      <c r="C372" s="38">
        <v>1</v>
      </c>
      <c r="D372" s="60">
        <f>33.75*10.764</f>
        <v>363.28499999999997</v>
      </c>
      <c r="E372" s="60">
        <v>0</v>
      </c>
      <c r="F372" s="60">
        <f>D372*(($F$293)+1)+(IF(E372&lt;101,E372,IF(E372&lt;201,E372/2,IF(E372&lt;=301,E372/3,E372/4))))</f>
        <v>563.09174999999993</v>
      </c>
      <c r="G372" s="98"/>
      <c r="H372" s="99"/>
      <c r="I372" s="31"/>
      <c r="L372" s="205"/>
      <c r="M372" s="205"/>
      <c r="N372" s="31"/>
    </row>
    <row r="373" spans="1:14" s="32" customFormat="1" x14ac:dyDescent="0.3">
      <c r="A373" s="87">
        <v>6</v>
      </c>
      <c r="B373" s="88"/>
      <c r="C373" s="38">
        <v>1</v>
      </c>
      <c r="D373" s="60">
        <f>33.75*10.764</f>
        <v>363.28499999999997</v>
      </c>
      <c r="E373" s="60">
        <v>0</v>
      </c>
      <c r="F373" s="60">
        <f>D373*(($F$293)+1)+(IF(E373&lt;101,E373,IF(E373&lt;201,E373/2,IF(E373&lt;=301,E373/3,E373/4))))</f>
        <v>563.09174999999993</v>
      </c>
      <c r="G373" s="98"/>
      <c r="H373" s="99"/>
      <c r="I373" s="31"/>
      <c r="L373" s="205"/>
      <c r="M373" s="205"/>
      <c r="N373" s="31"/>
    </row>
    <row r="374" spans="1:14" s="32" customFormat="1" x14ac:dyDescent="0.3">
      <c r="A374" s="87">
        <v>7</v>
      </c>
      <c r="B374" s="88"/>
      <c r="C374" s="38">
        <v>1</v>
      </c>
      <c r="D374" s="60">
        <f>26.15*10.764</f>
        <v>281.47859999999997</v>
      </c>
      <c r="E374" s="60">
        <v>0</v>
      </c>
      <c r="F374" s="60">
        <f>D374*(($F$293)+1)+(IF(E374&lt;101,E374,IF(E374&lt;201,E374/2,IF(E374&lt;=301,E374/3,E374/4))))</f>
        <v>436.29182999999995</v>
      </c>
      <c r="G374" s="98"/>
      <c r="H374" s="99"/>
      <c r="I374" s="31"/>
      <c r="L374" s="205"/>
      <c r="M374" s="205"/>
      <c r="N374" s="31"/>
    </row>
    <row r="375" spans="1:14" s="32" customFormat="1" x14ac:dyDescent="0.3">
      <c r="A375" s="87">
        <v>8</v>
      </c>
      <c r="B375" s="88"/>
      <c r="C375" s="38">
        <v>1</v>
      </c>
      <c r="D375" s="60">
        <f>26.15*10.764</f>
        <v>281.47859999999997</v>
      </c>
      <c r="E375" s="60">
        <v>0</v>
      </c>
      <c r="F375" s="60">
        <f>D375*(($F$293)+1)+(IF(E375&lt;101,E375,IF(E375&lt;201,E375/2,IF(E375&lt;=301,E375/3,E375/4))))</f>
        <v>436.29182999999995</v>
      </c>
      <c r="G375" s="100"/>
      <c r="H375" s="101"/>
      <c r="I375" s="31"/>
      <c r="L375" s="205"/>
      <c r="M375" s="205"/>
    </row>
    <row r="376" spans="1:14" s="32" customFormat="1" x14ac:dyDescent="0.3">
      <c r="A376" s="90" t="s">
        <v>203</v>
      </c>
      <c r="B376" s="91"/>
      <c r="C376" s="91"/>
      <c r="D376" s="91"/>
      <c r="E376" s="91"/>
      <c r="F376" s="91"/>
      <c r="G376" s="91"/>
      <c r="H376" s="92"/>
      <c r="I376" s="31"/>
      <c r="N376" s="31"/>
    </row>
    <row r="377" spans="1:14" s="32" customFormat="1" x14ac:dyDescent="0.3">
      <c r="A377" s="93" t="s">
        <v>188</v>
      </c>
      <c r="B377" s="94"/>
      <c r="C377" s="94"/>
      <c r="D377" s="94"/>
      <c r="E377" s="94"/>
      <c r="F377" s="94"/>
      <c r="G377" s="94"/>
      <c r="H377" s="95"/>
      <c r="I377" s="31"/>
      <c r="N377" s="31"/>
    </row>
    <row r="378" spans="1:14" s="32" customFormat="1" x14ac:dyDescent="0.3">
      <c r="A378" s="93" t="s">
        <v>206</v>
      </c>
      <c r="B378" s="94"/>
      <c r="C378" s="94"/>
      <c r="D378" s="94"/>
      <c r="E378" s="94"/>
      <c r="F378" s="94"/>
      <c r="G378" s="94"/>
      <c r="H378" s="95"/>
      <c r="I378" s="73">
        <v>10.763999999999999</v>
      </c>
      <c r="N378" s="31"/>
    </row>
    <row r="379" spans="1:14" s="32" customFormat="1" x14ac:dyDescent="0.3">
      <c r="A379" s="93" t="s">
        <v>239</v>
      </c>
      <c r="B379" s="94"/>
      <c r="C379" s="94"/>
      <c r="D379" s="94"/>
      <c r="E379" s="94"/>
      <c r="F379" s="94"/>
      <c r="G379" s="94"/>
      <c r="H379" s="95"/>
      <c r="I379" s="31"/>
      <c r="N379" s="31"/>
    </row>
    <row r="380" spans="1:14" s="32" customFormat="1" x14ac:dyDescent="0.3">
      <c r="A380" s="93" t="s">
        <v>217</v>
      </c>
      <c r="B380" s="94"/>
      <c r="C380" s="94"/>
      <c r="D380" s="94"/>
      <c r="E380" s="94"/>
      <c r="F380" s="94"/>
      <c r="G380" s="94"/>
      <c r="H380" s="95"/>
      <c r="I380" s="31"/>
      <c r="N380" s="31"/>
    </row>
    <row r="381" spans="1:14" s="32" customFormat="1" ht="15.75" customHeight="1" x14ac:dyDescent="0.3">
      <c r="A381" s="87">
        <v>1</v>
      </c>
      <c r="B381" s="88"/>
      <c r="C381" s="38">
        <v>1</v>
      </c>
      <c r="D381" s="56">
        <f>(26.02)*10.764</f>
        <v>280.07927999999998</v>
      </c>
      <c r="E381" s="60">
        <v>0</v>
      </c>
      <c r="F381" s="60">
        <f t="shared" ref="F381:F388" si="23">D381*(($F$293)+1)+(IF(E381&lt;101,E381,IF(E381&lt;201,E381/2,IF(E381&lt;=301,E381/3,E381/4))))</f>
        <v>434.122884</v>
      </c>
      <c r="G381" s="96" t="str">
        <f>A380</f>
        <v>1st to 7th, 9th to 12th &amp; 14th to 17th &amp; 19th to 23rd Floor For Residential</v>
      </c>
      <c r="H381" s="97"/>
      <c r="I381" s="31">
        <f>4.15*2.45+2.15*2.06+2.45*2.75+0.92*1.2+0.92*1.2+0.92*1.4</f>
        <v>24.830000000000002</v>
      </c>
    </row>
    <row r="382" spans="1:14" s="32" customFormat="1" ht="15.75" customHeight="1" x14ac:dyDescent="0.3">
      <c r="A382" s="87">
        <f>A381+1</f>
        <v>2</v>
      </c>
      <c r="B382" s="88"/>
      <c r="C382" s="38">
        <v>1</v>
      </c>
      <c r="D382" s="56">
        <f>(26.02)*10.764</f>
        <v>280.07927999999998</v>
      </c>
      <c r="E382" s="60">
        <v>0</v>
      </c>
      <c r="F382" s="60">
        <f t="shared" si="23"/>
        <v>434.122884</v>
      </c>
      <c r="G382" s="98"/>
      <c r="H382" s="99"/>
      <c r="I382" s="31"/>
    </row>
    <row r="383" spans="1:14" s="32" customFormat="1" ht="15.75" customHeight="1" x14ac:dyDescent="0.3">
      <c r="A383" s="87">
        <f>A382+1</f>
        <v>3</v>
      </c>
      <c r="B383" s="88"/>
      <c r="C383" s="38">
        <v>1</v>
      </c>
      <c r="D383" s="56">
        <f>(28.72+5.5)*10.764</f>
        <v>368.34407999999996</v>
      </c>
      <c r="E383" s="60">
        <v>0</v>
      </c>
      <c r="F383" s="60">
        <f t="shared" si="23"/>
        <v>570.93332399999997</v>
      </c>
      <c r="G383" s="98"/>
      <c r="H383" s="99"/>
      <c r="I383" s="31">
        <f>2.75*3.25+2.15*3.05+2.75*2.05+1.25*2+1.2*2.03</f>
        <v>26.0685</v>
      </c>
      <c r="J383" s="32">
        <f>2.75+2.75</f>
        <v>5.5</v>
      </c>
    </row>
    <row r="384" spans="1:14" s="32" customFormat="1" ht="15.75" customHeight="1" x14ac:dyDescent="0.3">
      <c r="A384" s="87">
        <f>A383+1</f>
        <v>4</v>
      </c>
      <c r="B384" s="88"/>
      <c r="C384" s="38">
        <v>1</v>
      </c>
      <c r="D384" s="56">
        <f>(28.72+5.5)*10.764</f>
        <v>368.34407999999996</v>
      </c>
      <c r="E384" s="60">
        <v>0</v>
      </c>
      <c r="F384" s="60">
        <f t="shared" si="23"/>
        <v>570.93332399999997</v>
      </c>
      <c r="G384" s="98"/>
      <c r="H384" s="99"/>
      <c r="I384" s="31"/>
    </row>
    <row r="385" spans="1:11" s="32" customFormat="1" ht="15.75" customHeight="1" x14ac:dyDescent="0.3">
      <c r="A385" s="87">
        <f>A384+1</f>
        <v>5</v>
      </c>
      <c r="B385" s="88"/>
      <c r="C385" s="38">
        <v>1</v>
      </c>
      <c r="D385" s="56">
        <f>(28.72+5.5)*10.764</f>
        <v>368.34407999999996</v>
      </c>
      <c r="E385" s="60">
        <v>0</v>
      </c>
      <c r="F385" s="60">
        <f t="shared" si="23"/>
        <v>570.93332399999997</v>
      </c>
      <c r="G385" s="98"/>
      <c r="H385" s="99"/>
      <c r="I385" s="31"/>
    </row>
    <row r="386" spans="1:11" s="32" customFormat="1" ht="15.75" customHeight="1" x14ac:dyDescent="0.3">
      <c r="A386" s="123">
        <v>6</v>
      </c>
      <c r="B386" s="123"/>
      <c r="C386" s="38">
        <v>1</v>
      </c>
      <c r="D386" s="56">
        <f>(28.72+5.5)*10.764</f>
        <v>368.34407999999996</v>
      </c>
      <c r="E386" s="60">
        <v>0</v>
      </c>
      <c r="F386" s="60">
        <f t="shared" si="23"/>
        <v>570.93332399999997</v>
      </c>
      <c r="G386" s="98"/>
      <c r="H386" s="99"/>
      <c r="I386" s="31"/>
    </row>
    <row r="387" spans="1:11" s="32" customFormat="1" x14ac:dyDescent="0.3">
      <c r="A387" s="123">
        <v>7</v>
      </c>
      <c r="B387" s="123"/>
      <c r="C387" s="38">
        <v>2</v>
      </c>
      <c r="D387" s="56">
        <f>(48.96)*10.764</f>
        <v>527.00544000000002</v>
      </c>
      <c r="E387" s="60">
        <v>0</v>
      </c>
      <c r="F387" s="60">
        <f t="shared" si="23"/>
        <v>816.85843200000011</v>
      </c>
      <c r="G387" s="98"/>
      <c r="H387" s="99"/>
      <c r="I387" s="31">
        <f>2.75*4.75+2.15*3.2+2.83*3.32+2.83*2.97+1.78*1.25+1.25*2+0.9*1.6+0.8*0.6+2.5*1</f>
        <v>46.888199999999998</v>
      </c>
    </row>
    <row r="388" spans="1:11" s="32" customFormat="1" x14ac:dyDescent="0.3">
      <c r="A388" s="87">
        <f>A387+1</f>
        <v>8</v>
      </c>
      <c r="B388" s="88"/>
      <c r="C388" s="38">
        <v>1</v>
      </c>
      <c r="D388" s="56">
        <f>(28.44+5.5)*10.764</f>
        <v>365.33015999999998</v>
      </c>
      <c r="E388" s="60">
        <v>0</v>
      </c>
      <c r="F388" s="60">
        <f t="shared" si="23"/>
        <v>566.26174800000001</v>
      </c>
      <c r="G388" s="100"/>
      <c r="H388" s="101"/>
      <c r="I388" s="31"/>
    </row>
    <row r="389" spans="1:11" s="32" customFormat="1" x14ac:dyDescent="0.3">
      <c r="A389" s="89" t="s">
        <v>181</v>
      </c>
      <c r="B389" s="89"/>
      <c r="C389" s="89"/>
      <c r="D389" s="89"/>
      <c r="E389" s="89"/>
      <c r="F389" s="89"/>
      <c r="G389" s="89"/>
      <c r="H389" s="89"/>
      <c r="I389" s="31"/>
    </row>
    <row r="390" spans="1:11" s="32" customFormat="1" x14ac:dyDescent="0.3">
      <c r="A390" s="123">
        <v>1</v>
      </c>
      <c r="B390" s="123"/>
      <c r="C390" s="38">
        <v>1</v>
      </c>
      <c r="D390" s="56">
        <f>(26.02)*10.764</f>
        <v>280.07927999999998</v>
      </c>
      <c r="E390" s="60">
        <v>0</v>
      </c>
      <c r="F390" s="60">
        <f>D390*(($F$293)+1)+(IF(E390&lt;101,E390,IF(E390&lt;201,E390/2,IF(E390&lt;=301,E390/3,E390/4))))</f>
        <v>434.122884</v>
      </c>
      <c r="G390" s="123" t="str">
        <f>A389</f>
        <v>8th, 13th &amp; 18th Floor (Part Refuge Area)</v>
      </c>
      <c r="H390" s="123"/>
      <c r="I390" s="31"/>
    </row>
    <row r="391" spans="1:11" s="32" customFormat="1" ht="15.75" customHeight="1" x14ac:dyDescent="0.3">
      <c r="A391" s="123">
        <f>A390+1</f>
        <v>2</v>
      </c>
      <c r="B391" s="123"/>
      <c r="C391" s="38">
        <v>1</v>
      </c>
      <c r="D391" s="56">
        <f>(26.02)*10.764</f>
        <v>280.07927999999998</v>
      </c>
      <c r="E391" s="60">
        <v>0</v>
      </c>
      <c r="F391" s="60">
        <f>D391*(($F$293)+1)+(IF(E391&lt;101,E391,IF(E391&lt;201,E391/2,IF(E391&lt;=301,E391/3,E391/4))))</f>
        <v>434.122884</v>
      </c>
      <c r="G391" s="123"/>
      <c r="H391" s="123"/>
      <c r="I391" s="31"/>
    </row>
    <row r="392" spans="1:11" s="32" customFormat="1" x14ac:dyDescent="0.3">
      <c r="A392" s="123">
        <f>A391+1</f>
        <v>3</v>
      </c>
      <c r="B392" s="123"/>
      <c r="C392" s="38">
        <v>1</v>
      </c>
      <c r="D392" s="56">
        <f>(28.72+5.5)*10.764</f>
        <v>368.34407999999996</v>
      </c>
      <c r="E392" s="60">
        <v>0</v>
      </c>
      <c r="F392" s="60">
        <f>D392*(($F$293)+1)+(IF(E392&lt;101,E392,IF(E392&lt;201,E392/2,IF(E392&lt;=301,E392/3,E392/4))))</f>
        <v>570.93332399999997</v>
      </c>
      <c r="G392" s="123"/>
      <c r="H392" s="123"/>
      <c r="I392" s="31"/>
    </row>
    <row r="393" spans="1:11" s="32" customFormat="1" x14ac:dyDescent="0.3">
      <c r="A393" s="123">
        <f>A392+1</f>
        <v>4</v>
      </c>
      <c r="B393" s="123"/>
      <c r="C393" s="38">
        <v>1</v>
      </c>
      <c r="D393" s="56">
        <f>(28.72+5.5)*10.764</f>
        <v>368.34407999999996</v>
      </c>
      <c r="E393" s="60">
        <v>0</v>
      </c>
      <c r="F393" s="60">
        <f>D393*(($F$293)+1)+(IF(E393&lt;101,E393,IF(E393&lt;201,E393/2,IF(E393&lt;=301,E393/3,E393/4))))</f>
        <v>570.93332399999997</v>
      </c>
      <c r="G393" s="123"/>
      <c r="H393" s="123"/>
      <c r="I393" s="31"/>
    </row>
    <row r="394" spans="1:11" s="32" customFormat="1" x14ac:dyDescent="0.3">
      <c r="A394" s="123">
        <f>A393+1</f>
        <v>5</v>
      </c>
      <c r="B394" s="123"/>
      <c r="C394" s="38">
        <v>1</v>
      </c>
      <c r="D394" s="56">
        <f>(28.72+5.5)*10.764</f>
        <v>368.34407999999996</v>
      </c>
      <c r="E394" s="60">
        <v>0</v>
      </c>
      <c r="F394" s="60">
        <f>D394*(($F$293)+1)+(IF(E394&lt;101,E394,IF(E394&lt;201,E394/2,IF(E394&lt;=301,E394/3,E394/4))))</f>
        <v>570.93332399999997</v>
      </c>
      <c r="G394" s="123"/>
      <c r="H394" s="123"/>
      <c r="I394" s="31"/>
    </row>
    <row r="395" spans="1:11" s="32" customFormat="1" x14ac:dyDescent="0.3">
      <c r="A395" s="123">
        <v>6</v>
      </c>
      <c r="B395" s="123"/>
      <c r="C395" s="155" t="s">
        <v>180</v>
      </c>
      <c r="D395" s="155"/>
      <c r="E395" s="155"/>
      <c r="F395" s="155"/>
      <c r="G395" s="123"/>
      <c r="H395" s="123"/>
      <c r="I395" s="31"/>
    </row>
    <row r="396" spans="1:11" s="32" customFormat="1" x14ac:dyDescent="0.3">
      <c r="A396" s="123">
        <v>7</v>
      </c>
      <c r="B396" s="123"/>
      <c r="C396" s="38">
        <v>2</v>
      </c>
      <c r="D396" s="56">
        <f>(46.81)*10.764</f>
        <v>503.86284000000001</v>
      </c>
      <c r="E396" s="60">
        <v>0</v>
      </c>
      <c r="F396" s="60">
        <f>D396*(($F$293)+1)+(IF(E396&lt;101,E396,IF(E396&lt;201,E396/2,IF(E396&lt;=301,E396/3,E396/4))))</f>
        <v>780.98740199999997</v>
      </c>
      <c r="G396" s="123"/>
      <c r="H396" s="123"/>
      <c r="I396" s="31"/>
      <c r="K396" s="32">
        <f>6000*F406</f>
        <v>0</v>
      </c>
    </row>
    <row r="397" spans="1:11" s="32" customFormat="1" ht="15.75" customHeight="1" x14ac:dyDescent="0.3">
      <c r="A397" s="123">
        <f>A396+1</f>
        <v>8</v>
      </c>
      <c r="B397" s="123"/>
      <c r="C397" s="38">
        <v>1</v>
      </c>
      <c r="D397" s="56">
        <f>(28.44+5.5)*10.764</f>
        <v>365.33015999999998</v>
      </c>
      <c r="E397" s="60">
        <v>0</v>
      </c>
      <c r="F397" s="60">
        <f>D397*(($F$293)+1)+(IF(E397&lt;101,E397,IF(E397&lt;201,E397/2,IF(E397&lt;=301,E397/3,E397/4))))</f>
        <v>566.26174800000001</v>
      </c>
      <c r="G397" s="123"/>
      <c r="H397" s="123"/>
      <c r="I397" s="31"/>
      <c r="K397" s="32">
        <f>6000*F407</f>
        <v>0</v>
      </c>
    </row>
    <row r="398" spans="1:11" s="32" customFormat="1" hidden="1" x14ac:dyDescent="0.3">
      <c r="A398" s="123"/>
      <c r="B398" s="123"/>
      <c r="C398" s="123"/>
      <c r="D398" s="123"/>
      <c r="E398" s="123"/>
      <c r="F398" s="123"/>
      <c r="G398" s="123"/>
      <c r="H398" s="123"/>
      <c r="I398" s="31"/>
      <c r="K398" s="32">
        <f>6000*F408</f>
        <v>0</v>
      </c>
    </row>
    <row r="399" spans="1:11" s="30" customFormat="1" hidden="1" x14ac:dyDescent="0.3">
      <c r="A399" s="123" t="e">
        <f ca="1">(SUMPRODUCT(MID(0&amp;(LEFT(A398,SUM(LEN(A398)-LEN(SUBSTITUTE(A398,{"0","1","2"},""))))), LARGE(INDEX(ISNUMBER(--MID((LEFT(A398,SUM(LEN(A398)-LEN(SUBSTITUTE(A398,{"0","1","2"},""))))), ROW(INDIRECT("1:"&amp;LEN((LEFT(A398,SUM(LEN(A398)-LEN(SUBSTITUTE(A398,{"0","1","2"},"")))))))), 1)) * ROW(INDIRECT("1:"&amp;LEN((LEFT(A398,SUM(LEN(A398)-LEN(SUBSTITUTE(A398,{"0","1","2"},"")))))))), 0), ROW(INDIRECT("1:"&amp;LEN((LEFT(A398,SUM(LEN(A398)-LEN(SUBSTITUTE(A398,{"0","1","2"},"")))))))))+1, 1) * 10^ROW(INDIRECT("1:"&amp;LEN((LEFT(A398,SUM(LEN(A398)-LEN(SUBSTITUTE(A398,{"0","1","2"},""))))))))/10))*1+1&amp;""&amp;" to "&amp;""&amp;(SUMPRODUCT(MID(0&amp;(--TRIM(RIGHT(SUBSTITUTE(LEFT(A398,_xlfn.AGGREGATE(16,6,FIND({0,1,2,3,4,5,6,7,8,9},A398,ROW(INDIRECT("1:"&amp;LEN(A398)))),1))," ",REPT(" ",LEN(A398))),LEN(A398)))), LARGE(INDEX(ISNUMBER(--MID((--TRIM(RIGHT(SUBSTITUTE(LEFT(A398,_xlfn.AGGREGATE(16,6,FIND({0,1,2,3,4,5,6,7,8,9},A398,ROW(INDIRECT("1:"&amp;LEN(A398)))),1))," ",REPT(" ",LEN(A398))),LEN(A398)))), ROW(INDIRECT("1:"&amp;LEN((--TRIM(RIGHT(SUBSTITUTE(LEFT(A398,_xlfn.AGGREGATE(16,6,FIND({0,1,2,3,4,5,6,7,8,9},A398,ROW(INDIRECT("1:"&amp;LEN(A398)))),1))," ",REPT(" ",LEN(A398))),LEN(A398))))))), 1)) * ROW(INDIRECT("1:"&amp;LEN((--TRIM(RIGHT(SUBSTITUTE(LEFT(A398,_xlfn.AGGREGATE(16,6,FIND({0,1,2,3,4,5,6,7,8,9},A398,ROW(INDIRECT("1:"&amp;LEN(A398)))),1))," ",REPT(" ",LEN(A398))),LEN(A398))))))), 0), ROW(INDIRECT("1:"&amp;LEN((--TRIM(RIGHT(SUBSTITUTE(LEFT(A398,_xlfn.AGGREGATE(16,6,FIND({0,1,2,3,4,5,6,7,8,9},A398,ROW(INDIRECT("1:"&amp;LEN(A398)))),1))," ",REPT(" ",LEN(A398))),LEN(A398))))))))+1, 1) * 10^ROW(INDIRECT("1:"&amp;LEN((--TRIM(RIGHT(SUBSTITUTE(LEFT(A398,_xlfn.AGGREGATE(16,6,FIND({0,1,2,3,4,5,6,7,8,9},A398,ROW(INDIRECT("1:"&amp;LEN(A398)))),1))," ",REPT(" ",LEN(A398))),LEN(A398)))))))/10))*1+1</f>
        <v>#REF!</v>
      </c>
      <c r="B399" s="123"/>
      <c r="C399" s="38"/>
      <c r="D399" s="60"/>
      <c r="E399" s="60">
        <v>0</v>
      </c>
      <c r="F399" s="60">
        <f>D399*(($F$293)+1)+(IF(E399&lt;101,E399,IF(E399&lt;201,E399/2,IF(E399&lt;=301,E399/3,E399/4))))</f>
        <v>0</v>
      </c>
      <c r="G399" s="123">
        <f>G398</f>
        <v>0</v>
      </c>
      <c r="H399" s="123"/>
    </row>
    <row r="400" spans="1:11" s="30" customFormat="1" ht="16.5" hidden="1" customHeight="1" x14ac:dyDescent="0.3">
      <c r="A400" s="123" t="e">
        <f ca="1">(SUMPRODUCT(MID(0&amp;(LEFT(A399,SUM(LEN(A399)-LEN(SUBSTITUTE(A399,{"0","1","2"},""))))), LARGE(INDEX(ISNUMBER(--MID((LEFT(A399,SUM(LEN(A399)-LEN(SUBSTITUTE(A399,{"0","1","2"},""))))), ROW(INDIRECT("1:"&amp;LEN((LEFT(A399,SUM(LEN(A399)-LEN(SUBSTITUTE(A399,{"0","1","2"},"")))))))), 1)) * ROW(INDIRECT("1:"&amp;LEN((LEFT(A399,SUM(LEN(A399)-LEN(SUBSTITUTE(A399,{"0","1","2"},"")))))))), 0), ROW(INDIRECT("1:"&amp;LEN((LEFT(A399,SUM(LEN(A399)-LEN(SUBSTITUTE(A399,{"0","1","2"},"")))))))))+1, 1) * 10^ROW(INDIRECT("1:"&amp;LEN((LEFT(A399,SUM(LEN(A399)-LEN(SUBSTITUTE(A399,{"0","1","2"},""))))))))/10))*1+1&amp;""&amp;" to "&amp;""&amp;(SUMPRODUCT(MID(0&amp;(--TRIM(RIGHT(SUBSTITUTE(LEFT(A399,_xlfn.AGGREGATE(16,6,FIND({0,1,2,3,4,5,6,7,8,9},A399,ROW(INDIRECT("1:"&amp;LEN(A399)))),1))," ",REPT(" ",LEN(A399))),LEN(A399)))), LARGE(INDEX(ISNUMBER(--MID((--TRIM(RIGHT(SUBSTITUTE(LEFT(A399,_xlfn.AGGREGATE(16,6,FIND({0,1,2,3,4,5,6,7,8,9},A399,ROW(INDIRECT("1:"&amp;LEN(A399)))),1))," ",REPT(" ",LEN(A399))),LEN(A399)))), ROW(INDIRECT("1:"&amp;LEN((--TRIM(RIGHT(SUBSTITUTE(LEFT(A399,_xlfn.AGGREGATE(16,6,FIND({0,1,2,3,4,5,6,7,8,9},A399,ROW(INDIRECT("1:"&amp;LEN(A399)))),1))," ",REPT(" ",LEN(A399))),LEN(A399))))))), 1)) * ROW(INDIRECT("1:"&amp;LEN((--TRIM(RIGHT(SUBSTITUTE(LEFT(A399,_xlfn.AGGREGATE(16,6,FIND({0,1,2,3,4,5,6,7,8,9},A399,ROW(INDIRECT("1:"&amp;LEN(A399)))),1))," ",REPT(" ",LEN(A399))),LEN(A399))))))), 0), ROW(INDIRECT("1:"&amp;LEN((--TRIM(RIGHT(SUBSTITUTE(LEFT(A399,_xlfn.AGGREGATE(16,6,FIND({0,1,2,3,4,5,6,7,8,9},A399,ROW(INDIRECT("1:"&amp;LEN(A399)))),1))," ",REPT(" ",LEN(A399))),LEN(A399))))))))+1, 1) * 10^ROW(INDIRECT("1:"&amp;LEN((--TRIM(RIGHT(SUBSTITUTE(LEFT(A399,_xlfn.AGGREGATE(16,6,FIND({0,1,2,3,4,5,6,7,8,9},A399,ROW(INDIRECT("1:"&amp;LEN(A399)))),1))," ",REPT(" ",LEN(A399))),LEN(A399)))))))/10))*1+1</f>
        <v>#REF!</v>
      </c>
      <c r="B400" s="123"/>
      <c r="C400" s="38"/>
      <c r="D400" s="60"/>
      <c r="E400" s="60">
        <v>0</v>
      </c>
      <c r="F400" s="60">
        <f>D400*(($F$293)+1)+(IF(E400&lt;101,E400,IF(E400&lt;201,E400/2,IF(E400&lt;=301,E400/3,E400/4))))</f>
        <v>0</v>
      </c>
      <c r="G400" s="123">
        <f>G399</f>
        <v>0</v>
      </c>
      <c r="H400" s="123"/>
    </row>
    <row r="401" spans="1:10" s="30" customFormat="1" hidden="1" x14ac:dyDescent="0.3">
      <c r="A401" s="123" t="e">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10^ROW(INDIRECT("1:"&amp;LEN((LEFT(A400,SUM(LEN(A400)-LEN(SUBSTITUTE(A400,{"0","1","2"},""))))))))/10))*1+1&amp;""&amp;" to "&amp;""&amp;(SUMPRODUCT(MID(0&amp;(--TRIM(RIGHT(SUBSTITUTE(LEFT(A400,_xlfn.AGGREGATE(16,6,FIND({0,1,2,3,4,5,6,7,8,9},A400,ROW(INDIRECT("1:"&amp;LEN(A400)))),1)),"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",LEN(A400))),LEN(A400)))))))/10))*1+1</f>
        <v>#REF!</v>
      </c>
      <c r="B401" s="123"/>
      <c r="C401" s="38"/>
      <c r="D401" s="60"/>
      <c r="E401" s="60">
        <v>0</v>
      </c>
      <c r="F401" s="60">
        <f>D401*(($F$293)+1)+(IF(E401&lt;101,E401,IF(E401&lt;201,E401/2,IF(E401&lt;=301,E401/3,E401/4))))</f>
        <v>0</v>
      </c>
      <c r="G401" s="123">
        <f>G400</f>
        <v>0</v>
      </c>
      <c r="H401" s="123"/>
    </row>
    <row r="402" spans="1:10" s="30" customFormat="1" hidden="1" x14ac:dyDescent="0.3">
      <c r="A402" s="123" t="e">
        <f ca="1">(SUMPRODUCT(MID(0&amp;(LEFT(A401,SUM(LEN(A401)-LEN(SUBSTITUTE(A401,{"0","1","2"},""))))), LARGE(INDEX(ISNUMBER(--MID((LEFT(A401,SUM(LEN(A401)-LEN(SUBSTITUTE(A401,{"0","1","2"},""))))), ROW(INDIRECT("1:"&amp;LEN((LEFT(A401,SUM(LEN(A401)-LEN(SUBSTITUTE(A401,{"0","1","2"},"")))))))), 1)) * ROW(INDIRECT("1:"&amp;LEN((LEFT(A401,SUM(LEN(A401)-LEN(SUBSTITUTE(A401,{"0","1","2"},"")))))))), 0), ROW(INDIRECT("1:"&amp;LEN((LEFT(A401,SUM(LEN(A401)-LEN(SUBSTITUTE(A401,{"0","1","2"},"")))))))))+1, 1) * 10^ROW(INDIRECT("1:"&amp;LEN((LEFT(A401,SUM(LEN(A401)-LEN(SUBSTITUTE(A401,{"0","1","2"},""))))))))/10))*1+1&amp;""&amp;" to "&amp;""&amp;(SUMPRODUCT(MID(0&amp;(--TRIM(RIGHT(SUBSTITUTE(LEFT(A401,_xlfn.AGGREGATE(16,6,FIND({0,1,2,3,4,5,6,7,8,9},A401,ROW(INDIRECT("1:"&amp;LEN(A401)))),1))," ",REPT(" ",LEN(A401))),LEN(A401)))), LARGE(INDEX(ISNUMBER(--MID((--TRIM(RIGHT(SUBSTITUTE(LEFT(A401,_xlfn.AGGREGATE(16,6,FIND({0,1,2,3,4,5,6,7,8,9},A401,ROW(INDIRECT("1:"&amp;LEN(A401)))),1))," ",REPT(" ",LEN(A401))),LEN(A401)))), ROW(INDIRECT("1:"&amp;LEN((--TRIM(RIGHT(SUBSTITUTE(LEFT(A401,_xlfn.AGGREGATE(16,6,FIND({0,1,2,3,4,5,6,7,8,9},A401,ROW(INDIRECT("1:"&amp;LEN(A401)))),1))," ",REPT(" ",LEN(A401))),LEN(A401))))))), 1)) * ROW(INDIRECT("1:"&amp;LEN((--TRIM(RIGHT(SUBSTITUTE(LEFT(A401,_xlfn.AGGREGATE(16,6,FIND({0,1,2,3,4,5,6,7,8,9},A401,ROW(INDIRECT("1:"&amp;LEN(A401)))),1))," ",REPT(" ",LEN(A401))),LEN(A401))))))), 0), ROW(INDIRECT("1:"&amp;LEN((--TRIM(RIGHT(SUBSTITUTE(LEFT(A401,_xlfn.AGGREGATE(16,6,FIND({0,1,2,3,4,5,6,7,8,9},A401,ROW(INDIRECT("1:"&amp;LEN(A401)))),1))," ",REPT(" ",LEN(A401))),LEN(A401))))))))+1, 1) * 10^ROW(INDIRECT("1:"&amp;LEN((--TRIM(RIGHT(SUBSTITUTE(LEFT(A401,_xlfn.AGGREGATE(16,6,FIND({0,1,2,3,4,5,6,7,8,9},A401,ROW(INDIRECT("1:"&amp;LEN(A401)))),1))," ",REPT(" ",LEN(A401))),LEN(A401)))))))/10))*1+1</f>
        <v>#REF!</v>
      </c>
      <c r="B402" s="123"/>
      <c r="C402" s="38"/>
      <c r="D402" s="60"/>
      <c r="E402" s="60">
        <v>0</v>
      </c>
      <c r="F402" s="60">
        <f>D402*(($F$293)+1)+(IF(E402&lt;101,E402,IF(E402&lt;201,E402/2,IF(E402&lt;=301,E402/3,E402/4))))</f>
        <v>0</v>
      </c>
      <c r="G402" s="123">
        <f>G401</f>
        <v>0</v>
      </c>
      <c r="H402" s="123"/>
    </row>
    <row r="403" spans="1:10" s="30" customFormat="1" hidden="1" x14ac:dyDescent="0.3">
      <c r="A403" s="89" t="s">
        <v>141</v>
      </c>
      <c r="B403" s="89"/>
      <c r="C403" s="89"/>
      <c r="D403" s="89"/>
      <c r="E403" s="89"/>
      <c r="F403" s="89"/>
      <c r="G403" s="89"/>
      <c r="H403" s="89"/>
    </row>
    <row r="404" spans="1:10" s="30" customFormat="1" hidden="1" x14ac:dyDescent="0.3">
      <c r="A404" s="123" t="str">
        <f ca="1">(SUMPRODUCT(MID(0&amp;(LEFT(A403,SUM(LEN(A403)-LEN(SUBSTITUTE(A403,{"0","1","2"},""))))), LARGE(INDEX(ISNUMBER(--MID((LEFT(A403,SUM(LEN(A403)-LEN(SUBSTITUTE(A403,{"0","1","2"},""))))), ROW(INDIRECT("1:"&amp;LEN((LEFT(A403,SUM(LEN(A403)-LEN(SUBSTITUTE(A403,{"0","1","2"},"")))))))), 1)) * ROW(INDIRECT("1:"&amp;LEN((LEFT(A403,SUM(LEN(A403)-LEN(SUBSTITUTE(A403,{"0","1","2"},"")))))))), 0), ROW(INDIRECT("1:"&amp;LEN((LEFT(A403,SUM(LEN(A403)-LEN(SUBSTITUTE(A403,{"0","1","2"},"")))))))))+1, 1) * 10^ROW(INDIRECT("1:"&amp;LEN((LEFT(A403,SUM(LEN(A403)-LEN(SUBSTITUTE(A403,{"0","1","2"},""))))))))/10))*100+1&amp;""&amp;" &amp; "&amp;""&amp;(SUMPRODUCT(MID(0&amp;(--TRIM(RIGHT(SUBSTITUTE(LEFT(A403,_xlfn.AGGREGATE(16,6,FIND({0,1,2,3,4,5,6,7,8,9},A403,ROW(INDIRECT("1:"&amp;LEN(A403)))),1))," ",REPT(" ",LEN(A403))),LEN(A403)))), LARGE(INDEX(ISNUMBER(--MID((--TRIM(RIGHT(SUBSTITUTE(LEFT(A403,_xlfn.AGGREGATE(16,6,FIND({0,1,2,3,4,5,6,7,8,9},A403,ROW(INDIRECT("1:"&amp;LEN(A403)))),1))," ",REPT(" ",LEN(A403))),LEN(A403)))), ROW(INDIRECT("1:"&amp;LEN((--TRIM(RIGHT(SUBSTITUTE(LEFT(A403,_xlfn.AGGREGATE(16,6,FIND({0,1,2,3,4,5,6,7,8,9},A403,ROW(INDIRECT("1:"&amp;LEN(A403)))),1))," ",REPT(" ",LEN(A403))),LEN(A403))))))), 1)) * ROW(INDIRECT("1:"&amp;LEN((--TRIM(RIGHT(SUBSTITUTE(LEFT(A403,_xlfn.AGGREGATE(16,6,FIND({0,1,2,3,4,5,6,7,8,9},A403,ROW(INDIRECT("1:"&amp;LEN(A403)))),1))," ",REPT(" ",LEN(A403))),LEN(A403))))))), 0), ROW(INDIRECT("1:"&amp;LEN((--TRIM(RIGHT(SUBSTITUTE(LEFT(A403,_xlfn.AGGREGATE(16,6,FIND({0,1,2,3,4,5,6,7,8,9},A403,ROW(INDIRECT("1:"&amp;LEN(A403)))),1))," ",REPT(" ",LEN(A403))),LEN(A403))))))))+1, 1) * 10^ROW(INDIRECT("1:"&amp;LEN((--TRIM(RIGHT(SUBSTITUTE(LEFT(A403,_xlfn.AGGREGATE(16,6,FIND({0,1,2,3,4,5,6,7,8,9},A403,ROW(INDIRECT("1:"&amp;LEN(A403)))),1))," ",REPT(" ",LEN(A403))),LEN(A403)))))))/10))*100+1</f>
        <v>201 &amp; 501</v>
      </c>
      <c r="B404" s="123"/>
      <c r="C404" s="38"/>
      <c r="D404" s="60"/>
      <c r="E404" s="60">
        <v>0</v>
      </c>
      <c r="F404" s="60">
        <f>D404*(($F$293)+1)+(IF(E404&lt;101,E404,IF(E404&lt;201,E404/2,IF(E404&lt;=301,E404/3,E404/4))))</f>
        <v>0</v>
      </c>
      <c r="G404" s="123" t="str">
        <f>A403</f>
        <v>2nd &amp; 5th Floor</v>
      </c>
      <c r="H404" s="123"/>
    </row>
    <row r="405" spans="1:10" s="30" customFormat="1" hidden="1" x14ac:dyDescent="0.3">
      <c r="A405" s="123" t="str">
        <f ca="1">(SUMPRODUCT(MID(0&amp;(LEFT(A404,SUM(LEN(A404)-LEN(SUBSTITUTE(A404,{"0","1","2"},""))))), LARGE(INDEX(ISNUMBER(--MID((LEFT(A404,SUM(LEN(A404)-LEN(SUBSTITUTE(A404,{"0","1","2"},""))))), ROW(INDIRECT("1:"&amp;LEN((LEFT(A404,SUM(LEN(A404)-LEN(SUBSTITUTE(A404,{"0","1","2"},"")))))))), 1)) * ROW(INDIRECT("1:"&amp;LEN((LEFT(A404,SUM(LEN(A404)-LEN(SUBSTITUTE(A404,{"0","1","2"},"")))))))), 0), ROW(INDIRECT("1:"&amp;LEN((LEFT(A404,SUM(LEN(A404)-LEN(SUBSTITUTE(A404,{"0","1","2"},"")))))))))+1, 1) * 10^ROW(INDIRECT("1:"&amp;LEN((LEFT(A404,SUM(LEN(A404)-LEN(SUBSTITUTE(A404,{"0","1","2"},""))))))))/10))*1+1&amp;""&amp;" &amp; "&amp;""&amp;(SUMPRODUCT(MID(0&amp;(--TRIM(RIGHT(SUBSTITUTE(LEFT(A404,_xlfn.AGGREGATE(16,6,FIND({0,1,2,3,4,5,6,7,8,9},A404,ROW(INDIRECT("1:"&amp;LEN(A404)))),1))," ",REPT(" ",LEN(A404))),LEN(A404)))), LARGE(INDEX(ISNUMBER(--MID((--TRIM(RIGHT(SUBSTITUTE(LEFT(A404,_xlfn.AGGREGATE(16,6,FIND({0,1,2,3,4,5,6,7,8,9},A404,ROW(INDIRECT("1:"&amp;LEN(A404)))),1))," ",REPT(" ",LEN(A404))),LEN(A404)))), ROW(INDIRECT("1:"&amp;LEN((--TRIM(RIGHT(SUBSTITUTE(LEFT(A404,_xlfn.AGGREGATE(16,6,FIND({0,1,2,3,4,5,6,7,8,9},A404,ROW(INDIRECT("1:"&amp;LEN(A404)))),1))," ",REPT(" ",LEN(A404))),LEN(A404))))))), 1)) * ROW(INDIRECT("1:"&amp;LEN((--TRIM(RIGHT(SUBSTITUTE(LEFT(A404,_xlfn.AGGREGATE(16,6,FIND({0,1,2,3,4,5,6,7,8,9},A404,ROW(INDIRECT("1:"&amp;LEN(A404)))),1))," ",REPT(" ",LEN(A404))),LEN(A404))))))), 0), ROW(INDIRECT("1:"&amp;LEN((--TRIM(RIGHT(SUBSTITUTE(LEFT(A404,_xlfn.AGGREGATE(16,6,FIND({0,1,2,3,4,5,6,7,8,9},A404,ROW(INDIRECT("1:"&amp;LEN(A404)))),1))," ",REPT(" ",LEN(A404))),LEN(A404))))))))+1, 1) * 10^ROW(INDIRECT("1:"&amp;LEN((--TRIM(RIGHT(SUBSTITUTE(LEFT(A404,_xlfn.AGGREGATE(16,6,FIND({0,1,2,3,4,5,6,7,8,9},A404,ROW(INDIRECT("1:"&amp;LEN(A404)))),1))," ",REPT(" ",LEN(A404))),LEN(A404)))))))/10))*1+1</f>
        <v>202 &amp; 502</v>
      </c>
      <c r="B405" s="123"/>
      <c r="C405" s="38"/>
      <c r="D405" s="60"/>
      <c r="E405" s="60">
        <v>0</v>
      </c>
      <c r="F405" s="60">
        <f>D405*(($F$293)+1)+(IF(E405&lt;101,E405,IF(E405&lt;201,E405/2,IF(E405&lt;=301,E405/3,E405/4))))</f>
        <v>0</v>
      </c>
      <c r="G405" s="123" t="str">
        <f>G404</f>
        <v>2nd &amp; 5th Floor</v>
      </c>
      <c r="H405" s="123"/>
    </row>
    <row r="406" spans="1:10" s="30" customFormat="1" hidden="1" x14ac:dyDescent="0.3">
      <c r="A406" s="123" t="str">
        <f ca="1">(SUMPRODUCT(MID(0&amp;(LEFT(A405,SUM(LEN(A405)-LEN(SUBSTITUTE(A405,{"0","1","2"},""))))), LARGE(INDEX(ISNUMBER(--MID((LEFT(A405,SUM(LEN(A405)-LEN(SUBSTITUTE(A405,{"0","1","2"},""))))), ROW(INDIRECT("1:"&amp;LEN((LEFT(A405,SUM(LEN(A405)-LEN(SUBSTITUTE(A405,{"0","1","2"},"")))))))), 1)) * ROW(INDIRECT("1:"&amp;LEN((LEFT(A405,SUM(LEN(A405)-LEN(SUBSTITUTE(A405,{"0","1","2"},"")))))))), 0), ROW(INDIRECT("1:"&amp;LEN((LEFT(A405,SUM(LEN(A405)-LEN(SUBSTITUTE(A405,{"0","1","2"},"")))))))))+1, 1) * 10^ROW(INDIRECT("1:"&amp;LEN((LEFT(A405,SUM(LEN(A405)-LEN(SUBSTITUTE(A405,{"0","1","2"},""))))))))/10))*1+1&amp;""&amp;" &amp; "&amp;""&amp;(SUMPRODUCT(MID(0&amp;(--TRIM(RIGHT(SUBSTITUTE(LEFT(A405,_xlfn.AGGREGATE(16,6,FIND({0,1,2,3,4,5,6,7,8,9},A405,ROW(INDIRECT("1:"&amp;LEN(A405)))),1))," ",REPT(" ",LEN(A405))),LEN(A405)))), LARGE(INDEX(ISNUMBER(--MID((--TRIM(RIGHT(SUBSTITUTE(LEFT(A405,_xlfn.AGGREGATE(16,6,FIND({0,1,2,3,4,5,6,7,8,9},A405,ROW(INDIRECT("1:"&amp;LEN(A405)))),1))," ",REPT(" ",LEN(A405))),LEN(A405)))), ROW(INDIRECT("1:"&amp;LEN((--TRIM(RIGHT(SUBSTITUTE(LEFT(A405,_xlfn.AGGREGATE(16,6,FIND({0,1,2,3,4,5,6,7,8,9},A405,ROW(INDIRECT("1:"&amp;LEN(A405)))),1))," ",REPT(" ",LEN(A405))),LEN(A405))))))), 1)) * ROW(INDIRECT("1:"&amp;LEN((--TRIM(RIGHT(SUBSTITUTE(LEFT(A405,_xlfn.AGGREGATE(16,6,FIND({0,1,2,3,4,5,6,7,8,9},A405,ROW(INDIRECT("1:"&amp;LEN(A405)))),1))," ",REPT(" ",LEN(A405))),LEN(A405))))))), 0), ROW(INDIRECT("1:"&amp;LEN((--TRIM(RIGHT(SUBSTITUTE(LEFT(A405,_xlfn.AGGREGATE(16,6,FIND({0,1,2,3,4,5,6,7,8,9},A405,ROW(INDIRECT("1:"&amp;LEN(A405)))),1))," ",REPT(" ",LEN(A405))),LEN(A405))))))))+1, 1) * 10^ROW(INDIRECT("1:"&amp;LEN((--TRIM(RIGHT(SUBSTITUTE(LEFT(A405,_xlfn.AGGREGATE(16,6,FIND({0,1,2,3,4,5,6,7,8,9},A405,ROW(INDIRECT("1:"&amp;LEN(A405)))),1))," ",REPT(" ",LEN(A405))),LEN(A405)))))))/10))*1+1</f>
        <v>203 &amp; 503</v>
      </c>
      <c r="B406" s="123"/>
      <c r="C406" s="38"/>
      <c r="D406" s="60"/>
      <c r="E406" s="60">
        <v>0</v>
      </c>
      <c r="F406" s="60">
        <f>D406*(($F$293)+1)+(IF(E406&lt;101,E406,IF(E406&lt;201,E406/2,IF(E406&lt;=301,E406/3,E406/4))))</f>
        <v>0</v>
      </c>
      <c r="G406" s="123" t="str">
        <f>G405</f>
        <v>2nd &amp; 5th Floor</v>
      </c>
      <c r="H406" s="123"/>
    </row>
    <row r="407" spans="1:10" s="30" customFormat="1" hidden="1" x14ac:dyDescent="0.3">
      <c r="A407" s="123" t="str">
        <f ca="1">(SUMPRODUCT(MID(0&amp;(LEFT(A406,SUM(LEN(A406)-LEN(SUBSTITUTE(A406,{"0","1","2"},""))))), LARGE(INDEX(ISNUMBER(--MID((LEFT(A406,SUM(LEN(A406)-LEN(SUBSTITUTE(A406,{"0","1","2"},""))))), ROW(INDIRECT("1:"&amp;LEN((LEFT(A406,SUM(LEN(A406)-LEN(SUBSTITUTE(A406,{"0","1","2"},"")))))))), 1)) * ROW(INDIRECT("1:"&amp;LEN((LEFT(A406,SUM(LEN(A406)-LEN(SUBSTITUTE(A406,{"0","1","2"},"")))))))), 0), ROW(INDIRECT("1:"&amp;LEN((LEFT(A406,SUM(LEN(A406)-LEN(SUBSTITUTE(A406,{"0","1","2"},"")))))))))+1, 1) * 10^ROW(INDIRECT("1:"&amp;LEN((LEFT(A406,SUM(LEN(A406)-LEN(SUBSTITUTE(A406,{"0","1","2"},""))))))))/10))*1+1&amp;""&amp;" &amp; "&amp;""&amp;(SUMPRODUCT(MID(0&amp;(--TRIM(RIGHT(SUBSTITUTE(LEFT(A406,_xlfn.AGGREGATE(16,6,FIND({0,1,2,3,4,5,6,7,8,9},A406,ROW(INDIRECT("1:"&amp;LEN(A406)))),1))," ",REPT(" ",LEN(A406))),LEN(A406)))), LARGE(INDEX(ISNUMBER(--MID((--TRIM(RIGHT(SUBSTITUTE(LEFT(A406,_xlfn.AGGREGATE(16,6,FIND({0,1,2,3,4,5,6,7,8,9},A406,ROW(INDIRECT("1:"&amp;LEN(A406)))),1))," ",REPT(" ",LEN(A406))),LEN(A406)))), ROW(INDIRECT("1:"&amp;LEN((--TRIM(RIGHT(SUBSTITUTE(LEFT(A406,_xlfn.AGGREGATE(16,6,FIND({0,1,2,3,4,5,6,7,8,9},A406,ROW(INDIRECT("1:"&amp;LEN(A406)))),1))," ",REPT(" ",LEN(A406))),LEN(A406))))))), 1)) * ROW(INDIRECT("1:"&amp;LEN((--TRIM(RIGHT(SUBSTITUTE(LEFT(A406,_xlfn.AGGREGATE(16,6,FIND({0,1,2,3,4,5,6,7,8,9},A406,ROW(INDIRECT("1:"&amp;LEN(A406)))),1))," ",REPT(" ",LEN(A406))),LEN(A406))))))), 0), ROW(INDIRECT("1:"&amp;LEN((--TRIM(RIGHT(SUBSTITUTE(LEFT(A406,_xlfn.AGGREGATE(16,6,FIND({0,1,2,3,4,5,6,7,8,9},A406,ROW(INDIRECT("1:"&amp;LEN(A406)))),1))," ",REPT(" ",LEN(A406))),LEN(A406))))))))+1, 1) * 10^ROW(INDIRECT("1:"&amp;LEN((--TRIM(RIGHT(SUBSTITUTE(LEFT(A406,_xlfn.AGGREGATE(16,6,FIND({0,1,2,3,4,5,6,7,8,9},A406,ROW(INDIRECT("1:"&amp;LEN(A406)))),1))," ",REPT(" ",LEN(A406))),LEN(A406)))))))/10))*1+1</f>
        <v>204 &amp; 504</v>
      </c>
      <c r="B407" s="123"/>
      <c r="C407" s="38"/>
      <c r="D407" s="60"/>
      <c r="E407" s="60">
        <v>0</v>
      </c>
      <c r="F407" s="60">
        <f>D407*(($F$293)+1)+(IF(E407&lt;101,E407,IF(E407&lt;201,E407/2,IF(E407&lt;=301,E407/3,E407/4))))</f>
        <v>0</v>
      </c>
      <c r="G407" s="123" t="str">
        <f>G406</f>
        <v>2nd &amp; 5th Floor</v>
      </c>
      <c r="H407" s="123"/>
    </row>
    <row r="408" spans="1:10" s="30" customFormat="1" hidden="1" x14ac:dyDescent="0.3">
      <c r="A408" s="123" t="str">
        <f ca="1">(SUMPRODUCT(MID(0&amp;(LEFT(A407,SUM(LEN(A407)-LEN(SUBSTITUTE(A407,{"0","1","2"},""))))), LARGE(INDEX(ISNUMBER(--MID((LEFT(A407,SUM(LEN(A407)-LEN(SUBSTITUTE(A407,{"0","1","2"},""))))), ROW(INDIRECT("1:"&amp;LEN((LEFT(A407,SUM(LEN(A407)-LEN(SUBSTITUTE(A407,{"0","1","2"},"")))))))), 1)) * ROW(INDIRECT("1:"&amp;LEN((LEFT(A407,SUM(LEN(A407)-LEN(SUBSTITUTE(A407,{"0","1","2"},"")))))))), 0), ROW(INDIRECT("1:"&amp;LEN((LEFT(A407,SUM(LEN(A407)-LEN(SUBSTITUTE(A407,{"0","1","2"},"")))))))))+1, 1) * 10^ROW(INDIRECT("1:"&amp;LEN((LEFT(A407,SUM(LEN(A407)-LEN(SUBSTITUTE(A407,{"0","1","2"},""))))))))/10))*1+1&amp;""&amp;" &amp; "&amp;""&amp;(SUMPRODUCT(MID(0&amp;(--TRIM(RIGHT(SUBSTITUTE(LEFT(A407,_xlfn.AGGREGATE(16,6,FIND({0,1,2,3,4,5,6,7,8,9},A407,ROW(INDIRECT("1:"&amp;LEN(A407)))),1))," ",REPT(" ",LEN(A407))),LEN(A407)))), LARGE(INDEX(ISNUMBER(--MID((--TRIM(RIGHT(SUBSTITUTE(LEFT(A407,_xlfn.AGGREGATE(16,6,FIND({0,1,2,3,4,5,6,7,8,9},A407,ROW(INDIRECT("1:"&amp;LEN(A407)))),1))," ",REPT(" ",LEN(A407))),LEN(A407)))), ROW(INDIRECT("1:"&amp;LEN((--TRIM(RIGHT(SUBSTITUTE(LEFT(A407,_xlfn.AGGREGATE(16,6,FIND({0,1,2,3,4,5,6,7,8,9},A407,ROW(INDIRECT("1:"&amp;LEN(A407)))),1))," ",REPT(" ",LEN(A407))),LEN(A407))))))), 1)) * ROW(INDIRECT("1:"&amp;LEN((--TRIM(RIGHT(SUBSTITUTE(LEFT(A407,_xlfn.AGGREGATE(16,6,FIND({0,1,2,3,4,5,6,7,8,9},A407,ROW(INDIRECT("1:"&amp;LEN(A407)))),1))," ",REPT(" ",LEN(A407))),LEN(A407))))))), 0), ROW(INDIRECT("1:"&amp;LEN((--TRIM(RIGHT(SUBSTITUTE(LEFT(A407,_xlfn.AGGREGATE(16,6,FIND({0,1,2,3,4,5,6,7,8,9},A407,ROW(INDIRECT("1:"&amp;LEN(A407)))),1))," ",REPT(" ",LEN(A407))),LEN(A407))))))))+1, 1) * 10^ROW(INDIRECT("1:"&amp;LEN((--TRIM(RIGHT(SUBSTITUTE(LEFT(A407,_xlfn.AGGREGATE(16,6,FIND({0,1,2,3,4,5,6,7,8,9},A407,ROW(INDIRECT("1:"&amp;LEN(A407)))),1))," ",REPT(" ",LEN(A407))),LEN(A407)))))))/10))*1+1</f>
        <v>205 &amp; 505</v>
      </c>
      <c r="B408" s="123"/>
      <c r="C408" s="38"/>
      <c r="D408" s="60"/>
      <c r="E408" s="60">
        <v>0</v>
      </c>
      <c r="F408" s="60">
        <f>D408*(($F$293)+1)+(IF(E408&lt;101,E408,IF(E408&lt;201,E408/2,IF(E408&lt;=301,E408/3,E408/4))))</f>
        <v>0</v>
      </c>
      <c r="G408" s="123" t="str">
        <f>G407</f>
        <v>2nd &amp; 5th Floor</v>
      </c>
      <c r="H408" s="123"/>
    </row>
    <row r="409" spans="1:10" s="30" customFormat="1" x14ac:dyDescent="0.3">
      <c r="A409" s="89" t="s">
        <v>202</v>
      </c>
      <c r="B409" s="89"/>
      <c r="C409" s="89"/>
      <c r="D409" s="89"/>
      <c r="E409" s="89"/>
      <c r="F409" s="89"/>
      <c r="G409" s="89"/>
      <c r="H409" s="89"/>
    </row>
    <row r="410" spans="1:10" s="30" customFormat="1" x14ac:dyDescent="0.3">
      <c r="A410" s="89" t="s">
        <v>204</v>
      </c>
      <c r="B410" s="89"/>
      <c r="C410" s="89"/>
      <c r="D410" s="89"/>
      <c r="E410" s="89"/>
      <c r="F410" s="89"/>
      <c r="G410" s="89"/>
      <c r="H410" s="89"/>
      <c r="I410" s="74">
        <v>10.763999999999999</v>
      </c>
    </row>
    <row r="411" spans="1:10" s="30" customFormat="1" x14ac:dyDescent="0.3">
      <c r="A411" s="93" t="s">
        <v>246</v>
      </c>
      <c r="B411" s="94"/>
      <c r="C411" s="94"/>
      <c r="D411" s="94"/>
      <c r="E411" s="94"/>
      <c r="F411" s="94"/>
      <c r="G411" s="94"/>
      <c r="H411" s="95"/>
    </row>
    <row r="412" spans="1:10" s="30" customFormat="1" ht="15.75" customHeight="1" x14ac:dyDescent="0.3">
      <c r="A412" s="87">
        <v>1</v>
      </c>
      <c r="B412" s="88"/>
      <c r="C412" s="38" t="s">
        <v>250</v>
      </c>
      <c r="D412" s="63">
        <f>(37.99+2.75)*10.764</f>
        <v>438.52535999999998</v>
      </c>
      <c r="E412" s="63">
        <v>0</v>
      </c>
      <c r="F412" s="60">
        <f t="shared" ref="F412:F417" si="24">D412*(($F$293)+1)+(IF(E412&lt;101,E412,IF(E412&lt;201,E412/2,IF(E412&lt;=301,E412/3,E412/4))))</f>
        <v>679.71430799999996</v>
      </c>
      <c r="G412" s="96" t="str">
        <f>A411</f>
        <v>1st Floor For Residential</v>
      </c>
      <c r="H412" s="97"/>
      <c r="I412" s="61">
        <f>3.25*2.75+3.2*2.15+3.05*2.95+2.84*1.85+1.25*2+3.4*0.9</f>
        <v>35.628999999999998</v>
      </c>
    </row>
    <row r="413" spans="1:10" s="30" customFormat="1" x14ac:dyDescent="0.3">
      <c r="A413" s="87">
        <f>A412+1</f>
        <v>2</v>
      </c>
      <c r="B413" s="88"/>
      <c r="C413" s="38" t="s">
        <v>249</v>
      </c>
      <c r="D413" s="63">
        <f>(27.41)*10.764</f>
        <v>295.04123999999996</v>
      </c>
      <c r="E413" s="63">
        <v>0</v>
      </c>
      <c r="F413" s="60">
        <f t="shared" si="24"/>
        <v>457.31392199999993</v>
      </c>
      <c r="G413" s="98"/>
      <c r="H413" s="99"/>
      <c r="I413" s="61"/>
    </row>
    <row r="414" spans="1:10" s="30" customFormat="1" x14ac:dyDescent="0.3">
      <c r="A414" s="87">
        <f>A413+1</f>
        <v>3</v>
      </c>
      <c r="B414" s="88"/>
      <c r="C414" s="38" t="s">
        <v>249</v>
      </c>
      <c r="D414" s="63">
        <f>(26.32+7.8)*10.764</f>
        <v>367.26767999999993</v>
      </c>
      <c r="E414" s="63">
        <f>(2.75*0.9)*10.764</f>
        <v>26.640899999999998</v>
      </c>
      <c r="F414" s="60">
        <f t="shared" si="24"/>
        <v>595.90580399999988</v>
      </c>
      <c r="G414" s="98"/>
      <c r="H414" s="99"/>
      <c r="I414" s="61"/>
    </row>
    <row r="415" spans="1:10" s="30" customFormat="1" x14ac:dyDescent="0.3">
      <c r="A415" s="87">
        <f>A414+1</f>
        <v>4</v>
      </c>
      <c r="B415" s="88"/>
      <c r="C415" s="38" t="s">
        <v>249</v>
      </c>
      <c r="D415" s="63">
        <f>(26.32+7.8)*10.764</f>
        <v>367.26767999999993</v>
      </c>
      <c r="E415" s="63">
        <v>0</v>
      </c>
      <c r="F415" s="60">
        <f t="shared" si="24"/>
        <v>569.26490399999989</v>
      </c>
      <c r="G415" s="98"/>
      <c r="H415" s="99"/>
      <c r="I415" s="61">
        <f>2.75*3.25+2.15*2.05+2.75*2.05+2*1.25+1.25*2</f>
        <v>23.982499999999998</v>
      </c>
    </row>
    <row r="416" spans="1:10" s="30" customFormat="1" x14ac:dyDescent="0.3">
      <c r="A416" s="87">
        <f>A415+1</f>
        <v>5</v>
      </c>
      <c r="B416" s="88"/>
      <c r="C416" s="38" t="s">
        <v>251</v>
      </c>
      <c r="D416" s="63">
        <f>(42.16+8.39)*10.764</f>
        <v>544.12019999999995</v>
      </c>
      <c r="E416" s="63">
        <v>0</v>
      </c>
      <c r="F416" s="60">
        <f t="shared" si="24"/>
        <v>843.38630999999998</v>
      </c>
      <c r="G416" s="98"/>
      <c r="H416" s="99"/>
      <c r="I416" s="61">
        <f>4.25*2.75+2.2*2.15+2.97*2.05+3.27*2.05+0.4*0.9+1.25*2+2*1.25+1*3.5+0.7*0.9</f>
        <v>38.6995</v>
      </c>
      <c r="J416" s="30">
        <f>2.97+3.27+2.15</f>
        <v>8.39</v>
      </c>
    </row>
    <row r="417" spans="1:10" s="30" customFormat="1" x14ac:dyDescent="0.3">
      <c r="A417" s="123">
        <v>6</v>
      </c>
      <c r="B417" s="123"/>
      <c r="C417" s="38" t="s">
        <v>249</v>
      </c>
      <c r="D417" s="63">
        <f>(28.95+5.72)*10.764</f>
        <v>373.18788000000001</v>
      </c>
      <c r="E417" s="63">
        <v>0</v>
      </c>
      <c r="F417" s="60">
        <f t="shared" si="24"/>
        <v>578.44121400000006</v>
      </c>
      <c r="G417" s="100"/>
      <c r="H417" s="101"/>
    </row>
    <row r="418" spans="1:10" s="30" customFormat="1" x14ac:dyDescent="0.3">
      <c r="A418" s="93" t="s">
        <v>252</v>
      </c>
      <c r="B418" s="94"/>
      <c r="C418" s="94"/>
      <c r="D418" s="94"/>
      <c r="E418" s="94"/>
      <c r="F418" s="94"/>
      <c r="G418" s="94"/>
      <c r="H418" s="95"/>
    </row>
    <row r="419" spans="1:10" s="30" customFormat="1" ht="15.75" customHeight="1" x14ac:dyDescent="0.3">
      <c r="A419" s="87">
        <v>1</v>
      </c>
      <c r="B419" s="88"/>
      <c r="C419" s="38" t="s">
        <v>251</v>
      </c>
      <c r="D419" s="63">
        <f>(39.19+8.79)*10.764</f>
        <v>516.4567199999999</v>
      </c>
      <c r="E419" s="60">
        <v>0</v>
      </c>
      <c r="F419" s="60">
        <f t="shared" ref="F419:F424" si="25">D419*(($F$293)+1)+(IF(E419&lt;101,E419,IF(E419&lt;201,E419/2,IF(E419&lt;=301,E419/3,E419/4))))</f>
        <v>800.50791599999991</v>
      </c>
      <c r="G419" s="96" t="str">
        <f>A418</f>
        <v>2nd to 7th, 9th to 12th, 14th to 17th &amp; 19th to 23rd Floor</v>
      </c>
      <c r="H419" s="97"/>
      <c r="J419" s="30">
        <f>3.05+2.84+2.75</f>
        <v>8.64</v>
      </c>
    </row>
    <row r="420" spans="1:10" s="30" customFormat="1" x14ac:dyDescent="0.3">
      <c r="A420" s="87">
        <f>A419+1</f>
        <v>2</v>
      </c>
      <c r="B420" s="88"/>
      <c r="C420" s="38" t="s">
        <v>249</v>
      </c>
      <c r="D420" s="63">
        <f>(28.72+5.5)*10.764</f>
        <v>368.34407999999996</v>
      </c>
      <c r="E420" s="60">
        <v>0</v>
      </c>
      <c r="F420" s="60">
        <f t="shared" si="25"/>
        <v>570.93332399999997</v>
      </c>
      <c r="G420" s="98"/>
      <c r="H420" s="99"/>
      <c r="I420" s="61">
        <f>2.75*3.25+2.15*3.05+2.05*2.75+1.25*2+2*1.25+0.9*0.8</f>
        <v>26.852499999999999</v>
      </c>
    </row>
    <row r="421" spans="1:10" s="30" customFormat="1" x14ac:dyDescent="0.3">
      <c r="A421" s="87">
        <f>A420+1</f>
        <v>3</v>
      </c>
      <c r="B421" s="88"/>
      <c r="C421" s="38" t="s">
        <v>249</v>
      </c>
      <c r="D421" s="63">
        <f>(28.63+5.5)*10.764</f>
        <v>367.37531999999993</v>
      </c>
      <c r="E421" s="60">
        <v>0</v>
      </c>
      <c r="F421" s="60">
        <f t="shared" si="25"/>
        <v>569.43174599999986</v>
      </c>
      <c r="G421" s="98"/>
      <c r="H421" s="99"/>
    </row>
    <row r="422" spans="1:10" s="30" customFormat="1" x14ac:dyDescent="0.3">
      <c r="A422" s="87">
        <f>A421+1</f>
        <v>4</v>
      </c>
      <c r="B422" s="88"/>
      <c r="C422" s="38" t="s">
        <v>249</v>
      </c>
      <c r="D422" s="63">
        <f>(28.63+5.5)*10.764</f>
        <v>367.37531999999993</v>
      </c>
      <c r="E422" s="60">
        <v>0</v>
      </c>
      <c r="F422" s="60">
        <f t="shared" si="25"/>
        <v>569.43174599999986</v>
      </c>
      <c r="G422" s="98"/>
      <c r="H422" s="99"/>
    </row>
    <row r="423" spans="1:10" s="30" customFormat="1" x14ac:dyDescent="0.3">
      <c r="A423" s="87">
        <f>A422+1</f>
        <v>5</v>
      </c>
      <c r="B423" s="88"/>
      <c r="C423" s="38" t="s">
        <v>251</v>
      </c>
      <c r="D423" s="63">
        <f>(42.16+8.39)*10.764</f>
        <v>544.12019999999995</v>
      </c>
      <c r="E423" s="60">
        <v>0</v>
      </c>
      <c r="F423" s="60">
        <f t="shared" si="25"/>
        <v>843.38630999999998</v>
      </c>
      <c r="G423" s="98"/>
      <c r="H423" s="99"/>
    </row>
    <row r="424" spans="1:10" s="30" customFormat="1" x14ac:dyDescent="0.3">
      <c r="A424" s="123">
        <v>6</v>
      </c>
      <c r="B424" s="123"/>
      <c r="C424" s="38" t="s">
        <v>249</v>
      </c>
      <c r="D424" s="63">
        <f>(28.95+5.72)*10.764</f>
        <v>373.18788000000001</v>
      </c>
      <c r="E424" s="60">
        <v>0</v>
      </c>
      <c r="F424" s="60">
        <f t="shared" si="25"/>
        <v>578.44121400000006</v>
      </c>
      <c r="G424" s="100"/>
      <c r="H424" s="101"/>
    </row>
    <row r="425" spans="1:10" s="30" customFormat="1" x14ac:dyDescent="0.3">
      <c r="A425" s="93" t="s">
        <v>181</v>
      </c>
      <c r="B425" s="94"/>
      <c r="C425" s="94"/>
      <c r="D425" s="94"/>
      <c r="E425" s="94"/>
      <c r="F425" s="94"/>
      <c r="G425" s="94"/>
      <c r="H425" s="95"/>
    </row>
    <row r="426" spans="1:10" x14ac:dyDescent="0.3">
      <c r="A426" s="87">
        <v>1</v>
      </c>
      <c r="B426" s="88"/>
      <c r="C426" s="38" t="s">
        <v>251</v>
      </c>
      <c r="D426" s="63">
        <f>(39.19+8.79)*10.764</f>
        <v>516.4567199999999</v>
      </c>
      <c r="E426" s="60">
        <v>0</v>
      </c>
      <c r="F426" s="60">
        <f>D426*(($F$293)+1)+(IF(E426&lt;101,E426,IF(E426&lt;201,E426/2,IF(E426&lt;=301,E426/3,E426/4))))</f>
        <v>800.50791599999991</v>
      </c>
      <c r="G426" s="96" t="str">
        <f>A425</f>
        <v>8th, 13th &amp; 18th Floor (Part Refuge Area)</v>
      </c>
      <c r="H426" s="97"/>
    </row>
    <row r="427" spans="1:10" x14ac:dyDescent="0.3">
      <c r="A427" s="87">
        <f>A426+1</f>
        <v>2</v>
      </c>
      <c r="B427" s="88"/>
      <c r="C427" s="124" t="s">
        <v>180</v>
      </c>
      <c r="D427" s="125"/>
      <c r="E427" s="125"/>
      <c r="F427" s="126"/>
      <c r="G427" s="98"/>
      <c r="H427" s="99"/>
    </row>
    <row r="428" spans="1:10" x14ac:dyDescent="0.3">
      <c r="A428" s="87">
        <f>A427+1</f>
        <v>3</v>
      </c>
      <c r="B428" s="88"/>
      <c r="C428" s="38" t="s">
        <v>249</v>
      </c>
      <c r="D428" s="63">
        <f>(28.63+5.5)*10.764</f>
        <v>367.37531999999993</v>
      </c>
      <c r="E428" s="60">
        <v>0</v>
      </c>
      <c r="F428" s="60">
        <f>D428*(($F$293)+1)+(IF(E428&lt;101,E428,IF(E428&lt;201,E428/2,IF(E428&lt;=301,E428/3,E428/4))))</f>
        <v>569.43174599999986</v>
      </c>
      <c r="G428" s="98"/>
      <c r="H428" s="99"/>
    </row>
    <row r="429" spans="1:10" x14ac:dyDescent="0.3">
      <c r="A429" s="87">
        <f>A428+1</f>
        <v>4</v>
      </c>
      <c r="B429" s="88"/>
      <c r="C429" s="38" t="s">
        <v>249</v>
      </c>
      <c r="D429" s="63">
        <f>(28.63+5.5)*10.764</f>
        <v>367.37531999999993</v>
      </c>
      <c r="E429" s="60">
        <v>0</v>
      </c>
      <c r="F429" s="60">
        <f>D429*(($F$293)+1)+(IF(E429&lt;101,E429,IF(E429&lt;201,E429/2,IF(E429&lt;=301,E429/3,E429/4))))</f>
        <v>569.43174599999986</v>
      </c>
      <c r="G429" s="98"/>
      <c r="H429" s="99"/>
    </row>
    <row r="430" spans="1:10" x14ac:dyDescent="0.3">
      <c r="A430" s="87">
        <f>A429+1</f>
        <v>5</v>
      </c>
      <c r="B430" s="88"/>
      <c r="C430" s="38" t="s">
        <v>251</v>
      </c>
      <c r="D430" s="63">
        <f>(42.16+8.39)*10.764</f>
        <v>544.12019999999995</v>
      </c>
      <c r="E430" s="60">
        <v>0</v>
      </c>
      <c r="F430" s="60">
        <f>D430*(($F$293)+1)+(IF(E430&lt;101,E430,IF(E430&lt;201,E430/2,IF(E430&lt;=301,E430/3,E430/4))))</f>
        <v>843.38630999999998</v>
      </c>
      <c r="G430" s="98"/>
      <c r="H430" s="99"/>
    </row>
    <row r="431" spans="1:10" x14ac:dyDescent="0.3">
      <c r="A431" s="123">
        <v>6</v>
      </c>
      <c r="B431" s="123"/>
      <c r="C431" s="38" t="s">
        <v>249</v>
      </c>
      <c r="D431" s="63">
        <f>(28.95+5.72)*10.764</f>
        <v>373.18788000000001</v>
      </c>
      <c r="E431" s="60">
        <v>0</v>
      </c>
      <c r="F431" s="60">
        <f>D431*(($F$293)+1)+(IF(E431&lt;101,E431,IF(E431&lt;201,E431/2,IF(E431&lt;=301,E431/3,E431/4))))</f>
        <v>578.44121400000006</v>
      </c>
      <c r="G431" s="100"/>
      <c r="H431" s="101"/>
    </row>
    <row r="432" spans="1:10" x14ac:dyDescent="0.3">
      <c r="A432" s="93" t="s">
        <v>209</v>
      </c>
      <c r="B432" s="94"/>
      <c r="C432" s="94"/>
      <c r="D432" s="94"/>
      <c r="E432" s="94"/>
      <c r="F432" s="94"/>
      <c r="G432" s="94"/>
      <c r="H432" s="95"/>
    </row>
    <row r="433" spans="1:9" x14ac:dyDescent="0.3">
      <c r="A433" s="93" t="s">
        <v>246</v>
      </c>
      <c r="B433" s="94"/>
      <c r="C433" s="94"/>
      <c r="D433" s="94"/>
      <c r="E433" s="94"/>
      <c r="F433" s="94"/>
      <c r="G433" s="94"/>
      <c r="H433" s="95"/>
    </row>
    <row r="434" spans="1:9" ht="15.75" customHeight="1" x14ac:dyDescent="0.3">
      <c r="A434" s="87">
        <v>1</v>
      </c>
      <c r="B434" s="88"/>
      <c r="C434" s="38" t="s">
        <v>249</v>
      </c>
      <c r="D434" s="63">
        <f>(28.63+5.5)*10.764</f>
        <v>367.37531999999993</v>
      </c>
      <c r="E434" s="63">
        <v>0</v>
      </c>
      <c r="F434" s="60">
        <f t="shared" ref="F434:F439" si="26">D434*(($F$293)+1)+(IF(E434&lt;101,E434,IF(E434&lt;201,E434/2,IF(E434&lt;=301,E434/3,E434/4))))</f>
        <v>569.43174599999986</v>
      </c>
      <c r="G434" s="96" t="str">
        <f>A433</f>
        <v>1st Floor For Residential</v>
      </c>
      <c r="H434" s="97"/>
      <c r="I434" s="18">
        <f>2.75*3.25+2.15*3.05+2.75*2.05+2*1.25+1.25*2</f>
        <v>26.1325</v>
      </c>
    </row>
    <row r="435" spans="1:9" x14ac:dyDescent="0.3">
      <c r="A435" s="87">
        <f>A434+1</f>
        <v>2</v>
      </c>
      <c r="B435" s="88"/>
      <c r="C435" s="38" t="s">
        <v>249</v>
      </c>
      <c r="D435" s="63">
        <f>(28.63+5.5)*10.764</f>
        <v>367.37531999999993</v>
      </c>
      <c r="E435" s="63">
        <f>(2.75*0.9)*10.764</f>
        <v>26.640899999999998</v>
      </c>
      <c r="F435" s="60">
        <f t="shared" si="26"/>
        <v>596.07264599999985</v>
      </c>
      <c r="G435" s="98"/>
      <c r="H435" s="99"/>
    </row>
    <row r="436" spans="1:9" x14ac:dyDescent="0.3">
      <c r="A436" s="87">
        <f>A435+1</f>
        <v>3</v>
      </c>
      <c r="B436" s="88"/>
      <c r="C436" s="38" t="s">
        <v>249</v>
      </c>
      <c r="D436" s="63">
        <f>(27.41)*10.764</f>
        <v>295.04123999999996</v>
      </c>
      <c r="E436" s="63">
        <v>0</v>
      </c>
      <c r="F436" s="60">
        <f t="shared" si="26"/>
        <v>457.31392199999993</v>
      </c>
      <c r="G436" s="98"/>
      <c r="H436" s="99"/>
    </row>
    <row r="437" spans="1:9" x14ac:dyDescent="0.3">
      <c r="A437" s="87">
        <f>A436+1</f>
        <v>4</v>
      </c>
      <c r="B437" s="88"/>
      <c r="C437" s="38" t="s">
        <v>249</v>
      </c>
      <c r="D437" s="63">
        <f>(27.41)*10.764</f>
        <v>295.04123999999996</v>
      </c>
      <c r="E437" s="63">
        <v>0</v>
      </c>
      <c r="F437" s="60">
        <f t="shared" si="26"/>
        <v>457.31392199999993</v>
      </c>
      <c r="G437" s="98"/>
      <c r="H437" s="99"/>
    </row>
    <row r="438" spans="1:9" x14ac:dyDescent="0.3">
      <c r="A438" s="87">
        <f>A437+1</f>
        <v>5</v>
      </c>
      <c r="B438" s="88"/>
      <c r="C438" s="38" t="s">
        <v>249</v>
      </c>
      <c r="D438" s="63">
        <f>(28.63+5.5)*10.764</f>
        <v>367.37531999999993</v>
      </c>
      <c r="E438" s="63">
        <f>(2.75*0.9)*10.764</f>
        <v>26.640899999999998</v>
      </c>
      <c r="F438" s="60">
        <f t="shared" si="26"/>
        <v>596.07264599999985</v>
      </c>
      <c r="G438" s="98"/>
      <c r="H438" s="99"/>
    </row>
    <row r="439" spans="1:9" x14ac:dyDescent="0.3">
      <c r="A439" s="123">
        <v>6</v>
      </c>
      <c r="B439" s="123"/>
      <c r="C439" s="38" t="s">
        <v>249</v>
      </c>
      <c r="D439" s="63">
        <f>(28.63+5.5)*10.764</f>
        <v>367.37531999999993</v>
      </c>
      <c r="E439" s="63">
        <v>0</v>
      </c>
      <c r="F439" s="60">
        <f t="shared" si="26"/>
        <v>569.43174599999986</v>
      </c>
      <c r="G439" s="98"/>
      <c r="H439" s="99"/>
    </row>
    <row r="440" spans="1:9" x14ac:dyDescent="0.3">
      <c r="A440" s="123">
        <v>7</v>
      </c>
      <c r="B440" s="123"/>
      <c r="C440" s="38" t="s">
        <v>251</v>
      </c>
      <c r="D440" s="63">
        <f>(42.22+8.42)*10.764</f>
        <v>545.08895999999993</v>
      </c>
      <c r="E440" s="63">
        <v>0</v>
      </c>
      <c r="F440" s="60">
        <f t="shared" ref="F440" si="27">D440*(($F$293)+1)+(IF(E440&lt;101,E440,IF(E440&lt;201,E440/2,IF(E440&lt;=301,E440/3,E440/4))))</f>
        <v>844.88788799999986</v>
      </c>
      <c r="G440" s="98"/>
      <c r="H440" s="99"/>
    </row>
    <row r="441" spans="1:9" x14ac:dyDescent="0.3">
      <c r="A441" s="123">
        <v>8</v>
      </c>
      <c r="B441" s="123"/>
      <c r="C441" s="38" t="s">
        <v>251</v>
      </c>
      <c r="D441" s="63">
        <f>(42.22+8.42)*10.764</f>
        <v>545.08895999999993</v>
      </c>
      <c r="E441" s="63">
        <v>0</v>
      </c>
      <c r="F441" s="60">
        <f t="shared" ref="F441" si="28">D441*(($F$293)+1)+(IF(E441&lt;101,E441,IF(E441&lt;201,E441/2,IF(E441&lt;=301,E441/3,E441/4))))</f>
        <v>844.88788799999986</v>
      </c>
      <c r="G441" s="100"/>
      <c r="H441" s="101"/>
    </row>
    <row r="442" spans="1:9" x14ac:dyDescent="0.3">
      <c r="A442" s="93" t="s">
        <v>252</v>
      </c>
      <c r="B442" s="94"/>
      <c r="C442" s="94"/>
      <c r="D442" s="94"/>
      <c r="E442" s="94"/>
      <c r="F442" s="94"/>
      <c r="G442" s="94"/>
      <c r="H442" s="95"/>
    </row>
    <row r="443" spans="1:9" x14ac:dyDescent="0.3">
      <c r="A443" s="87">
        <v>1</v>
      </c>
      <c r="B443" s="88"/>
      <c r="C443" s="38" t="s">
        <v>249</v>
      </c>
      <c r="D443" s="63">
        <f>(28.63+5.5)*10.764</f>
        <v>367.37531999999993</v>
      </c>
      <c r="E443" s="60">
        <v>0</v>
      </c>
      <c r="F443" s="60">
        <f t="shared" ref="F443:F450" si="29">D443*(($F$293)+1)+(IF(E443&lt;101,E443,IF(E443&lt;201,E443/2,IF(E443&lt;=301,E443/3,E443/4))))</f>
        <v>569.43174599999986</v>
      </c>
      <c r="G443" s="96" t="str">
        <f>A442</f>
        <v>2nd to 7th, 9th to 12th, 14th to 17th &amp; 19th to 23rd Floor</v>
      </c>
      <c r="H443" s="97"/>
    </row>
    <row r="444" spans="1:9" x14ac:dyDescent="0.3">
      <c r="A444" s="87">
        <f>A443+1</f>
        <v>2</v>
      </c>
      <c r="B444" s="88"/>
      <c r="C444" s="38" t="s">
        <v>249</v>
      </c>
      <c r="D444" s="63">
        <f>(28.63+5.5)*10.764</f>
        <v>367.37531999999993</v>
      </c>
      <c r="E444" s="60">
        <v>0</v>
      </c>
      <c r="F444" s="60">
        <f t="shared" si="29"/>
        <v>569.43174599999986</v>
      </c>
      <c r="G444" s="98"/>
      <c r="H444" s="99"/>
    </row>
    <row r="445" spans="1:9" x14ac:dyDescent="0.3">
      <c r="A445" s="87">
        <f>A444+1</f>
        <v>3</v>
      </c>
      <c r="B445" s="88"/>
      <c r="C445" s="38" t="s">
        <v>249</v>
      </c>
      <c r="D445" s="63">
        <f>(28.72+5.5)*10.764</f>
        <v>368.34407999999996</v>
      </c>
      <c r="E445" s="60">
        <v>0</v>
      </c>
      <c r="F445" s="60">
        <f t="shared" si="29"/>
        <v>570.93332399999997</v>
      </c>
      <c r="G445" s="98"/>
      <c r="H445" s="99"/>
    </row>
    <row r="446" spans="1:9" x14ac:dyDescent="0.3">
      <c r="A446" s="87">
        <f>A445+1</f>
        <v>4</v>
      </c>
      <c r="B446" s="88"/>
      <c r="C446" s="38" t="s">
        <v>249</v>
      </c>
      <c r="D446" s="63">
        <f>(28.72+5.5)*10.764</f>
        <v>368.34407999999996</v>
      </c>
      <c r="E446" s="60">
        <v>0</v>
      </c>
      <c r="F446" s="60">
        <f t="shared" si="29"/>
        <v>570.93332399999997</v>
      </c>
      <c r="G446" s="98"/>
      <c r="H446" s="99"/>
    </row>
    <row r="447" spans="1:9" x14ac:dyDescent="0.3">
      <c r="A447" s="87">
        <f>A446+1</f>
        <v>5</v>
      </c>
      <c r="B447" s="88"/>
      <c r="C447" s="38" t="s">
        <v>249</v>
      </c>
      <c r="D447" s="63">
        <f>(28.63+5.5)*10.764</f>
        <v>367.37531999999993</v>
      </c>
      <c r="E447" s="60">
        <v>0</v>
      </c>
      <c r="F447" s="60">
        <f t="shared" si="29"/>
        <v>569.43174599999986</v>
      </c>
      <c r="G447" s="98"/>
      <c r="H447" s="99"/>
    </row>
    <row r="448" spans="1:9" x14ac:dyDescent="0.3">
      <c r="A448" s="123">
        <v>6</v>
      </c>
      <c r="B448" s="123"/>
      <c r="C448" s="38" t="s">
        <v>249</v>
      </c>
      <c r="D448" s="63">
        <f>(28.63+5.5)*10.764</f>
        <v>367.37531999999993</v>
      </c>
      <c r="E448" s="60">
        <v>0</v>
      </c>
      <c r="F448" s="60">
        <f t="shared" si="29"/>
        <v>569.43174599999986</v>
      </c>
      <c r="G448" s="98"/>
      <c r="H448" s="99"/>
    </row>
    <row r="449" spans="1:8" x14ac:dyDescent="0.3">
      <c r="A449" s="123">
        <v>7</v>
      </c>
      <c r="B449" s="123"/>
      <c r="C449" s="38" t="s">
        <v>251</v>
      </c>
      <c r="D449" s="63">
        <f>(42.22+8.42)*10.764</f>
        <v>545.08895999999993</v>
      </c>
      <c r="E449" s="60">
        <v>0</v>
      </c>
      <c r="F449" s="60">
        <f t="shared" si="29"/>
        <v>844.88788799999986</v>
      </c>
      <c r="G449" s="98"/>
      <c r="H449" s="99"/>
    </row>
    <row r="450" spans="1:8" x14ac:dyDescent="0.3">
      <c r="A450" s="123">
        <v>8</v>
      </c>
      <c r="B450" s="123"/>
      <c r="C450" s="38" t="s">
        <v>251</v>
      </c>
      <c r="D450" s="63">
        <f>(42.22+8.42)*10.764</f>
        <v>545.08895999999993</v>
      </c>
      <c r="E450" s="60">
        <v>0</v>
      </c>
      <c r="F450" s="60">
        <f t="shared" si="29"/>
        <v>844.88788799999986</v>
      </c>
      <c r="G450" s="100"/>
      <c r="H450" s="101"/>
    </row>
    <row r="451" spans="1:8" ht="15.75" customHeight="1" x14ac:dyDescent="0.3">
      <c r="A451" s="89" t="s">
        <v>181</v>
      </c>
      <c r="B451" s="89"/>
      <c r="C451" s="89"/>
      <c r="D451" s="89"/>
      <c r="E451" s="89"/>
      <c r="F451" s="89"/>
      <c r="G451" s="89"/>
      <c r="H451" s="89"/>
    </row>
    <row r="452" spans="1:8" ht="15.75" customHeight="1" x14ac:dyDescent="0.3">
      <c r="A452" s="123">
        <v>1</v>
      </c>
      <c r="B452" s="123"/>
      <c r="C452" s="38" t="s">
        <v>249</v>
      </c>
      <c r="D452" s="63">
        <f>(28.63+5.5)*10.764</f>
        <v>367.37531999999993</v>
      </c>
      <c r="E452" s="60">
        <v>0</v>
      </c>
      <c r="F452" s="60">
        <f>D452*(($F$293)+1)+(IF(E452&lt;101,E452,IF(E452&lt;201,E452/2,IF(E452&lt;=301,E452/3,E452/4))))</f>
        <v>569.43174599999986</v>
      </c>
      <c r="G452" s="123" t="str">
        <f>A451</f>
        <v>8th, 13th &amp; 18th Floor (Part Refuge Area)</v>
      </c>
      <c r="H452" s="123"/>
    </row>
    <row r="453" spans="1:8" ht="15.75" customHeight="1" x14ac:dyDescent="0.3">
      <c r="A453" s="123">
        <f>A452+1</f>
        <v>2</v>
      </c>
      <c r="B453" s="123"/>
      <c r="C453" s="38" t="s">
        <v>249</v>
      </c>
      <c r="D453" s="63">
        <f>(28.63+5.5)*10.764</f>
        <v>367.37531999999993</v>
      </c>
      <c r="E453" s="60">
        <v>0</v>
      </c>
      <c r="F453" s="60">
        <f>D453*(($F$293)+1)+(IF(E453&lt;101,E453,IF(E453&lt;201,E453/2,IF(E453&lt;=301,E453/3,E453/4))))</f>
        <v>569.43174599999986</v>
      </c>
      <c r="G453" s="123"/>
      <c r="H453" s="123"/>
    </row>
    <row r="454" spans="1:8" ht="15.75" customHeight="1" x14ac:dyDescent="0.3">
      <c r="A454" s="123">
        <f>A453+1</f>
        <v>3</v>
      </c>
      <c r="B454" s="123"/>
      <c r="C454" s="38" t="s">
        <v>249</v>
      </c>
      <c r="D454" s="63">
        <f>(28.72+5.5)*10.764</f>
        <v>368.34407999999996</v>
      </c>
      <c r="E454" s="60">
        <v>0</v>
      </c>
      <c r="F454" s="60">
        <f>D454*(($F$293)+1)+(IF(E454&lt;101,E454,IF(E454&lt;201,E454/2,IF(E454&lt;=301,E454/3,E454/4))))</f>
        <v>570.93332399999997</v>
      </c>
      <c r="G454" s="123"/>
      <c r="H454" s="123"/>
    </row>
    <row r="455" spans="1:8" ht="15.75" customHeight="1" x14ac:dyDescent="0.3">
      <c r="A455" s="123">
        <f>A454+1</f>
        <v>4</v>
      </c>
      <c r="B455" s="123"/>
      <c r="C455" s="155" t="s">
        <v>180</v>
      </c>
      <c r="D455" s="155"/>
      <c r="E455" s="155"/>
      <c r="F455" s="155"/>
      <c r="G455" s="123"/>
      <c r="H455" s="123"/>
    </row>
    <row r="456" spans="1:8" ht="15.75" customHeight="1" x14ac:dyDescent="0.3">
      <c r="A456" s="123">
        <f>A455+1</f>
        <v>5</v>
      </c>
      <c r="B456" s="123"/>
      <c r="C456" s="38" t="s">
        <v>249</v>
      </c>
      <c r="D456" s="63">
        <f>(28.63+5.5)*10.764</f>
        <v>367.37531999999993</v>
      </c>
      <c r="E456" s="60">
        <v>0</v>
      </c>
      <c r="F456" s="60">
        <f>D456*(($F$293)+1)+(IF(E456&lt;101,E456,IF(E456&lt;201,E456/2,IF(E456&lt;=301,E456/3,E456/4))))</f>
        <v>569.43174599999986</v>
      </c>
      <c r="G456" s="123"/>
      <c r="H456" s="123"/>
    </row>
    <row r="457" spans="1:8" ht="15.75" customHeight="1" x14ac:dyDescent="0.3">
      <c r="A457" s="123">
        <v>6</v>
      </c>
      <c r="B457" s="123"/>
      <c r="C457" s="38" t="s">
        <v>249</v>
      </c>
      <c r="D457" s="63">
        <f>(28.63+5.5)*10.764</f>
        <v>367.37531999999993</v>
      </c>
      <c r="E457" s="60">
        <v>0</v>
      </c>
      <c r="F457" s="60">
        <f>D457*(($F$293)+1)+(IF(E457&lt;101,E457,IF(E457&lt;201,E457/2,IF(E457&lt;=301,E457/3,E457/4))))</f>
        <v>569.43174599999986</v>
      </c>
      <c r="G457" s="123"/>
      <c r="H457" s="123"/>
    </row>
    <row r="458" spans="1:8" ht="15.75" customHeight="1" x14ac:dyDescent="0.3">
      <c r="A458" s="123">
        <v>7</v>
      </c>
      <c r="B458" s="123"/>
      <c r="C458" s="38" t="s">
        <v>251</v>
      </c>
      <c r="D458" s="63">
        <f>(42.22+8.42)*10.764</f>
        <v>545.08895999999993</v>
      </c>
      <c r="E458" s="60">
        <v>0</v>
      </c>
      <c r="F458" s="60">
        <f>D458*(($F$293)+1)+(IF(E458&lt;101,E458,IF(E458&lt;201,E458/2,IF(E458&lt;=301,E458/3,E458/4))))</f>
        <v>844.88788799999986</v>
      </c>
      <c r="G458" s="123"/>
      <c r="H458" s="123"/>
    </row>
    <row r="459" spans="1:8" ht="15.75" customHeight="1" x14ac:dyDescent="0.3">
      <c r="A459" s="123">
        <v>8</v>
      </c>
      <c r="B459" s="123"/>
      <c r="C459" s="38" t="s">
        <v>251</v>
      </c>
      <c r="D459" s="63">
        <f>(42.22+8.42)*10.764</f>
        <v>545.08895999999993</v>
      </c>
      <c r="E459" s="60">
        <v>0</v>
      </c>
      <c r="F459" s="60">
        <f>D459*(($F$293)+1)+(IF(E459&lt;101,E459,IF(E459&lt;201,E459/2,IF(E459&lt;=301,E459/3,E459/4))))</f>
        <v>844.88788799999986</v>
      </c>
      <c r="G459" s="123"/>
      <c r="H459" s="123"/>
    </row>
    <row r="460" spans="1:8" ht="15.75" customHeight="1" x14ac:dyDescent="0.3">
      <c r="A460" s="93" t="s">
        <v>210</v>
      </c>
      <c r="B460" s="94"/>
      <c r="C460" s="94"/>
      <c r="D460" s="94"/>
      <c r="E460" s="94"/>
      <c r="F460" s="94"/>
      <c r="G460" s="94"/>
      <c r="H460" s="95"/>
    </row>
    <row r="461" spans="1:8" ht="15.75" customHeight="1" x14ac:dyDescent="0.3">
      <c r="A461" s="93" t="s">
        <v>246</v>
      </c>
      <c r="B461" s="94"/>
      <c r="C461" s="94"/>
      <c r="D461" s="94"/>
      <c r="E461" s="94"/>
      <c r="F461" s="94"/>
      <c r="G461" s="94"/>
      <c r="H461" s="95"/>
    </row>
    <row r="462" spans="1:8" x14ac:dyDescent="0.3">
      <c r="A462" s="87">
        <v>1</v>
      </c>
      <c r="B462" s="88"/>
      <c r="C462" s="38" t="s">
        <v>249</v>
      </c>
      <c r="D462" s="63">
        <f>(28.63+5.5)*10.764</f>
        <v>367.37531999999993</v>
      </c>
      <c r="E462" s="63">
        <v>0</v>
      </c>
      <c r="F462" s="60">
        <f t="shared" ref="F462:F469" si="30">D462*(($F$293)+1)+(IF(E462&lt;101,E462,IF(E462&lt;201,E462/2,IF(E462&lt;=301,E462/3,E462/4))))</f>
        <v>569.43174599999986</v>
      </c>
      <c r="G462" s="96" t="str">
        <f>A461</f>
        <v>1st Floor For Residential</v>
      </c>
      <c r="H462" s="97"/>
    </row>
    <row r="463" spans="1:8" x14ac:dyDescent="0.3">
      <c r="A463" s="87">
        <f>A462+1</f>
        <v>2</v>
      </c>
      <c r="B463" s="88"/>
      <c r="C463" s="38" t="s">
        <v>249</v>
      </c>
      <c r="D463" s="63">
        <f>(28.63+5.5)*10.764</f>
        <v>367.37531999999993</v>
      </c>
      <c r="E463" s="63">
        <f>(2.75*0.9)*10.764</f>
        <v>26.640899999999998</v>
      </c>
      <c r="F463" s="60">
        <f t="shared" si="30"/>
        <v>596.07264599999985</v>
      </c>
      <c r="G463" s="98"/>
      <c r="H463" s="99"/>
    </row>
    <row r="464" spans="1:8" x14ac:dyDescent="0.3">
      <c r="A464" s="87">
        <f>A463+1</f>
        <v>3</v>
      </c>
      <c r="B464" s="88"/>
      <c r="C464" s="38" t="s">
        <v>249</v>
      </c>
      <c r="D464" s="63">
        <f>(27.41)*10.764</f>
        <v>295.04123999999996</v>
      </c>
      <c r="E464" s="63">
        <v>0</v>
      </c>
      <c r="F464" s="60">
        <f t="shared" si="30"/>
        <v>457.31392199999993</v>
      </c>
      <c r="G464" s="98"/>
      <c r="H464" s="99"/>
    </row>
    <row r="465" spans="1:8" x14ac:dyDescent="0.3">
      <c r="A465" s="87">
        <f>A464+1</f>
        <v>4</v>
      </c>
      <c r="B465" s="88"/>
      <c r="C465" s="38" t="s">
        <v>249</v>
      </c>
      <c r="D465" s="63">
        <f>(27.41)*10.764</f>
        <v>295.04123999999996</v>
      </c>
      <c r="E465" s="63">
        <v>0</v>
      </c>
      <c r="F465" s="60">
        <f t="shared" si="30"/>
        <v>457.31392199999993</v>
      </c>
      <c r="G465" s="98"/>
      <c r="H465" s="99"/>
    </row>
    <row r="466" spans="1:8" x14ac:dyDescent="0.3">
      <c r="A466" s="87">
        <f>A465+1</f>
        <v>5</v>
      </c>
      <c r="B466" s="88"/>
      <c r="C466" s="38" t="s">
        <v>249</v>
      </c>
      <c r="D466" s="63">
        <f>(28.63+5.5)*10.764</f>
        <v>367.37531999999993</v>
      </c>
      <c r="E466" s="63">
        <f>(2.75*0.9)*10.764</f>
        <v>26.640899999999998</v>
      </c>
      <c r="F466" s="60">
        <f t="shared" si="30"/>
        <v>596.07264599999985</v>
      </c>
      <c r="G466" s="98"/>
      <c r="H466" s="99"/>
    </row>
    <row r="467" spans="1:8" x14ac:dyDescent="0.3">
      <c r="A467" s="123">
        <v>6</v>
      </c>
      <c r="B467" s="123"/>
      <c r="C467" s="38" t="s">
        <v>249</v>
      </c>
      <c r="D467" s="63">
        <f>(28.63+5.5)*10.764</f>
        <v>367.37531999999993</v>
      </c>
      <c r="E467" s="63">
        <v>0</v>
      </c>
      <c r="F467" s="60">
        <f t="shared" si="30"/>
        <v>569.43174599999986</v>
      </c>
      <c r="G467" s="98"/>
      <c r="H467" s="99"/>
    </row>
    <row r="468" spans="1:8" x14ac:dyDescent="0.3">
      <c r="A468" s="123">
        <v>7</v>
      </c>
      <c r="B468" s="123"/>
      <c r="C468" s="38" t="s">
        <v>251</v>
      </c>
      <c r="D468" s="63">
        <f>(42.22+8.42)*10.764</f>
        <v>545.08895999999993</v>
      </c>
      <c r="E468" s="63">
        <v>0</v>
      </c>
      <c r="F468" s="60">
        <f t="shared" si="30"/>
        <v>844.88788799999986</v>
      </c>
      <c r="G468" s="98"/>
      <c r="H468" s="99"/>
    </row>
    <row r="469" spans="1:8" x14ac:dyDescent="0.3">
      <c r="A469" s="123">
        <v>8</v>
      </c>
      <c r="B469" s="123"/>
      <c r="C469" s="38" t="s">
        <v>251</v>
      </c>
      <c r="D469" s="63">
        <f>(42.22+8.42)*10.764</f>
        <v>545.08895999999993</v>
      </c>
      <c r="E469" s="63">
        <v>0</v>
      </c>
      <c r="F469" s="60">
        <f t="shared" si="30"/>
        <v>844.88788799999986</v>
      </c>
      <c r="G469" s="100"/>
      <c r="H469" s="101"/>
    </row>
    <row r="470" spans="1:8" x14ac:dyDescent="0.3">
      <c r="A470" s="93" t="s">
        <v>252</v>
      </c>
      <c r="B470" s="94"/>
      <c r="C470" s="94"/>
      <c r="D470" s="94"/>
      <c r="E470" s="94"/>
      <c r="F470" s="94"/>
      <c r="G470" s="94"/>
      <c r="H470" s="95"/>
    </row>
    <row r="471" spans="1:8" x14ac:dyDescent="0.3">
      <c r="A471" s="87">
        <v>1</v>
      </c>
      <c r="B471" s="88"/>
      <c r="C471" s="38" t="s">
        <v>249</v>
      </c>
      <c r="D471" s="63">
        <f>(28.63+5.5)*10.764</f>
        <v>367.37531999999993</v>
      </c>
      <c r="E471" s="63">
        <v>0</v>
      </c>
      <c r="F471" s="60">
        <f t="shared" ref="F471:F478" si="31">D471*(($F$293)+1)+(IF(E471&lt;101,E471,IF(E471&lt;201,E471/2,IF(E471&lt;=301,E471/3,E471/4))))</f>
        <v>569.43174599999986</v>
      </c>
      <c r="G471" s="96" t="str">
        <f>A470</f>
        <v>2nd to 7th, 9th to 12th, 14th to 17th &amp; 19th to 23rd Floor</v>
      </c>
      <c r="H471" s="97"/>
    </row>
    <row r="472" spans="1:8" x14ac:dyDescent="0.3">
      <c r="A472" s="87">
        <f>A471+1</f>
        <v>2</v>
      </c>
      <c r="B472" s="88"/>
      <c r="C472" s="38" t="s">
        <v>249</v>
      </c>
      <c r="D472" s="63">
        <f>(28.63+5.5)*10.764</f>
        <v>367.37531999999993</v>
      </c>
      <c r="E472" s="63">
        <v>0</v>
      </c>
      <c r="F472" s="60">
        <f t="shared" si="31"/>
        <v>569.43174599999986</v>
      </c>
      <c r="G472" s="98"/>
      <c r="H472" s="99"/>
    </row>
    <row r="473" spans="1:8" x14ac:dyDescent="0.3">
      <c r="A473" s="87">
        <f>A472+1</f>
        <v>3</v>
      </c>
      <c r="B473" s="88"/>
      <c r="C473" s="38" t="s">
        <v>249</v>
      </c>
      <c r="D473" s="63">
        <f>(28.72+5.5)*10.764</f>
        <v>368.34407999999996</v>
      </c>
      <c r="E473" s="63">
        <v>0</v>
      </c>
      <c r="F473" s="60">
        <f t="shared" si="31"/>
        <v>570.93332399999997</v>
      </c>
      <c r="G473" s="98"/>
      <c r="H473" s="99"/>
    </row>
    <row r="474" spans="1:8" x14ac:dyDescent="0.3">
      <c r="A474" s="87">
        <f>A473+1</f>
        <v>4</v>
      </c>
      <c r="B474" s="88"/>
      <c r="C474" s="38" t="s">
        <v>249</v>
      </c>
      <c r="D474" s="63">
        <f>(28.72+5.5)*10.764</f>
        <v>368.34407999999996</v>
      </c>
      <c r="E474" s="63">
        <v>0</v>
      </c>
      <c r="F474" s="60">
        <f t="shared" si="31"/>
        <v>570.93332399999997</v>
      </c>
      <c r="G474" s="98"/>
      <c r="H474" s="99"/>
    </row>
    <row r="475" spans="1:8" x14ac:dyDescent="0.3">
      <c r="A475" s="87">
        <f>A474+1</f>
        <v>5</v>
      </c>
      <c r="B475" s="88"/>
      <c r="C475" s="38" t="s">
        <v>249</v>
      </c>
      <c r="D475" s="63">
        <f>(28.63+5.5)*10.764</f>
        <v>367.37531999999993</v>
      </c>
      <c r="E475" s="63">
        <v>0</v>
      </c>
      <c r="F475" s="60">
        <f t="shared" si="31"/>
        <v>569.43174599999986</v>
      </c>
      <c r="G475" s="98"/>
      <c r="H475" s="99"/>
    </row>
    <row r="476" spans="1:8" x14ac:dyDescent="0.3">
      <c r="A476" s="123">
        <v>6</v>
      </c>
      <c r="B476" s="123"/>
      <c r="C476" s="38" t="s">
        <v>249</v>
      </c>
      <c r="D476" s="63">
        <f>(28.63+5.5)*10.764</f>
        <v>367.37531999999993</v>
      </c>
      <c r="E476" s="63">
        <v>0</v>
      </c>
      <c r="F476" s="60">
        <f t="shared" si="31"/>
        <v>569.43174599999986</v>
      </c>
      <c r="G476" s="98"/>
      <c r="H476" s="99"/>
    </row>
    <row r="477" spans="1:8" x14ac:dyDescent="0.3">
      <c r="A477" s="123">
        <v>7</v>
      </c>
      <c r="B477" s="123"/>
      <c r="C477" s="38" t="s">
        <v>251</v>
      </c>
      <c r="D477" s="63">
        <f>(42.22+8.42)*10.764</f>
        <v>545.08895999999993</v>
      </c>
      <c r="E477" s="63">
        <v>0</v>
      </c>
      <c r="F477" s="60">
        <f t="shared" si="31"/>
        <v>844.88788799999986</v>
      </c>
      <c r="G477" s="98"/>
      <c r="H477" s="99"/>
    </row>
    <row r="478" spans="1:8" x14ac:dyDescent="0.3">
      <c r="A478" s="123">
        <v>8</v>
      </c>
      <c r="B478" s="123"/>
      <c r="C478" s="38" t="s">
        <v>251</v>
      </c>
      <c r="D478" s="63">
        <f>(42.22+8.42)*10.764</f>
        <v>545.08895999999993</v>
      </c>
      <c r="E478" s="63">
        <v>0</v>
      </c>
      <c r="F478" s="60">
        <f t="shared" si="31"/>
        <v>844.88788799999986</v>
      </c>
      <c r="G478" s="100"/>
      <c r="H478" s="101"/>
    </row>
    <row r="479" spans="1:8" ht="15.75" customHeight="1" x14ac:dyDescent="0.3">
      <c r="A479" s="93" t="s">
        <v>181</v>
      </c>
      <c r="B479" s="94"/>
      <c r="C479" s="94"/>
      <c r="D479" s="94"/>
      <c r="E479" s="94"/>
      <c r="F479" s="94"/>
      <c r="G479" s="94"/>
      <c r="H479" s="95"/>
    </row>
    <row r="480" spans="1:8" ht="15.75" customHeight="1" x14ac:dyDescent="0.3">
      <c r="A480" s="87">
        <v>1</v>
      </c>
      <c r="B480" s="88"/>
      <c r="C480" s="38" t="s">
        <v>249</v>
      </c>
      <c r="D480" s="63">
        <f>(28.63+5.5)*10.764</f>
        <v>367.37531999999993</v>
      </c>
      <c r="E480" s="63">
        <v>0</v>
      </c>
      <c r="F480" s="60">
        <f>D480*(($F$293)+1)+(IF(E480&lt;101,E480,IF(E480&lt;201,E480/2,IF(E480&lt;=301,E480/3,E480/4))))</f>
        <v>569.43174599999986</v>
      </c>
      <c r="G480" s="96" t="str">
        <f>A479</f>
        <v>8th, 13th &amp; 18th Floor (Part Refuge Area)</v>
      </c>
      <c r="H480" s="97"/>
    </row>
    <row r="481" spans="1:8" x14ac:dyDescent="0.3">
      <c r="A481" s="87">
        <f>A480+1</f>
        <v>2</v>
      </c>
      <c r="B481" s="88"/>
      <c r="C481" s="38" t="s">
        <v>249</v>
      </c>
      <c r="D481" s="63">
        <f>(28.63+5.5)*10.764</f>
        <v>367.37531999999993</v>
      </c>
      <c r="E481" s="63">
        <v>0</v>
      </c>
      <c r="F481" s="60">
        <f>D481*(($F$293)+1)+(IF(E481&lt;101,E481,IF(E481&lt;201,E481/2,IF(E481&lt;=301,E481/3,E481/4))))</f>
        <v>569.43174599999986</v>
      </c>
      <c r="G481" s="98"/>
      <c r="H481" s="99"/>
    </row>
    <row r="482" spans="1:8" x14ac:dyDescent="0.3">
      <c r="A482" s="87">
        <f>A481+1</f>
        <v>3</v>
      </c>
      <c r="B482" s="88"/>
      <c r="C482" s="38" t="s">
        <v>249</v>
      </c>
      <c r="D482" s="63">
        <f>(28.72+5.5)*10.764</f>
        <v>368.34407999999996</v>
      </c>
      <c r="E482" s="63">
        <v>0</v>
      </c>
      <c r="F482" s="60">
        <f>D482*(($F$293)+1)+(IF(E482&lt;101,E482,IF(E482&lt;201,E482/2,IF(E482&lt;=301,E482/3,E482/4))))</f>
        <v>570.93332399999997</v>
      </c>
      <c r="G482" s="98"/>
      <c r="H482" s="99"/>
    </row>
    <row r="483" spans="1:8" x14ac:dyDescent="0.3">
      <c r="A483" s="87">
        <f>A482+1</f>
        <v>4</v>
      </c>
      <c r="B483" s="88"/>
      <c r="C483" s="124" t="s">
        <v>180</v>
      </c>
      <c r="D483" s="125"/>
      <c r="E483" s="125"/>
      <c r="F483" s="126"/>
      <c r="G483" s="98"/>
      <c r="H483" s="99"/>
    </row>
    <row r="484" spans="1:8" x14ac:dyDescent="0.3">
      <c r="A484" s="87">
        <f>A483+1</f>
        <v>5</v>
      </c>
      <c r="B484" s="88"/>
      <c r="C484" s="38" t="s">
        <v>249</v>
      </c>
      <c r="D484" s="63">
        <f>(28.63+5.5)*10.764</f>
        <v>367.37531999999993</v>
      </c>
      <c r="E484" s="63">
        <v>0</v>
      </c>
      <c r="F484" s="60">
        <f>D484*(($F$293)+1)+(IF(E484&lt;101,E484,IF(E484&lt;201,E484/2,IF(E484&lt;=301,E484/3,E484/4))))</f>
        <v>569.43174599999986</v>
      </c>
      <c r="G484" s="98"/>
      <c r="H484" s="99"/>
    </row>
    <row r="485" spans="1:8" x14ac:dyDescent="0.3">
      <c r="A485" s="123">
        <v>6</v>
      </c>
      <c r="B485" s="123"/>
      <c r="C485" s="38" t="s">
        <v>249</v>
      </c>
      <c r="D485" s="63">
        <f>(28.63+5.5)*10.764</f>
        <v>367.37531999999993</v>
      </c>
      <c r="E485" s="63">
        <v>0</v>
      </c>
      <c r="F485" s="60">
        <f>D485*(($F$293)+1)+(IF(E485&lt;101,E485,IF(E485&lt;201,E485/2,IF(E485&lt;=301,E485/3,E485/4))))</f>
        <v>569.43174599999986</v>
      </c>
      <c r="G485" s="98"/>
      <c r="H485" s="99"/>
    </row>
    <row r="486" spans="1:8" x14ac:dyDescent="0.3">
      <c r="A486" s="123">
        <v>7</v>
      </c>
      <c r="B486" s="123"/>
      <c r="C486" s="38" t="s">
        <v>251</v>
      </c>
      <c r="D486" s="63">
        <f>(42.22+8.42)*10.764</f>
        <v>545.08895999999993</v>
      </c>
      <c r="E486" s="63">
        <v>0</v>
      </c>
      <c r="F486" s="60">
        <f>D486*(($F$293)+1)+(IF(E486&lt;101,E486,IF(E486&lt;201,E486/2,IF(E486&lt;=301,E486/3,E486/4))))</f>
        <v>844.88788799999986</v>
      </c>
      <c r="G486" s="98"/>
      <c r="H486" s="99"/>
    </row>
    <row r="487" spans="1:8" x14ac:dyDescent="0.3">
      <c r="A487" s="123">
        <v>8</v>
      </c>
      <c r="B487" s="123"/>
      <c r="C487" s="38" t="s">
        <v>251</v>
      </c>
      <c r="D487" s="63">
        <f>(42.22+8.42)*10.764</f>
        <v>545.08895999999993</v>
      </c>
      <c r="E487" s="63">
        <v>0</v>
      </c>
      <c r="F487" s="60">
        <f>D487*(($F$293)+1)+(IF(E487&lt;101,E487,IF(E487&lt;201,E487/2,IF(E487&lt;=301,E487/3,E487/4))))</f>
        <v>844.88788799999986</v>
      </c>
      <c r="G487" s="100"/>
      <c r="H487" s="101"/>
    </row>
    <row r="488" spans="1:8" x14ac:dyDescent="0.3">
      <c r="A488" s="93" t="s">
        <v>211</v>
      </c>
      <c r="B488" s="94"/>
      <c r="C488" s="94"/>
      <c r="D488" s="94"/>
      <c r="E488" s="94"/>
      <c r="F488" s="94"/>
      <c r="G488" s="94"/>
      <c r="H488" s="95"/>
    </row>
    <row r="489" spans="1:8" ht="15" customHeight="1" x14ac:dyDescent="0.3">
      <c r="A489" s="89" t="s">
        <v>246</v>
      </c>
      <c r="B489" s="89"/>
      <c r="C489" s="89"/>
      <c r="D489" s="89"/>
      <c r="E489" s="89"/>
      <c r="F489" s="89"/>
      <c r="G489" s="89"/>
      <c r="H489" s="89"/>
    </row>
    <row r="490" spans="1:8" x14ac:dyDescent="0.3">
      <c r="A490" s="123">
        <v>1</v>
      </c>
      <c r="B490" s="123"/>
      <c r="C490" s="38" t="s">
        <v>249</v>
      </c>
      <c r="D490" s="63">
        <f>(28.63+5.5)*10.764</f>
        <v>367.37531999999993</v>
      </c>
      <c r="E490" s="63">
        <v>0</v>
      </c>
      <c r="F490" s="60">
        <f t="shared" ref="F490:F495" si="32">D490*(($F$293)+1)+(IF(E490&lt;101,E490,IF(E490&lt;201,E490/2,IF(E490&lt;=301,E490/3,E490/4))))</f>
        <v>569.43174599999986</v>
      </c>
      <c r="G490" s="123" t="str">
        <f>A489</f>
        <v>1st Floor For Residential</v>
      </c>
      <c r="H490" s="123"/>
    </row>
    <row r="491" spans="1:8" x14ac:dyDescent="0.3">
      <c r="A491" s="123">
        <f>A490+1</f>
        <v>2</v>
      </c>
      <c r="B491" s="123"/>
      <c r="C491" s="38" t="s">
        <v>249</v>
      </c>
      <c r="D491" s="63">
        <f>(28.63+5.5)*10.764</f>
        <v>367.37531999999993</v>
      </c>
      <c r="E491" s="63">
        <f>(2.75*0.9)*10.764</f>
        <v>26.640899999999998</v>
      </c>
      <c r="F491" s="60">
        <f t="shared" si="32"/>
        <v>596.07264599999985</v>
      </c>
      <c r="G491" s="123"/>
      <c r="H491" s="123"/>
    </row>
    <row r="492" spans="1:8" x14ac:dyDescent="0.3">
      <c r="A492" s="123">
        <f>A491+1</f>
        <v>3</v>
      </c>
      <c r="B492" s="123"/>
      <c r="C492" s="38" t="s">
        <v>249</v>
      </c>
      <c r="D492" s="63">
        <f>(27.41)*10.764</f>
        <v>295.04123999999996</v>
      </c>
      <c r="E492" s="63">
        <v>0</v>
      </c>
      <c r="F492" s="60">
        <f t="shared" si="32"/>
        <v>457.31392199999993</v>
      </c>
      <c r="G492" s="123"/>
      <c r="H492" s="123"/>
    </row>
    <row r="493" spans="1:8" x14ac:dyDescent="0.3">
      <c r="A493" s="123">
        <f>A492+1</f>
        <v>4</v>
      </c>
      <c r="B493" s="123"/>
      <c r="C493" s="38" t="s">
        <v>250</v>
      </c>
      <c r="D493" s="63">
        <f>(39.67+2.75)*10.764</f>
        <v>456.60888</v>
      </c>
      <c r="E493" s="63">
        <v>0</v>
      </c>
      <c r="F493" s="60">
        <f t="shared" si="32"/>
        <v>707.74376400000006</v>
      </c>
      <c r="G493" s="123"/>
      <c r="H493" s="123"/>
    </row>
    <row r="494" spans="1:8" x14ac:dyDescent="0.3">
      <c r="A494" s="123">
        <f>A493+1</f>
        <v>5</v>
      </c>
      <c r="B494" s="123"/>
      <c r="C494" s="38" t="s">
        <v>249</v>
      </c>
      <c r="D494" s="63">
        <f>(28.95+5.57)*10.764</f>
        <v>371.57327999999995</v>
      </c>
      <c r="E494" s="63">
        <v>0</v>
      </c>
      <c r="F494" s="60">
        <f t="shared" si="32"/>
        <v>575.93858399999999</v>
      </c>
      <c r="G494" s="123"/>
      <c r="H494" s="123"/>
    </row>
    <row r="495" spans="1:8" x14ac:dyDescent="0.3">
      <c r="A495" s="123">
        <v>6</v>
      </c>
      <c r="B495" s="123"/>
      <c r="C495" s="38" t="s">
        <v>251</v>
      </c>
      <c r="D495" s="63">
        <f>(42.16+8.39)*10.764</f>
        <v>544.12019999999995</v>
      </c>
      <c r="E495" s="63">
        <v>0</v>
      </c>
      <c r="F495" s="60">
        <f t="shared" si="32"/>
        <v>843.38630999999998</v>
      </c>
      <c r="G495" s="123"/>
      <c r="H495" s="123"/>
    </row>
    <row r="496" spans="1:8" ht="15.75" customHeight="1" x14ac:dyDescent="0.3">
      <c r="A496" s="89" t="s">
        <v>252</v>
      </c>
      <c r="B496" s="89"/>
      <c r="C496" s="89"/>
      <c r="D496" s="89"/>
      <c r="E496" s="89"/>
      <c r="F496" s="89"/>
      <c r="G496" s="89"/>
      <c r="H496" s="89"/>
    </row>
    <row r="497" spans="1:10" x14ac:dyDescent="0.3">
      <c r="A497" s="123">
        <v>1</v>
      </c>
      <c r="B497" s="123"/>
      <c r="C497" s="38" t="s">
        <v>249</v>
      </c>
      <c r="D497" s="63">
        <f>(28.63+5.5)*10.764</f>
        <v>367.37531999999993</v>
      </c>
      <c r="E497" s="63">
        <v>0</v>
      </c>
      <c r="F497" s="60">
        <f t="shared" ref="F497:F502" si="33">D497*(($F$293)+1)+(IF(E497&lt;101,E497,IF(E497&lt;201,E497/2,IF(E497&lt;=301,E497/3,E497/4))))</f>
        <v>569.43174599999986</v>
      </c>
      <c r="G497" s="123" t="str">
        <f>A496</f>
        <v>2nd to 7th, 9th to 12th, 14th to 17th &amp; 19th to 23rd Floor</v>
      </c>
      <c r="H497" s="123"/>
    </row>
    <row r="498" spans="1:10" x14ac:dyDescent="0.3">
      <c r="A498" s="123">
        <f>A497+1</f>
        <v>2</v>
      </c>
      <c r="B498" s="123"/>
      <c r="C498" s="38" t="s">
        <v>249</v>
      </c>
      <c r="D498" s="63">
        <f>(28.63+5.5)*10.764</f>
        <v>367.37531999999993</v>
      </c>
      <c r="E498" s="63">
        <v>0</v>
      </c>
      <c r="F498" s="60">
        <f t="shared" si="33"/>
        <v>569.43174599999986</v>
      </c>
      <c r="G498" s="123"/>
      <c r="H498" s="123"/>
    </row>
    <row r="499" spans="1:10" x14ac:dyDescent="0.3">
      <c r="A499" s="123">
        <f>A498+1</f>
        <v>3</v>
      </c>
      <c r="B499" s="123"/>
      <c r="C499" s="38" t="s">
        <v>249</v>
      </c>
      <c r="D499" s="63">
        <f>(28.72+4.67)*10.764</f>
        <v>359.40996000000001</v>
      </c>
      <c r="E499" s="63">
        <v>0</v>
      </c>
      <c r="F499" s="60">
        <f t="shared" si="33"/>
        <v>557.08543800000007</v>
      </c>
      <c r="G499" s="123"/>
      <c r="H499" s="123"/>
    </row>
    <row r="500" spans="1:10" x14ac:dyDescent="0.3">
      <c r="A500" s="123">
        <f>A499+1</f>
        <v>4</v>
      </c>
      <c r="B500" s="123"/>
      <c r="C500" s="38" t="s">
        <v>251</v>
      </c>
      <c r="D500" s="63">
        <f>(38.77+11.15)*10.764</f>
        <v>537.33888000000002</v>
      </c>
      <c r="E500" s="63">
        <v>0</v>
      </c>
      <c r="F500" s="60">
        <f t="shared" si="33"/>
        <v>832.87526400000002</v>
      </c>
      <c r="G500" s="123"/>
      <c r="H500" s="123"/>
      <c r="J500" s="18">
        <f>3.05+3.05+2.15+2.75</f>
        <v>11</v>
      </c>
    </row>
    <row r="501" spans="1:10" x14ac:dyDescent="0.3">
      <c r="A501" s="123">
        <f>A500+1</f>
        <v>5</v>
      </c>
      <c r="B501" s="123"/>
      <c r="C501" s="38" t="s">
        <v>249</v>
      </c>
      <c r="D501" s="63">
        <f>(28.95+5.57)*10.764</f>
        <v>371.57327999999995</v>
      </c>
      <c r="E501" s="63">
        <v>0</v>
      </c>
      <c r="F501" s="60">
        <f t="shared" si="33"/>
        <v>575.93858399999999</v>
      </c>
      <c r="G501" s="123"/>
      <c r="H501" s="123"/>
    </row>
    <row r="502" spans="1:10" x14ac:dyDescent="0.3">
      <c r="A502" s="123">
        <v>6</v>
      </c>
      <c r="B502" s="123"/>
      <c r="C502" s="38" t="s">
        <v>251</v>
      </c>
      <c r="D502" s="63">
        <f>(42.16+8.39)*10.764</f>
        <v>544.12019999999995</v>
      </c>
      <c r="E502" s="63">
        <v>0</v>
      </c>
      <c r="F502" s="60">
        <f t="shared" si="33"/>
        <v>843.38630999999998</v>
      </c>
      <c r="G502" s="123"/>
      <c r="H502" s="123"/>
    </row>
    <row r="503" spans="1:10" ht="15.75" customHeight="1" x14ac:dyDescent="0.3">
      <c r="A503" s="93" t="s">
        <v>181</v>
      </c>
      <c r="B503" s="94"/>
      <c r="C503" s="94"/>
      <c r="D503" s="94"/>
      <c r="E503" s="94"/>
      <c r="F503" s="94"/>
      <c r="G503" s="94"/>
      <c r="H503" s="95"/>
    </row>
    <row r="504" spans="1:10" x14ac:dyDescent="0.3">
      <c r="A504" s="87">
        <v>1</v>
      </c>
      <c r="B504" s="88"/>
      <c r="C504" s="38" t="s">
        <v>249</v>
      </c>
      <c r="D504" s="63">
        <f>(28.63+5.5)*10.764</f>
        <v>367.37531999999993</v>
      </c>
      <c r="E504" s="60">
        <v>0</v>
      </c>
      <c r="F504" s="60">
        <f>D504*(($F$293)+1)+(IF(E504&lt;101,E504,IF(E504&lt;201,E504/2,IF(E504&lt;=301,E504/3,E504/4))))</f>
        <v>569.43174599999986</v>
      </c>
      <c r="G504" s="96" t="str">
        <f>A503</f>
        <v>8th, 13th &amp; 18th Floor (Part Refuge Area)</v>
      </c>
      <c r="H504" s="97"/>
    </row>
    <row r="505" spans="1:10" x14ac:dyDescent="0.3">
      <c r="A505" s="87">
        <f>A504+1</f>
        <v>2</v>
      </c>
      <c r="B505" s="88"/>
      <c r="C505" s="38" t="s">
        <v>249</v>
      </c>
      <c r="D505" s="63">
        <f>(28.63+5.5)*10.764</f>
        <v>367.37531999999993</v>
      </c>
      <c r="E505" s="60">
        <v>0</v>
      </c>
      <c r="F505" s="60">
        <f>D505*(($F$293)+1)+(IF(E505&lt;101,E505,IF(E505&lt;201,E505/2,IF(E505&lt;=301,E505/3,E505/4))))</f>
        <v>569.43174599999986</v>
      </c>
      <c r="G505" s="98"/>
      <c r="H505" s="99"/>
    </row>
    <row r="506" spans="1:10" x14ac:dyDescent="0.3">
      <c r="A506" s="87">
        <f>A505+1</f>
        <v>3</v>
      </c>
      <c r="B506" s="88"/>
      <c r="C506" s="124" t="s">
        <v>180</v>
      </c>
      <c r="D506" s="125"/>
      <c r="E506" s="125"/>
      <c r="F506" s="126"/>
      <c r="G506" s="98"/>
      <c r="H506" s="99"/>
    </row>
    <row r="507" spans="1:10" x14ac:dyDescent="0.3">
      <c r="A507" s="87">
        <f>A506+1</f>
        <v>4</v>
      </c>
      <c r="B507" s="88"/>
      <c r="C507" s="38" t="s">
        <v>251</v>
      </c>
      <c r="D507" s="63">
        <f>(38.77+11.15)*10.764</f>
        <v>537.33888000000002</v>
      </c>
      <c r="E507" s="60">
        <v>0</v>
      </c>
      <c r="F507" s="60">
        <f>D507*(($F$293)+1)+(IF(E507&lt;101,E507,IF(E507&lt;201,E507/2,IF(E507&lt;=301,E507/3,E507/4))))</f>
        <v>832.87526400000002</v>
      </c>
      <c r="G507" s="98"/>
      <c r="H507" s="99"/>
    </row>
    <row r="508" spans="1:10" x14ac:dyDescent="0.3">
      <c r="A508" s="87">
        <f>A507+1</f>
        <v>5</v>
      </c>
      <c r="B508" s="88"/>
      <c r="C508" s="38" t="s">
        <v>249</v>
      </c>
      <c r="D508" s="63">
        <f>(28.95+5.57)*10.764</f>
        <v>371.57327999999995</v>
      </c>
      <c r="E508" s="60">
        <v>0</v>
      </c>
      <c r="F508" s="60">
        <f>D508*(($F$293)+1)+(IF(E508&lt;101,E508,IF(E508&lt;201,E508/2,IF(E508&lt;=301,E508/3,E508/4))))</f>
        <v>575.93858399999999</v>
      </c>
      <c r="G508" s="98"/>
      <c r="H508" s="99"/>
    </row>
    <row r="509" spans="1:10" x14ac:dyDescent="0.3">
      <c r="A509" s="123">
        <v>6</v>
      </c>
      <c r="B509" s="123"/>
      <c r="C509" s="38" t="s">
        <v>251</v>
      </c>
      <c r="D509" s="63">
        <f>(42.16+8.39)*10.764</f>
        <v>544.12019999999995</v>
      </c>
      <c r="E509" s="60">
        <v>0</v>
      </c>
      <c r="F509" s="60">
        <f>D509*(($F$293)+1)+(IF(E509&lt;101,E509,IF(E509&lt;201,E509/2,IF(E509&lt;=301,E509/3,E509/4))))</f>
        <v>843.38630999999998</v>
      </c>
      <c r="G509" s="100"/>
      <c r="H509" s="101"/>
    </row>
    <row r="510" spans="1:10" x14ac:dyDescent="0.3">
      <c r="A510" s="223" t="s">
        <v>255</v>
      </c>
      <c r="B510" s="223"/>
      <c r="C510" s="223"/>
      <c r="D510" s="223"/>
      <c r="E510" s="223"/>
      <c r="F510" s="223"/>
      <c r="G510" s="223"/>
      <c r="H510" s="223"/>
    </row>
    <row r="511" spans="1:10" ht="55.8" customHeight="1" x14ac:dyDescent="0.3">
      <c r="A511" s="35" t="s">
        <v>149</v>
      </c>
      <c r="B511" s="141" t="s">
        <v>273</v>
      </c>
      <c r="C511" s="142"/>
      <c r="D511" s="142"/>
      <c r="E511" s="142"/>
      <c r="F511" s="142"/>
      <c r="G511" s="142"/>
      <c r="H511" s="143"/>
    </row>
    <row r="512" spans="1:10" x14ac:dyDescent="0.3">
      <c r="A512" s="35" t="s">
        <v>149</v>
      </c>
      <c r="B512" s="209" t="str">
        <f>(IF(F292="Saleable area Loading :","We have considered Saleable area of Flats as per our Calculation.","We considered Saleable area of Flat as per Builder area Sheet."))</f>
        <v>We have considered Saleable area of Flats as per our Calculation.</v>
      </c>
      <c r="C512" s="210"/>
      <c r="D512" s="210"/>
      <c r="E512" s="210"/>
      <c r="F512" s="210"/>
      <c r="G512" s="210"/>
      <c r="H512" s="211"/>
    </row>
    <row r="513" spans="1:8" x14ac:dyDescent="0.3">
      <c r="A513" s="35" t="s">
        <v>149</v>
      </c>
      <c r="B513" s="209" t="str">
        <f>(IF(F239="Saleable area Loading :","We have considered Saleable area of Commercial as per our Calculation.","We considered Saleable area of Commercial as per Builder area Sheet."))</f>
        <v>We have considered Saleable area of Commercial as per our Calculation.</v>
      </c>
      <c r="C513" s="210"/>
      <c r="D513" s="210"/>
      <c r="E513" s="210"/>
      <c r="F513" s="210"/>
      <c r="G513" s="210"/>
      <c r="H513" s="211"/>
    </row>
    <row r="514" spans="1:8" x14ac:dyDescent="0.3">
      <c r="A514" s="35" t="s">
        <v>149</v>
      </c>
      <c r="B514" s="82" t="s">
        <v>118</v>
      </c>
      <c r="C514" s="83"/>
      <c r="D514" s="83"/>
      <c r="E514" s="83"/>
      <c r="F514" s="83"/>
      <c r="G514" s="83"/>
      <c r="H514" s="84"/>
    </row>
    <row r="515" spans="1:8" x14ac:dyDescent="0.3">
      <c r="A515" s="35" t="s">
        <v>149</v>
      </c>
      <c r="B515" s="141" t="s">
        <v>212</v>
      </c>
      <c r="C515" s="142"/>
      <c r="D515" s="142"/>
      <c r="E515" s="142"/>
      <c r="F515" s="142"/>
      <c r="G515" s="142"/>
      <c r="H515" s="143"/>
    </row>
    <row r="516" spans="1:8" x14ac:dyDescent="0.3">
      <c r="A516" s="35" t="s">
        <v>149</v>
      </c>
      <c r="B516" s="82" t="s">
        <v>148</v>
      </c>
      <c r="C516" s="83"/>
      <c r="D516" s="83"/>
      <c r="E516" s="83"/>
      <c r="F516" s="83"/>
      <c r="G516" s="83"/>
      <c r="H516" s="84"/>
    </row>
    <row r="517" spans="1:8" x14ac:dyDescent="0.3">
      <c r="A517" s="35" t="s">
        <v>149</v>
      </c>
      <c r="B517" s="82" t="s">
        <v>119</v>
      </c>
      <c r="C517" s="83"/>
      <c r="D517" s="83"/>
      <c r="E517" s="83"/>
      <c r="F517" s="83"/>
      <c r="G517" s="83"/>
      <c r="H517" s="84"/>
    </row>
    <row r="518" spans="1:8" ht="30" hidden="1" customHeight="1" x14ac:dyDescent="0.3">
      <c r="A518" s="35" t="s">
        <v>149</v>
      </c>
      <c r="B518" s="82" t="s">
        <v>150</v>
      </c>
      <c r="C518" s="83"/>
      <c r="D518" s="83"/>
      <c r="E518" s="83"/>
      <c r="F518" s="83"/>
      <c r="G518" s="83"/>
      <c r="H518" s="84"/>
    </row>
    <row r="519" spans="1:8" x14ac:dyDescent="0.3">
      <c r="A519" s="35" t="s">
        <v>149</v>
      </c>
      <c r="B519" s="82" t="s">
        <v>120</v>
      </c>
      <c r="C519" s="83"/>
      <c r="D519" s="83"/>
      <c r="E519" s="83"/>
      <c r="F519" s="83"/>
      <c r="G519" s="83"/>
      <c r="H519" s="84"/>
    </row>
    <row r="520" spans="1:8" x14ac:dyDescent="0.3">
      <c r="A520" s="35" t="s">
        <v>149</v>
      </c>
      <c r="B520" s="82" t="s">
        <v>261</v>
      </c>
      <c r="C520" s="83"/>
      <c r="D520" s="83"/>
      <c r="E520" s="83"/>
      <c r="F520" s="83"/>
      <c r="G520" s="83"/>
      <c r="H520" s="84"/>
    </row>
    <row r="521" spans="1:8" ht="30.75" customHeight="1" x14ac:dyDescent="0.3">
      <c r="A521" s="35" t="s">
        <v>149</v>
      </c>
      <c r="B521" s="82" t="s">
        <v>223</v>
      </c>
      <c r="C521" s="83"/>
      <c r="D521" s="83"/>
      <c r="E521" s="83"/>
      <c r="F521" s="83"/>
      <c r="G521" s="83"/>
      <c r="H521" s="84"/>
    </row>
    <row r="522" spans="1:8" ht="35.25" hidden="1" customHeight="1" x14ac:dyDescent="0.3">
      <c r="A522" s="59" t="s">
        <v>149</v>
      </c>
      <c r="B522" s="141" t="s">
        <v>258</v>
      </c>
      <c r="C522" s="142"/>
      <c r="D522" s="142"/>
      <c r="E522" s="142"/>
      <c r="F522" s="142"/>
      <c r="G522" s="142"/>
      <c r="H522" s="143"/>
    </row>
    <row r="523" spans="1:8" x14ac:dyDescent="0.3">
      <c r="A523" s="35" t="s">
        <v>149</v>
      </c>
      <c r="B523" s="82" t="s">
        <v>266</v>
      </c>
      <c r="C523" s="83"/>
      <c r="D523" s="83"/>
      <c r="E523" s="83"/>
      <c r="F523" s="83"/>
      <c r="G523" s="83"/>
      <c r="H523" s="84"/>
    </row>
    <row r="524" spans="1:8" x14ac:dyDescent="0.3">
      <c r="A524" s="158" t="s">
        <v>59</v>
      </c>
      <c r="B524" s="158"/>
      <c r="C524" s="158"/>
      <c r="D524" s="158"/>
      <c r="E524" s="158"/>
      <c r="F524" s="158"/>
      <c r="G524" s="158"/>
      <c r="H524" s="158"/>
    </row>
    <row r="525" spans="1:8" x14ac:dyDescent="0.3">
      <c r="A525" s="145" t="s">
        <v>60</v>
      </c>
      <c r="B525" s="145"/>
      <c r="C525" s="145"/>
      <c r="D525" s="145"/>
      <c r="E525" s="145"/>
      <c r="F525" s="145"/>
      <c r="G525" s="145"/>
      <c r="H525" s="145"/>
    </row>
    <row r="526" spans="1:8" x14ac:dyDescent="0.3">
      <c r="A526" s="153" t="s">
        <v>61</v>
      </c>
      <c r="B526" s="153"/>
      <c r="C526" s="153"/>
      <c r="D526" s="153"/>
      <c r="E526" s="153"/>
      <c r="F526" s="153"/>
      <c r="G526" s="153"/>
      <c r="H526" s="153"/>
    </row>
    <row r="527" spans="1:8" x14ac:dyDescent="0.3">
      <c r="A527" s="145" t="s">
        <v>62</v>
      </c>
      <c r="B527" s="145"/>
      <c r="C527" s="145"/>
      <c r="D527" s="145"/>
      <c r="E527" s="145"/>
      <c r="F527" s="145"/>
      <c r="G527" s="145"/>
      <c r="H527" s="145"/>
    </row>
    <row r="528" spans="1:8" x14ac:dyDescent="0.3">
      <c r="A528" s="145" t="s">
        <v>63</v>
      </c>
      <c r="B528" s="145"/>
      <c r="C528" s="145"/>
      <c r="D528" s="145"/>
      <c r="E528" s="145"/>
      <c r="F528" s="145"/>
      <c r="G528" s="145"/>
      <c r="H528" s="145"/>
    </row>
    <row r="529" spans="1:8" x14ac:dyDescent="0.3">
      <c r="A529" s="145" t="s">
        <v>121</v>
      </c>
      <c r="B529" s="145"/>
      <c r="C529" s="145"/>
      <c r="D529" s="145"/>
      <c r="E529" s="145"/>
      <c r="F529" s="145"/>
      <c r="G529" s="145"/>
      <c r="H529" s="145"/>
    </row>
    <row r="530" spans="1:8" x14ac:dyDescent="0.3">
      <c r="A530" s="146" t="s">
        <v>122</v>
      </c>
      <c r="B530" s="146"/>
      <c r="C530" s="146"/>
      <c r="D530" s="146"/>
      <c r="E530" s="146"/>
      <c r="F530" s="146"/>
      <c r="G530" s="146"/>
      <c r="H530" s="146"/>
    </row>
    <row r="531" spans="1:8" x14ac:dyDescent="0.3">
      <c r="A531" s="157" t="s">
        <v>72</v>
      </c>
      <c r="B531" s="157"/>
      <c r="C531" s="157" t="s">
        <v>176</v>
      </c>
      <c r="D531" s="157"/>
      <c r="E531" s="157" t="s">
        <v>101</v>
      </c>
      <c r="F531" s="157"/>
      <c r="G531" s="157" t="s">
        <v>272</v>
      </c>
      <c r="H531" s="157"/>
    </row>
    <row r="532" spans="1:8" x14ac:dyDescent="0.3">
      <c r="A532" s="156" t="s">
        <v>74</v>
      </c>
      <c r="B532" s="156"/>
      <c r="C532" s="156"/>
      <c r="D532" s="156"/>
      <c r="E532" s="156"/>
      <c r="F532" s="156"/>
      <c r="G532" s="156"/>
      <c r="H532" s="156"/>
    </row>
    <row r="533" spans="1:8" x14ac:dyDescent="0.3">
      <c r="A533" s="156"/>
      <c r="B533" s="156"/>
      <c r="C533" s="156"/>
      <c r="D533" s="156"/>
      <c r="E533" s="156"/>
      <c r="F533" s="156"/>
      <c r="G533" s="156"/>
      <c r="H533" s="156"/>
    </row>
    <row r="534" spans="1:8" x14ac:dyDescent="0.3">
      <c r="A534" s="156"/>
      <c r="B534" s="156"/>
      <c r="C534" s="156"/>
      <c r="D534" s="156"/>
      <c r="E534" s="156"/>
      <c r="F534" s="156"/>
      <c r="G534" s="156"/>
      <c r="H534" s="156"/>
    </row>
    <row r="535" spans="1:8" x14ac:dyDescent="0.3">
      <c r="A535" s="156"/>
      <c r="B535" s="156"/>
      <c r="C535" s="156"/>
      <c r="D535" s="156"/>
      <c r="E535" s="156"/>
      <c r="F535" s="156"/>
      <c r="G535" s="156"/>
      <c r="H535" s="156"/>
    </row>
    <row r="536" spans="1:8" x14ac:dyDescent="0.3">
      <c r="A536" s="76" t="s">
        <v>64</v>
      </c>
      <c r="B536" s="34"/>
      <c r="C536" s="34"/>
      <c r="D536" s="33" t="str">
        <f>E8</f>
        <v>Sky City Phase I &amp; II</v>
      </c>
      <c r="F536" s="34"/>
      <c r="G536" s="34"/>
      <c r="H536" s="78"/>
    </row>
    <row r="537" spans="1:8" x14ac:dyDescent="0.3">
      <c r="A537" s="34"/>
      <c r="B537" s="34"/>
      <c r="C537" s="34"/>
      <c r="D537" s="34"/>
      <c r="E537" s="34"/>
      <c r="F537" s="34"/>
      <c r="G537" s="34"/>
      <c r="H537" s="34"/>
    </row>
    <row r="538" spans="1:8" x14ac:dyDescent="0.3">
      <c r="A538" s="34"/>
      <c r="B538" s="34"/>
      <c r="C538" s="34"/>
      <c r="D538" s="34"/>
      <c r="E538" s="34"/>
      <c r="F538" s="34"/>
      <c r="G538" s="34"/>
      <c r="H538" s="34"/>
    </row>
    <row r="539" spans="1:8" x14ac:dyDescent="0.3">
      <c r="A539" s="77"/>
      <c r="H539" s="77"/>
    </row>
    <row r="540" spans="1:8" x14ac:dyDescent="0.3">
      <c r="A540" s="77"/>
      <c r="H540" s="77"/>
    </row>
    <row r="541" spans="1:8" x14ac:dyDescent="0.3">
      <c r="A541" s="77"/>
      <c r="H541" s="77"/>
    </row>
    <row r="542" spans="1:8" x14ac:dyDescent="0.3">
      <c r="A542" s="77"/>
      <c r="H542" s="77"/>
    </row>
    <row r="543" spans="1:8" x14ac:dyDescent="0.3">
      <c r="A543" s="77"/>
      <c r="H543" s="77"/>
    </row>
    <row r="544" spans="1:8" x14ac:dyDescent="0.3">
      <c r="A544" s="77"/>
      <c r="H544" s="77"/>
    </row>
    <row r="545" spans="1:8" x14ac:dyDescent="0.3">
      <c r="A545" s="77"/>
      <c r="H545" s="77"/>
    </row>
    <row r="546" spans="1:8" x14ac:dyDescent="0.3">
      <c r="A546" s="77"/>
      <c r="H546" s="77"/>
    </row>
    <row r="547" spans="1:8" x14ac:dyDescent="0.3">
      <c r="A547" s="77"/>
      <c r="H547" s="77"/>
    </row>
    <row r="548" spans="1:8" x14ac:dyDescent="0.3">
      <c r="A548" s="77"/>
      <c r="H548" s="77"/>
    </row>
    <row r="549" spans="1:8" x14ac:dyDescent="0.3">
      <c r="A549" s="77"/>
      <c r="H549" s="77"/>
    </row>
    <row r="550" spans="1:8" x14ac:dyDescent="0.3">
      <c r="A550" s="77"/>
      <c r="H550" s="77"/>
    </row>
    <row r="551" spans="1:8" x14ac:dyDescent="0.3">
      <c r="A551" s="77"/>
      <c r="H551" s="77"/>
    </row>
    <row r="552" spans="1:8" x14ac:dyDescent="0.3">
      <c r="A552" s="77"/>
      <c r="H552" s="77"/>
    </row>
    <row r="553" spans="1:8" x14ac:dyDescent="0.3">
      <c r="A553" s="77"/>
      <c r="H553" s="77"/>
    </row>
    <row r="554" spans="1:8" x14ac:dyDescent="0.3">
      <c r="A554" s="77"/>
      <c r="H554" s="77"/>
    </row>
    <row r="555" spans="1:8" x14ac:dyDescent="0.3">
      <c r="A555" s="77"/>
      <c r="H555" s="77"/>
    </row>
    <row r="556" spans="1:8" x14ac:dyDescent="0.3">
      <c r="A556" s="77"/>
      <c r="H556" s="77"/>
    </row>
    <row r="557" spans="1:8" x14ac:dyDescent="0.3">
      <c r="A557" s="77"/>
      <c r="H557" s="77"/>
    </row>
    <row r="558" spans="1:8" x14ac:dyDescent="0.3">
      <c r="A558" s="77"/>
      <c r="H558" s="77"/>
    </row>
    <row r="559" spans="1:8" x14ac:dyDescent="0.3">
      <c r="A559" s="77"/>
      <c r="H559" s="77"/>
    </row>
    <row r="560" spans="1:8" x14ac:dyDescent="0.3">
      <c r="A560" s="77"/>
      <c r="H560" s="77"/>
    </row>
    <row r="561" spans="1:8" x14ac:dyDescent="0.3">
      <c r="A561" s="77"/>
      <c r="H561" s="77"/>
    </row>
    <row r="562" spans="1:8" x14ac:dyDescent="0.3">
      <c r="A562" s="77"/>
      <c r="H562" s="77"/>
    </row>
    <row r="563" spans="1:8" x14ac:dyDescent="0.3">
      <c r="A563" s="77"/>
      <c r="H563" s="77"/>
    </row>
    <row r="564" spans="1:8" x14ac:dyDescent="0.3">
      <c r="A564" s="77"/>
      <c r="H564" s="77"/>
    </row>
    <row r="565" spans="1:8" x14ac:dyDescent="0.3">
      <c r="A565" s="77"/>
      <c r="H565" s="77"/>
    </row>
    <row r="566" spans="1:8" x14ac:dyDescent="0.3">
      <c r="A566" s="77"/>
      <c r="H566" s="77"/>
    </row>
    <row r="567" spans="1:8" x14ac:dyDescent="0.3">
      <c r="A567" s="77"/>
      <c r="H567" s="77"/>
    </row>
    <row r="568" spans="1:8" x14ac:dyDescent="0.3">
      <c r="A568" s="77"/>
      <c r="H568" s="77"/>
    </row>
    <row r="569" spans="1:8" x14ac:dyDescent="0.3">
      <c r="A569" s="77"/>
      <c r="H569" s="77"/>
    </row>
    <row r="570" spans="1:8" x14ac:dyDescent="0.3">
      <c r="A570" s="77"/>
      <c r="H570" s="77"/>
    </row>
    <row r="571" spans="1:8" x14ac:dyDescent="0.3">
      <c r="A571" s="77"/>
      <c r="H571" s="77"/>
    </row>
    <row r="572" spans="1:8" x14ac:dyDescent="0.3">
      <c r="A572" s="77"/>
      <c r="H572" s="77"/>
    </row>
    <row r="573" spans="1:8" x14ac:dyDescent="0.3">
      <c r="A573" s="77"/>
      <c r="H573" s="77"/>
    </row>
    <row r="574" spans="1:8" x14ac:dyDescent="0.3">
      <c r="A574" s="77"/>
      <c r="H574" s="77"/>
    </row>
    <row r="575" spans="1:8" x14ac:dyDescent="0.3">
      <c r="A575" s="77"/>
      <c r="H575" s="77"/>
    </row>
    <row r="576" spans="1:8" x14ac:dyDescent="0.3">
      <c r="A576" s="77"/>
      <c r="H576" s="77"/>
    </row>
    <row r="577" spans="1:8" x14ac:dyDescent="0.3">
      <c r="A577" s="77"/>
      <c r="H577" s="77"/>
    </row>
    <row r="578" spans="1:8" x14ac:dyDescent="0.3">
      <c r="A578" s="81" t="s">
        <v>222</v>
      </c>
      <c r="H578" s="77"/>
    </row>
    <row r="579" spans="1:8" x14ac:dyDescent="0.3">
      <c r="A579" s="77"/>
      <c r="H579" s="77"/>
    </row>
    <row r="580" spans="1:8" x14ac:dyDescent="0.3">
      <c r="A580" s="77"/>
      <c r="H580" s="77"/>
    </row>
    <row r="581" spans="1:8" x14ac:dyDescent="0.3">
      <c r="A581" s="77"/>
      <c r="H581" s="77"/>
    </row>
    <row r="582" spans="1:8" x14ac:dyDescent="0.3">
      <c r="A582" s="77"/>
      <c r="H582" s="77"/>
    </row>
    <row r="583" spans="1:8" x14ac:dyDescent="0.3">
      <c r="A583" s="77"/>
      <c r="H583" s="77"/>
    </row>
    <row r="584" spans="1:8" x14ac:dyDescent="0.3">
      <c r="A584" s="77"/>
      <c r="H584" s="77"/>
    </row>
    <row r="585" spans="1:8" x14ac:dyDescent="0.3">
      <c r="A585" s="77"/>
      <c r="H585" s="77"/>
    </row>
    <row r="586" spans="1:8" x14ac:dyDescent="0.3">
      <c r="A586" s="77"/>
      <c r="H586" s="77"/>
    </row>
    <row r="587" spans="1:8" x14ac:dyDescent="0.3">
      <c r="A587" s="77"/>
      <c r="H587" s="77"/>
    </row>
    <row r="588" spans="1:8" x14ac:dyDescent="0.3">
      <c r="A588" s="77"/>
      <c r="H588" s="77"/>
    </row>
    <row r="589" spans="1:8" x14ac:dyDescent="0.3">
      <c r="A589" s="77"/>
      <c r="H589" s="77"/>
    </row>
    <row r="590" spans="1:8" x14ac:dyDescent="0.3">
      <c r="A590" s="77"/>
      <c r="H590" s="77"/>
    </row>
    <row r="591" spans="1:8" x14ac:dyDescent="0.3">
      <c r="A591" s="77"/>
      <c r="H591" s="77"/>
    </row>
    <row r="592" spans="1:8" x14ac:dyDescent="0.3">
      <c r="A592" s="77"/>
      <c r="H592" s="77"/>
    </row>
    <row r="593" spans="1:8" x14ac:dyDescent="0.3">
      <c r="A593" s="77"/>
      <c r="H593" s="77"/>
    </row>
    <row r="594" spans="1:8" x14ac:dyDescent="0.3">
      <c r="A594" s="77"/>
      <c r="H594" s="77"/>
    </row>
    <row r="595" spans="1:8" x14ac:dyDescent="0.3">
      <c r="A595" s="77"/>
      <c r="H595" s="77"/>
    </row>
    <row r="596" spans="1:8" x14ac:dyDescent="0.3">
      <c r="A596" s="77"/>
      <c r="H596" s="77"/>
    </row>
    <row r="597" spans="1:8" x14ac:dyDescent="0.3">
      <c r="A597" s="77"/>
      <c r="H597" s="77"/>
    </row>
    <row r="598" spans="1:8" x14ac:dyDescent="0.3">
      <c r="A598" s="77"/>
      <c r="H598" s="77"/>
    </row>
    <row r="599" spans="1:8" x14ac:dyDescent="0.3">
      <c r="A599" s="77"/>
      <c r="H599" s="77"/>
    </row>
    <row r="600" spans="1:8" x14ac:dyDescent="0.3">
      <c r="A600" s="77"/>
      <c r="H600" s="77"/>
    </row>
    <row r="601" spans="1:8" x14ac:dyDescent="0.3">
      <c r="A601" s="77"/>
      <c r="H601" s="77"/>
    </row>
    <row r="602" spans="1:8" x14ac:dyDescent="0.3">
      <c r="A602" s="77"/>
      <c r="H602" s="77"/>
    </row>
    <row r="603" spans="1:8" x14ac:dyDescent="0.3">
      <c r="A603" s="77"/>
      <c r="H603" s="77"/>
    </row>
    <row r="604" spans="1:8" x14ac:dyDescent="0.3">
      <c r="A604" s="77"/>
      <c r="H604" s="77"/>
    </row>
    <row r="605" spans="1:8" x14ac:dyDescent="0.3">
      <c r="A605" s="77"/>
      <c r="H605" s="77"/>
    </row>
    <row r="606" spans="1:8" x14ac:dyDescent="0.3">
      <c r="A606" s="77"/>
      <c r="H606" s="77"/>
    </row>
    <row r="607" spans="1:8" x14ac:dyDescent="0.3">
      <c r="A607" s="77"/>
      <c r="H607" s="77"/>
    </row>
    <row r="608" spans="1:8" x14ac:dyDescent="0.3">
      <c r="A608" s="77"/>
      <c r="H608" s="77"/>
    </row>
    <row r="609" spans="1:8" x14ac:dyDescent="0.3">
      <c r="A609" s="77"/>
      <c r="H609" s="77"/>
    </row>
    <row r="610" spans="1:8" x14ac:dyDescent="0.3">
      <c r="A610" s="77"/>
      <c r="H610" s="77"/>
    </row>
    <row r="611" spans="1:8" x14ac:dyDescent="0.3">
      <c r="A611" s="77"/>
      <c r="H611" s="77"/>
    </row>
    <row r="612" spans="1:8" x14ac:dyDescent="0.3">
      <c r="A612" s="77"/>
      <c r="H612" s="77"/>
    </row>
    <row r="613" spans="1:8" x14ac:dyDescent="0.3">
      <c r="A613" s="77"/>
      <c r="H613" s="77"/>
    </row>
    <row r="614" spans="1:8" x14ac:dyDescent="0.3">
      <c r="A614" s="77"/>
      <c r="H614" s="77"/>
    </row>
    <row r="615" spans="1:8" x14ac:dyDescent="0.3">
      <c r="A615" s="77"/>
      <c r="H615" s="77"/>
    </row>
    <row r="616" spans="1:8" x14ac:dyDescent="0.3">
      <c r="A616" s="77"/>
      <c r="H616" s="77"/>
    </row>
    <row r="617" spans="1:8" x14ac:dyDescent="0.3">
      <c r="A617" s="77"/>
      <c r="H617" s="77"/>
    </row>
    <row r="618" spans="1:8" x14ac:dyDescent="0.3">
      <c r="A618" s="77"/>
      <c r="H618" s="77"/>
    </row>
    <row r="619" spans="1:8" x14ac:dyDescent="0.3">
      <c r="A619" s="77"/>
      <c r="H619" s="77"/>
    </row>
    <row r="620" spans="1:8" x14ac:dyDescent="0.3">
      <c r="A620" s="81" t="s">
        <v>65</v>
      </c>
      <c r="H620" s="77"/>
    </row>
    <row r="621" spans="1:8" x14ac:dyDescent="0.3">
      <c r="A621" s="77"/>
      <c r="H621" s="77"/>
    </row>
    <row r="622" spans="1:8" x14ac:dyDescent="0.3">
      <c r="A622" s="77"/>
      <c r="H622" s="77"/>
    </row>
    <row r="623" spans="1:8" x14ac:dyDescent="0.3">
      <c r="A623" s="77"/>
      <c r="H623" s="77"/>
    </row>
    <row r="624" spans="1:8" x14ac:dyDescent="0.3">
      <c r="A624" s="77"/>
      <c r="H624" s="77"/>
    </row>
    <row r="625" spans="1:8" x14ac:dyDescent="0.3">
      <c r="A625" s="77"/>
      <c r="H625" s="77"/>
    </row>
    <row r="626" spans="1:8" x14ac:dyDescent="0.3">
      <c r="A626" s="77"/>
      <c r="H626" s="77"/>
    </row>
    <row r="627" spans="1:8" x14ac:dyDescent="0.3">
      <c r="A627" s="77"/>
      <c r="H627" s="77"/>
    </row>
    <row r="628" spans="1:8" x14ac:dyDescent="0.3">
      <c r="A628" s="77"/>
      <c r="H628" s="77"/>
    </row>
    <row r="629" spans="1:8" x14ac:dyDescent="0.3">
      <c r="A629" s="77"/>
      <c r="H629" s="77"/>
    </row>
    <row r="630" spans="1:8" x14ac:dyDescent="0.3">
      <c r="A630" s="77"/>
      <c r="H630" s="77"/>
    </row>
    <row r="631" spans="1:8" x14ac:dyDescent="0.3">
      <c r="A631" s="77"/>
      <c r="H631" s="77"/>
    </row>
    <row r="632" spans="1:8" x14ac:dyDescent="0.3">
      <c r="A632" s="77"/>
      <c r="H632" s="77"/>
    </row>
    <row r="633" spans="1:8" x14ac:dyDescent="0.3">
      <c r="A633" s="77"/>
      <c r="H633" s="77"/>
    </row>
    <row r="634" spans="1:8" x14ac:dyDescent="0.3">
      <c r="A634" s="77"/>
      <c r="H634" s="77"/>
    </row>
    <row r="635" spans="1:8" x14ac:dyDescent="0.3">
      <c r="A635" s="77"/>
      <c r="H635" s="77"/>
    </row>
    <row r="636" spans="1:8" x14ac:dyDescent="0.3">
      <c r="A636" s="77"/>
      <c r="H636" s="77"/>
    </row>
    <row r="637" spans="1:8" x14ac:dyDescent="0.3">
      <c r="A637" s="77"/>
      <c r="H637" s="77"/>
    </row>
    <row r="638" spans="1:8" x14ac:dyDescent="0.3">
      <c r="A638" s="77"/>
      <c r="H638" s="77"/>
    </row>
    <row r="639" spans="1:8" x14ac:dyDescent="0.3">
      <c r="A639" s="77"/>
      <c r="H639" s="77"/>
    </row>
    <row r="640" spans="1:8" x14ac:dyDescent="0.3">
      <c r="A640" s="77"/>
      <c r="H640" s="77"/>
    </row>
    <row r="641" spans="1:8" x14ac:dyDescent="0.3">
      <c r="A641" s="77"/>
      <c r="H641" s="77"/>
    </row>
    <row r="642" spans="1:8" x14ac:dyDescent="0.3">
      <c r="A642" s="77"/>
      <c r="H642" s="77"/>
    </row>
    <row r="643" spans="1:8" x14ac:dyDescent="0.3">
      <c r="A643" s="77"/>
      <c r="H643" s="77"/>
    </row>
    <row r="644" spans="1:8" x14ac:dyDescent="0.3">
      <c r="A644" s="77"/>
      <c r="H644" s="77"/>
    </row>
    <row r="645" spans="1:8" x14ac:dyDescent="0.3">
      <c r="A645" s="77"/>
      <c r="H645" s="77"/>
    </row>
    <row r="646" spans="1:8" x14ac:dyDescent="0.3">
      <c r="A646" s="77"/>
      <c r="H646" s="77"/>
    </row>
    <row r="647" spans="1:8" x14ac:dyDescent="0.3">
      <c r="A647" s="77"/>
      <c r="H647" s="77"/>
    </row>
    <row r="648" spans="1:8" x14ac:dyDescent="0.3">
      <c r="A648" s="77"/>
      <c r="H648" s="77"/>
    </row>
    <row r="649" spans="1:8" x14ac:dyDescent="0.3">
      <c r="A649" s="77"/>
      <c r="H649" s="77"/>
    </row>
    <row r="650" spans="1:8" x14ac:dyDescent="0.3">
      <c r="A650" s="77"/>
      <c r="H650" s="77"/>
    </row>
    <row r="651" spans="1:8" x14ac:dyDescent="0.3">
      <c r="A651" s="77"/>
      <c r="H651" s="77"/>
    </row>
    <row r="652" spans="1:8" x14ac:dyDescent="0.3">
      <c r="A652" s="77"/>
      <c r="H652" s="77"/>
    </row>
    <row r="653" spans="1:8" x14ac:dyDescent="0.3">
      <c r="A653" s="77"/>
      <c r="H653" s="77"/>
    </row>
    <row r="654" spans="1:8" x14ac:dyDescent="0.3">
      <c r="A654" s="77"/>
      <c r="H654" s="77"/>
    </row>
    <row r="655" spans="1:8" x14ac:dyDescent="0.3">
      <c r="A655" s="77"/>
      <c r="H655" s="77"/>
    </row>
    <row r="656" spans="1:8" x14ac:dyDescent="0.3">
      <c r="A656" s="77"/>
      <c r="H656" s="77"/>
    </row>
    <row r="657" spans="1:8" x14ac:dyDescent="0.3">
      <c r="A657" s="77"/>
      <c r="H657" s="77"/>
    </row>
    <row r="658" spans="1:8" x14ac:dyDescent="0.3">
      <c r="A658" s="77"/>
      <c r="H658" s="77"/>
    </row>
    <row r="659" spans="1:8" x14ac:dyDescent="0.3">
      <c r="A659" s="77"/>
      <c r="H659" s="77"/>
    </row>
    <row r="660" spans="1:8" x14ac:dyDescent="0.3">
      <c r="A660" s="77"/>
      <c r="H660" s="77"/>
    </row>
    <row r="661" spans="1:8" x14ac:dyDescent="0.3">
      <c r="A661" s="77"/>
      <c r="H661" s="77"/>
    </row>
    <row r="662" spans="1:8" hidden="1" x14ac:dyDescent="0.3"/>
    <row r="663" spans="1:8" hidden="1" x14ac:dyDescent="0.3"/>
  </sheetData>
  <mergeCells count="774">
    <mergeCell ref="B513:H513"/>
    <mergeCell ref="A216:A219"/>
    <mergeCell ref="C219:D219"/>
    <mergeCell ref="E219:F219"/>
    <mergeCell ref="G219:H219"/>
    <mergeCell ref="C218:D218"/>
    <mergeCell ref="E218:F218"/>
    <mergeCell ref="G218:H218"/>
    <mergeCell ref="A235:B235"/>
    <mergeCell ref="C235:D235"/>
    <mergeCell ref="E235:F235"/>
    <mergeCell ref="G235:H235"/>
    <mergeCell ref="C223:D223"/>
    <mergeCell ref="E222:F222"/>
    <mergeCell ref="A504:B504"/>
    <mergeCell ref="G504:H509"/>
    <mergeCell ref="A505:B505"/>
    <mergeCell ref="A506:B506"/>
    <mergeCell ref="A507:B507"/>
    <mergeCell ref="A508:B508"/>
    <mergeCell ref="A509:B509"/>
    <mergeCell ref="C506:F506"/>
    <mergeCell ref="G269:H280"/>
    <mergeCell ref="A496:H496"/>
    <mergeCell ref="A497:B497"/>
    <mergeCell ref="G497:H502"/>
    <mergeCell ref="A498:B498"/>
    <mergeCell ref="A499:B499"/>
    <mergeCell ref="A500:B500"/>
    <mergeCell ref="A501:B501"/>
    <mergeCell ref="A502:B502"/>
    <mergeCell ref="A503:H503"/>
    <mergeCell ref="A282:H282"/>
    <mergeCell ref="G283:H290"/>
    <mergeCell ref="A291:H291"/>
    <mergeCell ref="A488:H488"/>
    <mergeCell ref="A489:H489"/>
    <mergeCell ref="A490:B490"/>
    <mergeCell ref="A492:B492"/>
    <mergeCell ref="A493:B493"/>
    <mergeCell ref="A494:B494"/>
    <mergeCell ref="A495:B495"/>
    <mergeCell ref="A479:H479"/>
    <mergeCell ref="A480:B480"/>
    <mergeCell ref="G480:H487"/>
    <mergeCell ref="A481:B481"/>
    <mergeCell ref="A482:B482"/>
    <mergeCell ref="A483:B483"/>
    <mergeCell ref="C483:F483"/>
    <mergeCell ref="A484:B484"/>
    <mergeCell ref="A485:B485"/>
    <mergeCell ref="A486:B486"/>
    <mergeCell ref="A487:B487"/>
    <mergeCell ref="A451:H451"/>
    <mergeCell ref="A452:B452"/>
    <mergeCell ref="G452:H459"/>
    <mergeCell ref="A453:B453"/>
    <mergeCell ref="A454:B454"/>
    <mergeCell ref="A455:B455"/>
    <mergeCell ref="A456:B456"/>
    <mergeCell ref="A457:B457"/>
    <mergeCell ref="A458:B458"/>
    <mergeCell ref="A459:B459"/>
    <mergeCell ref="C455:F455"/>
    <mergeCell ref="A510:H510"/>
    <mergeCell ref="A460:H460"/>
    <mergeCell ref="A461:H461"/>
    <mergeCell ref="A462:B462"/>
    <mergeCell ref="G462:H469"/>
    <mergeCell ref="A463:B463"/>
    <mergeCell ref="A464:B464"/>
    <mergeCell ref="A465:B465"/>
    <mergeCell ref="A466:B466"/>
    <mergeCell ref="A467:B467"/>
    <mergeCell ref="A468:B468"/>
    <mergeCell ref="A469:B469"/>
    <mergeCell ref="A470:H470"/>
    <mergeCell ref="A471:B471"/>
    <mergeCell ref="G471:H478"/>
    <mergeCell ref="A472:B472"/>
    <mergeCell ref="A473:B473"/>
    <mergeCell ref="A474:B474"/>
    <mergeCell ref="A475:B475"/>
    <mergeCell ref="A476:B476"/>
    <mergeCell ref="A477:B477"/>
    <mergeCell ref="A478:B478"/>
    <mergeCell ref="G490:H495"/>
    <mergeCell ref="A491:B491"/>
    <mergeCell ref="A288:B288"/>
    <mergeCell ref="A441:B441"/>
    <mergeCell ref="G434:H441"/>
    <mergeCell ref="A442:H442"/>
    <mergeCell ref="A443:B443"/>
    <mergeCell ref="G443:H450"/>
    <mergeCell ref="A444:B444"/>
    <mergeCell ref="A445:B445"/>
    <mergeCell ref="A446:B446"/>
    <mergeCell ref="A447:B447"/>
    <mergeCell ref="A448:B448"/>
    <mergeCell ref="A449:B449"/>
    <mergeCell ref="A450:B450"/>
    <mergeCell ref="A434:B434"/>
    <mergeCell ref="A435:B435"/>
    <mergeCell ref="A436:B436"/>
    <mergeCell ref="A437:B437"/>
    <mergeCell ref="A438:B438"/>
    <mergeCell ref="A439:B439"/>
    <mergeCell ref="A440:B440"/>
    <mergeCell ref="A289:B289"/>
    <mergeCell ref="A290:B290"/>
    <mergeCell ref="A391:B391"/>
    <mergeCell ref="G390:H397"/>
    <mergeCell ref="A271:B271"/>
    <mergeCell ref="A272:B272"/>
    <mergeCell ref="A273:B273"/>
    <mergeCell ref="A274:B274"/>
    <mergeCell ref="A275:B275"/>
    <mergeCell ref="A277:B277"/>
    <mergeCell ref="A265:B265"/>
    <mergeCell ref="A255:B255"/>
    <mergeCell ref="A264:B264"/>
    <mergeCell ref="A201:E201"/>
    <mergeCell ref="A316:H316"/>
    <mergeCell ref="A317:H317"/>
    <mergeCell ref="A318:H318"/>
    <mergeCell ref="A284:B284"/>
    <mergeCell ref="A285:B285"/>
    <mergeCell ref="A286:B286"/>
    <mergeCell ref="A287:B287"/>
    <mergeCell ref="B520:H520"/>
    <mergeCell ref="A229:B229"/>
    <mergeCell ref="C229:D229"/>
    <mergeCell ref="E229:F229"/>
    <mergeCell ref="G229:H229"/>
    <mergeCell ref="A230:A233"/>
    <mergeCell ref="C230:D230"/>
    <mergeCell ref="E230:F230"/>
    <mergeCell ref="G230:H230"/>
    <mergeCell ref="C231:D231"/>
    <mergeCell ref="E231:F231"/>
    <mergeCell ref="G231:H231"/>
    <mergeCell ref="C232:D232"/>
    <mergeCell ref="E232:F232"/>
    <mergeCell ref="G232:H232"/>
    <mergeCell ref="C233:D233"/>
    <mergeCell ref="C130:H130"/>
    <mergeCell ref="A132:B132"/>
    <mergeCell ref="C132:H132"/>
    <mergeCell ref="A133:B133"/>
    <mergeCell ref="E133:F133"/>
    <mergeCell ref="G133:H133"/>
    <mergeCell ref="A134:B134"/>
    <mergeCell ref="E134:F143"/>
    <mergeCell ref="G134:H143"/>
    <mergeCell ref="A135:B135"/>
    <mergeCell ref="A136:B136"/>
    <mergeCell ref="A137:B137"/>
    <mergeCell ref="A138:B138"/>
    <mergeCell ref="A139:B139"/>
    <mergeCell ref="A140:B140"/>
    <mergeCell ref="A141:B141"/>
    <mergeCell ref="A142:B142"/>
    <mergeCell ref="A143:B143"/>
    <mergeCell ref="A100:B100"/>
    <mergeCell ref="A101:B101"/>
    <mergeCell ref="C104:H104"/>
    <mergeCell ref="A108:B108"/>
    <mergeCell ref="A109:B109"/>
    <mergeCell ref="A74:B74"/>
    <mergeCell ref="C74:H74"/>
    <mergeCell ref="A82:B82"/>
    <mergeCell ref="E78:F87"/>
    <mergeCell ref="E106:F115"/>
    <mergeCell ref="A110:B110"/>
    <mergeCell ref="A111:B111"/>
    <mergeCell ref="D62:H62"/>
    <mergeCell ref="A67:C67"/>
    <mergeCell ref="D67:H67"/>
    <mergeCell ref="A88:B88"/>
    <mergeCell ref="C88:H88"/>
    <mergeCell ref="A90:B90"/>
    <mergeCell ref="C90:H90"/>
    <mergeCell ref="G105:H105"/>
    <mergeCell ref="A93:B93"/>
    <mergeCell ref="A94:B94"/>
    <mergeCell ref="A95:B95"/>
    <mergeCell ref="A96:B96"/>
    <mergeCell ref="A97:B97"/>
    <mergeCell ref="A98:B98"/>
    <mergeCell ref="G78:H87"/>
    <mergeCell ref="A86:B86"/>
    <mergeCell ref="A87:B87"/>
    <mergeCell ref="D68:H68"/>
    <mergeCell ref="A69:C69"/>
    <mergeCell ref="D69:H69"/>
    <mergeCell ref="A70:C70"/>
    <mergeCell ref="A76:B76"/>
    <mergeCell ref="A68:C68"/>
    <mergeCell ref="A99:B99"/>
    <mergeCell ref="A116:B116"/>
    <mergeCell ref="C116:H116"/>
    <mergeCell ref="A130:B130"/>
    <mergeCell ref="D58:H58"/>
    <mergeCell ref="D60:H60"/>
    <mergeCell ref="A72:C72"/>
    <mergeCell ref="D72:H72"/>
    <mergeCell ref="A78:B78"/>
    <mergeCell ref="G77:H77"/>
    <mergeCell ref="C76:H76"/>
    <mergeCell ref="D70:H70"/>
    <mergeCell ref="A73:C73"/>
    <mergeCell ref="D73:H73"/>
    <mergeCell ref="G106:H115"/>
    <mergeCell ref="A107:B107"/>
    <mergeCell ref="A79:B79"/>
    <mergeCell ref="A81:B81"/>
    <mergeCell ref="E77:F77"/>
    <mergeCell ref="A77:B77"/>
    <mergeCell ref="A80:B80"/>
    <mergeCell ref="A71:C71"/>
    <mergeCell ref="D71:H71"/>
    <mergeCell ref="A105:B105"/>
    <mergeCell ref="E105:F105"/>
    <mergeCell ref="A35:B35"/>
    <mergeCell ref="C35:E35"/>
    <mergeCell ref="A40:D40"/>
    <mergeCell ref="E40:H40"/>
    <mergeCell ref="C37:H37"/>
    <mergeCell ref="F32:H32"/>
    <mergeCell ref="F33:H33"/>
    <mergeCell ref="A39:H39"/>
    <mergeCell ref="F35:H35"/>
    <mergeCell ref="A37:B37"/>
    <mergeCell ref="A38:B38"/>
    <mergeCell ref="C38:H38"/>
    <mergeCell ref="A34:B34"/>
    <mergeCell ref="C34:E34"/>
    <mergeCell ref="A42:D42"/>
    <mergeCell ref="E42:H42"/>
    <mergeCell ref="E43:H43"/>
    <mergeCell ref="E44:H44"/>
    <mergeCell ref="E45:H45"/>
    <mergeCell ref="A43:D43"/>
    <mergeCell ref="A36:H36"/>
    <mergeCell ref="A44:D44"/>
    <mergeCell ref="A45:D45"/>
    <mergeCell ref="D59:H59"/>
    <mergeCell ref="D61:H61"/>
    <mergeCell ref="A363:B363"/>
    <mergeCell ref="B518:H518"/>
    <mergeCell ref="A47:B47"/>
    <mergeCell ref="C47:H47"/>
    <mergeCell ref="B516:H516"/>
    <mergeCell ref="F202:H202"/>
    <mergeCell ref="A202:E202"/>
    <mergeCell ref="A204:E204"/>
    <mergeCell ref="F210:H210"/>
    <mergeCell ref="A384:B384"/>
    <mergeCell ref="A211:E211"/>
    <mergeCell ref="G227:H227"/>
    <mergeCell ref="G224:H224"/>
    <mergeCell ref="A205:E205"/>
    <mergeCell ref="F204:H204"/>
    <mergeCell ref="A203:E203"/>
    <mergeCell ref="E223:F223"/>
    <mergeCell ref="F207:H207"/>
    <mergeCell ref="B511:H511"/>
    <mergeCell ref="B512:H512"/>
    <mergeCell ref="G328:H335"/>
    <mergeCell ref="A106:B106"/>
    <mergeCell ref="A379:H379"/>
    <mergeCell ref="A365:B365"/>
    <mergeCell ref="A366:B366"/>
    <mergeCell ref="A381:B381"/>
    <mergeCell ref="G368:H375"/>
    <mergeCell ref="C370:F370"/>
    <mergeCell ref="G381:H388"/>
    <mergeCell ref="A372:B372"/>
    <mergeCell ref="A373:B373"/>
    <mergeCell ref="A374:B374"/>
    <mergeCell ref="A375:B375"/>
    <mergeCell ref="A368:B368"/>
    <mergeCell ref="A369:B369"/>
    <mergeCell ref="A370:B370"/>
    <mergeCell ref="A395:B395"/>
    <mergeCell ref="A392:B392"/>
    <mergeCell ref="A399:B399"/>
    <mergeCell ref="A400:B400"/>
    <mergeCell ref="A393:B393"/>
    <mergeCell ref="A409:H409"/>
    <mergeCell ref="A410:H410"/>
    <mergeCell ref="A380:H380"/>
    <mergeCell ref="A382:B382"/>
    <mergeCell ref="A397:B397"/>
    <mergeCell ref="C395:F395"/>
    <mergeCell ref="A385:B385"/>
    <mergeCell ref="A389:H389"/>
    <mergeCell ref="G408:H408"/>
    <mergeCell ref="A407:B407"/>
    <mergeCell ref="G407:H407"/>
    <mergeCell ref="A398:H398"/>
    <mergeCell ref="A396:B396"/>
    <mergeCell ref="G400:H400"/>
    <mergeCell ref="A403:H403"/>
    <mergeCell ref="A404:B404"/>
    <mergeCell ref="A405:B405"/>
    <mergeCell ref="G404:H404"/>
    <mergeCell ref="G402:H402"/>
    <mergeCell ref="L375:M375"/>
    <mergeCell ref="A292:A293"/>
    <mergeCell ref="A390:B390"/>
    <mergeCell ref="A387:B387"/>
    <mergeCell ref="A388:B388"/>
    <mergeCell ref="B292:B293"/>
    <mergeCell ref="A339:B339"/>
    <mergeCell ref="A340:B340"/>
    <mergeCell ref="A341:B341"/>
    <mergeCell ref="L374:M374"/>
    <mergeCell ref="L371:M371"/>
    <mergeCell ref="L372:M372"/>
    <mergeCell ref="A383:B383"/>
    <mergeCell ref="L373:M373"/>
    <mergeCell ref="A371:B371"/>
    <mergeCell ref="A351:B351"/>
    <mergeCell ref="A352:B352"/>
    <mergeCell ref="A350:B350"/>
    <mergeCell ref="A362:B362"/>
    <mergeCell ref="A376:H376"/>
    <mergeCell ref="A320:B320"/>
    <mergeCell ref="A321:B321"/>
    <mergeCell ref="A377:H377"/>
    <mergeCell ref="A378:H378"/>
    <mergeCell ref="A322:B322"/>
    <mergeCell ref="A323:B323"/>
    <mergeCell ref="A305:B305"/>
    <mergeCell ref="A304:B304"/>
    <mergeCell ref="A258:B258"/>
    <mergeCell ref="A259:B259"/>
    <mergeCell ref="A260:B260"/>
    <mergeCell ref="A261:B261"/>
    <mergeCell ref="A262:B262"/>
    <mergeCell ref="A263:B263"/>
    <mergeCell ref="A278:B278"/>
    <mergeCell ref="A279:B279"/>
    <mergeCell ref="A280:B280"/>
    <mergeCell ref="A268:H268"/>
    <mergeCell ref="G255:H266"/>
    <mergeCell ref="A276:B276"/>
    <mergeCell ref="A267:H267"/>
    <mergeCell ref="A281:H281"/>
    <mergeCell ref="A283:B283"/>
    <mergeCell ref="A266:B266"/>
    <mergeCell ref="A269:B269"/>
    <mergeCell ref="A270:B270"/>
    <mergeCell ref="G299:H306"/>
    <mergeCell ref="G308:H315"/>
    <mergeCell ref="F209:H209"/>
    <mergeCell ref="A298:H298"/>
    <mergeCell ref="A299:B299"/>
    <mergeCell ref="A300:B300"/>
    <mergeCell ref="A301:B301"/>
    <mergeCell ref="A302:B302"/>
    <mergeCell ref="A303:B303"/>
    <mergeCell ref="G233:H233"/>
    <mergeCell ref="C236:D236"/>
    <mergeCell ref="E236:F236"/>
    <mergeCell ref="G236:H236"/>
    <mergeCell ref="C234:D234"/>
    <mergeCell ref="E234:F234"/>
    <mergeCell ref="G234:H234"/>
    <mergeCell ref="A228:H228"/>
    <mergeCell ref="A209:E209"/>
    <mergeCell ref="A237:H237"/>
    <mergeCell ref="E233:F233"/>
    <mergeCell ref="A236:B236"/>
    <mergeCell ref="E227:F227"/>
    <mergeCell ref="A223:A226"/>
    <mergeCell ref="A253:H253"/>
    <mergeCell ref="A256:B256"/>
    <mergeCell ref="A257:B257"/>
    <mergeCell ref="A46:H46"/>
    <mergeCell ref="D57:H57"/>
    <mergeCell ref="A57:C57"/>
    <mergeCell ref="G49:H49"/>
    <mergeCell ref="E41:H41"/>
    <mergeCell ref="A41:D41"/>
    <mergeCell ref="A48:B48"/>
    <mergeCell ref="A54:H54"/>
    <mergeCell ref="A55:C55"/>
    <mergeCell ref="A56:C56"/>
    <mergeCell ref="D56:H56"/>
    <mergeCell ref="G52:H52"/>
    <mergeCell ref="C49:E49"/>
    <mergeCell ref="A50:B51"/>
    <mergeCell ref="C50:E50"/>
    <mergeCell ref="G50:H50"/>
    <mergeCell ref="C51:H51"/>
    <mergeCell ref="A52:B53"/>
    <mergeCell ref="C53:H53"/>
    <mergeCell ref="C48:E48"/>
    <mergeCell ref="C52:E52"/>
    <mergeCell ref="G48:H48"/>
    <mergeCell ref="D55:H55"/>
    <mergeCell ref="A49:B49"/>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27:D27"/>
    <mergeCell ref="E27:H27"/>
    <mergeCell ref="E24:H24"/>
    <mergeCell ref="A28:D28"/>
    <mergeCell ref="E28:H28"/>
    <mergeCell ref="A25:D25"/>
    <mergeCell ref="A23:D23"/>
    <mergeCell ref="E23:H23"/>
    <mergeCell ref="A9:D9"/>
    <mergeCell ref="E9:H9"/>
    <mergeCell ref="C17:D17"/>
    <mergeCell ref="E17:F17"/>
    <mergeCell ref="G17:H17"/>
    <mergeCell ref="A18:B18"/>
    <mergeCell ref="C18:D18"/>
    <mergeCell ref="E18:F18"/>
    <mergeCell ref="G18:H18"/>
    <mergeCell ref="G20:H20"/>
    <mergeCell ref="E25:H25"/>
    <mergeCell ref="A16:B16"/>
    <mergeCell ref="C16:H16"/>
    <mergeCell ref="E20:F20"/>
    <mergeCell ref="G19:H19"/>
    <mergeCell ref="A20:B20"/>
    <mergeCell ref="C20:D20"/>
    <mergeCell ref="B519:H519"/>
    <mergeCell ref="B514:H514"/>
    <mergeCell ref="B515:H515"/>
    <mergeCell ref="B517:H517"/>
    <mergeCell ref="A406:B406"/>
    <mergeCell ref="G406:H406"/>
    <mergeCell ref="G405:H405"/>
    <mergeCell ref="A1:H1"/>
    <mergeCell ref="A2:H2"/>
    <mergeCell ref="A3:D3"/>
    <mergeCell ref="E3:H3"/>
    <mergeCell ref="A4:D4"/>
    <mergeCell ref="A8:D8"/>
    <mergeCell ref="E8:H8"/>
    <mergeCell ref="A10:D10"/>
    <mergeCell ref="E10:H10"/>
    <mergeCell ref="E4:H4"/>
    <mergeCell ref="A5:D5"/>
    <mergeCell ref="E5:H5"/>
    <mergeCell ref="A6:D6"/>
    <mergeCell ref="E6:H6"/>
    <mergeCell ref="A7:D7"/>
    <mergeCell ref="E7:H7"/>
    <mergeCell ref="A24:D24"/>
    <mergeCell ref="F203:H203"/>
    <mergeCell ref="A208:E208"/>
    <mergeCell ref="F208:H208"/>
    <mergeCell ref="A210:E210"/>
    <mergeCell ref="C222:D222"/>
    <mergeCell ref="G222:H222"/>
    <mergeCell ref="F211:H211"/>
    <mergeCell ref="A532:H535"/>
    <mergeCell ref="A531:B531"/>
    <mergeCell ref="E531:F531"/>
    <mergeCell ref="C531:D531"/>
    <mergeCell ref="G531:H531"/>
    <mergeCell ref="A212:E212"/>
    <mergeCell ref="F212:H212"/>
    <mergeCell ref="A213:E213"/>
    <mergeCell ref="F213:H213"/>
    <mergeCell ref="A394:B394"/>
    <mergeCell ref="A527:H527"/>
    <mergeCell ref="A221:H221"/>
    <mergeCell ref="A530:H530"/>
    <mergeCell ref="A528:H528"/>
    <mergeCell ref="A524:H524"/>
    <mergeCell ref="A525:H525"/>
    <mergeCell ref="A529:H529"/>
    <mergeCell ref="A526:H526"/>
    <mergeCell ref="G401:H401"/>
    <mergeCell ref="A386:B386"/>
    <mergeCell ref="A222:B222"/>
    <mergeCell ref="D292:D293"/>
    <mergeCell ref="E292:E293"/>
    <mergeCell ref="G292:H293"/>
    <mergeCell ref="G223:H223"/>
    <mergeCell ref="A309:B309"/>
    <mergeCell ref="A310:B310"/>
    <mergeCell ref="C310:F310"/>
    <mergeCell ref="A311:B311"/>
    <mergeCell ref="A312:B312"/>
    <mergeCell ref="A315:B315"/>
    <mergeCell ref="A295:H295"/>
    <mergeCell ref="A297:H297"/>
    <mergeCell ref="A306:B306"/>
    <mergeCell ref="A307:H307"/>
    <mergeCell ref="A308:B308"/>
    <mergeCell ref="A367:H367"/>
    <mergeCell ref="A357:H357"/>
    <mergeCell ref="A358:H358"/>
    <mergeCell ref="A359:B359"/>
    <mergeCell ref="C350:F350"/>
    <mergeCell ref="F200:H200"/>
    <mergeCell ref="F205:H205"/>
    <mergeCell ref="A200:E200"/>
    <mergeCell ref="A206:E206"/>
    <mergeCell ref="F206:H206"/>
    <mergeCell ref="A207:E207"/>
    <mergeCell ref="F201:H201"/>
    <mergeCell ref="A83:B83"/>
    <mergeCell ref="A85:B85"/>
    <mergeCell ref="A84:B84"/>
    <mergeCell ref="A118:B118"/>
    <mergeCell ref="C118:H118"/>
    <mergeCell ref="A119:B119"/>
    <mergeCell ref="E119:F119"/>
    <mergeCell ref="G119:H119"/>
    <mergeCell ref="A102:B102"/>
    <mergeCell ref="C102:H102"/>
    <mergeCell ref="A104:B104"/>
    <mergeCell ref="A91:B91"/>
    <mergeCell ref="E91:F91"/>
    <mergeCell ref="G91:H91"/>
    <mergeCell ref="A92:B92"/>
    <mergeCell ref="E92:F101"/>
    <mergeCell ref="G92:H101"/>
    <mergeCell ref="A120:B120"/>
    <mergeCell ref="E120:F129"/>
    <mergeCell ref="G120:H129"/>
    <mergeCell ref="A121:B121"/>
    <mergeCell ref="A122:B122"/>
    <mergeCell ref="A123:B123"/>
    <mergeCell ref="A124:B124"/>
    <mergeCell ref="A125:B125"/>
    <mergeCell ref="A126:B126"/>
    <mergeCell ref="A127:B127"/>
    <mergeCell ref="A128:B128"/>
    <mergeCell ref="A129:B129"/>
    <mergeCell ref="A162:B162"/>
    <mergeCell ref="E162:F171"/>
    <mergeCell ref="G162:H171"/>
    <mergeCell ref="A163:B163"/>
    <mergeCell ref="A164:B164"/>
    <mergeCell ref="A165:B165"/>
    <mergeCell ref="A166:B166"/>
    <mergeCell ref="A167:B167"/>
    <mergeCell ref="A168:B168"/>
    <mergeCell ref="A156:B156"/>
    <mergeCell ref="A157:B157"/>
    <mergeCell ref="A158:B158"/>
    <mergeCell ref="C158:H158"/>
    <mergeCell ref="A160:B160"/>
    <mergeCell ref="C160:H160"/>
    <mergeCell ref="A161:B161"/>
    <mergeCell ref="E161:F161"/>
    <mergeCell ref="G161:H161"/>
    <mergeCell ref="A324:B324"/>
    <mergeCell ref="A325:B325"/>
    <mergeCell ref="A326:B326"/>
    <mergeCell ref="A353:B353"/>
    <mergeCell ref="A354:B354"/>
    <mergeCell ref="A355:B355"/>
    <mergeCell ref="C292:C293"/>
    <mergeCell ref="C227:D227"/>
    <mergeCell ref="A345:B345"/>
    <mergeCell ref="A342:B342"/>
    <mergeCell ref="A343:B343"/>
    <mergeCell ref="A294:H294"/>
    <mergeCell ref="A344:B344"/>
    <mergeCell ref="A296:H296"/>
    <mergeCell ref="A227:B227"/>
    <mergeCell ref="A331:B331"/>
    <mergeCell ref="A332:B332"/>
    <mergeCell ref="A333:B333"/>
    <mergeCell ref="A334:B334"/>
    <mergeCell ref="A335:B335"/>
    <mergeCell ref="A336:H336"/>
    <mergeCell ref="A337:H337"/>
    <mergeCell ref="A338:H338"/>
    <mergeCell ref="A319:B319"/>
    <mergeCell ref="B522:H522"/>
    <mergeCell ref="A112:B112"/>
    <mergeCell ref="A113:B113"/>
    <mergeCell ref="A114:B114"/>
    <mergeCell ref="A115:B115"/>
    <mergeCell ref="A11:D11"/>
    <mergeCell ref="E11:H11"/>
    <mergeCell ref="A15:B15"/>
    <mergeCell ref="A12:D12"/>
    <mergeCell ref="E12:H12"/>
    <mergeCell ref="A13:D13"/>
    <mergeCell ref="A21:D22"/>
    <mergeCell ref="E21:H22"/>
    <mergeCell ref="E13:H13"/>
    <mergeCell ref="A14:B14"/>
    <mergeCell ref="C14:H14"/>
    <mergeCell ref="C15:H15"/>
    <mergeCell ref="A17:B17"/>
    <mergeCell ref="A19:B19"/>
    <mergeCell ref="C19:D19"/>
    <mergeCell ref="E19:F19"/>
    <mergeCell ref="A169:B169"/>
    <mergeCell ref="A170:B170"/>
    <mergeCell ref="A171:B171"/>
    <mergeCell ref="B521:H521"/>
    <mergeCell ref="D63:H63"/>
    <mergeCell ref="D64:H64"/>
    <mergeCell ref="D65:H65"/>
    <mergeCell ref="D66:H66"/>
    <mergeCell ref="A58:C66"/>
    <mergeCell ref="A144:B144"/>
    <mergeCell ref="C144:H144"/>
    <mergeCell ref="A146:B146"/>
    <mergeCell ref="C146:H146"/>
    <mergeCell ref="A147:B147"/>
    <mergeCell ref="E147:F147"/>
    <mergeCell ref="G147:H147"/>
    <mergeCell ref="A148:B148"/>
    <mergeCell ref="E148:F157"/>
    <mergeCell ref="G148:H157"/>
    <mergeCell ref="A149:B149"/>
    <mergeCell ref="A150:B150"/>
    <mergeCell ref="A151:B151"/>
    <mergeCell ref="A152:B152"/>
    <mergeCell ref="A153:B153"/>
    <mergeCell ref="A154:B154"/>
    <mergeCell ref="A155:B155"/>
    <mergeCell ref="A172:B172"/>
    <mergeCell ref="C172:H172"/>
    <mergeCell ref="A174:B174"/>
    <mergeCell ref="C174:H174"/>
    <mergeCell ref="A175:B175"/>
    <mergeCell ref="E175:F175"/>
    <mergeCell ref="G175:H175"/>
    <mergeCell ref="A176:B176"/>
    <mergeCell ref="E176:F185"/>
    <mergeCell ref="G176:H185"/>
    <mergeCell ref="A177:B177"/>
    <mergeCell ref="A178:B178"/>
    <mergeCell ref="A179:B179"/>
    <mergeCell ref="A180:B180"/>
    <mergeCell ref="A181:B181"/>
    <mergeCell ref="A182:B182"/>
    <mergeCell ref="A183:B183"/>
    <mergeCell ref="A184:B184"/>
    <mergeCell ref="A185:B185"/>
    <mergeCell ref="C186:H186"/>
    <mergeCell ref="A188:B188"/>
    <mergeCell ref="C188:H188"/>
    <mergeCell ref="A189:B189"/>
    <mergeCell ref="E189:F189"/>
    <mergeCell ref="G189:H189"/>
    <mergeCell ref="A190:B190"/>
    <mergeCell ref="E190:F199"/>
    <mergeCell ref="G190:H199"/>
    <mergeCell ref="A191:B191"/>
    <mergeCell ref="A192:B192"/>
    <mergeCell ref="A193:B193"/>
    <mergeCell ref="A194:B194"/>
    <mergeCell ref="A195:B195"/>
    <mergeCell ref="A196:B196"/>
    <mergeCell ref="A197:B197"/>
    <mergeCell ref="A198:B198"/>
    <mergeCell ref="A199:B199"/>
    <mergeCell ref="A186:B186"/>
    <mergeCell ref="G319:H326"/>
    <mergeCell ref="A313:B313"/>
    <mergeCell ref="A426:B426"/>
    <mergeCell ref="G426:H431"/>
    <mergeCell ref="A427:B427"/>
    <mergeCell ref="A428:B428"/>
    <mergeCell ref="A429:B429"/>
    <mergeCell ref="A430:B430"/>
    <mergeCell ref="A431:B431"/>
    <mergeCell ref="C427:F427"/>
    <mergeCell ref="A411:H411"/>
    <mergeCell ref="A412:B412"/>
    <mergeCell ref="A413:B413"/>
    <mergeCell ref="A414:B414"/>
    <mergeCell ref="A415:B415"/>
    <mergeCell ref="A416:B416"/>
    <mergeCell ref="A417:B417"/>
    <mergeCell ref="G412:H417"/>
    <mergeCell ref="A418:H418"/>
    <mergeCell ref="A314:B314"/>
    <mergeCell ref="A364:B364"/>
    <mergeCell ref="A330:B330"/>
    <mergeCell ref="A419:B419"/>
    <mergeCell ref="A420:B420"/>
    <mergeCell ref="A421:B421"/>
    <mergeCell ref="A422:B422"/>
    <mergeCell ref="A423:B423"/>
    <mergeCell ref="A424:B424"/>
    <mergeCell ref="G419:H424"/>
    <mergeCell ref="A425:H425"/>
    <mergeCell ref="A327:H327"/>
    <mergeCell ref="A328:B328"/>
    <mergeCell ref="A329:B329"/>
    <mergeCell ref="A360:B360"/>
    <mergeCell ref="A361:B361"/>
    <mergeCell ref="G348:H355"/>
    <mergeCell ref="G359:H366"/>
    <mergeCell ref="A346:B346"/>
    <mergeCell ref="A347:H347"/>
    <mergeCell ref="A348:B348"/>
    <mergeCell ref="C330:F330"/>
    <mergeCell ref="G339:H346"/>
    <mergeCell ref="A349:B349"/>
    <mergeCell ref="A356:H356"/>
    <mergeCell ref="A408:B408"/>
    <mergeCell ref="G399:H399"/>
    <mergeCell ref="A401:B401"/>
    <mergeCell ref="A402:B402"/>
    <mergeCell ref="A432:H432"/>
    <mergeCell ref="A433:H433"/>
    <mergeCell ref="G217:H217"/>
    <mergeCell ref="A220:B220"/>
    <mergeCell ref="C220:D220"/>
    <mergeCell ref="E220:F220"/>
    <mergeCell ref="G220:H220"/>
    <mergeCell ref="A238:H238"/>
    <mergeCell ref="A214:H214"/>
    <mergeCell ref="A215:B215"/>
    <mergeCell ref="C215:D215"/>
    <mergeCell ref="E215:F215"/>
    <mergeCell ref="G215:H215"/>
    <mergeCell ref="C216:D216"/>
    <mergeCell ref="E216:F216"/>
    <mergeCell ref="G216:H216"/>
    <mergeCell ref="E225:F225"/>
    <mergeCell ref="G225:H225"/>
    <mergeCell ref="C224:D224"/>
    <mergeCell ref="E224:F224"/>
    <mergeCell ref="C225:D225"/>
    <mergeCell ref="C226:D226"/>
    <mergeCell ref="E226:F226"/>
    <mergeCell ref="G226:H226"/>
    <mergeCell ref="B523:H523"/>
    <mergeCell ref="K70:M70"/>
    <mergeCell ref="A245:B245"/>
    <mergeCell ref="A246:B246"/>
    <mergeCell ref="A254:H254"/>
    <mergeCell ref="A241:H241"/>
    <mergeCell ref="A243:H243"/>
    <mergeCell ref="A244:H244"/>
    <mergeCell ref="A247:B247"/>
    <mergeCell ref="A248:B248"/>
    <mergeCell ref="A249:B249"/>
    <mergeCell ref="A250:B250"/>
    <mergeCell ref="A251:B251"/>
    <mergeCell ref="A252:B252"/>
    <mergeCell ref="G245:H252"/>
    <mergeCell ref="A239:A240"/>
    <mergeCell ref="B239:B240"/>
    <mergeCell ref="C239:C240"/>
    <mergeCell ref="D239:D240"/>
    <mergeCell ref="E239:E240"/>
    <mergeCell ref="G239:H240"/>
    <mergeCell ref="A242:H242"/>
    <mergeCell ref="C217:D217"/>
    <mergeCell ref="E217:F217"/>
  </mergeCells>
  <dataValidations disablePrompts="1" count="4">
    <dataValidation type="list" allowBlank="1" showInputMessage="1" showErrorMessage="1" sqref="B239:B240" xr:uid="{00000000-0002-0000-0000-000000000000}">
      <formula1>"Shop No. (Sale Plan),Sale / Rehab,Sale / Mhada"</formula1>
    </dataValidation>
    <dataValidation type="list" allowBlank="1" showInputMessage="1" showErrorMessage="1" sqref="F239" xr:uid="{00000000-0002-0000-0000-000001000000}">
      <formula1>"Saleable area Loading :,Builder Saleable area"</formula1>
    </dataValidation>
    <dataValidation type="list" allowBlank="1" showInputMessage="1" showErrorMessage="1" sqref="F240" xr:uid="{00000000-0002-0000-0000-000002000000}">
      <formula1>"45%,50%,55%,60%"</formula1>
    </dataValidation>
    <dataValidation type="list" allowBlank="1" showInputMessage="1" showErrorMessage="1" sqref="E239:E240" xr:uid="{00000000-0002-0000-0000-000003000000}">
      <formula1>"Attached Loft area,Attached Terrace area,Attached Mezzanine area"</formula1>
    </dataValidation>
  </dataValidations>
  <hyperlinks>
    <hyperlink ref="C38" r:id="rId1" xr:uid="{00000000-0004-0000-0000-000000000000}"/>
  </hyperlinks>
  <printOptions horizontalCentered="1"/>
  <pageMargins left="0.39370078740157483" right="0.39370078740157483" top="0.82677165354330717" bottom="0.78740157480314965" header="0.15748031496062992" footer="0.19685039370078741"/>
  <pageSetup paperSize="2" scale="98" orientation="portrait" r:id="rId2"/>
  <headerFooter>
    <oddHeader>&amp;C&amp;G</oddHeader>
    <oddFooter>&amp;L&amp;"Times New Roman,Bold"&amp;12Ref No: &amp;F&amp;C&amp;G&amp;R&amp;"Times New Roman,Bold"&amp;12&amp;P</oddFooter>
  </headerFooter>
  <rowBreaks count="5" manualBreakCount="5">
    <brk id="33" max="7" man="1"/>
    <brk id="129" max="16383" man="1"/>
    <brk id="535" max="7" man="1"/>
    <brk id="577" max="16383" man="1"/>
    <brk id="619"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0" zoomScale="85" zoomScaleNormal="85" workbookViewId="0">
      <selection activeCell="B16" sqref="B16"/>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26" t="s">
        <v>102</v>
      </c>
      <c r="C3" s="226"/>
      <c r="D3" s="226"/>
      <c r="E3" s="226"/>
      <c r="F3" s="226"/>
      <c r="G3" s="226"/>
      <c r="H3" s="226"/>
    </row>
    <row r="4" spans="1:9" x14ac:dyDescent="0.3">
      <c r="A4" s="2"/>
      <c r="B4" s="3" t="s">
        <v>103</v>
      </c>
      <c r="C4" s="3" t="s">
        <v>104</v>
      </c>
      <c r="D4" s="3" t="s">
        <v>66</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2025-09-18T12:05:15Z</cp:lastPrinted>
  <dcterms:created xsi:type="dcterms:W3CDTF">2019-07-16T09:29:46Z</dcterms:created>
  <dcterms:modified xsi:type="dcterms:W3CDTF">2025-09-18T12:06:03Z</dcterms:modified>
</cp:coreProperties>
</file>