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1D54CBA8-6DB0-40E5-8D78-0BCE88E1B536}" xr6:coauthVersionLast="47" xr6:coauthVersionMax="47" xr10:uidLastSave="{00000000-0000-0000-0000-000000000000}"/>
  <bookViews>
    <workbookView xWindow="-108" yWindow="-108" windowWidth="23256" windowHeight="12456" xr2:uid="{00000000-000D-0000-FFFF-FFFF00000000}"/>
  </bookViews>
  <sheets>
    <sheet name="Report" sheetId="1" r:id="rId1"/>
    <sheet name="Flat detail" sheetId="3" r:id="rId2"/>
    <sheet name="Note" sheetId="4" r:id="rId3"/>
    <sheet name="valuation" sheetId="5" r:id="rId4"/>
  </sheets>
  <definedNames>
    <definedName name="_xlnm.Print_Area" localSheetId="0">Report!$A$1:$H$317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1" l="1"/>
  <c r="J83" i="1"/>
  <c r="J82" i="1"/>
  <c r="J81" i="1"/>
  <c r="J70" i="1"/>
  <c r="J69" i="1"/>
  <c r="J68" i="1"/>
  <c r="J67" i="1"/>
  <c r="H60" i="1"/>
  <c r="H74" i="1"/>
  <c r="D82" i="1" l="1"/>
  <c r="D86" i="1"/>
  <c r="D80" i="1"/>
  <c r="J76" i="1"/>
  <c r="J79" i="1"/>
  <c r="D85" i="1"/>
  <c r="D79" i="1"/>
  <c r="D84" i="1"/>
  <c r="J78" i="1"/>
  <c r="C77" i="1" s="1"/>
  <c r="D77" i="1" s="1"/>
  <c r="D81" i="1"/>
  <c r="D83" i="1"/>
  <c r="J77" i="1"/>
  <c r="D72" i="1"/>
  <c r="D66" i="1"/>
  <c r="J62" i="1"/>
  <c r="J65" i="1"/>
  <c r="J66" i="1" s="1"/>
  <c r="D71" i="1"/>
  <c r="D68" i="1"/>
  <c r="D70" i="1"/>
  <c r="J64" i="1"/>
  <c r="C63" i="1" s="1"/>
  <c r="D63" i="1" s="1"/>
  <c r="D69" i="1"/>
  <c r="J63" i="1"/>
  <c r="D67" i="1"/>
  <c r="J80" i="1" l="1"/>
  <c r="J71" i="1"/>
  <c r="D65" i="1"/>
  <c r="D199" i="1"/>
  <c r="F199" i="1" s="1"/>
  <c r="D198" i="1"/>
  <c r="F198" i="1" s="1"/>
  <c r="D197" i="1"/>
  <c r="F197" i="1" s="1"/>
  <c r="D196" i="1"/>
  <c r="F196" i="1" s="1"/>
  <c r="D195" i="1"/>
  <c r="F195" i="1" s="1"/>
  <c r="D194" i="1"/>
  <c r="F194" i="1" s="1"/>
  <c r="E185" i="1"/>
  <c r="E184" i="1"/>
  <c r="D185" i="1"/>
  <c r="D184" i="1"/>
  <c r="D183" i="1"/>
  <c r="F183" i="1" s="1"/>
  <c r="D182" i="1"/>
  <c r="F182" i="1" s="1"/>
  <c r="D181" i="1"/>
  <c r="F181" i="1" s="1"/>
  <c r="D180" i="1"/>
  <c r="F180" i="1" s="1"/>
  <c r="U181" i="1"/>
  <c r="U182" i="1" s="1"/>
  <c r="U183" i="1" s="1"/>
  <c r="U184" i="1" s="1"/>
  <c r="U185" i="1" s="1"/>
  <c r="G180" i="1"/>
  <c r="V179" i="1"/>
  <c r="D192" i="1"/>
  <c r="F192" i="1" s="1"/>
  <c r="D191" i="1"/>
  <c r="F191" i="1" s="1"/>
  <c r="D190" i="1"/>
  <c r="F190" i="1" s="1"/>
  <c r="D189" i="1"/>
  <c r="F189" i="1" s="1"/>
  <c r="U188" i="1"/>
  <c r="U189" i="1" s="1"/>
  <c r="U190" i="1" s="1"/>
  <c r="U191" i="1" s="1"/>
  <c r="U192" i="1" s="1"/>
  <c r="D188" i="1"/>
  <c r="F188" i="1" s="1"/>
  <c r="G187" i="1"/>
  <c r="D187" i="1"/>
  <c r="F187" i="1" s="1"/>
  <c r="V186" i="1"/>
  <c r="D178" i="1"/>
  <c r="F178" i="1" s="1"/>
  <c r="D173" i="1"/>
  <c r="F173" i="1" s="1"/>
  <c r="D172" i="1"/>
  <c r="F172" i="1" s="1"/>
  <c r="D170" i="1"/>
  <c r="F170" i="1" s="1"/>
  <c r="D171" i="1"/>
  <c r="F171" i="1" s="1"/>
  <c r="D169" i="1"/>
  <c r="F169" i="1" s="1"/>
  <c r="D168" i="1"/>
  <c r="F168" i="1" s="1"/>
  <c r="D167" i="1"/>
  <c r="F167" i="1" s="1"/>
  <c r="D166" i="1"/>
  <c r="F166" i="1" s="1"/>
  <c r="A167" i="1"/>
  <c r="A168" i="1" s="1"/>
  <c r="A169" i="1" s="1"/>
  <c r="A170" i="1" s="1"/>
  <c r="A171" i="1" s="1"/>
  <c r="A172" i="1" s="1"/>
  <c r="A173" i="1" s="1"/>
  <c r="G166" i="1"/>
  <c r="W186" i="1"/>
  <c r="V180" i="1"/>
  <c r="V187" i="1"/>
  <c r="J72" i="1" l="1"/>
  <c r="J85" i="1"/>
  <c r="J86" i="1" s="1"/>
  <c r="J87" i="1" s="1"/>
  <c r="E77" i="1"/>
  <c r="C87" i="1" s="1"/>
  <c r="F185" i="1"/>
  <c r="F184" i="1"/>
  <c r="F108" i="1"/>
  <c r="C113" i="1"/>
  <c r="D113" i="1"/>
  <c r="C108" i="1"/>
  <c r="D108" i="1"/>
  <c r="V181" i="1"/>
  <c r="S180" i="1"/>
  <c r="A180" i="1" s="1"/>
  <c r="V188" i="1"/>
  <c r="D159" i="1"/>
  <c r="F159" i="1" s="1"/>
  <c r="D158" i="1"/>
  <c r="F158" i="1" s="1"/>
  <c r="D157" i="1"/>
  <c r="F157" i="1" s="1"/>
  <c r="D156" i="1"/>
  <c r="F156" i="1" s="1"/>
  <c r="D155" i="1"/>
  <c r="D154" i="1"/>
  <c r="D153" i="1"/>
  <c r="D152" i="1"/>
  <c r="D151" i="1"/>
  <c r="F151" i="1" s="1"/>
  <c r="E148" i="1"/>
  <c r="E149" i="1"/>
  <c r="E147" i="1"/>
  <c r="E146" i="1"/>
  <c r="E145" i="1"/>
  <c r="D145" i="1"/>
  <c r="D144" i="1"/>
  <c r="F144" i="1" s="1"/>
  <c r="D149" i="1"/>
  <c r="D148" i="1"/>
  <c r="D147" i="1"/>
  <c r="D146" i="1"/>
  <c r="D143" i="1"/>
  <c r="F143" i="1" s="1"/>
  <c r="D142" i="1"/>
  <c r="F142" i="1" s="1"/>
  <c r="D141" i="1"/>
  <c r="U142" i="1"/>
  <c r="U143" i="1" s="1"/>
  <c r="U144" i="1" s="1"/>
  <c r="U145" i="1" s="1"/>
  <c r="U146" i="1" s="1"/>
  <c r="U147" i="1" s="1"/>
  <c r="U148" i="1" s="1"/>
  <c r="U149" i="1" s="1"/>
  <c r="G141" i="1"/>
  <c r="V140" i="1"/>
  <c r="D136" i="1"/>
  <c r="F136" i="1" s="1"/>
  <c r="D135" i="1"/>
  <c r="F135" i="1" s="1"/>
  <c r="D134" i="1"/>
  <c r="F134" i="1" s="1"/>
  <c r="D133" i="1"/>
  <c r="F133" i="1" s="1"/>
  <c r="D131" i="1"/>
  <c r="F131" i="1" s="1"/>
  <c r="D132" i="1"/>
  <c r="F132" i="1" s="1"/>
  <c r="D130" i="1"/>
  <c r="F130" i="1" s="1"/>
  <c r="D129" i="1"/>
  <c r="F129" i="1" s="1"/>
  <c r="D128" i="1"/>
  <c r="F128" i="1" s="1"/>
  <c r="D127" i="1"/>
  <c r="D126" i="1"/>
  <c r="D125" i="1"/>
  <c r="D124" i="1"/>
  <c r="D123" i="1"/>
  <c r="D122" i="1"/>
  <c r="D121" i="1"/>
  <c r="F121" i="1" s="1"/>
  <c r="V141" i="1"/>
  <c r="W187" i="1"/>
  <c r="F149" i="1" l="1"/>
  <c r="F146" i="1"/>
  <c r="I73" i="1"/>
  <c r="C75" i="1" s="1"/>
  <c r="D78" i="1"/>
  <c r="F88" i="1"/>
  <c r="E63" i="1"/>
  <c r="G63" i="1"/>
  <c r="D64" i="1"/>
  <c r="G77" i="1"/>
  <c r="G87" i="1" s="1"/>
  <c r="F113" i="1"/>
  <c r="F148" i="1"/>
  <c r="C112" i="1"/>
  <c r="C114" i="1" s="1"/>
  <c r="D112" i="1"/>
  <c r="D114" i="1" s="1"/>
  <c r="C107" i="1"/>
  <c r="C109" i="1" s="1"/>
  <c r="D107" i="1"/>
  <c r="D109" i="1" s="1"/>
  <c r="F141" i="1"/>
  <c r="F145" i="1"/>
  <c r="S181" i="1"/>
  <c r="A181" i="1" s="1"/>
  <c r="V182" i="1"/>
  <c r="W188" i="1"/>
  <c r="W189" i="1" s="1"/>
  <c r="W190" i="1" s="1"/>
  <c r="W191" i="1" s="1"/>
  <c r="W192" i="1" s="1"/>
  <c r="S187" i="1"/>
  <c r="V189" i="1"/>
  <c r="F147" i="1"/>
  <c r="V142" i="1"/>
  <c r="S141" i="1"/>
  <c r="A141" i="1" s="1"/>
  <c r="D51" i="1"/>
  <c r="G46" i="1"/>
  <c r="D58" i="1" l="1"/>
  <c r="I59" i="1"/>
  <c r="C61" i="1" s="1"/>
  <c r="V183" i="1"/>
  <c r="S182" i="1"/>
  <c r="A182" i="1" s="1"/>
  <c r="V190" i="1"/>
  <c r="S189" i="1"/>
  <c r="S188" i="1"/>
  <c r="V143" i="1"/>
  <c r="S142" i="1"/>
  <c r="A142" i="1" s="1"/>
  <c r="E3" i="1"/>
  <c r="F155" i="1"/>
  <c r="F154" i="1"/>
  <c r="F153" i="1"/>
  <c r="F152" i="1"/>
  <c r="V150" i="1"/>
  <c r="F112" i="1" l="1"/>
  <c r="F114" i="1" s="1"/>
  <c r="V184" i="1"/>
  <c r="S183" i="1"/>
  <c r="A183" i="1" s="1"/>
  <c r="V191" i="1"/>
  <c r="S190" i="1"/>
  <c r="V144" i="1"/>
  <c r="S143" i="1"/>
  <c r="A143" i="1" s="1"/>
  <c r="F127" i="1"/>
  <c r="F126" i="1"/>
  <c r="U195" i="1"/>
  <c r="U196" i="1" s="1"/>
  <c r="U197" i="1" s="1"/>
  <c r="U198" i="1" s="1"/>
  <c r="U199" i="1" s="1"/>
  <c r="G194" i="1"/>
  <c r="V193" i="1"/>
  <c r="A122" i="1"/>
  <c r="A123" i="1" s="1"/>
  <c r="A124" i="1" s="1"/>
  <c r="A125" i="1" s="1"/>
  <c r="A126" i="1" s="1"/>
  <c r="A127" i="1" s="1"/>
  <c r="A128" i="1" s="1"/>
  <c r="A129" i="1" s="1"/>
  <c r="A130" i="1" s="1"/>
  <c r="A131" i="1" s="1"/>
  <c r="A132" i="1" s="1"/>
  <c r="A133" i="1" s="1"/>
  <c r="A134" i="1" s="1"/>
  <c r="A135" i="1" s="1"/>
  <c r="A136" i="1" s="1"/>
  <c r="W193" i="1"/>
  <c r="V194" i="1"/>
  <c r="V185" i="1" l="1"/>
  <c r="S185" i="1" s="1"/>
  <c r="A185" i="1" s="1"/>
  <c r="S184" i="1"/>
  <c r="A184" i="1" s="1"/>
  <c r="V192" i="1"/>
  <c r="S192" i="1" s="1"/>
  <c r="S191" i="1"/>
  <c r="V145" i="1"/>
  <c r="S144" i="1"/>
  <c r="A144" i="1" s="1"/>
  <c r="V195" i="1"/>
  <c r="U152" i="1"/>
  <c r="U153" i="1" s="1"/>
  <c r="U154" i="1" s="1"/>
  <c r="U155" i="1" s="1"/>
  <c r="U156" i="1" s="1"/>
  <c r="U157" i="1" s="1"/>
  <c r="U158" i="1" s="1"/>
  <c r="U159" i="1" s="1"/>
  <c r="G151" i="1"/>
  <c r="V151" i="1"/>
  <c r="W194" i="1"/>
  <c r="W150" i="1"/>
  <c r="V146" i="1" l="1"/>
  <c r="S145" i="1"/>
  <c r="A145" i="1" s="1"/>
  <c r="W195" i="1"/>
  <c r="W196" i="1" s="1"/>
  <c r="W197" i="1" s="1"/>
  <c r="W198" i="1" s="1"/>
  <c r="W199" i="1" s="1"/>
  <c r="S194" i="1"/>
  <c r="A194" i="1" s="1"/>
  <c r="V196" i="1"/>
  <c r="V152" i="1"/>
  <c r="F125" i="1"/>
  <c r="F124" i="1"/>
  <c r="F123" i="1"/>
  <c r="F122" i="1"/>
  <c r="G121" i="1"/>
  <c r="E40" i="1"/>
  <c r="E24" i="1"/>
  <c r="E22" i="1"/>
  <c r="W151" i="1"/>
  <c r="F107" i="1" l="1"/>
  <c r="F109" i="1" s="1"/>
  <c r="V147" i="1"/>
  <c r="S146" i="1"/>
  <c r="A146" i="1" s="1"/>
  <c r="S195" i="1"/>
  <c r="A195" i="1" s="1"/>
  <c r="V197" i="1"/>
  <c r="S196" i="1"/>
  <c r="A196" i="1" s="1"/>
  <c r="S151" i="1"/>
  <c r="A151" i="1" s="1"/>
  <c r="W152" i="1"/>
  <c r="W153" i="1" s="1"/>
  <c r="W154" i="1" s="1"/>
  <c r="W155" i="1" s="1"/>
  <c r="W156" i="1" s="1"/>
  <c r="W157" i="1" s="1"/>
  <c r="W158" i="1" s="1"/>
  <c r="W159" i="1" s="1"/>
  <c r="V153" i="1"/>
  <c r="F6" i="5"/>
  <c r="G6" i="5" s="1"/>
  <c r="F7" i="5"/>
  <c r="G7" i="5" s="1"/>
  <c r="F8" i="5"/>
  <c r="G8" i="5" s="1"/>
  <c r="F9" i="5"/>
  <c r="G9" i="5" s="1"/>
  <c r="F10" i="5"/>
  <c r="G10" i="5" s="1"/>
  <c r="F11" i="5"/>
  <c r="G11" i="5" s="1"/>
  <c r="F5" i="5"/>
  <c r="G5" i="5" s="1"/>
  <c r="V148" i="1" l="1"/>
  <c r="S147" i="1"/>
  <c r="A147" i="1" s="1"/>
  <c r="V198" i="1"/>
  <c r="S197" i="1"/>
  <c r="A197" i="1" s="1"/>
  <c r="S152" i="1"/>
  <c r="A152" i="1" s="1"/>
  <c r="V154" i="1"/>
  <c r="S153" i="1"/>
  <c r="A153" i="1" s="1"/>
  <c r="G12" i="5"/>
  <c r="S198" i="1" l="1"/>
  <c r="A198" i="1" s="1"/>
  <c r="V199" i="1"/>
  <c r="S199" i="1" s="1"/>
  <c r="A199" i="1" s="1"/>
  <c r="V149" i="1"/>
  <c r="S149" i="1" s="1"/>
  <c r="A149" i="1" s="1"/>
  <c r="S148" i="1"/>
  <c r="A148" i="1" s="1"/>
  <c r="S154" i="1"/>
  <c r="A154" i="1" s="1"/>
  <c r="V155" i="1"/>
  <c r="C13" i="1"/>
  <c r="S155" i="1" l="1"/>
  <c r="A155" i="1" s="1"/>
  <c r="V156" i="1"/>
  <c r="S156" i="1" l="1"/>
  <c r="A156" i="1" s="1"/>
  <c r="V157" i="1"/>
  <c r="E7" i="1"/>
  <c r="V158" i="1" l="1"/>
  <c r="S157" i="1"/>
  <c r="A157" i="1" s="1"/>
  <c r="D214" i="1"/>
  <c r="F104" i="1"/>
  <c r="C46" i="1"/>
  <c r="E41" i="1"/>
  <c r="S158" i="1" l="1"/>
  <c r="A158" i="1" s="1"/>
  <c r="V159" i="1"/>
  <c r="S159" i="1" s="1"/>
  <c r="A159" i="1"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<sst xmlns="http://schemas.openxmlformats.org/spreadsheetml/2006/main" count="430" uniqueCount="248">
  <si>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</si>
  <si>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</si>
  <si>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</si>
  <si>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</si>
  <si>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</si>
  <si>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</si>
  <si>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</si>
  <si>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</si>
  <si>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</si>
  <si>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</si>
  <si>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</si>
  <si>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</si>
  <si>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</si>
  <si>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</si>
  <si>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</si>
  <si>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</si>
  <si>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</si>
  <si>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</si>
  <si>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</si>
  <si>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</si>
  <si>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</si>
  <si>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</si>
  <si>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</si>
  <si>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</si>
  <si>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</si>
  <si>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</si>
  <si>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</si>
  <si>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</si>
  <si>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</si>
  <si>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</si>
  <si>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</si>
  <si>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</si>
  <si>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</si>
  <si>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</si>
  <si>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</si>
  <si>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</si>
  <si>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</si>
  <si>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</si>
  <si>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</si>
  <si>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</si>
  <si>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</si>
  <si>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</si>
  <si>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</si>
  <si>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</si>
  <si>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</si>
  <si>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</si>
  <si>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</si>
  <si>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</si>
  <si>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</si>
  <si>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</si>
  <si>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</si>
  <si>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</si>
  <si>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</si>
  <si>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</si>
  <si>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</si>
  <si>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</si>
  <si>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</si>
  <si>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</si>
  <si>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</si>
  <si>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</si>
  <si>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</si>
  <si>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</si>
  <si>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</si>
  <si>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</si>
  <si>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</si>
  <si>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</si>
  <si>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</si>
  <si>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</si>
  <si>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</si>
  <si>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</si>
  <si>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</si>
  <si>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</si>
  <si>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</si>
  <si>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</si>
  <si>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</si>
  <si>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</si>
  <si>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</si>
  <si>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</si>
  <si>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</si>
  <si>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</si>
  <si>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</si>
  <si>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</si>
  <si>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</si>
  <si>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</si>
  <si>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</si>
  <si>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</si>
  <si>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</si>
  <si>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</si>
  <si>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</si>
  <si>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</si>
  <si>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</si>
  <si>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</si>
  <si>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</si>
  <si>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</si>
  <si>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</si>
  <si>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</si>
  <si>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</si>
  <si>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</si>
  <si>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</si>
  <si>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</si>
  <si>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</si>
  <si>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</si>
  <si>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</si>
  <si>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</si>
  <si>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</si>
  <si>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</si>
  <si>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</si>
  <si>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</si>
  <si>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</si>
  <si>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</si>
  <si>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</si>
  <si>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</si>
  <si>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</si>
  <si>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</si>
  <si>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</si>
  <si>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</si>
  <si>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</si>
  <si>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</si>
  <si>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</si>
  <si>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</si>
  <si>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</si>
  <si>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</si>
  <si>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</si>
  <si>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</si>
  <si>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</si>
  <si>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</si>
  <si>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</si>
  <si>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</si>
  <si>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</si>
  <si>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</si>
  <si>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</si>
  <si>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</si>
  <si>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</si>
  <si>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</si>
  <si>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</si>
  <si>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</si>
  <si>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</si>
  <si>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</si>
  <si>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</si>
  <si>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</si>
  <si>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</si>
  <si>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</si>
  <si>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</si>
  <si>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</si>
  <si>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</si>
  <si>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</si>
  <si>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</si>
  <si>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</si>
  <si>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</si>
  <si>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</si>
  <si>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</si>
  <si>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</si>
  <si>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</si>
  <si>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</si>
  <si>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</si>
  <si>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</si>
  <si>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</si>
  <si>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</si>
  <si>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</si>
  <si>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</si>
  <si>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</si>
  <si>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</si>
  <si>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</si>
  <si>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 xml:space="preserve">Wheather the construction is as per approved Building plan : </t>
  </si>
  <si>
    <t>Saleable area
Loading :</t>
  </si>
  <si>
    <t>,..,</t>
  </si>
  <si>
    <t>1st Floor</t>
  </si>
  <si>
    <t>Ground Floor</t>
  </si>
  <si>
    <t>Contact Details ( Name &amp; Contact No.)</t>
  </si>
  <si>
    <t>Kambalgaon</t>
  </si>
  <si>
    <t>Palghar</t>
  </si>
  <si>
    <t>8(Part) &amp; S.No. 6</t>
  </si>
  <si>
    <t>Internal Road</t>
  </si>
  <si>
    <t xml:space="preserve">Tata Value Homes </t>
  </si>
  <si>
    <t>MAHSUL/KAKSH.1/TE.1/NAP/SR-247/2018</t>
  </si>
  <si>
    <t>17/01/2020.</t>
  </si>
  <si>
    <t>MAHSUL/KAKSH.1/MEJ.1/NAP/SR/247/18</t>
  </si>
  <si>
    <t>As per RERA - 25/12/2026</t>
  </si>
  <si>
    <t>Shop</t>
  </si>
  <si>
    <t>Ground Floor for Commercial &amp; Parking</t>
  </si>
  <si>
    <t>2nd to 7th Floor</t>
  </si>
  <si>
    <t>1BHK</t>
  </si>
  <si>
    <t>2BHK</t>
  </si>
  <si>
    <t>Wing A</t>
  </si>
  <si>
    <t>Ground Floor for Residential &amp; Parking</t>
  </si>
  <si>
    <t>2nd &amp; 4th  Floor</t>
  </si>
  <si>
    <t>3rd Floor</t>
  </si>
  <si>
    <t>100000/-</t>
  </si>
  <si>
    <t xml:space="preserve">Flats - 88, Shops - 28 </t>
  </si>
  <si>
    <t>Approved Plans, CC, Sale Plans, Cost Sheet</t>
  </si>
  <si>
    <t>Tata Value Homes</t>
  </si>
  <si>
    <t>Open Plot</t>
  </si>
  <si>
    <t>Axis Goregaon</t>
  </si>
  <si>
    <t>Building No.1</t>
  </si>
  <si>
    <t>Building No.1
Building No.2A</t>
  </si>
  <si>
    <t>Building No.2A</t>
  </si>
  <si>
    <t>Survey No</t>
  </si>
  <si>
    <t>5500/-</t>
  </si>
  <si>
    <t>02 Buildings</t>
  </si>
  <si>
    <t>3.9Km from Umroli Railway Station</t>
  </si>
  <si>
    <t>Shop No.</t>
  </si>
  <si>
    <t>Flat No.</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</si>
  <si>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</si>
  <si>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</si>
  <si>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</si>
  <si>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</si>
  <si>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</si>
  <si>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</si>
  <si>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</si>
  <si>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</si>
  <si>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</si>
  <si>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</si>
  <si>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</si>
  <si>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</si>
  <si>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</si>
  <si>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</si>
  <si>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</si>
  <si>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</si>
  <si>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</si>
  <si>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</si>
  <si>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Valid Up to: 
Building No.1 = Gr + 1st to 7th Floor
Building No.2A = Gr + 1st to 4th Floor</t>
  </si>
  <si>
    <t>Building No.1 = Gr + 1st to 7th Floor
Building No.2A = Gr + 1st to 4th Floor</t>
  </si>
  <si>
    <t>Building No.1 = Gr + 1st to 7th Floor</t>
  </si>
  <si>
    <t>Building No.2A = Gr + 1st to 4th Floor</t>
  </si>
  <si>
    <t>Palghar East</t>
  </si>
  <si>
    <t>100000/­</t>
  </si>
  <si>
    <t>75,000/­</t>
  </si>
  <si>
    <t xml:space="preserve">Palas Sir </t>
  </si>
  <si>
    <t>3200 to 3500</t>
  </si>
  <si>
    <t>Rakesh Sir</t>
  </si>
  <si>
    <t>3500 to 3700</t>
  </si>
  <si>
    <t>cost Sheet</t>
  </si>
  <si>
    <t>Layout :</t>
  </si>
  <si>
    <t xml:space="preserve">Office No. 1031, Wing J, Akshar Business Park, Plot No. 03 Sector 25, Near APMC Market, 
Vashi, Navi Mumbai, Maharashtra 400703 TEL: 022-46090378/79/8
E mail : vsjcapf@gmail.com. Web site : www.vsjadon.com </t>
  </si>
  <si>
    <t>Latitude, Longitude</t>
  </si>
  <si>
    <t>19.774931, 72.764057</t>
  </si>
  <si>
    <t>Location Link</t>
  </si>
  <si>
    <t>https://goo.gl/maps/gm9ETTDDxa9QD7197</t>
  </si>
  <si>
    <t>Shree Puram Township Phase 1</t>
  </si>
  <si>
    <t>Building No.1 = Construction work is same as last visit but work is in process.</t>
  </si>
  <si>
    <t xml:space="preserve">Construction Work given higher should be considered in Parts </t>
  </si>
  <si>
    <t>Building No 1 Half part completed upto 8 RCC</t>
  </si>
  <si>
    <t>Building No 1 Half part completed upto 8 RCC part 2 4 RCC</t>
  </si>
  <si>
    <t>M/s. Shakuntala Realty Pvt. Ltd.</t>
  </si>
  <si>
    <t>P99000028083</t>
  </si>
  <si>
    <t xml:space="preserve">1. Building No.1 = Construction work is in process at the time of visit (Slow Speed).
   Building No.2A = All work Completed. Please provide OC.
2. We considered  Saleable area  as per our calculation.
3. We considered Carpet area as per Approved Plan.
4. We considered Gross carpet area = Net carpet + Enclose balcony + C.B Area +W.S.
5. Recommended rate should be considered as all inclusive rate if other charges are not mentioned. (Excluding GST &amp; other government Taxes).
6. We have considered rate by verifying it from market inquire.
7. Car parking is subjected to authentic documentation.
8. Since the project has received CC on 17/01/2020, But construction work of bldg no.1 is not yet Completed.
9. On site we met sales person : 7977374908.
7. On Site, we meet Mr.Ashish(7977374908).
</t>
  </si>
  <si>
    <t>Kunal Kadam</t>
  </si>
  <si>
    <t>Yadnyesh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</si>
</sst>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dd\/mm\/yyyy"/>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0" fontId="22" fillId="0" borderId="0" applyNumberFormat="0" applyFill="0" applyBorder="0" applyAlignment="0" applyProtection="0"/>
  </cellStyleXfs>
  <cellXfs count="168">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2"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7" fillId="0" borderId="0" xfId="1" applyFont="1" applyProtection="1">
      <protection locked="0"/>
    </xf>
    <xf numFmtId="0" fontId="7" fillId="0" borderId="0" xfId="1" applyFont="1" applyProtection="1">
      <protection hidden="1"/>
    </xf>
    <xf numFmtId="0" fontId="12" fillId="0" borderId="4" xfId="1" applyFont="1" applyBorder="1" applyAlignment="1" applyProtection="1">
      <alignment horizontal="center" vertical="top"/>
      <protection locked="0"/>
    </xf>
    <xf numFmtId="0" fontId="7" fillId="0" borderId="9" xfId="1" applyFont="1" applyBorder="1" applyProtection="1">
      <protection hidden="1"/>
    </xf>
    <xf numFmtId="0" fontId="7" fillId="0" borderId="10" xfId="1" applyFont="1" applyBorder="1" applyProtection="1">
      <protection hidden="1"/>
    </xf>
    <xf numFmtId="0" fontId="7" fillId="0" borderId="10" xfId="1" applyFont="1" applyBorder="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0" fontId="12" fillId="0" borderId="5" xfId="1" applyFont="1" applyBorder="1" applyAlignment="1" applyProtection="1">
      <alignment horizontal="center" vertical="top"/>
      <protection locked="0"/>
    </xf>
    <xf numFmtId="3" fontId="7" fillId="0" borderId="0" xfId="1" applyNumberFormat="1" applyFont="1"/>
    <xf numFmtId="0" fontId="7" fillId="0" borderId="8" xfId="1" applyFont="1" applyBorder="1" applyProtection="1">
      <protection hidden="1"/>
    </xf>
    <xf numFmtId="0" fontId="17" fillId="0" borderId="0" xfId="0" applyFont="1" applyProtection="1">
      <protection hidden="1"/>
    </xf>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0" fontId="17" fillId="0" borderId="11" xfId="0" applyFont="1" applyBorder="1" applyProtection="1">
      <protection hidden="1"/>
    </xf>
    <xf numFmtId="1" fontId="0" fillId="0" borderId="12" xfId="0" applyNumberFormat="1" applyBorder="1"/>
    <xf numFmtId="0" fontId="7" fillId="0" borderId="1" xfId="0" applyFont="1" applyBorder="1"/>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6" fillId="0" borderId="3" xfId="1" applyNumberFormat="1" applyFont="1" applyBorder="1" applyAlignment="1" applyProtection="1">
      <alignment horizontal="center" vertical="center" wrapText="1"/>
      <protection locked="0"/>
    </xf>
    <xf numFmtId="0" fontId="7" fillId="2" borderId="0" xfId="1" applyFont="1" applyFill="1"/>
    <xf numFmtId="14" fontId="7" fillId="2" borderId="0" xfId="1" applyNumberFormat="1" applyFont="1" applyFill="1"/>
    <xf numFmtId="0" fontId="12" fillId="0" borderId="1" xfId="1" applyFont="1" applyBorder="1" applyAlignment="1" applyProtection="1">
      <alignment vertical="top"/>
      <protection locked="0"/>
    </xf>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10" fillId="0" borderId="0" xfId="1" applyFont="1" applyProtection="1">
      <protection locked="0"/>
    </xf>
    <xf numFmtId="0" fontId="7" fillId="3" borderId="0" xfId="1" applyFont="1" applyFill="1"/>
    <xf numFmtId="14" fontId="7" fillId="3" borderId="0" xfId="1" applyNumberFormat="1" applyFont="1" applyFill="1"/>
    <xf numFmtId="0" fontId="23" fillId="0" borderId="0" xfId="1" applyFont="1" applyProtection="1">
      <protection hidden="1"/>
    </xf>
    <xf numFmtId="0" fontId="23" fillId="0" borderId="0" xfId="1" applyFont="1"/>
    <xf numFmtId="1" fontId="8" fillId="0" borderId="1" xfId="1" applyNumberFormat="1" applyFont="1" applyBorder="1" applyAlignment="1" applyProtection="1">
      <alignment horizontal="center" vertical="top" wrapText="1"/>
      <protection locked="0"/>
    </xf>
    <xf numFmtId="9" fontId="8" fillId="0" borderId="1" xfId="8" applyFont="1" applyFill="1" applyBorder="1" applyAlignment="1" applyProtection="1">
      <alignment horizontal="center" vertical="top" wrapText="1"/>
      <protection locked="0"/>
    </xf>
    <xf numFmtId="0" fontId="12" fillId="0" borderId="3" xfId="1" applyFont="1" applyBorder="1" applyAlignment="1" applyProtection="1">
      <alignment horizontal="center" wrapText="1"/>
      <protection locked="0"/>
    </xf>
    <xf numFmtId="9" fontId="12" fillId="0" borderId="3" xfId="1" applyNumberFormat="1" applyFont="1" applyBorder="1" applyAlignment="1" applyProtection="1">
      <alignment horizontal="center" vertical="center" wrapText="1"/>
      <protection hidden="1"/>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6" fillId="0" borderId="3"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6" fillId="0" borderId="16" xfId="1" applyFont="1" applyBorder="1" applyAlignment="1" applyProtection="1">
      <alignment vertical="top"/>
      <protection locked="0"/>
    </xf>
    <xf numFmtId="0" fontId="8"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167"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165"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67" fontId="12"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26" xfId="1" applyFont="1" applyBorder="1" applyAlignment="1" applyProtection="1">
      <alignment horizontal="center" vertical="top" wrapText="1"/>
      <protection locked="0"/>
    </xf>
    <xf numFmtId="9" fontId="12" fillId="0" borderId="1" xfId="1" applyNumberFormat="1" applyFont="1" applyBorder="1" applyAlignment="1" applyProtection="1">
      <alignment horizontal="center" vertical="center" wrapText="1"/>
      <protection hidden="1"/>
    </xf>
    <xf numFmtId="0" fontId="13" fillId="0" borderId="29" xfId="1" applyFont="1" applyBorder="1" applyAlignment="1" applyProtection="1">
      <alignment horizontal="center" vertical="center" wrapText="1"/>
      <protection locked="0"/>
    </xf>
    <xf numFmtId="0" fontId="13" fillId="0" borderId="30" xfId="1" applyFont="1" applyBorder="1" applyAlignment="1" applyProtection="1">
      <alignment horizontal="center" vertical="center" wrapText="1"/>
      <protection locked="0"/>
    </xf>
    <xf numFmtId="9" fontId="13" fillId="0" borderId="27" xfId="1" applyNumberFormat="1" applyFont="1" applyBorder="1" applyAlignment="1" applyProtection="1">
      <alignment horizontal="center" vertical="center" wrapText="1"/>
      <protection locked="0"/>
    </xf>
    <xf numFmtId="0" fontId="13" fillId="0" borderId="28" xfId="1" applyFont="1" applyBorder="1" applyAlignment="1" applyProtection="1">
      <alignment horizontal="center" vertical="center" wrapText="1"/>
      <protection locked="0"/>
    </xf>
    <xf numFmtId="9" fontId="13" fillId="0" borderId="27" xfId="1" applyNumberFormat="1" applyFont="1" applyBorder="1" applyAlignment="1" applyProtection="1">
      <alignment horizontal="center" vertical="center" wrapText="1"/>
      <protection hidden="1"/>
    </xf>
    <xf numFmtId="9" fontId="13" fillId="0" borderId="28" xfId="1" applyNumberFormat="1" applyFont="1" applyBorder="1" applyAlignment="1" applyProtection="1">
      <alignment horizontal="center" vertical="center" wrapText="1"/>
      <protection hidden="1"/>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6"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167" fontId="13"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vertical="top"/>
      <protection locked="0"/>
    </xf>
    <xf numFmtId="0" fontId="12" fillId="0" borderId="6"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7" xfId="1" applyFont="1" applyBorder="1" applyAlignment="1" applyProtection="1">
      <alignmen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7" fillId="0" borderId="6" xfId="0" applyNumberFormat="1" applyFont="1" applyBorder="1" applyAlignment="1" applyProtection="1">
      <alignment horizontal="center" vertical="top" wrapText="1"/>
      <protection locked="0"/>
    </xf>
    <xf numFmtId="1" fontId="7" fillId="0" borderId="21" xfId="0" applyNumberFormat="1" applyFont="1" applyBorder="1" applyAlignment="1" applyProtection="1">
      <alignment horizontal="center" vertical="top" wrapText="1"/>
      <protection locked="0"/>
    </xf>
    <xf numFmtId="1" fontId="7" fillId="0" borderId="7" xfId="0"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9" fontId="12" fillId="0" borderId="3" xfId="1" applyNumberFormat="1" applyFont="1" applyBorder="1" applyAlignment="1" applyProtection="1">
      <alignment horizontal="center" vertical="center" wrapText="1"/>
      <protection hidden="1"/>
    </xf>
    <xf numFmtId="0" fontId="22" fillId="0" borderId="1" xfId="9" applyBorder="1" applyAlignment="1" applyProtection="1">
      <alignment horizontal="left"/>
      <protection locked="0"/>
    </xf>
    <xf numFmtId="0" fontId="12" fillId="0" borderId="3" xfId="1" applyFont="1" applyBorder="1" applyAlignment="1" applyProtection="1">
      <alignment horizontal="center" vertical="top" wrapText="1"/>
      <protection locked="0"/>
    </xf>
    <xf numFmtId="0" fontId="0" fillId="2"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388641</xdr:colOff>
      <xdr:row>302</xdr:row>
      <xdr:rowOff>187701</xdr:rowOff>
    </xdr:from>
    <xdr:to>
      <xdr:col>6</xdr:col>
      <xdr:colOff>175727</xdr:colOff>
      <xdr:row>316</xdr:row>
      <xdr:rowOff>10952</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245891" y="65970815"/>
          <a:ext cx="3891495" cy="2611479"/>
        </a:xfrm>
        <a:prstGeom prst="rect">
          <a:avLst/>
        </a:prstGeom>
        <a:ln>
          <a:solidFill>
            <a:schemeClr val="tx1"/>
          </a:solidFill>
        </a:ln>
      </xdr:spPr>
    </xdr:pic>
    <xdr:clientData/>
  </xdr:twoCellAnchor>
  <xdr:twoCellAnchor editAs="oneCell">
    <xdr:from>
      <xdr:col>1</xdr:col>
      <xdr:colOff>366229</xdr:colOff>
      <xdr:row>289</xdr:row>
      <xdr:rowOff>16301</xdr:rowOff>
    </xdr:from>
    <xdr:to>
      <xdr:col>6</xdr:col>
      <xdr:colOff>165083</xdr:colOff>
      <xdr:row>302</xdr:row>
      <xdr:rowOff>38713</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23479" y="63210346"/>
          <a:ext cx="3903263" cy="2611480"/>
        </a:xfrm>
        <a:prstGeom prst="rect">
          <a:avLst/>
        </a:prstGeom>
        <a:ln>
          <a:solidFill>
            <a:schemeClr val="tx1"/>
          </a:solidFill>
        </a:ln>
      </xdr:spPr>
    </xdr:pic>
    <xdr:clientData/>
  </xdr:twoCellAnchor>
  <xdr:twoCellAnchor editAs="oneCell">
    <xdr:from>
      <xdr:col>1</xdr:col>
      <xdr:colOff>99631</xdr:colOff>
      <xdr:row>256</xdr:row>
      <xdr:rowOff>63232</xdr:rowOff>
    </xdr:from>
    <xdr:to>
      <xdr:col>6</xdr:col>
      <xdr:colOff>632859</xdr:colOff>
      <xdr:row>274</xdr:row>
      <xdr:rowOff>32527</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018513" y="57168408"/>
          <a:ext cx="4937140" cy="3600000"/>
        </a:xfrm>
        <a:prstGeom prst="rect">
          <a:avLst/>
        </a:prstGeom>
        <a:ln w="19050">
          <a:solidFill>
            <a:schemeClr val="tx1"/>
          </a:solidFill>
        </a:ln>
      </xdr:spPr>
    </xdr:pic>
    <xdr:clientData/>
  </xdr:twoCellAnchor>
  <xdr:twoCellAnchor>
    <xdr:from>
      <xdr:col>1</xdr:col>
      <xdr:colOff>431029</xdr:colOff>
      <xdr:row>267</xdr:row>
      <xdr:rowOff>58355</xdr:rowOff>
    </xdr:from>
    <xdr:to>
      <xdr:col>4</xdr:col>
      <xdr:colOff>803999</xdr:colOff>
      <xdr:row>273</xdr:row>
      <xdr:rowOff>105420</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1349911" y="59382296"/>
          <a:ext cx="3096000" cy="1257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516754</xdr:colOff>
      <xdr:row>259</xdr:row>
      <xdr:rowOff>57291</xdr:rowOff>
    </xdr:from>
    <xdr:to>
      <xdr:col>2</xdr:col>
      <xdr:colOff>852371</xdr:colOff>
      <xdr:row>266</xdr:row>
      <xdr:rowOff>131250</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1435636" y="57767585"/>
          <a:ext cx="1209676" cy="148590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IN"/>
        </a:p>
      </xdr:txBody>
    </xdr:sp>
    <xdr:clientData/>
  </xdr:twoCellAnchor>
  <xdr:twoCellAnchor>
    <xdr:from>
      <xdr:col>2</xdr:col>
      <xdr:colOff>880945</xdr:colOff>
      <xdr:row>259</xdr:row>
      <xdr:rowOff>57291</xdr:rowOff>
    </xdr:from>
    <xdr:to>
      <xdr:col>4</xdr:col>
      <xdr:colOff>298799</xdr:colOff>
      <xdr:row>266</xdr:row>
      <xdr:rowOff>131250</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2673886" y="57767585"/>
          <a:ext cx="1266825" cy="1485900"/>
        </a:xfrm>
        <a:prstGeom prst="rect">
          <a:avLst/>
        </a:prstGeom>
        <a:noFill/>
        <a:ln w="38100">
          <a:solidFill>
            <a:srgbClr val="00B0F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IN"/>
        </a:p>
      </xdr:txBody>
    </xdr:sp>
    <xdr:clientData/>
  </xdr:twoCellAnchor>
  <xdr:twoCellAnchor>
    <xdr:from>
      <xdr:col>0</xdr:col>
      <xdr:colOff>257728</xdr:colOff>
      <xdr:row>252</xdr:row>
      <xdr:rowOff>67236</xdr:rowOff>
    </xdr:from>
    <xdr:to>
      <xdr:col>2</xdr:col>
      <xdr:colOff>104775</xdr:colOff>
      <xdr:row>255</xdr:row>
      <xdr:rowOff>123110</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257728" y="54997911"/>
          <a:ext cx="1513922" cy="655949"/>
        </a:xfrm>
        <a:prstGeom prst="rect">
          <a:avLst/>
        </a:prstGeom>
        <a:solidFill>
          <a:schemeClr val="bg2">
            <a:lumMod val="90000"/>
          </a:schemeClr>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Building No.2 </a:t>
          </a:r>
        </a:p>
        <a:p>
          <a:r>
            <a:rPr lang="en-US" b="1"/>
            <a:t>Wing A</a:t>
          </a:r>
          <a:endParaRPr lang="en-IN" b="1"/>
        </a:p>
      </xdr:txBody>
    </xdr:sp>
    <xdr:clientData/>
  </xdr:twoCellAnchor>
  <xdr:twoCellAnchor>
    <xdr:from>
      <xdr:col>1</xdr:col>
      <xdr:colOff>431029</xdr:colOff>
      <xdr:row>255</xdr:row>
      <xdr:rowOff>108449</xdr:rowOff>
    </xdr:from>
    <xdr:to>
      <xdr:col>1</xdr:col>
      <xdr:colOff>860416</xdr:colOff>
      <xdr:row>259</xdr:row>
      <xdr:rowOff>57291</xdr:rowOff>
    </xdr:to>
    <xdr:cxnSp macro="">
      <xdr:nvCxnSpPr>
        <xdr:cNvPr id="26" name="Straight Arrow Connector 25">
          <a:extLst>
            <a:ext uri="{FF2B5EF4-FFF2-40B4-BE49-F238E27FC236}">
              <a16:creationId xmlns:a16="http://schemas.microsoft.com/office/drawing/2014/main" id="{00000000-0008-0000-0000-00001A000000}"/>
            </a:ext>
          </a:extLst>
        </xdr:cNvPr>
        <xdr:cNvCxnSpPr/>
      </xdr:nvCxnSpPr>
      <xdr:spPr>
        <a:xfrm>
          <a:off x="1349911" y="57011920"/>
          <a:ext cx="429387" cy="75566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298798</xdr:colOff>
      <xdr:row>252</xdr:row>
      <xdr:rowOff>145480</xdr:rowOff>
    </xdr:from>
    <xdr:to>
      <xdr:col>6</xdr:col>
      <xdr:colOff>209549</xdr:colOff>
      <xdr:row>256</xdr:row>
      <xdr:rowOff>1329</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3680173" y="55076155"/>
          <a:ext cx="1472851" cy="655949"/>
        </a:xfrm>
        <a:prstGeom prst="rect">
          <a:avLst/>
        </a:prstGeom>
        <a:solidFill>
          <a:schemeClr val="bg2">
            <a:lumMod val="90000"/>
          </a:schemeClr>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Building No.2 </a:t>
          </a:r>
        </a:p>
        <a:p>
          <a:r>
            <a:rPr lang="en-US" b="1"/>
            <a:t>Wing B</a:t>
          </a:r>
          <a:endParaRPr lang="en-IN" b="1"/>
        </a:p>
      </xdr:txBody>
    </xdr:sp>
    <xdr:clientData/>
  </xdr:twoCellAnchor>
  <xdr:twoCellAnchor>
    <xdr:from>
      <xdr:col>4</xdr:col>
      <xdr:colOff>298799</xdr:colOff>
      <xdr:row>255</xdr:row>
      <xdr:rowOff>186693</xdr:rowOff>
    </xdr:from>
    <xdr:to>
      <xdr:col>4</xdr:col>
      <xdr:colOff>789767</xdr:colOff>
      <xdr:row>260</xdr:row>
      <xdr:rowOff>29764</xdr:rowOff>
    </xdr:to>
    <xdr:cxnSp macro="">
      <xdr:nvCxnSpPr>
        <xdr:cNvPr id="32" name="Straight Arrow Connector 31">
          <a:extLst>
            <a:ext uri="{FF2B5EF4-FFF2-40B4-BE49-F238E27FC236}">
              <a16:creationId xmlns:a16="http://schemas.microsoft.com/office/drawing/2014/main" id="{00000000-0008-0000-0000-000020000000}"/>
            </a:ext>
          </a:extLst>
        </xdr:cNvPr>
        <xdr:cNvCxnSpPr/>
      </xdr:nvCxnSpPr>
      <xdr:spPr>
        <a:xfrm flipH="1">
          <a:off x="3940711" y="57090164"/>
          <a:ext cx="490968" cy="851600"/>
        </a:xfrm>
        <a:prstGeom prst="straightConnector1">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520324</xdr:colOff>
      <xdr:row>276</xdr:row>
      <xdr:rowOff>143413</xdr:rowOff>
    </xdr:from>
    <xdr:to>
      <xdr:col>2</xdr:col>
      <xdr:colOff>880945</xdr:colOff>
      <xdr:row>278</xdr:row>
      <xdr:rowOff>109333</xdr:rowOff>
    </xdr:to>
    <xdr:sp macro="" textlink="">
      <xdr:nvSpPr>
        <xdr:cNvPr id="33" name="Rectangle 32">
          <a:extLst>
            <a:ext uri="{FF2B5EF4-FFF2-40B4-BE49-F238E27FC236}">
              <a16:creationId xmlns:a16="http://schemas.microsoft.com/office/drawing/2014/main" id="{00000000-0008-0000-0000-000021000000}"/>
            </a:ext>
          </a:extLst>
        </xdr:cNvPr>
        <xdr:cNvSpPr/>
      </xdr:nvSpPr>
      <xdr:spPr>
        <a:xfrm>
          <a:off x="520324" y="61282707"/>
          <a:ext cx="2153562" cy="369332"/>
        </a:xfrm>
        <a:prstGeom prst="rect">
          <a:avLst/>
        </a:prstGeom>
        <a:solidFill>
          <a:schemeClr val="bg2">
            <a:lumMod val="90000"/>
          </a:schemeClr>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Building No.1</a:t>
          </a:r>
        </a:p>
      </xdr:txBody>
    </xdr:sp>
    <xdr:clientData/>
  </xdr:twoCellAnchor>
  <xdr:twoCellAnchor>
    <xdr:from>
      <xdr:col>1</xdr:col>
      <xdr:colOff>71055</xdr:colOff>
      <xdr:row>272</xdr:row>
      <xdr:rowOff>171731</xdr:rowOff>
    </xdr:from>
    <xdr:to>
      <xdr:col>2</xdr:col>
      <xdr:colOff>106155</xdr:colOff>
      <xdr:row>276</xdr:row>
      <xdr:rowOff>92897</xdr:rowOff>
    </xdr:to>
    <xdr:cxnSp macro="">
      <xdr:nvCxnSpPr>
        <xdr:cNvPr id="34" name="Straight Arrow Connector 33">
          <a:extLst>
            <a:ext uri="{FF2B5EF4-FFF2-40B4-BE49-F238E27FC236}">
              <a16:creationId xmlns:a16="http://schemas.microsoft.com/office/drawing/2014/main" id="{00000000-0008-0000-0000-000022000000}"/>
            </a:ext>
          </a:extLst>
        </xdr:cNvPr>
        <xdr:cNvCxnSpPr/>
      </xdr:nvCxnSpPr>
      <xdr:spPr>
        <a:xfrm flipV="1">
          <a:off x="989937" y="60504202"/>
          <a:ext cx="909159" cy="727989"/>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428625</xdr:colOff>
      <xdr:row>214</xdr:row>
      <xdr:rowOff>151130</xdr:rowOff>
    </xdr:from>
    <xdr:to>
      <xdr:col>16</xdr:col>
      <xdr:colOff>613375</xdr:colOff>
      <xdr:row>248</xdr:row>
      <xdr:rowOff>165603</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065645" y="45954950"/>
          <a:ext cx="6478870" cy="6742933"/>
          <a:chOff x="47625" y="46221650"/>
          <a:chExt cx="6324565" cy="6805798"/>
        </a:xfrm>
      </xdr:grpSpPr>
      <xdr:pic>
        <xdr:nvPicPr>
          <xdr:cNvPr id="74" name="Picture 73" descr="https://vsjcllp.vsjadon.com/upload/insp-236423-1525.jpg">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152525" y="51230212"/>
            <a:ext cx="3990975" cy="17972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36423-845.jpg">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57149" y="46272450"/>
            <a:ext cx="1514475" cy="25822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36423-844.jpg">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829174" y="46262925"/>
            <a:ext cx="1514475" cy="25822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https://vsjcllp.vsjadon.com/upload/insp-236423-849.jpg">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238499" y="46262925"/>
            <a:ext cx="1514475" cy="25822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https://vsjcllp.vsjadon.com/upload/insp-236423-862.jpg">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7625" y="48929925"/>
            <a:ext cx="1195022" cy="22107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36423-877.jpg">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314450" y="48939450"/>
            <a:ext cx="1195022" cy="22107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https://vsjcllp.vsjadon.com/upload/insp-236423-940.jpg">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647824" y="46262925"/>
            <a:ext cx="1514475" cy="25822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https://vsjcllp.vsjadon.com/upload/insp-236423-931.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590801" y="48939450"/>
            <a:ext cx="3781389" cy="2219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82" name="TextBox 81">
            <a:extLst>
              <a:ext uri="{FF2B5EF4-FFF2-40B4-BE49-F238E27FC236}">
                <a16:creationId xmlns:a16="http://schemas.microsoft.com/office/drawing/2014/main" id="{00000000-0008-0000-0000-000019000000}"/>
              </a:ext>
            </a:extLst>
          </xdr:cNvPr>
          <xdr:cNvSpPr txBox="1"/>
        </xdr:nvSpPr>
        <xdr:spPr>
          <a:xfrm>
            <a:off x="57149" y="46272450"/>
            <a:ext cx="405562" cy="258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B1</a:t>
            </a:r>
          </a:p>
        </xdr:txBody>
      </xdr:sp>
      <xdr:sp macro="" textlink="">
        <xdr:nvSpPr>
          <xdr:cNvPr id="83" name="TextBox 82">
            <a:extLst>
              <a:ext uri="{FF2B5EF4-FFF2-40B4-BE49-F238E27FC236}">
                <a16:creationId xmlns:a16="http://schemas.microsoft.com/office/drawing/2014/main" id="{00000000-0008-0000-0000-000019000000}"/>
              </a:ext>
            </a:extLst>
          </xdr:cNvPr>
          <xdr:cNvSpPr txBox="1"/>
        </xdr:nvSpPr>
        <xdr:spPr>
          <a:xfrm>
            <a:off x="1647824" y="46262925"/>
            <a:ext cx="405562" cy="258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B1</a:t>
            </a:r>
          </a:p>
        </xdr:txBody>
      </xdr:sp>
      <xdr:sp macro="" textlink="">
        <xdr:nvSpPr>
          <xdr:cNvPr id="84" name="TextBox 83">
            <a:extLst>
              <a:ext uri="{FF2B5EF4-FFF2-40B4-BE49-F238E27FC236}">
                <a16:creationId xmlns:a16="http://schemas.microsoft.com/office/drawing/2014/main" id="{00000000-0008-0000-0000-000019000000}"/>
              </a:ext>
            </a:extLst>
          </xdr:cNvPr>
          <xdr:cNvSpPr txBox="1"/>
        </xdr:nvSpPr>
        <xdr:spPr>
          <a:xfrm>
            <a:off x="3238499" y="46262925"/>
            <a:ext cx="405562" cy="258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B1</a:t>
            </a:r>
          </a:p>
        </xdr:txBody>
      </xdr:sp>
      <xdr:sp macro="" textlink="">
        <xdr:nvSpPr>
          <xdr:cNvPr id="85" name="TextBox 84">
            <a:extLst>
              <a:ext uri="{FF2B5EF4-FFF2-40B4-BE49-F238E27FC236}">
                <a16:creationId xmlns:a16="http://schemas.microsoft.com/office/drawing/2014/main" id="{00000000-0008-0000-0000-000019000000}"/>
              </a:ext>
            </a:extLst>
          </xdr:cNvPr>
          <xdr:cNvSpPr txBox="1"/>
        </xdr:nvSpPr>
        <xdr:spPr>
          <a:xfrm>
            <a:off x="4829174" y="46221650"/>
            <a:ext cx="413664" cy="258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2A</a:t>
            </a:r>
          </a:p>
        </xdr:txBody>
      </xdr:sp>
      <xdr:sp macro="" textlink="">
        <xdr:nvSpPr>
          <xdr:cNvPr id="86" name="TextBox 85">
            <a:extLst>
              <a:ext uri="{FF2B5EF4-FFF2-40B4-BE49-F238E27FC236}">
                <a16:creationId xmlns:a16="http://schemas.microsoft.com/office/drawing/2014/main" id="{00000000-0008-0000-0000-000019000000}"/>
              </a:ext>
            </a:extLst>
          </xdr:cNvPr>
          <xdr:cNvSpPr txBox="1"/>
        </xdr:nvSpPr>
        <xdr:spPr>
          <a:xfrm>
            <a:off x="628650" y="48929925"/>
            <a:ext cx="413664" cy="258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2A</a:t>
            </a:r>
          </a:p>
        </xdr:txBody>
      </xdr:sp>
    </xdr:grpSp>
    <xdr:clientData/>
  </xdr:twoCellAnchor>
  <xdr:twoCellAnchor>
    <xdr:from>
      <xdr:col>0</xdr:col>
      <xdr:colOff>320041</xdr:colOff>
      <xdr:row>215</xdr:row>
      <xdr:rowOff>22861</xdr:rowOff>
    </xdr:from>
    <xdr:to>
      <xdr:col>7</xdr:col>
      <xdr:colOff>487681</xdr:colOff>
      <xdr:row>250</xdr:row>
      <xdr:rowOff>22861</xdr:rowOff>
    </xdr:to>
    <xdr:grpSp>
      <xdr:nvGrpSpPr>
        <xdr:cNvPr id="3" name="Group 2">
          <a:extLst>
            <a:ext uri="{FF2B5EF4-FFF2-40B4-BE49-F238E27FC236}">
              <a16:creationId xmlns:a16="http://schemas.microsoft.com/office/drawing/2014/main" id="{7E18C1B2-4C05-E532-915B-AB3CC5A067C2}"/>
            </a:ext>
          </a:extLst>
        </xdr:cNvPr>
        <xdr:cNvGrpSpPr/>
      </xdr:nvGrpSpPr>
      <xdr:grpSpPr>
        <a:xfrm>
          <a:off x="320041" y="46024801"/>
          <a:ext cx="5951220" cy="6728460"/>
          <a:chOff x="8048" y="333632"/>
          <a:chExt cx="6015189" cy="6856737"/>
        </a:xfrm>
      </xdr:grpSpPr>
      <xdr:grpSp>
        <xdr:nvGrpSpPr>
          <xdr:cNvPr id="4" name="Group 3">
            <a:extLst>
              <a:ext uri="{FF2B5EF4-FFF2-40B4-BE49-F238E27FC236}">
                <a16:creationId xmlns:a16="http://schemas.microsoft.com/office/drawing/2014/main" id="{38915469-9115-3176-0CCE-CB734CB9D3C4}"/>
              </a:ext>
            </a:extLst>
          </xdr:cNvPr>
          <xdr:cNvGrpSpPr/>
        </xdr:nvGrpSpPr>
        <xdr:grpSpPr>
          <a:xfrm>
            <a:off x="8048" y="333632"/>
            <a:ext cx="6015189" cy="2520000"/>
            <a:chOff x="263065" y="333632"/>
            <a:chExt cx="6015189" cy="2520000"/>
          </a:xfrm>
        </xdr:grpSpPr>
        <xdr:pic>
          <xdr:nvPicPr>
            <xdr:cNvPr id="11" name="Picture 10">
              <a:extLst>
                <a:ext uri="{FF2B5EF4-FFF2-40B4-BE49-F238E27FC236}">
                  <a16:creationId xmlns:a16="http://schemas.microsoft.com/office/drawing/2014/main" id="{6300AC70-3876-65D7-FBED-F6FB3F38B1B3}"/>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63065" y="333632"/>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39BA0D15-D174-0B3B-3D0C-53A926F2722C}"/>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326644" y="333632"/>
              <a:ext cx="1888031"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D3312A12-908B-5309-7F66-E87FD8C9B4CD}"/>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4390223" y="333632"/>
              <a:ext cx="1888031"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9B290492-FD4A-88A6-712F-3131F6A57E89}"/>
              </a:ext>
            </a:extLst>
          </xdr:cNvPr>
          <xdr:cNvGrpSpPr/>
        </xdr:nvGrpSpPr>
        <xdr:grpSpPr>
          <a:xfrm>
            <a:off x="1054539" y="5390369"/>
            <a:ext cx="3922207" cy="1800000"/>
            <a:chOff x="-246969" y="5390369"/>
            <a:chExt cx="3922207" cy="1800000"/>
          </a:xfrm>
        </xdr:grpSpPr>
        <xdr:pic>
          <xdr:nvPicPr>
            <xdr:cNvPr id="9" name="Picture 8">
              <a:extLst>
                <a:ext uri="{FF2B5EF4-FFF2-40B4-BE49-F238E27FC236}">
                  <a16:creationId xmlns:a16="http://schemas.microsoft.com/office/drawing/2014/main" id="{1122A1F0-B7CF-F7F1-1D37-11DDB75F4622}"/>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246969" y="5390369"/>
              <a:ext cx="2398065" cy="1800000"/>
            </a:xfrm>
            <a:prstGeom prst="rect">
              <a:avLst/>
            </a:prstGeom>
            <a:ln>
              <a:solidFill>
                <a:schemeClr val="tx1"/>
              </a:solidFill>
            </a:ln>
          </xdr:spPr>
        </xdr:pic>
        <xdr:pic>
          <xdr:nvPicPr>
            <xdr:cNvPr id="10" name="Picture 9">
              <a:extLst>
                <a:ext uri="{FF2B5EF4-FFF2-40B4-BE49-F238E27FC236}">
                  <a16:creationId xmlns:a16="http://schemas.microsoft.com/office/drawing/2014/main" id="{44167916-D6CF-E1B9-429E-7752B667B7E9}"/>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326644" y="5390369"/>
              <a:ext cx="1348594"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FCEDFD96-BE7E-CF2A-452F-5FE55957280C}"/>
              </a:ext>
            </a:extLst>
          </xdr:cNvPr>
          <xdr:cNvGrpSpPr/>
        </xdr:nvGrpSpPr>
        <xdr:grpSpPr>
          <a:xfrm>
            <a:off x="679872" y="3042000"/>
            <a:ext cx="4671539" cy="2160000"/>
            <a:chOff x="532783" y="3066129"/>
            <a:chExt cx="4671539" cy="2160000"/>
          </a:xfrm>
        </xdr:grpSpPr>
        <xdr:pic>
          <xdr:nvPicPr>
            <xdr:cNvPr id="7" name="Picture 6">
              <a:extLst>
                <a:ext uri="{FF2B5EF4-FFF2-40B4-BE49-F238E27FC236}">
                  <a16:creationId xmlns:a16="http://schemas.microsoft.com/office/drawing/2014/main" id="{9009FEAC-63A5-B269-A96F-0E39771C23AF}"/>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532783" y="3066129"/>
              <a:ext cx="1618313" cy="2160000"/>
            </a:xfrm>
            <a:prstGeom prst="rect">
              <a:avLst/>
            </a:prstGeom>
            <a:ln>
              <a:solidFill>
                <a:schemeClr val="tx1"/>
              </a:solidFill>
            </a:ln>
          </xdr:spPr>
        </xdr:pic>
        <xdr:pic>
          <xdr:nvPicPr>
            <xdr:cNvPr id="8" name="Picture 7">
              <a:extLst>
                <a:ext uri="{FF2B5EF4-FFF2-40B4-BE49-F238E27FC236}">
                  <a16:creationId xmlns:a16="http://schemas.microsoft.com/office/drawing/2014/main" id="{CB3F9990-0A1B-E1EF-72FB-B049EE61D12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326644" y="3066129"/>
              <a:ext cx="2877678" cy="2160000"/>
            </a:xfrm>
            <a:prstGeom prst="rect">
              <a:avLst/>
            </a:prstGeom>
          </xdr:spPr>
        </xdr:pic>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m9ETTDDxa9QD7197"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289"/>
  <sheetViews>
    <sheetView tabSelected="1" view="pageBreakPreview" zoomScaleNormal="100" zoomScaleSheetLayoutView="100" zoomScalePageLayoutView="85" workbookViewId="0">
      <selection activeCell="J7" sqref="J7"/>
    </sheetView>
  </sheetViews>
  <sheetFormatPr defaultColWidth="9.33203125" defaultRowHeight="15.6" x14ac:dyDescent="0.3"/>
  <cols>
    <col min="1" max="1" width="12.6640625" style="13" customWidth="1"/>
    <col min="2" max="2" width="12.33203125" style="13" customWidth="1"/>
    <col min="3" max="3" width="13" style="13" customWidth="1"/>
    <col min="4" max="4" width="12.6640625" style="13" customWidth="1"/>
    <col min="5" max="6" width="11.6640625" style="13" customWidth="1"/>
    <col min="7" max="7" width="10.33203125" style="13" customWidth="1"/>
    <col min="8" max="8" width="12.44140625" style="13" customWidth="1"/>
    <col min="9" max="9" width="20.44140625" style="8" customWidth="1"/>
    <col min="10" max="10" width="13" style="8" customWidth="1"/>
    <col min="11" max="11" width="11.6640625" style="8" bestFit="1" customWidth="1"/>
    <col min="12" max="18" width="9.33203125" style="8"/>
    <col min="19" max="19" width="11.33203125" style="8" hidden="1" customWidth="1"/>
    <col min="20" max="21" width="0" style="8" hidden="1" customWidth="1"/>
    <col min="22" max="22" width="10.6640625" style="8" hidden="1" customWidth="1"/>
    <col min="23" max="23" width="13.44140625" style="8" hidden="1" customWidth="1"/>
    <col min="24" max="254" width="9.33203125" style="8"/>
    <col min="255" max="255" width="8.6640625" style="8" customWidth="1"/>
    <col min="256" max="256" width="9.6640625" style="8" customWidth="1"/>
    <col min="257" max="257" width="14.44140625" style="8" customWidth="1"/>
    <col min="258" max="258" width="7.33203125" style="8" customWidth="1"/>
    <col min="259" max="259" width="5.5546875" style="8" customWidth="1"/>
    <col min="260" max="260" width="9" style="8" customWidth="1"/>
    <col min="261" max="262" width="9.6640625" style="8" customWidth="1"/>
    <col min="263" max="263" width="11.33203125" style="8" customWidth="1"/>
    <col min="264" max="264" width="2.6640625" style="8" customWidth="1"/>
    <col min="265" max="265" width="3.5546875" style="8" customWidth="1"/>
    <col min="266" max="510" width="9.33203125" style="8"/>
    <col min="511" max="511" width="8.6640625" style="8" customWidth="1"/>
    <col min="512" max="512" width="9.6640625" style="8" customWidth="1"/>
    <col min="513" max="513" width="14.44140625" style="8" customWidth="1"/>
    <col min="514" max="514" width="7.33203125" style="8" customWidth="1"/>
    <col min="515" max="515" width="5.5546875" style="8" customWidth="1"/>
    <col min="516" max="516" width="9" style="8" customWidth="1"/>
    <col min="517" max="518" width="9.6640625" style="8" customWidth="1"/>
    <col min="519" max="519" width="11.33203125" style="8" customWidth="1"/>
    <col min="520" max="520" width="2.6640625" style="8" customWidth="1"/>
    <col min="521" max="521" width="3.5546875" style="8" customWidth="1"/>
    <col min="522" max="766" width="9.33203125" style="8"/>
    <col min="767" max="767" width="8.6640625" style="8" customWidth="1"/>
    <col min="768" max="768" width="9.6640625" style="8" customWidth="1"/>
    <col min="769" max="769" width="14.44140625" style="8" customWidth="1"/>
    <col min="770" max="770" width="7.33203125" style="8" customWidth="1"/>
    <col min="771" max="771" width="5.5546875" style="8" customWidth="1"/>
    <col min="772" max="772" width="9" style="8" customWidth="1"/>
    <col min="773" max="774" width="9.6640625" style="8" customWidth="1"/>
    <col min="775" max="775" width="11.33203125" style="8" customWidth="1"/>
    <col min="776" max="776" width="2.6640625" style="8" customWidth="1"/>
    <col min="777" max="777" width="3.5546875" style="8" customWidth="1"/>
    <col min="778" max="1022" width="9.33203125" style="8"/>
    <col min="1023" max="1023" width="8.6640625" style="8" customWidth="1"/>
    <col min="1024" max="1024" width="9.6640625" style="8" customWidth="1"/>
    <col min="1025" max="1025" width="14.44140625" style="8" customWidth="1"/>
    <col min="1026" max="1026" width="7.33203125" style="8" customWidth="1"/>
    <col min="1027" max="1027" width="5.5546875" style="8" customWidth="1"/>
    <col min="1028" max="1028" width="9" style="8" customWidth="1"/>
    <col min="1029" max="1030" width="9.6640625" style="8" customWidth="1"/>
    <col min="1031" max="1031" width="11.33203125" style="8" customWidth="1"/>
    <col min="1032" max="1032" width="2.6640625" style="8" customWidth="1"/>
    <col min="1033" max="1033" width="3.5546875" style="8" customWidth="1"/>
    <col min="1034" max="1278" width="9.33203125" style="8"/>
    <col min="1279" max="1279" width="8.6640625" style="8" customWidth="1"/>
    <col min="1280" max="1280" width="9.6640625" style="8" customWidth="1"/>
    <col min="1281" max="1281" width="14.44140625" style="8" customWidth="1"/>
    <col min="1282" max="1282" width="7.33203125" style="8" customWidth="1"/>
    <col min="1283" max="1283" width="5.5546875" style="8" customWidth="1"/>
    <col min="1284" max="1284" width="9" style="8" customWidth="1"/>
    <col min="1285" max="1286" width="9.6640625" style="8" customWidth="1"/>
    <col min="1287" max="1287" width="11.33203125" style="8" customWidth="1"/>
    <col min="1288" max="1288" width="2.6640625" style="8" customWidth="1"/>
    <col min="1289" max="1289" width="3.5546875" style="8" customWidth="1"/>
    <col min="1290" max="1534" width="9.33203125" style="8"/>
    <col min="1535" max="1535" width="8.6640625" style="8" customWidth="1"/>
    <col min="1536" max="1536" width="9.6640625" style="8" customWidth="1"/>
    <col min="1537" max="1537" width="14.44140625" style="8" customWidth="1"/>
    <col min="1538" max="1538" width="7.33203125" style="8" customWidth="1"/>
    <col min="1539" max="1539" width="5.5546875" style="8" customWidth="1"/>
    <col min="1540" max="1540" width="9" style="8" customWidth="1"/>
    <col min="1541" max="1542" width="9.6640625" style="8" customWidth="1"/>
    <col min="1543" max="1543" width="11.33203125" style="8" customWidth="1"/>
    <col min="1544" max="1544" width="2.6640625" style="8" customWidth="1"/>
    <col min="1545" max="1545" width="3.5546875" style="8" customWidth="1"/>
    <col min="1546" max="1790" width="9.33203125" style="8"/>
    <col min="1791" max="1791" width="8.6640625" style="8" customWidth="1"/>
    <col min="1792" max="1792" width="9.6640625" style="8" customWidth="1"/>
    <col min="1793" max="1793" width="14.44140625" style="8" customWidth="1"/>
    <col min="1794" max="1794" width="7.33203125" style="8" customWidth="1"/>
    <col min="1795" max="1795" width="5.5546875" style="8" customWidth="1"/>
    <col min="1796" max="1796" width="9" style="8" customWidth="1"/>
    <col min="1797" max="1798" width="9.6640625" style="8" customWidth="1"/>
    <col min="1799" max="1799" width="11.33203125" style="8" customWidth="1"/>
    <col min="1800" max="1800" width="2.6640625" style="8" customWidth="1"/>
    <col min="1801" max="1801" width="3.5546875" style="8" customWidth="1"/>
    <col min="1802" max="2046" width="9.33203125" style="8"/>
    <col min="2047" max="2047" width="8.6640625" style="8" customWidth="1"/>
    <col min="2048" max="2048" width="9.6640625" style="8" customWidth="1"/>
    <col min="2049" max="2049" width="14.44140625" style="8" customWidth="1"/>
    <col min="2050" max="2050" width="7.33203125" style="8" customWidth="1"/>
    <col min="2051" max="2051" width="5.5546875" style="8" customWidth="1"/>
    <col min="2052" max="2052" width="9" style="8" customWidth="1"/>
    <col min="2053" max="2054" width="9.6640625" style="8" customWidth="1"/>
    <col min="2055" max="2055" width="11.33203125" style="8" customWidth="1"/>
    <col min="2056" max="2056" width="2.6640625" style="8" customWidth="1"/>
    <col min="2057" max="2057" width="3.5546875" style="8" customWidth="1"/>
    <col min="2058" max="2302" width="9.33203125" style="8"/>
    <col min="2303" max="2303" width="8.6640625" style="8" customWidth="1"/>
    <col min="2304" max="2304" width="9.6640625" style="8" customWidth="1"/>
    <col min="2305" max="2305" width="14.44140625" style="8" customWidth="1"/>
    <col min="2306" max="2306" width="7.33203125" style="8" customWidth="1"/>
    <col min="2307" max="2307" width="5.5546875" style="8" customWidth="1"/>
    <col min="2308" max="2308" width="9" style="8" customWidth="1"/>
    <col min="2309" max="2310" width="9.6640625" style="8" customWidth="1"/>
    <col min="2311" max="2311" width="11.33203125" style="8" customWidth="1"/>
    <col min="2312" max="2312" width="2.6640625" style="8" customWidth="1"/>
    <col min="2313" max="2313" width="3.5546875" style="8" customWidth="1"/>
    <col min="2314" max="2558" width="9.33203125" style="8"/>
    <col min="2559" max="2559" width="8.6640625" style="8" customWidth="1"/>
    <col min="2560" max="2560" width="9.6640625" style="8" customWidth="1"/>
    <col min="2561" max="2561" width="14.44140625" style="8" customWidth="1"/>
    <col min="2562" max="2562" width="7.33203125" style="8" customWidth="1"/>
    <col min="2563" max="2563" width="5.5546875" style="8" customWidth="1"/>
    <col min="2564" max="2564" width="9" style="8" customWidth="1"/>
    <col min="2565" max="2566" width="9.6640625" style="8" customWidth="1"/>
    <col min="2567" max="2567" width="11.33203125" style="8" customWidth="1"/>
    <col min="2568" max="2568" width="2.6640625" style="8" customWidth="1"/>
    <col min="2569" max="2569" width="3.5546875" style="8" customWidth="1"/>
    <col min="2570" max="2814" width="9.33203125" style="8"/>
    <col min="2815" max="2815" width="8.6640625" style="8" customWidth="1"/>
    <col min="2816" max="2816" width="9.6640625" style="8" customWidth="1"/>
    <col min="2817" max="2817" width="14.44140625" style="8" customWidth="1"/>
    <col min="2818" max="2818" width="7.33203125" style="8" customWidth="1"/>
    <col min="2819" max="2819" width="5.5546875" style="8" customWidth="1"/>
    <col min="2820" max="2820" width="9" style="8" customWidth="1"/>
    <col min="2821" max="2822" width="9.6640625" style="8" customWidth="1"/>
    <col min="2823" max="2823" width="11.33203125" style="8" customWidth="1"/>
    <col min="2824" max="2824" width="2.6640625" style="8" customWidth="1"/>
    <col min="2825" max="2825" width="3.5546875" style="8" customWidth="1"/>
    <col min="2826" max="3070" width="9.33203125" style="8"/>
    <col min="3071" max="3071" width="8.6640625" style="8" customWidth="1"/>
    <col min="3072" max="3072" width="9.6640625" style="8" customWidth="1"/>
    <col min="3073" max="3073" width="14.44140625" style="8" customWidth="1"/>
    <col min="3074" max="3074" width="7.33203125" style="8" customWidth="1"/>
    <col min="3075" max="3075" width="5.5546875" style="8" customWidth="1"/>
    <col min="3076" max="3076" width="9" style="8" customWidth="1"/>
    <col min="3077" max="3078" width="9.6640625" style="8" customWidth="1"/>
    <col min="3079" max="3079" width="11.33203125" style="8" customWidth="1"/>
    <col min="3080" max="3080" width="2.6640625" style="8" customWidth="1"/>
    <col min="3081" max="3081" width="3.5546875" style="8" customWidth="1"/>
    <col min="3082" max="3326" width="9.33203125" style="8"/>
    <col min="3327" max="3327" width="8.6640625" style="8" customWidth="1"/>
    <col min="3328" max="3328" width="9.6640625" style="8" customWidth="1"/>
    <col min="3329" max="3329" width="14.44140625" style="8" customWidth="1"/>
    <col min="3330" max="3330" width="7.33203125" style="8" customWidth="1"/>
    <col min="3331" max="3331" width="5.5546875" style="8" customWidth="1"/>
    <col min="3332" max="3332" width="9" style="8" customWidth="1"/>
    <col min="3333" max="3334" width="9.6640625" style="8" customWidth="1"/>
    <col min="3335" max="3335" width="11.33203125" style="8" customWidth="1"/>
    <col min="3336" max="3336" width="2.6640625" style="8" customWidth="1"/>
    <col min="3337" max="3337" width="3.5546875" style="8" customWidth="1"/>
    <col min="3338" max="3582" width="9.33203125" style="8"/>
    <col min="3583" max="3583" width="8.6640625" style="8" customWidth="1"/>
    <col min="3584" max="3584" width="9.6640625" style="8" customWidth="1"/>
    <col min="3585" max="3585" width="14.44140625" style="8" customWidth="1"/>
    <col min="3586" max="3586" width="7.33203125" style="8" customWidth="1"/>
    <col min="3587" max="3587" width="5.5546875" style="8" customWidth="1"/>
    <col min="3588" max="3588" width="9" style="8" customWidth="1"/>
    <col min="3589" max="3590" width="9.6640625" style="8" customWidth="1"/>
    <col min="3591" max="3591" width="11.33203125" style="8" customWidth="1"/>
    <col min="3592" max="3592" width="2.6640625" style="8" customWidth="1"/>
    <col min="3593" max="3593" width="3.5546875" style="8" customWidth="1"/>
    <col min="3594" max="3838" width="9.33203125" style="8"/>
    <col min="3839" max="3839" width="8.6640625" style="8" customWidth="1"/>
    <col min="3840" max="3840" width="9.6640625" style="8" customWidth="1"/>
    <col min="3841" max="3841" width="14.44140625" style="8" customWidth="1"/>
    <col min="3842" max="3842" width="7.33203125" style="8" customWidth="1"/>
    <col min="3843" max="3843" width="5.5546875" style="8" customWidth="1"/>
    <col min="3844" max="3844" width="9" style="8" customWidth="1"/>
    <col min="3845" max="3846" width="9.6640625" style="8" customWidth="1"/>
    <col min="3847" max="3847" width="11.33203125" style="8" customWidth="1"/>
    <col min="3848" max="3848" width="2.6640625" style="8" customWidth="1"/>
    <col min="3849" max="3849" width="3.5546875" style="8" customWidth="1"/>
    <col min="3850" max="4094" width="9.33203125" style="8"/>
    <col min="4095" max="4095" width="8.6640625" style="8" customWidth="1"/>
    <col min="4096" max="4096" width="9.6640625" style="8" customWidth="1"/>
    <col min="4097" max="4097" width="14.44140625" style="8" customWidth="1"/>
    <col min="4098" max="4098" width="7.33203125" style="8" customWidth="1"/>
    <col min="4099" max="4099" width="5.5546875" style="8" customWidth="1"/>
    <col min="4100" max="4100" width="9" style="8" customWidth="1"/>
    <col min="4101" max="4102" width="9.6640625" style="8" customWidth="1"/>
    <col min="4103" max="4103" width="11.33203125" style="8" customWidth="1"/>
    <col min="4104" max="4104" width="2.6640625" style="8" customWidth="1"/>
    <col min="4105" max="4105" width="3.5546875" style="8" customWidth="1"/>
    <col min="4106" max="4350" width="9.33203125" style="8"/>
    <col min="4351" max="4351" width="8.6640625" style="8" customWidth="1"/>
    <col min="4352" max="4352" width="9.6640625" style="8" customWidth="1"/>
    <col min="4353" max="4353" width="14.44140625" style="8" customWidth="1"/>
    <col min="4354" max="4354" width="7.33203125" style="8" customWidth="1"/>
    <col min="4355" max="4355" width="5.5546875" style="8" customWidth="1"/>
    <col min="4356" max="4356" width="9" style="8" customWidth="1"/>
    <col min="4357" max="4358" width="9.6640625" style="8" customWidth="1"/>
    <col min="4359" max="4359" width="11.33203125" style="8" customWidth="1"/>
    <col min="4360" max="4360" width="2.6640625" style="8" customWidth="1"/>
    <col min="4361" max="4361" width="3.5546875" style="8" customWidth="1"/>
    <col min="4362" max="4606" width="9.33203125" style="8"/>
    <col min="4607" max="4607" width="8.6640625" style="8" customWidth="1"/>
    <col min="4608" max="4608" width="9.6640625" style="8" customWidth="1"/>
    <col min="4609" max="4609" width="14.44140625" style="8" customWidth="1"/>
    <col min="4610" max="4610" width="7.33203125" style="8" customWidth="1"/>
    <col min="4611" max="4611" width="5.5546875" style="8" customWidth="1"/>
    <col min="4612" max="4612" width="9" style="8" customWidth="1"/>
    <col min="4613" max="4614" width="9.6640625" style="8" customWidth="1"/>
    <col min="4615" max="4615" width="11.33203125" style="8" customWidth="1"/>
    <col min="4616" max="4616" width="2.6640625" style="8" customWidth="1"/>
    <col min="4617" max="4617" width="3.5546875" style="8" customWidth="1"/>
    <col min="4618" max="4862" width="9.33203125" style="8"/>
    <col min="4863" max="4863" width="8.6640625" style="8" customWidth="1"/>
    <col min="4864" max="4864" width="9.6640625" style="8" customWidth="1"/>
    <col min="4865" max="4865" width="14.44140625" style="8" customWidth="1"/>
    <col min="4866" max="4866" width="7.33203125" style="8" customWidth="1"/>
    <col min="4867" max="4867" width="5.5546875" style="8" customWidth="1"/>
    <col min="4868" max="4868" width="9" style="8" customWidth="1"/>
    <col min="4869" max="4870" width="9.6640625" style="8" customWidth="1"/>
    <col min="4871" max="4871" width="11.33203125" style="8" customWidth="1"/>
    <col min="4872" max="4872" width="2.6640625" style="8" customWidth="1"/>
    <col min="4873" max="4873" width="3.5546875" style="8" customWidth="1"/>
    <col min="4874" max="5118" width="9.33203125" style="8"/>
    <col min="5119" max="5119" width="8.6640625" style="8" customWidth="1"/>
    <col min="5120" max="5120" width="9.6640625" style="8" customWidth="1"/>
    <col min="5121" max="5121" width="14.44140625" style="8" customWidth="1"/>
    <col min="5122" max="5122" width="7.33203125" style="8" customWidth="1"/>
    <col min="5123" max="5123" width="5.5546875" style="8" customWidth="1"/>
    <col min="5124" max="5124" width="9" style="8" customWidth="1"/>
    <col min="5125" max="5126" width="9.6640625" style="8" customWidth="1"/>
    <col min="5127" max="5127" width="11.33203125" style="8" customWidth="1"/>
    <col min="5128" max="5128" width="2.6640625" style="8" customWidth="1"/>
    <col min="5129" max="5129" width="3.5546875" style="8" customWidth="1"/>
    <col min="5130" max="5374" width="9.33203125" style="8"/>
    <col min="5375" max="5375" width="8.6640625" style="8" customWidth="1"/>
    <col min="5376" max="5376" width="9.6640625" style="8" customWidth="1"/>
    <col min="5377" max="5377" width="14.44140625" style="8" customWidth="1"/>
    <col min="5378" max="5378" width="7.33203125" style="8" customWidth="1"/>
    <col min="5379" max="5379" width="5.5546875" style="8" customWidth="1"/>
    <col min="5380" max="5380" width="9" style="8" customWidth="1"/>
    <col min="5381" max="5382" width="9.6640625" style="8" customWidth="1"/>
    <col min="5383" max="5383" width="11.33203125" style="8" customWidth="1"/>
    <col min="5384" max="5384" width="2.6640625" style="8" customWidth="1"/>
    <col min="5385" max="5385" width="3.5546875" style="8" customWidth="1"/>
    <col min="5386" max="5630" width="9.33203125" style="8"/>
    <col min="5631" max="5631" width="8.6640625" style="8" customWidth="1"/>
    <col min="5632" max="5632" width="9.6640625" style="8" customWidth="1"/>
    <col min="5633" max="5633" width="14.44140625" style="8" customWidth="1"/>
    <col min="5634" max="5634" width="7.33203125" style="8" customWidth="1"/>
    <col min="5635" max="5635" width="5.5546875" style="8" customWidth="1"/>
    <col min="5636" max="5636" width="9" style="8" customWidth="1"/>
    <col min="5637" max="5638" width="9.6640625" style="8" customWidth="1"/>
    <col min="5639" max="5639" width="11.33203125" style="8" customWidth="1"/>
    <col min="5640" max="5640" width="2.6640625" style="8" customWidth="1"/>
    <col min="5641" max="5641" width="3.5546875" style="8" customWidth="1"/>
    <col min="5642" max="5886" width="9.33203125" style="8"/>
    <col min="5887" max="5887" width="8.6640625" style="8" customWidth="1"/>
    <col min="5888" max="5888" width="9.6640625" style="8" customWidth="1"/>
    <col min="5889" max="5889" width="14.44140625" style="8" customWidth="1"/>
    <col min="5890" max="5890" width="7.33203125" style="8" customWidth="1"/>
    <col min="5891" max="5891" width="5.5546875" style="8" customWidth="1"/>
    <col min="5892" max="5892" width="9" style="8" customWidth="1"/>
    <col min="5893" max="5894" width="9.6640625" style="8" customWidth="1"/>
    <col min="5895" max="5895" width="11.33203125" style="8" customWidth="1"/>
    <col min="5896" max="5896" width="2.6640625" style="8" customWidth="1"/>
    <col min="5897" max="5897" width="3.5546875" style="8" customWidth="1"/>
    <col min="5898" max="6142" width="9.33203125" style="8"/>
    <col min="6143" max="6143" width="8.6640625" style="8" customWidth="1"/>
    <col min="6144" max="6144" width="9.6640625" style="8" customWidth="1"/>
    <col min="6145" max="6145" width="14.44140625" style="8" customWidth="1"/>
    <col min="6146" max="6146" width="7.33203125" style="8" customWidth="1"/>
    <col min="6147" max="6147" width="5.5546875" style="8" customWidth="1"/>
    <col min="6148" max="6148" width="9" style="8" customWidth="1"/>
    <col min="6149" max="6150" width="9.6640625" style="8" customWidth="1"/>
    <col min="6151" max="6151" width="11.33203125" style="8" customWidth="1"/>
    <col min="6152" max="6152" width="2.6640625" style="8" customWidth="1"/>
    <col min="6153" max="6153" width="3.5546875" style="8" customWidth="1"/>
    <col min="6154" max="6398" width="9.33203125" style="8"/>
    <col min="6399" max="6399" width="8.6640625" style="8" customWidth="1"/>
    <col min="6400" max="6400" width="9.6640625" style="8" customWidth="1"/>
    <col min="6401" max="6401" width="14.44140625" style="8" customWidth="1"/>
    <col min="6402" max="6402" width="7.33203125" style="8" customWidth="1"/>
    <col min="6403" max="6403" width="5.5546875" style="8" customWidth="1"/>
    <col min="6404" max="6404" width="9" style="8" customWidth="1"/>
    <col min="6405" max="6406" width="9.6640625" style="8" customWidth="1"/>
    <col min="6407" max="6407" width="11.33203125" style="8" customWidth="1"/>
    <col min="6408" max="6408" width="2.6640625" style="8" customWidth="1"/>
    <col min="6409" max="6409" width="3.5546875" style="8" customWidth="1"/>
    <col min="6410" max="6654" width="9.33203125" style="8"/>
    <col min="6655" max="6655" width="8.6640625" style="8" customWidth="1"/>
    <col min="6656" max="6656" width="9.6640625" style="8" customWidth="1"/>
    <col min="6657" max="6657" width="14.44140625" style="8" customWidth="1"/>
    <col min="6658" max="6658" width="7.33203125" style="8" customWidth="1"/>
    <col min="6659" max="6659" width="5.5546875" style="8" customWidth="1"/>
    <col min="6660" max="6660" width="9" style="8" customWidth="1"/>
    <col min="6661" max="6662" width="9.6640625" style="8" customWidth="1"/>
    <col min="6663" max="6663" width="11.33203125" style="8" customWidth="1"/>
    <col min="6664" max="6664" width="2.6640625" style="8" customWidth="1"/>
    <col min="6665" max="6665" width="3.5546875" style="8" customWidth="1"/>
    <col min="6666" max="6910" width="9.33203125" style="8"/>
    <col min="6911" max="6911" width="8.6640625" style="8" customWidth="1"/>
    <col min="6912" max="6912" width="9.6640625" style="8" customWidth="1"/>
    <col min="6913" max="6913" width="14.44140625" style="8" customWidth="1"/>
    <col min="6914" max="6914" width="7.33203125" style="8" customWidth="1"/>
    <col min="6915" max="6915" width="5.5546875" style="8" customWidth="1"/>
    <col min="6916" max="6916" width="9" style="8" customWidth="1"/>
    <col min="6917" max="6918" width="9.6640625" style="8" customWidth="1"/>
    <col min="6919" max="6919" width="11.33203125" style="8" customWidth="1"/>
    <col min="6920" max="6920" width="2.6640625" style="8" customWidth="1"/>
    <col min="6921" max="6921" width="3.5546875" style="8" customWidth="1"/>
    <col min="6922" max="7166" width="9.33203125" style="8"/>
    <col min="7167" max="7167" width="8.6640625" style="8" customWidth="1"/>
    <col min="7168" max="7168" width="9.6640625" style="8" customWidth="1"/>
    <col min="7169" max="7169" width="14.44140625" style="8" customWidth="1"/>
    <col min="7170" max="7170" width="7.33203125" style="8" customWidth="1"/>
    <col min="7171" max="7171" width="5.5546875" style="8" customWidth="1"/>
    <col min="7172" max="7172" width="9" style="8" customWidth="1"/>
    <col min="7173" max="7174" width="9.6640625" style="8" customWidth="1"/>
    <col min="7175" max="7175" width="11.33203125" style="8" customWidth="1"/>
    <col min="7176" max="7176" width="2.6640625" style="8" customWidth="1"/>
    <col min="7177" max="7177" width="3.5546875" style="8" customWidth="1"/>
    <col min="7178" max="7422" width="9.33203125" style="8"/>
    <col min="7423" max="7423" width="8.6640625" style="8" customWidth="1"/>
    <col min="7424" max="7424" width="9.6640625" style="8" customWidth="1"/>
    <col min="7425" max="7425" width="14.44140625" style="8" customWidth="1"/>
    <col min="7426" max="7426" width="7.33203125" style="8" customWidth="1"/>
    <col min="7427" max="7427" width="5.5546875" style="8" customWidth="1"/>
    <col min="7428" max="7428" width="9" style="8" customWidth="1"/>
    <col min="7429" max="7430" width="9.6640625" style="8" customWidth="1"/>
    <col min="7431" max="7431" width="11.33203125" style="8" customWidth="1"/>
    <col min="7432" max="7432" width="2.6640625" style="8" customWidth="1"/>
    <col min="7433" max="7433" width="3.5546875" style="8" customWidth="1"/>
    <col min="7434" max="7678" width="9.33203125" style="8"/>
    <col min="7679" max="7679" width="8.6640625" style="8" customWidth="1"/>
    <col min="7680" max="7680" width="9.6640625" style="8" customWidth="1"/>
    <col min="7681" max="7681" width="14.44140625" style="8" customWidth="1"/>
    <col min="7682" max="7682" width="7.33203125" style="8" customWidth="1"/>
    <col min="7683" max="7683" width="5.5546875" style="8" customWidth="1"/>
    <col min="7684" max="7684" width="9" style="8" customWidth="1"/>
    <col min="7685" max="7686" width="9.6640625" style="8" customWidth="1"/>
    <col min="7687" max="7687" width="11.33203125" style="8" customWidth="1"/>
    <col min="7688" max="7688" width="2.6640625" style="8" customWidth="1"/>
    <col min="7689" max="7689" width="3.5546875" style="8" customWidth="1"/>
    <col min="7690" max="7934" width="9.33203125" style="8"/>
    <col min="7935" max="7935" width="8.6640625" style="8" customWidth="1"/>
    <col min="7936" max="7936" width="9.6640625" style="8" customWidth="1"/>
    <col min="7937" max="7937" width="14.44140625" style="8" customWidth="1"/>
    <col min="7938" max="7938" width="7.33203125" style="8" customWidth="1"/>
    <col min="7939" max="7939" width="5.5546875" style="8" customWidth="1"/>
    <col min="7940" max="7940" width="9" style="8" customWidth="1"/>
    <col min="7941" max="7942" width="9.6640625" style="8" customWidth="1"/>
    <col min="7943" max="7943" width="11.33203125" style="8" customWidth="1"/>
    <col min="7944" max="7944" width="2.6640625" style="8" customWidth="1"/>
    <col min="7945" max="7945" width="3.5546875" style="8" customWidth="1"/>
    <col min="7946" max="8190" width="9.33203125" style="8"/>
    <col min="8191" max="8191" width="8.6640625" style="8" customWidth="1"/>
    <col min="8192" max="8192" width="9.6640625" style="8" customWidth="1"/>
    <col min="8193" max="8193" width="14.44140625" style="8" customWidth="1"/>
    <col min="8194" max="8194" width="7.33203125" style="8" customWidth="1"/>
    <col min="8195" max="8195" width="5.5546875" style="8" customWidth="1"/>
    <col min="8196" max="8196" width="9" style="8" customWidth="1"/>
    <col min="8197" max="8198" width="9.6640625" style="8" customWidth="1"/>
    <col min="8199" max="8199" width="11.33203125" style="8" customWidth="1"/>
    <col min="8200" max="8200" width="2.6640625" style="8" customWidth="1"/>
    <col min="8201" max="8201" width="3.5546875" style="8" customWidth="1"/>
    <col min="8202" max="8446" width="9.33203125" style="8"/>
    <col min="8447" max="8447" width="8.6640625" style="8" customWidth="1"/>
    <col min="8448" max="8448" width="9.6640625" style="8" customWidth="1"/>
    <col min="8449" max="8449" width="14.44140625" style="8" customWidth="1"/>
    <col min="8450" max="8450" width="7.33203125" style="8" customWidth="1"/>
    <col min="8451" max="8451" width="5.5546875" style="8" customWidth="1"/>
    <col min="8452" max="8452" width="9" style="8" customWidth="1"/>
    <col min="8453" max="8454" width="9.6640625" style="8" customWidth="1"/>
    <col min="8455" max="8455" width="11.33203125" style="8" customWidth="1"/>
    <col min="8456" max="8456" width="2.6640625" style="8" customWidth="1"/>
    <col min="8457" max="8457" width="3.5546875" style="8" customWidth="1"/>
    <col min="8458" max="8702" width="9.33203125" style="8"/>
    <col min="8703" max="8703" width="8.6640625" style="8" customWidth="1"/>
    <col min="8704" max="8704" width="9.6640625" style="8" customWidth="1"/>
    <col min="8705" max="8705" width="14.44140625" style="8" customWidth="1"/>
    <col min="8706" max="8706" width="7.33203125" style="8" customWidth="1"/>
    <col min="8707" max="8707" width="5.5546875" style="8" customWidth="1"/>
    <col min="8708" max="8708" width="9" style="8" customWidth="1"/>
    <col min="8709" max="8710" width="9.6640625" style="8" customWidth="1"/>
    <col min="8711" max="8711" width="11.33203125" style="8" customWidth="1"/>
    <col min="8712" max="8712" width="2.6640625" style="8" customWidth="1"/>
    <col min="8713" max="8713" width="3.5546875" style="8" customWidth="1"/>
    <col min="8714" max="8958" width="9.33203125" style="8"/>
    <col min="8959" max="8959" width="8.6640625" style="8" customWidth="1"/>
    <col min="8960" max="8960" width="9.6640625" style="8" customWidth="1"/>
    <col min="8961" max="8961" width="14.44140625" style="8" customWidth="1"/>
    <col min="8962" max="8962" width="7.33203125" style="8" customWidth="1"/>
    <col min="8963" max="8963" width="5.5546875" style="8" customWidth="1"/>
    <col min="8964" max="8964" width="9" style="8" customWidth="1"/>
    <col min="8965" max="8966" width="9.6640625" style="8" customWidth="1"/>
    <col min="8967" max="8967" width="11.33203125" style="8" customWidth="1"/>
    <col min="8968" max="8968" width="2.6640625" style="8" customWidth="1"/>
    <col min="8969" max="8969" width="3.5546875" style="8" customWidth="1"/>
    <col min="8970" max="9214" width="9.33203125" style="8"/>
    <col min="9215" max="9215" width="8.6640625" style="8" customWidth="1"/>
    <col min="9216" max="9216" width="9.6640625" style="8" customWidth="1"/>
    <col min="9217" max="9217" width="14.44140625" style="8" customWidth="1"/>
    <col min="9218" max="9218" width="7.33203125" style="8" customWidth="1"/>
    <col min="9219" max="9219" width="5.5546875" style="8" customWidth="1"/>
    <col min="9220" max="9220" width="9" style="8" customWidth="1"/>
    <col min="9221" max="9222" width="9.6640625" style="8" customWidth="1"/>
    <col min="9223" max="9223" width="11.33203125" style="8" customWidth="1"/>
    <col min="9224" max="9224" width="2.6640625" style="8" customWidth="1"/>
    <col min="9225" max="9225" width="3.5546875" style="8" customWidth="1"/>
    <col min="9226" max="9470" width="9.33203125" style="8"/>
    <col min="9471" max="9471" width="8.6640625" style="8" customWidth="1"/>
    <col min="9472" max="9472" width="9.6640625" style="8" customWidth="1"/>
    <col min="9473" max="9473" width="14.44140625" style="8" customWidth="1"/>
    <col min="9474" max="9474" width="7.33203125" style="8" customWidth="1"/>
    <col min="9475" max="9475" width="5.5546875" style="8" customWidth="1"/>
    <col min="9476" max="9476" width="9" style="8" customWidth="1"/>
    <col min="9477" max="9478" width="9.6640625" style="8" customWidth="1"/>
    <col min="9479" max="9479" width="11.33203125" style="8" customWidth="1"/>
    <col min="9480" max="9480" width="2.6640625" style="8" customWidth="1"/>
    <col min="9481" max="9481" width="3.5546875" style="8" customWidth="1"/>
    <col min="9482" max="9726" width="9.33203125" style="8"/>
    <col min="9727" max="9727" width="8.6640625" style="8" customWidth="1"/>
    <col min="9728" max="9728" width="9.6640625" style="8" customWidth="1"/>
    <col min="9729" max="9729" width="14.44140625" style="8" customWidth="1"/>
    <col min="9730" max="9730" width="7.33203125" style="8" customWidth="1"/>
    <col min="9731" max="9731" width="5.5546875" style="8" customWidth="1"/>
    <col min="9732" max="9732" width="9" style="8" customWidth="1"/>
    <col min="9733" max="9734" width="9.6640625" style="8" customWidth="1"/>
    <col min="9735" max="9735" width="11.33203125" style="8" customWidth="1"/>
    <col min="9736" max="9736" width="2.6640625" style="8" customWidth="1"/>
    <col min="9737" max="9737" width="3.5546875" style="8" customWidth="1"/>
    <col min="9738" max="9982" width="9.33203125" style="8"/>
    <col min="9983" max="9983" width="8.6640625" style="8" customWidth="1"/>
    <col min="9984" max="9984" width="9.6640625" style="8" customWidth="1"/>
    <col min="9985" max="9985" width="14.44140625" style="8" customWidth="1"/>
    <col min="9986" max="9986" width="7.33203125" style="8" customWidth="1"/>
    <col min="9987" max="9987" width="5.5546875" style="8" customWidth="1"/>
    <col min="9988" max="9988" width="9" style="8" customWidth="1"/>
    <col min="9989" max="9990" width="9.6640625" style="8" customWidth="1"/>
    <col min="9991" max="9991" width="11.33203125" style="8" customWidth="1"/>
    <col min="9992" max="9992" width="2.6640625" style="8" customWidth="1"/>
    <col min="9993" max="9993" width="3.5546875" style="8" customWidth="1"/>
    <col min="9994" max="10238" width="9.33203125" style="8"/>
    <col min="10239" max="10239" width="8.6640625" style="8" customWidth="1"/>
    <col min="10240" max="10240" width="9.6640625" style="8" customWidth="1"/>
    <col min="10241" max="10241" width="14.44140625" style="8" customWidth="1"/>
    <col min="10242" max="10242" width="7.33203125" style="8" customWidth="1"/>
    <col min="10243" max="10243" width="5.5546875" style="8" customWidth="1"/>
    <col min="10244" max="10244" width="9" style="8" customWidth="1"/>
    <col min="10245" max="10246" width="9.6640625" style="8" customWidth="1"/>
    <col min="10247" max="10247" width="11.33203125" style="8" customWidth="1"/>
    <col min="10248" max="10248" width="2.6640625" style="8" customWidth="1"/>
    <col min="10249" max="10249" width="3.5546875" style="8" customWidth="1"/>
    <col min="10250" max="10494" width="9.33203125" style="8"/>
    <col min="10495" max="10495" width="8.6640625" style="8" customWidth="1"/>
    <col min="10496" max="10496" width="9.6640625" style="8" customWidth="1"/>
    <col min="10497" max="10497" width="14.44140625" style="8" customWidth="1"/>
    <col min="10498" max="10498" width="7.33203125" style="8" customWidth="1"/>
    <col min="10499" max="10499" width="5.5546875" style="8" customWidth="1"/>
    <col min="10500" max="10500" width="9" style="8" customWidth="1"/>
    <col min="10501" max="10502" width="9.6640625" style="8" customWidth="1"/>
    <col min="10503" max="10503" width="11.33203125" style="8" customWidth="1"/>
    <col min="10504" max="10504" width="2.6640625" style="8" customWidth="1"/>
    <col min="10505" max="10505" width="3.5546875" style="8" customWidth="1"/>
    <col min="10506" max="10750" width="9.33203125" style="8"/>
    <col min="10751" max="10751" width="8.6640625" style="8" customWidth="1"/>
    <col min="10752" max="10752" width="9.6640625" style="8" customWidth="1"/>
    <col min="10753" max="10753" width="14.44140625" style="8" customWidth="1"/>
    <col min="10754" max="10754" width="7.33203125" style="8" customWidth="1"/>
    <col min="10755" max="10755" width="5.5546875" style="8" customWidth="1"/>
    <col min="10756" max="10756" width="9" style="8" customWidth="1"/>
    <col min="10757" max="10758" width="9.6640625" style="8" customWidth="1"/>
    <col min="10759" max="10759" width="11.33203125" style="8" customWidth="1"/>
    <col min="10760" max="10760" width="2.6640625" style="8" customWidth="1"/>
    <col min="10761" max="10761" width="3.5546875" style="8" customWidth="1"/>
    <col min="10762" max="11006" width="9.33203125" style="8"/>
    <col min="11007" max="11007" width="8.6640625" style="8" customWidth="1"/>
    <col min="11008" max="11008" width="9.6640625" style="8" customWidth="1"/>
    <col min="11009" max="11009" width="14.44140625" style="8" customWidth="1"/>
    <col min="11010" max="11010" width="7.33203125" style="8" customWidth="1"/>
    <col min="11011" max="11011" width="5.5546875" style="8" customWidth="1"/>
    <col min="11012" max="11012" width="9" style="8" customWidth="1"/>
    <col min="11013" max="11014" width="9.6640625" style="8" customWidth="1"/>
    <col min="11015" max="11015" width="11.33203125" style="8" customWidth="1"/>
    <col min="11016" max="11016" width="2.6640625" style="8" customWidth="1"/>
    <col min="11017" max="11017" width="3.5546875" style="8" customWidth="1"/>
    <col min="11018" max="11262" width="9.33203125" style="8"/>
    <col min="11263" max="11263" width="8.6640625" style="8" customWidth="1"/>
    <col min="11264" max="11264" width="9.6640625" style="8" customWidth="1"/>
    <col min="11265" max="11265" width="14.44140625" style="8" customWidth="1"/>
    <col min="11266" max="11266" width="7.33203125" style="8" customWidth="1"/>
    <col min="11267" max="11267" width="5.5546875" style="8" customWidth="1"/>
    <col min="11268" max="11268" width="9" style="8" customWidth="1"/>
    <col min="11269" max="11270" width="9.6640625" style="8" customWidth="1"/>
    <col min="11271" max="11271" width="11.33203125" style="8" customWidth="1"/>
    <col min="11272" max="11272" width="2.6640625" style="8" customWidth="1"/>
    <col min="11273" max="11273" width="3.5546875" style="8" customWidth="1"/>
    <col min="11274" max="11518" width="9.33203125" style="8"/>
    <col min="11519" max="11519" width="8.6640625" style="8" customWidth="1"/>
    <col min="11520" max="11520" width="9.6640625" style="8" customWidth="1"/>
    <col min="11521" max="11521" width="14.44140625" style="8" customWidth="1"/>
    <col min="11522" max="11522" width="7.33203125" style="8" customWidth="1"/>
    <col min="11523" max="11523" width="5.5546875" style="8" customWidth="1"/>
    <col min="11524" max="11524" width="9" style="8" customWidth="1"/>
    <col min="11525" max="11526" width="9.6640625" style="8" customWidth="1"/>
    <col min="11527" max="11527" width="11.33203125" style="8" customWidth="1"/>
    <col min="11528" max="11528" width="2.6640625" style="8" customWidth="1"/>
    <col min="11529" max="11529" width="3.5546875" style="8" customWidth="1"/>
    <col min="11530" max="11774" width="9.33203125" style="8"/>
    <col min="11775" max="11775" width="8.6640625" style="8" customWidth="1"/>
    <col min="11776" max="11776" width="9.6640625" style="8" customWidth="1"/>
    <col min="11777" max="11777" width="14.44140625" style="8" customWidth="1"/>
    <col min="11778" max="11778" width="7.33203125" style="8" customWidth="1"/>
    <col min="11779" max="11779" width="5.5546875" style="8" customWidth="1"/>
    <col min="11780" max="11780" width="9" style="8" customWidth="1"/>
    <col min="11781" max="11782" width="9.6640625" style="8" customWidth="1"/>
    <col min="11783" max="11783" width="11.33203125" style="8" customWidth="1"/>
    <col min="11784" max="11784" width="2.6640625" style="8" customWidth="1"/>
    <col min="11785" max="11785" width="3.5546875" style="8" customWidth="1"/>
    <col min="11786" max="12030" width="9.33203125" style="8"/>
    <col min="12031" max="12031" width="8.6640625" style="8" customWidth="1"/>
    <col min="12032" max="12032" width="9.6640625" style="8" customWidth="1"/>
    <col min="12033" max="12033" width="14.44140625" style="8" customWidth="1"/>
    <col min="12034" max="12034" width="7.33203125" style="8" customWidth="1"/>
    <col min="12035" max="12035" width="5.5546875" style="8" customWidth="1"/>
    <col min="12036" max="12036" width="9" style="8" customWidth="1"/>
    <col min="12037" max="12038" width="9.6640625" style="8" customWidth="1"/>
    <col min="12039" max="12039" width="11.33203125" style="8" customWidth="1"/>
    <col min="12040" max="12040" width="2.6640625" style="8" customWidth="1"/>
    <col min="12041" max="12041" width="3.5546875" style="8" customWidth="1"/>
    <col min="12042" max="12286" width="9.33203125" style="8"/>
    <col min="12287" max="12287" width="8.6640625" style="8" customWidth="1"/>
    <col min="12288" max="12288" width="9.6640625" style="8" customWidth="1"/>
    <col min="12289" max="12289" width="14.44140625" style="8" customWidth="1"/>
    <col min="12290" max="12290" width="7.33203125" style="8" customWidth="1"/>
    <col min="12291" max="12291" width="5.5546875" style="8" customWidth="1"/>
    <col min="12292" max="12292" width="9" style="8" customWidth="1"/>
    <col min="12293" max="12294" width="9.6640625" style="8" customWidth="1"/>
    <col min="12295" max="12295" width="11.33203125" style="8" customWidth="1"/>
    <col min="12296" max="12296" width="2.6640625" style="8" customWidth="1"/>
    <col min="12297" max="12297" width="3.5546875" style="8" customWidth="1"/>
    <col min="12298" max="12542" width="9.33203125" style="8"/>
    <col min="12543" max="12543" width="8.6640625" style="8" customWidth="1"/>
    <col min="12544" max="12544" width="9.6640625" style="8" customWidth="1"/>
    <col min="12545" max="12545" width="14.44140625" style="8" customWidth="1"/>
    <col min="12546" max="12546" width="7.33203125" style="8" customWidth="1"/>
    <col min="12547" max="12547" width="5.5546875" style="8" customWidth="1"/>
    <col min="12548" max="12548" width="9" style="8" customWidth="1"/>
    <col min="12549" max="12550" width="9.6640625" style="8" customWidth="1"/>
    <col min="12551" max="12551" width="11.33203125" style="8" customWidth="1"/>
    <col min="12552" max="12552" width="2.6640625" style="8" customWidth="1"/>
    <col min="12553" max="12553" width="3.5546875" style="8" customWidth="1"/>
    <col min="12554" max="12798" width="9.33203125" style="8"/>
    <col min="12799" max="12799" width="8.6640625" style="8" customWidth="1"/>
    <col min="12800" max="12800" width="9.6640625" style="8" customWidth="1"/>
    <col min="12801" max="12801" width="14.44140625" style="8" customWidth="1"/>
    <col min="12802" max="12802" width="7.33203125" style="8" customWidth="1"/>
    <col min="12803" max="12803" width="5.5546875" style="8" customWidth="1"/>
    <col min="12804" max="12804" width="9" style="8" customWidth="1"/>
    <col min="12805" max="12806" width="9.6640625" style="8" customWidth="1"/>
    <col min="12807" max="12807" width="11.33203125" style="8" customWidth="1"/>
    <col min="12808" max="12808" width="2.6640625" style="8" customWidth="1"/>
    <col min="12809" max="12809" width="3.5546875" style="8" customWidth="1"/>
    <col min="12810" max="13054" width="9.33203125" style="8"/>
    <col min="13055" max="13055" width="8.6640625" style="8" customWidth="1"/>
    <col min="13056" max="13056" width="9.6640625" style="8" customWidth="1"/>
    <col min="13057" max="13057" width="14.44140625" style="8" customWidth="1"/>
    <col min="13058" max="13058" width="7.33203125" style="8" customWidth="1"/>
    <col min="13059" max="13059" width="5.5546875" style="8" customWidth="1"/>
    <col min="13060" max="13060" width="9" style="8" customWidth="1"/>
    <col min="13061" max="13062" width="9.6640625" style="8" customWidth="1"/>
    <col min="13063" max="13063" width="11.33203125" style="8" customWidth="1"/>
    <col min="13064" max="13064" width="2.6640625" style="8" customWidth="1"/>
    <col min="13065" max="13065" width="3.5546875" style="8" customWidth="1"/>
    <col min="13066" max="13310" width="9.33203125" style="8"/>
    <col min="13311" max="13311" width="8.6640625" style="8" customWidth="1"/>
    <col min="13312" max="13312" width="9.6640625" style="8" customWidth="1"/>
    <col min="13313" max="13313" width="14.44140625" style="8" customWidth="1"/>
    <col min="13314" max="13314" width="7.33203125" style="8" customWidth="1"/>
    <col min="13315" max="13315" width="5.5546875" style="8" customWidth="1"/>
    <col min="13316" max="13316" width="9" style="8" customWidth="1"/>
    <col min="13317" max="13318" width="9.6640625" style="8" customWidth="1"/>
    <col min="13319" max="13319" width="11.33203125" style="8" customWidth="1"/>
    <col min="13320" max="13320" width="2.6640625" style="8" customWidth="1"/>
    <col min="13321" max="13321" width="3.5546875" style="8" customWidth="1"/>
    <col min="13322" max="13566" width="9.33203125" style="8"/>
    <col min="13567" max="13567" width="8.6640625" style="8" customWidth="1"/>
    <col min="13568" max="13568" width="9.6640625" style="8" customWidth="1"/>
    <col min="13569" max="13569" width="14.44140625" style="8" customWidth="1"/>
    <col min="13570" max="13570" width="7.33203125" style="8" customWidth="1"/>
    <col min="13571" max="13571" width="5.5546875" style="8" customWidth="1"/>
    <col min="13572" max="13572" width="9" style="8" customWidth="1"/>
    <col min="13573" max="13574" width="9.6640625" style="8" customWidth="1"/>
    <col min="13575" max="13575" width="11.33203125" style="8" customWidth="1"/>
    <col min="13576" max="13576" width="2.6640625" style="8" customWidth="1"/>
    <col min="13577" max="13577" width="3.5546875" style="8" customWidth="1"/>
    <col min="13578" max="13822" width="9.33203125" style="8"/>
    <col min="13823" max="13823" width="8.6640625" style="8" customWidth="1"/>
    <col min="13824" max="13824" width="9.6640625" style="8" customWidth="1"/>
    <col min="13825" max="13825" width="14.44140625" style="8" customWidth="1"/>
    <col min="13826" max="13826" width="7.33203125" style="8" customWidth="1"/>
    <col min="13827" max="13827" width="5.5546875" style="8" customWidth="1"/>
    <col min="13828" max="13828" width="9" style="8" customWidth="1"/>
    <col min="13829" max="13830" width="9.6640625" style="8" customWidth="1"/>
    <col min="13831" max="13831" width="11.33203125" style="8" customWidth="1"/>
    <col min="13832" max="13832" width="2.6640625" style="8" customWidth="1"/>
    <col min="13833" max="13833" width="3.5546875" style="8" customWidth="1"/>
    <col min="13834" max="14078" width="9.33203125" style="8"/>
    <col min="14079" max="14079" width="8.6640625" style="8" customWidth="1"/>
    <col min="14080" max="14080" width="9.6640625" style="8" customWidth="1"/>
    <col min="14081" max="14081" width="14.44140625" style="8" customWidth="1"/>
    <col min="14082" max="14082" width="7.33203125" style="8" customWidth="1"/>
    <col min="14083" max="14083" width="5.5546875" style="8" customWidth="1"/>
    <col min="14084" max="14084" width="9" style="8" customWidth="1"/>
    <col min="14085" max="14086" width="9.6640625" style="8" customWidth="1"/>
    <col min="14087" max="14087" width="11.33203125" style="8" customWidth="1"/>
    <col min="14088" max="14088" width="2.6640625" style="8" customWidth="1"/>
    <col min="14089" max="14089" width="3.5546875" style="8" customWidth="1"/>
    <col min="14090" max="14334" width="9.33203125" style="8"/>
    <col min="14335" max="14335" width="8.6640625" style="8" customWidth="1"/>
    <col min="14336" max="14336" width="9.6640625" style="8" customWidth="1"/>
    <col min="14337" max="14337" width="14.44140625" style="8" customWidth="1"/>
    <col min="14338" max="14338" width="7.33203125" style="8" customWidth="1"/>
    <col min="14339" max="14339" width="5.5546875" style="8" customWidth="1"/>
    <col min="14340" max="14340" width="9" style="8" customWidth="1"/>
    <col min="14341" max="14342" width="9.6640625" style="8" customWidth="1"/>
    <col min="14343" max="14343" width="11.33203125" style="8" customWidth="1"/>
    <col min="14344" max="14344" width="2.6640625" style="8" customWidth="1"/>
    <col min="14345" max="14345" width="3.5546875" style="8" customWidth="1"/>
    <col min="14346" max="14590" width="9.33203125" style="8"/>
    <col min="14591" max="14591" width="8.6640625" style="8" customWidth="1"/>
    <col min="14592" max="14592" width="9.6640625" style="8" customWidth="1"/>
    <col min="14593" max="14593" width="14.44140625" style="8" customWidth="1"/>
    <col min="14594" max="14594" width="7.33203125" style="8" customWidth="1"/>
    <col min="14595" max="14595" width="5.5546875" style="8" customWidth="1"/>
    <col min="14596" max="14596" width="9" style="8" customWidth="1"/>
    <col min="14597" max="14598" width="9.6640625" style="8" customWidth="1"/>
    <col min="14599" max="14599" width="11.33203125" style="8" customWidth="1"/>
    <col min="14600" max="14600" width="2.6640625" style="8" customWidth="1"/>
    <col min="14601" max="14601" width="3.5546875" style="8" customWidth="1"/>
    <col min="14602" max="14846" width="9.33203125" style="8"/>
    <col min="14847" max="14847" width="8.6640625" style="8" customWidth="1"/>
    <col min="14848" max="14848" width="9.6640625" style="8" customWidth="1"/>
    <col min="14849" max="14849" width="14.44140625" style="8" customWidth="1"/>
    <col min="14850" max="14850" width="7.33203125" style="8" customWidth="1"/>
    <col min="14851" max="14851" width="5.5546875" style="8" customWidth="1"/>
    <col min="14852" max="14852" width="9" style="8" customWidth="1"/>
    <col min="14853" max="14854" width="9.6640625" style="8" customWidth="1"/>
    <col min="14855" max="14855" width="11.33203125" style="8" customWidth="1"/>
    <col min="14856" max="14856" width="2.6640625" style="8" customWidth="1"/>
    <col min="14857" max="14857" width="3.5546875" style="8" customWidth="1"/>
    <col min="14858" max="15102" width="9.33203125" style="8"/>
    <col min="15103" max="15103" width="8.6640625" style="8" customWidth="1"/>
    <col min="15104" max="15104" width="9.6640625" style="8" customWidth="1"/>
    <col min="15105" max="15105" width="14.44140625" style="8" customWidth="1"/>
    <col min="15106" max="15106" width="7.33203125" style="8" customWidth="1"/>
    <col min="15107" max="15107" width="5.5546875" style="8" customWidth="1"/>
    <col min="15108" max="15108" width="9" style="8" customWidth="1"/>
    <col min="15109" max="15110" width="9.6640625" style="8" customWidth="1"/>
    <col min="15111" max="15111" width="11.33203125" style="8" customWidth="1"/>
    <col min="15112" max="15112" width="2.6640625" style="8" customWidth="1"/>
    <col min="15113" max="15113" width="3.5546875" style="8" customWidth="1"/>
    <col min="15114" max="15358" width="9.33203125" style="8"/>
    <col min="15359" max="15359" width="8.6640625" style="8" customWidth="1"/>
    <col min="15360" max="15360" width="9.6640625" style="8" customWidth="1"/>
    <col min="15361" max="15361" width="14.44140625" style="8" customWidth="1"/>
    <col min="15362" max="15362" width="7.33203125" style="8" customWidth="1"/>
    <col min="15363" max="15363" width="5.5546875" style="8" customWidth="1"/>
    <col min="15364" max="15364" width="9" style="8" customWidth="1"/>
    <col min="15365" max="15366" width="9.6640625" style="8" customWidth="1"/>
    <col min="15367" max="15367" width="11.33203125" style="8" customWidth="1"/>
    <col min="15368" max="15368" width="2.6640625" style="8" customWidth="1"/>
    <col min="15369" max="15369" width="3.5546875" style="8" customWidth="1"/>
    <col min="15370" max="15614" width="9.33203125" style="8"/>
    <col min="15615" max="15615" width="8.6640625" style="8" customWidth="1"/>
    <col min="15616" max="15616" width="9.6640625" style="8" customWidth="1"/>
    <col min="15617" max="15617" width="14.44140625" style="8" customWidth="1"/>
    <col min="15618" max="15618" width="7.33203125" style="8" customWidth="1"/>
    <col min="15619" max="15619" width="5.5546875" style="8" customWidth="1"/>
    <col min="15620" max="15620" width="9" style="8" customWidth="1"/>
    <col min="15621" max="15622" width="9.6640625" style="8" customWidth="1"/>
    <col min="15623" max="15623" width="11.33203125" style="8" customWidth="1"/>
    <col min="15624" max="15624" width="2.6640625" style="8" customWidth="1"/>
    <col min="15625" max="15625" width="3.5546875" style="8" customWidth="1"/>
    <col min="15626" max="15870" width="9.33203125" style="8"/>
    <col min="15871" max="15871" width="8.6640625" style="8" customWidth="1"/>
    <col min="15872" max="15872" width="9.6640625" style="8" customWidth="1"/>
    <col min="15873" max="15873" width="14.44140625" style="8" customWidth="1"/>
    <col min="15874" max="15874" width="7.33203125" style="8" customWidth="1"/>
    <col min="15875" max="15875" width="5.5546875" style="8" customWidth="1"/>
    <col min="15876" max="15876" width="9" style="8" customWidth="1"/>
    <col min="15877" max="15878" width="9.6640625" style="8" customWidth="1"/>
    <col min="15879" max="15879" width="11.33203125" style="8" customWidth="1"/>
    <col min="15880" max="15880" width="2.6640625" style="8" customWidth="1"/>
    <col min="15881" max="15881" width="3.5546875" style="8" customWidth="1"/>
    <col min="15882" max="16126" width="9.33203125" style="8"/>
    <col min="16127" max="16127" width="8.6640625" style="8" customWidth="1"/>
    <col min="16128" max="16128" width="9.6640625" style="8" customWidth="1"/>
    <col min="16129" max="16129" width="14.44140625" style="8" customWidth="1"/>
    <col min="16130" max="16130" width="7.33203125" style="8" customWidth="1"/>
    <col min="16131" max="16131" width="5.5546875" style="8" customWidth="1"/>
    <col min="16132" max="16132" width="9" style="8" customWidth="1"/>
    <col min="16133" max="16134" width="9.6640625" style="8" customWidth="1"/>
    <col min="16135" max="16135" width="11.33203125" style="8" customWidth="1"/>
    <col min="16136" max="16136" width="2.6640625" style="8" customWidth="1"/>
    <col min="16137" max="16137" width="3.5546875" style="8" customWidth="1"/>
    <col min="16138" max="16384" width="9.33203125" style="8"/>
  </cols>
  <sheetData>
    <row r="1" spans="1:12" ht="46.5" customHeight="1" x14ac:dyDescent="0.3">
      <c r="A1" s="105" t="s">
        <v>233</v>
      </c>
      <c r="B1" s="105"/>
      <c r="C1" s="105"/>
      <c r="D1" s="105"/>
      <c r="E1" s="105"/>
      <c r="F1" s="105"/>
      <c r="G1" s="105"/>
      <c r="H1" s="105"/>
    </row>
    <row r="2" spans="1:12" ht="16.5" customHeight="1" x14ac:dyDescent="0.3">
      <c r="A2" s="99" t="s">
        <v>0</v>
      </c>
      <c r="B2" s="99"/>
      <c r="C2" s="99"/>
      <c r="D2" s="99"/>
      <c r="E2" s="99"/>
      <c r="F2" s="99"/>
      <c r="G2" s="99"/>
      <c r="H2" s="99"/>
      <c r="I2" s="64" t="s">
        <v>240</v>
      </c>
      <c r="J2" s="65"/>
      <c r="K2" s="65"/>
      <c r="L2" s="65"/>
    </row>
    <row r="3" spans="1:12" x14ac:dyDescent="0.3">
      <c r="A3" s="94" t="s">
        <v>1</v>
      </c>
      <c r="B3" s="94"/>
      <c r="C3" s="94"/>
      <c r="D3" s="94"/>
      <c r="E3" s="104" t="str">
        <f ca="1">TEXT(TODAY(),"DD/MM/YYYY")</f>
        <v>19/09/2025</v>
      </c>
      <c r="F3" s="104"/>
      <c r="G3" s="104"/>
      <c r="H3" s="104"/>
      <c r="I3" s="64" t="s">
        <v>242</v>
      </c>
      <c r="J3" s="65"/>
      <c r="K3" s="65"/>
      <c r="L3" s="65"/>
    </row>
    <row r="4" spans="1:12" ht="15" customHeight="1" x14ac:dyDescent="0.3">
      <c r="A4" s="94" t="s">
        <v>2</v>
      </c>
      <c r="B4" s="94"/>
      <c r="C4" s="94"/>
      <c r="D4" s="94"/>
      <c r="E4" s="107" t="s">
        <v>192</v>
      </c>
      <c r="F4" s="107"/>
      <c r="G4" s="107"/>
      <c r="H4" s="107"/>
    </row>
    <row r="5" spans="1:12" x14ac:dyDescent="0.3">
      <c r="A5" s="94" t="s">
        <v>3</v>
      </c>
      <c r="B5" s="94"/>
      <c r="C5" s="94"/>
      <c r="D5" s="94"/>
      <c r="E5" s="104">
        <v>45909</v>
      </c>
      <c r="F5" s="104"/>
      <c r="G5" s="104"/>
      <c r="H5" s="104"/>
    </row>
    <row r="6" spans="1:12" ht="16.5" customHeight="1" x14ac:dyDescent="0.3">
      <c r="A6" s="94" t="s">
        <v>4</v>
      </c>
      <c r="B6" s="94"/>
      <c r="C6" s="94"/>
      <c r="D6" s="94"/>
      <c r="E6" s="95" t="s">
        <v>243</v>
      </c>
      <c r="F6" s="95"/>
      <c r="G6" s="95"/>
      <c r="H6" s="95"/>
    </row>
    <row r="7" spans="1:12" ht="15" customHeight="1" x14ac:dyDescent="0.3">
      <c r="A7" s="94" t="s">
        <v>5</v>
      </c>
      <c r="B7" s="94"/>
      <c r="C7" s="94"/>
      <c r="D7" s="94"/>
      <c r="E7" s="95" t="str">
        <f>E6</f>
        <v>M/s. Shakuntala Realty Pvt. Ltd.</v>
      </c>
      <c r="F7" s="95"/>
      <c r="G7" s="95"/>
      <c r="H7" s="95"/>
    </row>
    <row r="8" spans="1:12" x14ac:dyDescent="0.3">
      <c r="A8" s="94" t="s">
        <v>6</v>
      </c>
      <c r="B8" s="94"/>
      <c r="C8" s="94"/>
      <c r="D8" s="94"/>
      <c r="E8" s="106" t="s">
        <v>238</v>
      </c>
      <c r="F8" s="106"/>
      <c r="G8" s="106"/>
      <c r="H8" s="106"/>
    </row>
    <row r="9" spans="1:12" x14ac:dyDescent="0.3">
      <c r="A9" s="94" t="s">
        <v>168</v>
      </c>
      <c r="B9" s="94"/>
      <c r="C9" s="94"/>
      <c r="D9" s="94"/>
      <c r="E9" s="94">
        <v>7757001250</v>
      </c>
      <c r="F9" s="94"/>
      <c r="G9" s="94"/>
      <c r="H9" s="94"/>
    </row>
    <row r="10" spans="1:12" ht="33" customHeight="1" x14ac:dyDescent="0.3">
      <c r="A10" s="102" t="s">
        <v>7</v>
      </c>
      <c r="B10" s="102"/>
      <c r="C10" s="102"/>
      <c r="D10" s="102"/>
      <c r="E10" s="103" t="s">
        <v>194</v>
      </c>
      <c r="F10" s="102"/>
      <c r="G10" s="102"/>
      <c r="H10" s="102"/>
    </row>
    <row r="11" spans="1:12" x14ac:dyDescent="0.3">
      <c r="A11" s="94" t="s">
        <v>8</v>
      </c>
      <c r="B11" s="94"/>
      <c r="C11" s="94"/>
      <c r="D11" s="94"/>
      <c r="E11" s="103" t="s">
        <v>189</v>
      </c>
      <c r="F11" s="103"/>
      <c r="G11" s="103"/>
      <c r="H11" s="103"/>
    </row>
    <row r="12" spans="1:12" x14ac:dyDescent="0.3">
      <c r="A12" s="94" t="s">
        <v>9</v>
      </c>
      <c r="B12" s="94"/>
      <c r="C12" s="94"/>
      <c r="D12" s="94"/>
      <c r="E12" s="103" t="s">
        <v>244</v>
      </c>
      <c r="F12" s="102"/>
      <c r="G12" s="102"/>
      <c r="H12" s="102"/>
    </row>
    <row r="13" spans="1:12" ht="34.5" customHeight="1" x14ac:dyDescent="0.3">
      <c r="A13" s="95" t="s">
        <v>10</v>
      </c>
      <c r="B13" s="95"/>
      <c r="C13" s="95" t="str">
        <f>CONCATENATE((IF(OR(E8="",E8="NA"),"",E8)),", ",(IF(OR(A14="",A14="NA"),"",A14)),".",(IF(OR(C14="",C14="NA"),"",C14)),", ",(IF(OR(C15="",C15="NA"),"",C15)),", ",(IF(OR(G15="",G15="NA"),"",G15)),", ",(IF(OR(C16="",C16="NA"),"",C16)),", ",(IF(OR(C17="",C17="NA"),"",C17)),", ",(IF(OR(G16="",G16="NA"),"",G16)),".")</f>
        <v>Shree Puram Township Phase 1, Survey No.8(Part) &amp; S.No. 6, Internal Road, Kambalgaon, Palghar East, Palghar, Palghar.</v>
      </c>
      <c r="D13" s="95"/>
      <c r="E13" s="95"/>
      <c r="F13" s="95"/>
      <c r="G13" s="95"/>
      <c r="H13" s="95"/>
    </row>
    <row r="14" spans="1:12" ht="15.75" customHeight="1" x14ac:dyDescent="0.3">
      <c r="A14" s="103" t="s">
        <v>196</v>
      </c>
      <c r="B14" s="103"/>
      <c r="C14" s="103" t="s">
        <v>171</v>
      </c>
      <c r="D14" s="103"/>
      <c r="E14" s="103"/>
      <c r="F14" s="103"/>
      <c r="G14" s="103"/>
      <c r="H14" s="103"/>
    </row>
    <row r="15" spans="1:12" ht="15.75" customHeight="1" x14ac:dyDescent="0.3">
      <c r="A15" s="95" t="s">
        <v>11</v>
      </c>
      <c r="B15" s="95"/>
      <c r="C15" s="102" t="s">
        <v>172</v>
      </c>
      <c r="D15" s="102"/>
      <c r="E15" s="95" t="s">
        <v>106</v>
      </c>
      <c r="F15" s="95"/>
      <c r="G15" s="103" t="s">
        <v>169</v>
      </c>
      <c r="H15" s="103"/>
    </row>
    <row r="16" spans="1:12" x14ac:dyDescent="0.3">
      <c r="A16" s="94" t="s">
        <v>13</v>
      </c>
      <c r="B16" s="94"/>
      <c r="C16" s="103" t="s">
        <v>224</v>
      </c>
      <c r="D16" s="103"/>
      <c r="E16" s="95" t="s">
        <v>12</v>
      </c>
      <c r="F16" s="95"/>
      <c r="G16" s="108" t="s">
        <v>170</v>
      </c>
      <c r="H16" s="108"/>
    </row>
    <row r="17" spans="1:8" x14ac:dyDescent="0.3">
      <c r="A17" s="94" t="s">
        <v>107</v>
      </c>
      <c r="B17" s="94"/>
      <c r="C17" s="103" t="s">
        <v>170</v>
      </c>
      <c r="D17" s="103"/>
      <c r="E17" s="95" t="s">
        <v>14</v>
      </c>
      <c r="F17" s="95"/>
      <c r="G17" s="103">
        <v>401404</v>
      </c>
      <c r="H17" s="103"/>
    </row>
    <row r="18" spans="1:8" ht="32.25" customHeight="1" x14ac:dyDescent="0.3">
      <c r="A18" s="94" t="s">
        <v>15</v>
      </c>
      <c r="B18" s="94"/>
      <c r="C18" s="95" t="s">
        <v>173</v>
      </c>
      <c r="D18" s="95"/>
      <c r="E18" s="95" t="s">
        <v>16</v>
      </c>
      <c r="F18" s="95"/>
      <c r="G18" s="103" t="s">
        <v>199</v>
      </c>
      <c r="H18" s="103"/>
    </row>
    <row r="19" spans="1:8" ht="15" customHeight="1" x14ac:dyDescent="0.3">
      <c r="A19" s="95" t="s">
        <v>112</v>
      </c>
      <c r="B19" s="95"/>
      <c r="C19" s="95"/>
      <c r="D19" s="95"/>
      <c r="E19" s="102" t="s">
        <v>17</v>
      </c>
      <c r="F19" s="102"/>
      <c r="G19" s="102"/>
      <c r="H19" s="102"/>
    </row>
    <row r="20" spans="1:8" ht="18.75" customHeight="1" x14ac:dyDescent="0.3">
      <c r="A20" s="95"/>
      <c r="B20" s="95"/>
      <c r="C20" s="95"/>
      <c r="D20" s="95"/>
      <c r="E20" s="102"/>
      <c r="F20" s="102"/>
      <c r="G20" s="102"/>
      <c r="H20" s="102"/>
    </row>
    <row r="21" spans="1:8" ht="15" customHeight="1" x14ac:dyDescent="0.3">
      <c r="A21" s="95" t="s">
        <v>18</v>
      </c>
      <c r="B21" s="95"/>
      <c r="C21" s="95"/>
      <c r="D21" s="95"/>
      <c r="E21" s="103" t="s">
        <v>19</v>
      </c>
      <c r="F21" s="103"/>
      <c r="G21" s="103"/>
      <c r="H21" s="103"/>
    </row>
    <row r="22" spans="1:8" ht="15" customHeight="1" x14ac:dyDescent="0.3">
      <c r="A22" s="94" t="s">
        <v>20</v>
      </c>
      <c r="B22" s="94"/>
      <c r="C22" s="94"/>
      <c r="D22" s="94"/>
      <c r="E22" s="103" t="str">
        <f>IF(AND(G16="Mumbai"),"Upper Class","Middle Class")</f>
        <v>Middle Class</v>
      </c>
      <c r="F22" s="103"/>
      <c r="G22" s="103"/>
      <c r="H22" s="103"/>
    </row>
    <row r="23" spans="1:8" x14ac:dyDescent="0.3">
      <c r="A23" s="94" t="s">
        <v>21</v>
      </c>
      <c r="B23" s="94"/>
      <c r="C23" s="94"/>
      <c r="D23" s="94"/>
      <c r="E23" s="103" t="s">
        <v>22</v>
      </c>
      <c r="F23" s="103"/>
      <c r="G23" s="103"/>
      <c r="H23" s="103"/>
    </row>
    <row r="24" spans="1:8" ht="15.75" customHeight="1" x14ac:dyDescent="0.3">
      <c r="A24" s="94" t="s">
        <v>23</v>
      </c>
      <c r="B24" s="94"/>
      <c r="C24" s="94"/>
      <c r="D24" s="94"/>
      <c r="E24" s="103" t="str">
        <f>IF(AND(G16="Mumbai"),"Developed","Developing")</f>
        <v>Developing</v>
      </c>
      <c r="F24" s="103"/>
      <c r="G24" s="103"/>
      <c r="H24" s="103"/>
    </row>
    <row r="25" spans="1:8" x14ac:dyDescent="0.3">
      <c r="A25" s="94" t="s">
        <v>24</v>
      </c>
      <c r="B25" s="94"/>
      <c r="C25" s="94"/>
      <c r="D25" s="94"/>
      <c r="E25" s="103" t="s">
        <v>25</v>
      </c>
      <c r="F25" s="103"/>
      <c r="G25" s="103"/>
      <c r="H25" s="103"/>
    </row>
    <row r="26" spans="1:8" x14ac:dyDescent="0.3">
      <c r="A26" s="94" t="s">
        <v>120</v>
      </c>
      <c r="B26" s="94"/>
      <c r="C26" s="94"/>
      <c r="D26" s="94"/>
      <c r="E26" s="103" t="s">
        <v>121</v>
      </c>
      <c r="F26" s="103"/>
      <c r="G26" s="103"/>
      <c r="H26" s="103"/>
    </row>
    <row r="27" spans="1:8" ht="15" customHeight="1" x14ac:dyDescent="0.3">
      <c r="A27" s="95" t="s">
        <v>34</v>
      </c>
      <c r="B27" s="95"/>
      <c r="C27" s="95"/>
      <c r="D27" s="95"/>
      <c r="E27" s="107" t="s">
        <v>116</v>
      </c>
      <c r="F27" s="107"/>
      <c r="G27" s="107"/>
      <c r="H27" s="107"/>
    </row>
    <row r="28" spans="1:8" x14ac:dyDescent="0.3">
      <c r="A28" s="95" t="s">
        <v>133</v>
      </c>
      <c r="B28" s="95"/>
      <c r="C28" s="95"/>
      <c r="D28" s="95"/>
      <c r="E28" s="95" t="s">
        <v>35</v>
      </c>
      <c r="F28" s="95"/>
      <c r="G28" s="95"/>
      <c r="H28" s="95"/>
    </row>
    <row r="29" spans="1:8" s="11" customFormat="1" x14ac:dyDescent="0.3">
      <c r="A29" s="119" t="s">
        <v>134</v>
      </c>
      <c r="B29" s="119"/>
      <c r="C29" s="113" t="s">
        <v>30</v>
      </c>
      <c r="D29" s="113"/>
      <c r="E29" s="113"/>
      <c r="F29" s="113" t="s">
        <v>32</v>
      </c>
      <c r="G29" s="113"/>
      <c r="H29" s="113"/>
    </row>
    <row r="30" spans="1:8" s="11" customFormat="1" x14ac:dyDescent="0.3">
      <c r="A30" s="110" t="s">
        <v>26</v>
      </c>
      <c r="B30" s="110" t="s">
        <v>31</v>
      </c>
      <c r="C30" s="112" t="s">
        <v>31</v>
      </c>
      <c r="D30" s="112"/>
      <c r="E30" s="112"/>
      <c r="F30" s="112" t="s">
        <v>190</v>
      </c>
      <c r="G30" s="112"/>
      <c r="H30" s="112"/>
    </row>
    <row r="31" spans="1:8" x14ac:dyDescent="0.3">
      <c r="A31" s="110" t="s">
        <v>27</v>
      </c>
      <c r="B31" s="110" t="s">
        <v>31</v>
      </c>
      <c r="C31" s="112" t="s">
        <v>31</v>
      </c>
      <c r="D31" s="112"/>
      <c r="E31" s="112"/>
      <c r="F31" s="112" t="s">
        <v>191</v>
      </c>
      <c r="G31" s="112"/>
      <c r="H31" s="112"/>
    </row>
    <row r="32" spans="1:8" s="11" customFormat="1" x14ac:dyDescent="0.3">
      <c r="A32" s="110" t="s">
        <v>29</v>
      </c>
      <c r="B32" s="110" t="s">
        <v>31</v>
      </c>
      <c r="C32" s="112" t="s">
        <v>31</v>
      </c>
      <c r="D32" s="112"/>
      <c r="E32" s="112"/>
      <c r="F32" s="112" t="s">
        <v>191</v>
      </c>
      <c r="G32" s="112"/>
      <c r="H32" s="112"/>
    </row>
    <row r="33" spans="1:9" x14ac:dyDescent="0.3">
      <c r="A33" s="110" t="s">
        <v>28</v>
      </c>
      <c r="B33" s="110" t="s">
        <v>31</v>
      </c>
      <c r="C33" s="112" t="s">
        <v>31</v>
      </c>
      <c r="D33" s="112"/>
      <c r="E33" s="112"/>
      <c r="F33" s="112" t="s">
        <v>172</v>
      </c>
      <c r="G33" s="112"/>
      <c r="H33" s="112"/>
    </row>
    <row r="34" spans="1:9" x14ac:dyDescent="0.3">
      <c r="A34" s="94" t="s">
        <v>33</v>
      </c>
      <c r="B34" s="94"/>
      <c r="C34" s="94"/>
      <c r="D34" s="94"/>
      <c r="E34" s="94"/>
      <c r="F34" s="94"/>
      <c r="G34" s="94"/>
      <c r="H34" s="94"/>
    </row>
    <row r="35" spans="1:9" ht="15.75" customHeight="1" x14ac:dyDescent="0.3">
      <c r="A35" s="99" t="s">
        <v>234</v>
      </c>
      <c r="B35" s="99"/>
      <c r="C35" s="123" t="s">
        <v>235</v>
      </c>
      <c r="D35" s="123"/>
      <c r="E35" s="123"/>
      <c r="F35" s="123"/>
      <c r="G35" s="123"/>
      <c r="H35" s="123"/>
      <c r="I35" s="34"/>
    </row>
    <row r="36" spans="1:9" ht="15.75" customHeight="1" x14ac:dyDescent="0.3">
      <c r="A36" s="99" t="s">
        <v>236</v>
      </c>
      <c r="B36" s="99"/>
      <c r="C36" s="163" t="s">
        <v>237</v>
      </c>
      <c r="D36" s="123"/>
      <c r="E36" s="123"/>
      <c r="F36" s="123"/>
      <c r="G36" s="123"/>
      <c r="H36" s="123"/>
      <c r="I36" s="34"/>
    </row>
    <row r="37" spans="1:9" x14ac:dyDescent="0.3">
      <c r="A37" s="106" t="s">
        <v>36</v>
      </c>
      <c r="B37" s="106"/>
      <c r="C37" s="106"/>
      <c r="D37" s="106"/>
      <c r="E37" s="106"/>
      <c r="F37" s="106"/>
      <c r="G37" s="106"/>
      <c r="H37" s="106"/>
    </row>
    <row r="38" spans="1:9" x14ac:dyDescent="0.3">
      <c r="A38" s="94" t="s">
        <v>37</v>
      </c>
      <c r="B38" s="94"/>
      <c r="C38" s="94"/>
      <c r="D38" s="94"/>
      <c r="E38" s="111">
        <v>18216</v>
      </c>
      <c r="F38" s="111"/>
      <c r="G38" s="111"/>
      <c r="H38" s="111"/>
    </row>
    <row r="39" spans="1:9" x14ac:dyDescent="0.3">
      <c r="A39" s="94" t="s">
        <v>38</v>
      </c>
      <c r="B39" s="94"/>
      <c r="C39" s="94"/>
      <c r="D39" s="94"/>
      <c r="E39" s="109">
        <v>0.9</v>
      </c>
      <c r="F39" s="109"/>
      <c r="G39" s="109"/>
      <c r="H39" s="109"/>
    </row>
    <row r="40" spans="1:9" x14ac:dyDescent="0.3">
      <c r="A40" s="94" t="s">
        <v>39</v>
      </c>
      <c r="B40" s="94"/>
      <c r="C40" s="94"/>
      <c r="D40" s="94"/>
      <c r="E40" s="109">
        <f>E42/E38-E39</f>
        <v>-8.5090030742307476E-5</v>
      </c>
      <c r="F40" s="109"/>
      <c r="G40" s="109"/>
      <c r="H40" s="109"/>
    </row>
    <row r="41" spans="1:9" x14ac:dyDescent="0.3">
      <c r="A41" s="94" t="s">
        <v>40</v>
      </c>
      <c r="B41" s="94"/>
      <c r="C41" s="94"/>
      <c r="D41" s="94"/>
      <c r="E41" s="109">
        <f>E39+E40</f>
        <v>0.89991490996925771</v>
      </c>
      <c r="F41" s="109"/>
      <c r="G41" s="109"/>
      <c r="H41" s="109"/>
    </row>
    <row r="42" spans="1:9" x14ac:dyDescent="0.3">
      <c r="A42" s="94" t="s">
        <v>132</v>
      </c>
      <c r="B42" s="94"/>
      <c r="C42" s="94"/>
      <c r="D42" s="94"/>
      <c r="E42" s="120">
        <v>16392.849999999999</v>
      </c>
      <c r="F42" s="120"/>
      <c r="G42" s="120"/>
      <c r="H42" s="120"/>
    </row>
    <row r="43" spans="1:9" x14ac:dyDescent="0.3">
      <c r="A43" s="102" t="s">
        <v>41</v>
      </c>
      <c r="B43" s="102"/>
      <c r="C43" s="102"/>
      <c r="D43" s="102"/>
      <c r="E43" s="102" t="s">
        <v>198</v>
      </c>
      <c r="F43" s="102"/>
      <c r="G43" s="102"/>
      <c r="H43" s="102"/>
    </row>
    <row r="44" spans="1:9" x14ac:dyDescent="0.3">
      <c r="A44" s="121" t="s">
        <v>42</v>
      </c>
      <c r="B44" s="121"/>
      <c r="C44" s="121"/>
      <c r="D44" s="121"/>
      <c r="E44" s="121"/>
      <c r="F44" s="121"/>
      <c r="G44" s="121"/>
      <c r="H44" s="121"/>
    </row>
    <row r="45" spans="1:9" ht="31.5" customHeight="1" x14ac:dyDescent="0.3">
      <c r="A45" s="103" t="s">
        <v>43</v>
      </c>
      <c r="B45" s="103"/>
      <c r="C45" s="103" t="s">
        <v>176</v>
      </c>
      <c r="D45" s="103"/>
      <c r="E45" s="103"/>
      <c r="F45" s="47" t="s">
        <v>44</v>
      </c>
      <c r="G45" s="122" t="s">
        <v>175</v>
      </c>
      <c r="H45" s="122"/>
    </row>
    <row r="46" spans="1:9" ht="31.5" customHeight="1" x14ac:dyDescent="0.3">
      <c r="A46" s="103" t="s">
        <v>45</v>
      </c>
      <c r="B46" s="103"/>
      <c r="C46" s="103" t="str">
        <f>C45</f>
        <v>MAHSUL/KAKSH.1/MEJ.1/NAP/SR/247/18</v>
      </c>
      <c r="D46" s="103"/>
      <c r="E46" s="103"/>
      <c r="F46" s="47" t="s">
        <v>44</v>
      </c>
      <c r="G46" s="122" t="str">
        <f>G45</f>
        <v>17/01/2020.</v>
      </c>
      <c r="H46" s="122"/>
    </row>
    <row r="47" spans="1:9" s="10" customFormat="1" ht="31.5" customHeight="1" x14ac:dyDescent="0.3">
      <c r="A47" s="103" t="s">
        <v>46</v>
      </c>
      <c r="B47" s="103"/>
      <c r="C47" s="103" t="s">
        <v>174</v>
      </c>
      <c r="D47" s="102"/>
      <c r="E47" s="102"/>
      <c r="F47" s="52" t="s">
        <v>44</v>
      </c>
      <c r="G47" s="122" t="s">
        <v>175</v>
      </c>
      <c r="H47" s="122"/>
    </row>
    <row r="48" spans="1:9" s="10" customFormat="1" ht="49.5" customHeight="1" x14ac:dyDescent="0.3">
      <c r="A48" s="103"/>
      <c r="B48" s="103"/>
      <c r="C48" s="150" t="s">
        <v>220</v>
      </c>
      <c r="D48" s="151"/>
      <c r="E48" s="151"/>
      <c r="F48" s="151"/>
      <c r="G48" s="151"/>
      <c r="H48" s="152"/>
    </row>
    <row r="49" spans="1:11" x14ac:dyDescent="0.3">
      <c r="A49" s="148" t="s">
        <v>47</v>
      </c>
      <c r="B49" s="148"/>
      <c r="C49" s="148" t="s">
        <v>149</v>
      </c>
      <c r="D49" s="121"/>
      <c r="E49" s="121" t="s">
        <v>48</v>
      </c>
      <c r="F49" s="44" t="s">
        <v>44</v>
      </c>
      <c r="G49" s="147" t="s">
        <v>31</v>
      </c>
      <c r="H49" s="147"/>
    </row>
    <row r="50" spans="1:11" x14ac:dyDescent="0.3">
      <c r="A50" s="149" t="s">
        <v>50</v>
      </c>
      <c r="B50" s="149"/>
      <c r="C50" s="149"/>
      <c r="D50" s="149"/>
      <c r="E50" s="149"/>
      <c r="F50" s="149"/>
      <c r="G50" s="149"/>
      <c r="H50" s="149"/>
    </row>
    <row r="51" spans="1:11" x14ac:dyDescent="0.3">
      <c r="A51" s="103" t="s">
        <v>131</v>
      </c>
      <c r="B51" s="103"/>
      <c r="C51" s="103"/>
      <c r="D51" s="102">
        <f>2707.43+1004.19</f>
        <v>3711.62</v>
      </c>
      <c r="E51" s="102"/>
      <c r="F51" s="102"/>
      <c r="G51" s="102"/>
      <c r="H51" s="102"/>
    </row>
    <row r="52" spans="1:11" x14ac:dyDescent="0.3">
      <c r="A52" s="103" t="s">
        <v>51</v>
      </c>
      <c r="B52" s="102"/>
      <c r="C52" s="102"/>
      <c r="D52" s="102" t="s">
        <v>188</v>
      </c>
      <c r="E52" s="102"/>
      <c r="F52" s="102"/>
      <c r="G52" s="102"/>
      <c r="H52" s="102"/>
    </row>
    <row r="53" spans="1:11" ht="34.5" customHeight="1" x14ac:dyDescent="0.3">
      <c r="A53" s="103" t="s">
        <v>52</v>
      </c>
      <c r="B53" s="102"/>
      <c r="C53" s="102"/>
      <c r="D53" s="103" t="s">
        <v>221</v>
      </c>
      <c r="E53" s="102"/>
      <c r="F53" s="102"/>
      <c r="G53" s="102"/>
      <c r="H53" s="102"/>
    </row>
    <row r="54" spans="1:11" ht="31.5" customHeight="1" x14ac:dyDescent="0.3">
      <c r="A54" s="103" t="s">
        <v>129</v>
      </c>
      <c r="B54" s="102"/>
      <c r="C54" s="102"/>
      <c r="D54" s="103" t="s">
        <v>221</v>
      </c>
      <c r="E54" s="102"/>
      <c r="F54" s="102"/>
      <c r="G54" s="102"/>
      <c r="H54" s="102"/>
    </row>
    <row r="55" spans="1:11" ht="15.75" customHeight="1" x14ac:dyDescent="0.3">
      <c r="A55" s="94" t="s">
        <v>49</v>
      </c>
      <c r="B55" s="94"/>
      <c r="C55" s="94"/>
      <c r="D55" s="95" t="s">
        <v>177</v>
      </c>
      <c r="E55" s="95"/>
      <c r="F55" s="95"/>
      <c r="G55" s="95"/>
      <c r="H55" s="95"/>
    </row>
    <row r="56" spans="1:11" ht="15.75" customHeight="1" x14ac:dyDescent="0.3">
      <c r="A56" s="94" t="s">
        <v>126</v>
      </c>
      <c r="B56" s="94"/>
      <c r="C56" s="94"/>
      <c r="D56" s="95" t="s">
        <v>127</v>
      </c>
      <c r="E56" s="95"/>
      <c r="F56" s="95"/>
      <c r="G56" s="95"/>
      <c r="H56" s="95"/>
    </row>
    <row r="57" spans="1:11" ht="15.75" customHeight="1" x14ac:dyDescent="0.3">
      <c r="A57" s="94" t="s">
        <v>128</v>
      </c>
      <c r="B57" s="94"/>
      <c r="C57" s="94"/>
      <c r="D57" s="95" t="s">
        <v>25</v>
      </c>
      <c r="E57" s="95"/>
      <c r="F57" s="95"/>
      <c r="G57" s="95"/>
      <c r="H57" s="95"/>
      <c r="J57" s="14"/>
      <c r="K57" s="14"/>
    </row>
    <row r="58" spans="1:11" ht="15.75" customHeight="1" thickBot="1" x14ac:dyDescent="0.35">
      <c r="A58" s="136" t="s">
        <v>125</v>
      </c>
      <c r="B58" s="136"/>
      <c r="C58" s="136"/>
      <c r="D58" s="137" t="str">
        <f ca="1">(IF(E63&gt;95%,"Nothing",IF(E63&gt;0%,"Cement, Aggregate, Steel, etc",IF(E63=0%,"Work not yet Started"))))</f>
        <v>Cement, Aggregate, Steel, etc</v>
      </c>
      <c r="E58" s="137"/>
      <c r="F58" s="137"/>
      <c r="G58" s="137"/>
      <c r="H58" s="137"/>
      <c r="J58" s="14"/>
      <c r="K58" s="14"/>
    </row>
    <row r="59" spans="1:11" ht="15.75" customHeight="1" x14ac:dyDescent="0.3">
      <c r="A59" s="138" t="s">
        <v>202</v>
      </c>
      <c r="B59" s="139"/>
      <c r="C59" s="140" t="s">
        <v>222</v>
      </c>
      <c r="D59" s="141"/>
      <c r="E59" s="141"/>
      <c r="F59" s="141"/>
      <c r="G59" s="141"/>
      <c r="H59" s="142"/>
      <c r="I59" s="35"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Excavation work Completed. Plinth work completed, RCC Slab, Brickwork, Internal Plaster upto 4 Floor, External Plaster upto 6 Floor Completed</v>
      </c>
      <c r="J59" s="16"/>
      <c r="K59" s="14"/>
    </row>
    <row r="60" spans="1:11" ht="15.75" customHeight="1" x14ac:dyDescent="0.3">
      <c r="A60" s="15" t="s">
        <v>103</v>
      </c>
      <c r="B60" s="48">
        <v>0</v>
      </c>
      <c r="C60" s="48" t="s">
        <v>105</v>
      </c>
      <c r="D60" s="48">
        <v>1</v>
      </c>
      <c r="E60" s="48" t="s">
        <v>104</v>
      </c>
      <c r="F60" s="48">
        <v>0</v>
      </c>
      <c r="G60" s="48" t="s">
        <v>119</v>
      </c>
      <c r="H60" s="33">
        <f ca="1">--TRIM(RIGHT(SUBSTITUTE(LEFT(C59,_xlfn.AGGREGATE(16,6,FIND({0,1,2,3,4,5,6,7,8,9},C59,ROW(INDIRECT("1:"&amp;LEN(C59)))),1))," ",REPT(" ",LEN(C59))),LEN(C59)))</f>
        <v>7</v>
      </c>
      <c r="I60" s="14"/>
      <c r="J60" s="17"/>
      <c r="K60" s="14"/>
    </row>
    <row r="61" spans="1:11" ht="33" customHeight="1" x14ac:dyDescent="0.3">
      <c r="A61" s="143" t="s">
        <v>130</v>
      </c>
      <c r="B61" s="121"/>
      <c r="C61" s="144" t="str">
        <f ca="1">I59</f>
        <v>Excavation work Completed. Plinth work completed, RCC Slab, Brickwork, Internal Plaster upto 4 Floor, External Plaster upto 6 Floor Completed</v>
      </c>
      <c r="D61" s="145"/>
      <c r="E61" s="145"/>
      <c r="F61" s="145"/>
      <c r="G61" s="145"/>
      <c r="H61" s="146"/>
      <c r="I61" s="14" t="s">
        <v>148</v>
      </c>
      <c r="J61" s="17"/>
      <c r="K61" s="14"/>
    </row>
    <row r="62" spans="1:11" ht="15.75" customHeight="1" x14ac:dyDescent="0.3">
      <c r="A62" s="124" t="s">
        <v>53</v>
      </c>
      <c r="B62" s="125"/>
      <c r="C62" s="43" t="s">
        <v>203</v>
      </c>
      <c r="D62" s="43" t="s">
        <v>122</v>
      </c>
      <c r="E62" s="126" t="s">
        <v>124</v>
      </c>
      <c r="F62" s="127"/>
      <c r="G62" s="126" t="s">
        <v>123</v>
      </c>
      <c r="H62" s="128"/>
      <c r="I62" s="36" t="s">
        <v>204</v>
      </c>
      <c r="J62" s="18">
        <f ca="1">H60*25%</f>
        <v>1.75</v>
      </c>
      <c r="K62" s="14"/>
    </row>
    <row r="63" spans="1:11" ht="15.75" customHeight="1" x14ac:dyDescent="0.3">
      <c r="A63" s="125" t="s">
        <v>205</v>
      </c>
      <c r="B63" s="125"/>
      <c r="C63" s="53">
        <f ca="1">J64</f>
        <v>7</v>
      </c>
      <c r="D63" s="54">
        <f ca="1">((100/H60)*C63)/100</f>
        <v>1</v>
      </c>
      <c r="E63" s="129">
        <f ca="1">(((C64/H60*10)+(40/(D60+F60+H60)*C65)+(7.5/(H60)*C66)+(7.5/(H60)*C67)+(10/H60*C68)+(10/H60*C69)+(5/H60*C70)+(5/H60*C71)+(5/H60*C72))/100)</f>
        <v>0.70357142857142863</v>
      </c>
      <c r="F63" s="129"/>
      <c r="G63" s="129">
        <f ca="1">((((C63/H60)*20)+((C64/H60)*25)+(30/(H60+F60+D60)*C65)+(5/H60*C66)+(5/H60*C67)+(5/H60*C68)+(5/H60*C69)+(0/H60*C70)+(0/H60*C71)+(5/H60*C72))/100)</f>
        <v>0.87142857142857155</v>
      </c>
      <c r="H63" s="129"/>
      <c r="I63" s="36" t="s">
        <v>142</v>
      </c>
      <c r="J63" s="37">
        <f ca="1">H60*50%</f>
        <v>3.5</v>
      </c>
      <c r="K63" s="14"/>
    </row>
    <row r="64" spans="1:11" ht="15.75" customHeight="1" x14ac:dyDescent="0.3">
      <c r="A64" s="125" t="s">
        <v>54</v>
      </c>
      <c r="B64" s="125"/>
      <c r="C64" s="55">
        <v>7</v>
      </c>
      <c r="D64" s="54">
        <f ca="1">((100/H60)*C64)/100</f>
        <v>1</v>
      </c>
      <c r="E64" s="129"/>
      <c r="F64" s="129"/>
      <c r="G64" s="129"/>
      <c r="H64" s="129"/>
      <c r="I64" s="36" t="s">
        <v>143</v>
      </c>
      <c r="J64" s="37">
        <f ca="1">H60</f>
        <v>7</v>
      </c>
      <c r="K64" s="14"/>
    </row>
    <row r="65" spans="1:11" ht="15.75" customHeight="1" x14ac:dyDescent="0.3">
      <c r="A65" s="125" t="s">
        <v>206</v>
      </c>
      <c r="B65" s="125"/>
      <c r="C65" s="55">
        <v>8</v>
      </c>
      <c r="D65" s="54">
        <f ca="1">((100/(D60+F60+H60))*C65)/100</f>
        <v>1</v>
      </c>
      <c r="E65" s="129"/>
      <c r="F65" s="129"/>
      <c r="G65" s="129"/>
      <c r="H65" s="129"/>
      <c r="I65" s="36" t="s">
        <v>144</v>
      </c>
      <c r="J65" s="38">
        <f ca="1">(IF(B60&gt;1,(H60/(B60+2)),H60/4))</f>
        <v>1.75</v>
      </c>
      <c r="K65" s="14" t="s">
        <v>240</v>
      </c>
    </row>
    <row r="66" spans="1:11" ht="15.75" customHeight="1" x14ac:dyDescent="0.3">
      <c r="A66" s="125" t="s">
        <v>207</v>
      </c>
      <c r="B66" s="125" t="s">
        <v>208</v>
      </c>
      <c r="C66" s="53">
        <v>7</v>
      </c>
      <c r="D66" s="54">
        <f ca="1">((100/H60)*C66)/100</f>
        <v>1</v>
      </c>
      <c r="E66" s="129"/>
      <c r="F66" s="129"/>
      <c r="G66" s="129"/>
      <c r="H66" s="129"/>
      <c r="I66" s="36" t="s">
        <v>145</v>
      </c>
      <c r="J66" s="38">
        <f ca="1">(IF(B60&gt;1,(H60/(B60+2)+J65),H60/4+J65))</f>
        <v>3.5</v>
      </c>
      <c r="K66" s="14" t="s">
        <v>241</v>
      </c>
    </row>
    <row r="67" spans="1:11" ht="15.75" customHeight="1" x14ac:dyDescent="0.3">
      <c r="A67" s="125" t="s">
        <v>209</v>
      </c>
      <c r="B67" s="125" t="s">
        <v>208</v>
      </c>
      <c r="C67" s="53">
        <v>4</v>
      </c>
      <c r="D67" s="54">
        <f ca="1">((100/H60)*C67)/100</f>
        <v>0.57142857142857151</v>
      </c>
      <c r="E67" s="129"/>
      <c r="F67" s="129"/>
      <c r="G67" s="129"/>
      <c r="H67" s="129"/>
      <c r="I67" s="36" t="s">
        <v>210</v>
      </c>
      <c r="J67" s="38">
        <f>(IF(B60&gt;1,(H60/(B60+2)+J66),0))</f>
        <v>0</v>
      </c>
      <c r="K67" s="14"/>
    </row>
    <row r="68" spans="1:11" ht="15.75" customHeight="1" x14ac:dyDescent="0.3">
      <c r="A68" s="125" t="s">
        <v>211</v>
      </c>
      <c r="B68" s="125" t="s">
        <v>212</v>
      </c>
      <c r="C68" s="53">
        <v>6</v>
      </c>
      <c r="D68" s="54">
        <f ca="1">((100/(H60))*C68)/100</f>
        <v>0.85714285714285721</v>
      </c>
      <c r="E68" s="129"/>
      <c r="F68" s="129"/>
      <c r="G68" s="129"/>
      <c r="H68" s="129"/>
      <c r="I68" s="36" t="s">
        <v>213</v>
      </c>
      <c r="J68" s="38">
        <f>(IF(B60&gt;2,(H60/(B60+2)+J67),0))</f>
        <v>0</v>
      </c>
      <c r="K68" s="14"/>
    </row>
    <row r="69" spans="1:11" ht="15.75" customHeight="1" x14ac:dyDescent="0.3">
      <c r="A69" s="125" t="s">
        <v>214</v>
      </c>
      <c r="B69" s="125" t="s">
        <v>214</v>
      </c>
      <c r="C69" s="53">
        <v>0</v>
      </c>
      <c r="D69" s="54">
        <f ca="1">((100/H60)*C69)/100</f>
        <v>0</v>
      </c>
      <c r="E69" s="129"/>
      <c r="F69" s="129"/>
      <c r="G69" s="129"/>
      <c r="H69" s="129"/>
      <c r="I69" s="36" t="s">
        <v>215</v>
      </c>
      <c r="J69" s="39">
        <f>(IF(B60&gt;3,(H60/(B60+2)+J68),0))</f>
        <v>0</v>
      </c>
      <c r="K69" s="14"/>
    </row>
    <row r="70" spans="1:11" ht="15.75" customHeight="1" x14ac:dyDescent="0.3">
      <c r="A70" s="125" t="s">
        <v>216</v>
      </c>
      <c r="B70" s="125"/>
      <c r="C70" s="53">
        <v>0</v>
      </c>
      <c r="D70" s="54">
        <f ca="1">((100/H60)*C70)/100</f>
        <v>0</v>
      </c>
      <c r="E70" s="129"/>
      <c r="F70" s="129"/>
      <c r="G70" s="129"/>
      <c r="H70" s="129"/>
      <c r="I70" s="36" t="s">
        <v>217</v>
      </c>
      <c r="J70" s="38">
        <f>(IF(B60&gt;4,(H60/(B60+2)+J69),0))</f>
        <v>0</v>
      </c>
      <c r="K70" s="14"/>
    </row>
    <row r="71" spans="1:11" ht="15.75" customHeight="1" x14ac:dyDescent="0.3">
      <c r="A71" s="125" t="s">
        <v>218</v>
      </c>
      <c r="B71" s="125" t="s">
        <v>218</v>
      </c>
      <c r="C71" s="53">
        <v>0</v>
      </c>
      <c r="D71" s="54">
        <f ca="1">((100/(H60))*C71)/100</f>
        <v>0</v>
      </c>
      <c r="E71" s="129"/>
      <c r="F71" s="129"/>
      <c r="G71" s="129"/>
      <c r="H71" s="129"/>
      <c r="I71" s="36" t="s">
        <v>146</v>
      </c>
      <c r="J71" s="38">
        <f ca="1">(IF(B60=1,(H60/(B60+3)+J66),IF(B60=0,(H60/4+J66),IF(B60&gt;1,0))))</f>
        <v>5.25</v>
      </c>
      <c r="K71" s="14"/>
    </row>
    <row r="72" spans="1:11" ht="15.75" customHeight="1" thickBot="1" x14ac:dyDescent="0.35">
      <c r="A72" s="125" t="s">
        <v>219</v>
      </c>
      <c r="B72" s="125"/>
      <c r="C72" s="53">
        <v>0</v>
      </c>
      <c r="D72" s="54">
        <f ca="1">((100/(H60))*C72)/100</f>
        <v>0</v>
      </c>
      <c r="E72" s="129"/>
      <c r="F72" s="129"/>
      <c r="G72" s="129"/>
      <c r="H72" s="129"/>
      <c r="I72" s="40" t="s">
        <v>147</v>
      </c>
      <c r="J72" s="41">
        <f ca="1">(IF(B60&gt;1.5,(H60/(B60+2)+J66+MAX(0,J67-J66)+MAX(0,J68-J67)+MAX(0,J69-J68)+MAX(0,J70-J69)+MAX(0,J71-J70)),IF(B60=1,(H60/(B60+3)+J71),IF(B60=0,H60/4+J71))))</f>
        <v>7</v>
      </c>
      <c r="K72" s="14"/>
    </row>
    <row r="73" spans="1:11" ht="15.75" customHeight="1" x14ac:dyDescent="0.3">
      <c r="A73" s="148" t="s">
        <v>202</v>
      </c>
      <c r="B73" s="148"/>
      <c r="C73" s="148" t="s">
        <v>223</v>
      </c>
      <c r="D73" s="148"/>
      <c r="E73" s="148"/>
      <c r="F73" s="148"/>
      <c r="G73" s="148"/>
      <c r="H73" s="148"/>
      <c r="I73" s="35" t="str">
        <f ca="1">(IF(E77&gt;99%,"All work completed. Please provide OC.",IF(E77&gt;89.8%,"Plinth, RCC, Brick, Plaster, Flooring, Painting work Completed. Finishing work is in process.",IF(E77&lt;94%,(IF(C77=0,"Work not yet Started.",IF(D77=25%,"Piling work in process",IF(D77=50%,"Excavation work in process",IF(D77=100%,"Excavation work Completed. ","0")))&amp;(IF(C78=0%,"",IF(C78=J79,"Footing work is process",IF(C78=J80,"Footing work Completed",IF(C78=J81,"1st Basement Completed",IF(C78=J82,"1st &amp; 2nd Basement Completed",IF(C78=J83,"1st to 3rd Basement Completed",IF(C78=J84,"1st to 4th Basement Completed",IF(C78=J85,"Plinth work is process",IF(C78=J86,"Plinth work completed","0")))))))))))&amp;(IF(C79=(D74+F74+H74),", RCC Slab",IF(C79&gt;0,", RCC upto "&amp;C79&amp;" Slab",""))&amp;(IF(C80=H74,", Brickwork",IF(C80&gt;0,", Brickwork upto "&amp;C80&amp;" Floor",""))&amp;(IF(C81=H74,", Internal Plaster",IF(C81&gt;0,", Internal Plaster upto "&amp;C81&amp;" Floor",""))&amp;(IF(C82=H74,", External Plaster",IF(C82&gt;0,", External Plaster upto "&amp;C82&amp;" Floor",""))&amp;(IF(C83=H74,", Flooring",IF(C83&gt;0,", Flooring upto "&amp;C83&amp;" Floor",""))&amp;(IF(C84=H74,", Painting",IF(C84&gt;0,", Painting upto "&amp;C84&amp;" Floor",""))&amp;(IF(C85&gt;0,", Finishing upto "&amp;C85&amp;" Floor","")&amp;(IF(C79&gt;0.5," Completed",""))))))))))))))</f>
        <v>All work completed. Please provide OC.</v>
      </c>
      <c r="J73" s="16"/>
      <c r="K73" s="14"/>
    </row>
    <row r="74" spans="1:11" ht="15.75" customHeight="1" x14ac:dyDescent="0.3">
      <c r="A74" s="48" t="s">
        <v>103</v>
      </c>
      <c r="B74" s="48">
        <v>0</v>
      </c>
      <c r="C74" s="48" t="s">
        <v>105</v>
      </c>
      <c r="D74" s="48">
        <v>1</v>
      </c>
      <c r="E74" s="48" t="s">
        <v>104</v>
      </c>
      <c r="F74" s="48">
        <v>0</v>
      </c>
      <c r="G74" s="48" t="s">
        <v>119</v>
      </c>
      <c r="H74" s="48">
        <f ca="1">--TRIM(RIGHT(SUBSTITUTE(LEFT(C73,_xlfn.AGGREGATE(16,6,FIND({0,1,2,3,4,5,6,7,8,9},C73,ROW(INDIRECT("1:"&amp;LEN(C73)))),1))," ",REPT(" ",LEN(C73))),LEN(C73)))</f>
        <v>4</v>
      </c>
      <c r="I74" s="14"/>
      <c r="J74" s="17"/>
      <c r="K74" s="14"/>
    </row>
    <row r="75" spans="1:11" ht="16.2" thickBot="1" x14ac:dyDescent="0.35">
      <c r="A75" s="121" t="s">
        <v>130</v>
      </c>
      <c r="B75" s="121"/>
      <c r="C75" s="148" t="str">
        <f ca="1">I73</f>
        <v>All work completed. Please provide OC.</v>
      </c>
      <c r="D75" s="148"/>
      <c r="E75" s="148"/>
      <c r="F75" s="148"/>
      <c r="G75" s="148"/>
      <c r="H75" s="148"/>
      <c r="I75" s="14" t="s">
        <v>148</v>
      </c>
      <c r="J75" s="17"/>
      <c r="K75" s="14"/>
    </row>
    <row r="76" spans="1:11" ht="15.75" hidden="1" customHeight="1" x14ac:dyDescent="0.3">
      <c r="A76" s="125" t="s">
        <v>53</v>
      </c>
      <c r="B76" s="125"/>
      <c r="C76" s="43" t="s">
        <v>203</v>
      </c>
      <c r="D76" s="43" t="s">
        <v>122</v>
      </c>
      <c r="E76" s="125" t="s">
        <v>124</v>
      </c>
      <c r="F76" s="125"/>
      <c r="G76" s="125" t="s">
        <v>123</v>
      </c>
      <c r="H76" s="125"/>
      <c r="I76" s="36" t="s">
        <v>204</v>
      </c>
      <c r="J76" s="18">
        <f ca="1">H74*25%</f>
        <v>1</v>
      </c>
      <c r="K76" s="14"/>
    </row>
    <row r="77" spans="1:11" ht="15.75" hidden="1" customHeight="1" x14ac:dyDescent="0.3">
      <c r="A77" s="125" t="s">
        <v>205</v>
      </c>
      <c r="B77" s="125"/>
      <c r="C77" s="53">
        <f ca="1">J78</f>
        <v>4</v>
      </c>
      <c r="D77" s="54">
        <f ca="1">((100/H74)*C77)/100</f>
        <v>1</v>
      </c>
      <c r="E77" s="129">
        <f ca="1">(((C78/H74*10)+(40/(D74+F74+H74)*C79)+(7.5/(H74)*C80)+(7.5/(H74)*C81)+(10/H74*C82)+(10/H74*C83)+(5/H74*C84)+(5/H74*C85)+(5/H74*C86))/100)</f>
        <v>1</v>
      </c>
      <c r="F77" s="129"/>
      <c r="G77" s="129">
        <f ca="1">((((C77/H74)*20)+((C78/H74)*25)+(30/(H74+F74+D74)*C79)+(5/H74*C80)+(5/H74*C81)+(5/H74*C82)+(5/H74*C83)+(0/H74*C84)+(0/H74*C85)+(5/H74*C86))/100)</f>
        <v>1</v>
      </c>
      <c r="H77" s="129"/>
      <c r="I77" s="36" t="s">
        <v>142</v>
      </c>
      <c r="J77" s="37">
        <f ca="1">H74*50%</f>
        <v>2</v>
      </c>
      <c r="K77" s="14"/>
    </row>
    <row r="78" spans="1:11" ht="15.75" hidden="1" customHeight="1" x14ac:dyDescent="0.3">
      <c r="A78" s="125" t="s">
        <v>54</v>
      </c>
      <c r="B78" s="125"/>
      <c r="C78" s="55">
        <v>4</v>
      </c>
      <c r="D78" s="54">
        <f ca="1">((100/H74)*C78)/100</f>
        <v>1</v>
      </c>
      <c r="E78" s="129"/>
      <c r="F78" s="129"/>
      <c r="G78" s="129"/>
      <c r="H78" s="129"/>
      <c r="I78" s="36" t="s">
        <v>143</v>
      </c>
      <c r="J78" s="37">
        <f ca="1">H74</f>
        <v>4</v>
      </c>
      <c r="K78" s="14"/>
    </row>
    <row r="79" spans="1:11" ht="15.75" hidden="1" customHeight="1" x14ac:dyDescent="0.3">
      <c r="A79" s="125" t="s">
        <v>206</v>
      </c>
      <c r="B79" s="125"/>
      <c r="C79" s="55">
        <v>5</v>
      </c>
      <c r="D79" s="54">
        <f ca="1">((100/(D74+F74+H74))*C79)/100</f>
        <v>1</v>
      </c>
      <c r="E79" s="129"/>
      <c r="F79" s="129"/>
      <c r="G79" s="129"/>
      <c r="H79" s="129"/>
      <c r="I79" s="36" t="s">
        <v>144</v>
      </c>
      <c r="J79" s="38">
        <f ca="1">(IF(B74&gt;1,(H74/(B74+2)),H74/4))</f>
        <v>1</v>
      </c>
      <c r="K79" s="14"/>
    </row>
    <row r="80" spans="1:11" ht="15.75" hidden="1" customHeight="1" x14ac:dyDescent="0.3">
      <c r="A80" s="125" t="s">
        <v>207</v>
      </c>
      <c r="B80" s="125" t="s">
        <v>208</v>
      </c>
      <c r="C80" s="53">
        <v>4</v>
      </c>
      <c r="D80" s="54">
        <f ca="1">((100/H74)*C80)/100</f>
        <v>1</v>
      </c>
      <c r="E80" s="129"/>
      <c r="F80" s="129"/>
      <c r="G80" s="129"/>
      <c r="H80" s="129"/>
      <c r="I80" s="36" t="s">
        <v>145</v>
      </c>
      <c r="J80" s="38">
        <f ca="1">(IF(B74&gt;1,(H74/(B74+2)+J79),H74/4+J79))</f>
        <v>2</v>
      </c>
      <c r="K80" s="14"/>
    </row>
    <row r="81" spans="1:12" ht="15.75" hidden="1" customHeight="1" x14ac:dyDescent="0.3">
      <c r="A81" s="125" t="s">
        <v>209</v>
      </c>
      <c r="B81" s="125" t="s">
        <v>208</v>
      </c>
      <c r="C81" s="53">
        <v>4</v>
      </c>
      <c r="D81" s="54">
        <f ca="1">((100/H74)*C81)/100</f>
        <v>1</v>
      </c>
      <c r="E81" s="129"/>
      <c r="F81" s="129"/>
      <c r="G81" s="129"/>
      <c r="H81" s="129"/>
      <c r="I81" s="36" t="s">
        <v>210</v>
      </c>
      <c r="J81" s="38">
        <f>(IF(B74&gt;1,(H74/(B74+2)+J80),0))</f>
        <v>0</v>
      </c>
      <c r="K81" s="14"/>
    </row>
    <row r="82" spans="1:12" ht="15.75" hidden="1" customHeight="1" x14ac:dyDescent="0.3">
      <c r="A82" s="125" t="s">
        <v>211</v>
      </c>
      <c r="B82" s="125" t="s">
        <v>212</v>
      </c>
      <c r="C82" s="53">
        <v>4</v>
      </c>
      <c r="D82" s="54">
        <f ca="1">((100/(H74))*C82)/100</f>
        <v>1</v>
      </c>
      <c r="E82" s="129"/>
      <c r="F82" s="129"/>
      <c r="G82" s="129"/>
      <c r="H82" s="129"/>
      <c r="I82" s="36" t="s">
        <v>213</v>
      </c>
      <c r="J82" s="38">
        <f>(IF(B74&gt;2,(H74/(B74+2)+J81),0))</f>
        <v>0</v>
      </c>
      <c r="K82" s="14"/>
    </row>
    <row r="83" spans="1:12" ht="15.75" hidden="1" customHeight="1" x14ac:dyDescent="0.3">
      <c r="A83" s="125" t="s">
        <v>214</v>
      </c>
      <c r="B83" s="125" t="s">
        <v>214</v>
      </c>
      <c r="C83" s="53">
        <v>4</v>
      </c>
      <c r="D83" s="54">
        <f ca="1">((100/H74)*C83)/100</f>
        <v>1</v>
      </c>
      <c r="E83" s="129"/>
      <c r="F83" s="129"/>
      <c r="G83" s="129"/>
      <c r="H83" s="129"/>
      <c r="I83" s="36" t="s">
        <v>215</v>
      </c>
      <c r="J83" s="39">
        <f>(IF(B74&gt;3,(H74/(B74+2)+J82),0))</f>
        <v>0</v>
      </c>
      <c r="K83" s="14"/>
    </row>
    <row r="84" spans="1:12" ht="15.75" hidden="1" customHeight="1" x14ac:dyDescent="0.3">
      <c r="A84" s="125" t="s">
        <v>216</v>
      </c>
      <c r="B84" s="125"/>
      <c r="C84" s="53">
        <v>4</v>
      </c>
      <c r="D84" s="54">
        <f ca="1">((100/H74)*C84)/100</f>
        <v>1</v>
      </c>
      <c r="E84" s="129"/>
      <c r="F84" s="129"/>
      <c r="G84" s="129"/>
      <c r="H84" s="129"/>
      <c r="I84" s="36" t="s">
        <v>217</v>
      </c>
      <c r="J84" s="38">
        <f>(IF(B74&gt;4,(H74/(B74+2)+J83),0))</f>
        <v>0</v>
      </c>
      <c r="K84" s="14"/>
    </row>
    <row r="85" spans="1:12" ht="15.75" hidden="1" customHeight="1" x14ac:dyDescent="0.3">
      <c r="A85" s="125" t="s">
        <v>218</v>
      </c>
      <c r="B85" s="125" t="s">
        <v>218</v>
      </c>
      <c r="C85" s="53">
        <v>4</v>
      </c>
      <c r="D85" s="54">
        <f ca="1">((100/(H74))*C85)/100</f>
        <v>1</v>
      </c>
      <c r="E85" s="129"/>
      <c r="F85" s="129"/>
      <c r="G85" s="129"/>
      <c r="H85" s="129"/>
      <c r="I85" s="36" t="s">
        <v>146</v>
      </c>
      <c r="J85" s="38">
        <f ca="1">(IF(B74=1,(H74/(B74+3)+J80),IF(B74=0,(H74/4+J80),IF(B74&gt;1,0))))</f>
        <v>3</v>
      </c>
      <c r="K85" s="14"/>
    </row>
    <row r="86" spans="1:12" ht="15.75" hidden="1" customHeight="1" thickBot="1" x14ac:dyDescent="0.35">
      <c r="A86" s="164" t="s">
        <v>219</v>
      </c>
      <c r="B86" s="164"/>
      <c r="C86" s="68">
        <v>4</v>
      </c>
      <c r="D86" s="69">
        <f ca="1">((100/(H74))*C86)/100</f>
        <v>1</v>
      </c>
      <c r="E86" s="162"/>
      <c r="F86" s="162"/>
      <c r="G86" s="162"/>
      <c r="H86" s="162"/>
      <c r="I86" s="40" t="s">
        <v>147</v>
      </c>
      <c r="J86" s="41">
        <f ca="1">(IF(B74&gt;1.5,(H74/(B74+2)+J80+MAX(0,J81-J80)+MAX(0,J82-J81)+MAX(0,J83-J82)+MAX(0,J84-J83)+MAX(0,J85-J84)),IF(B74=1,(H74/(B74+3)+J85),IF(B74=0,H74/4+J85))))</f>
        <v>4</v>
      </c>
      <c r="K86" s="14"/>
    </row>
    <row r="87" spans="1:12" ht="32.25" customHeight="1" thickBot="1" x14ac:dyDescent="0.35">
      <c r="A87" s="130" t="s">
        <v>124</v>
      </c>
      <c r="B87" s="131"/>
      <c r="C87" s="132">
        <f ca="1">E77</f>
        <v>1</v>
      </c>
      <c r="D87" s="133"/>
      <c r="E87" s="134" t="s">
        <v>123</v>
      </c>
      <c r="F87" s="135"/>
      <c r="G87" s="134">
        <f ca="1">G77</f>
        <v>1</v>
      </c>
      <c r="H87" s="135"/>
      <c r="I87" s="40" t="s">
        <v>147</v>
      </c>
      <c r="J87" s="41">
        <f ca="1">(IF(B75&gt;1.5,(H75/(B75+2)+J81+MAX(0,J82-J81)+MAX(0,J83-J82)+MAX(0,J84-J83)+MAX(0,J85-J84)+MAX(0,J86-J85)),IF(B75=1,(H75/(B75+3)+J86),IF(B75=0,H75/4+J86))))</f>
        <v>4</v>
      </c>
      <c r="K87" s="14"/>
    </row>
    <row r="88" spans="1:12" x14ac:dyDescent="0.3">
      <c r="A88" s="153" t="s">
        <v>163</v>
      </c>
      <c r="B88" s="154"/>
      <c r="C88" s="154"/>
      <c r="D88" s="154"/>
      <c r="E88" s="155"/>
      <c r="F88" s="153" t="str">
        <f ca="1">IF(AND(E77="100%"),"Yes","Under Construction")</f>
        <v>Under Construction</v>
      </c>
      <c r="G88" s="154"/>
      <c r="H88" s="155"/>
    </row>
    <row r="89" spans="1:12" x14ac:dyDescent="0.3">
      <c r="A89" s="94" t="s">
        <v>55</v>
      </c>
      <c r="B89" s="94"/>
      <c r="C89" s="94"/>
      <c r="D89" s="94"/>
      <c r="E89" s="94"/>
      <c r="F89" s="94"/>
      <c r="G89" s="94"/>
      <c r="H89" s="94"/>
    </row>
    <row r="90" spans="1:12" ht="15" customHeight="1" x14ac:dyDescent="0.3">
      <c r="A90" s="121" t="s">
        <v>108</v>
      </c>
      <c r="B90" s="121"/>
      <c r="C90" s="148" t="s">
        <v>109</v>
      </c>
      <c r="D90" s="148"/>
      <c r="E90" s="148"/>
      <c r="F90" s="148"/>
      <c r="G90" s="148"/>
      <c r="H90" s="148"/>
    </row>
    <row r="91" spans="1:12" x14ac:dyDescent="0.3">
      <c r="A91" s="106" t="s">
        <v>56</v>
      </c>
      <c r="B91" s="106"/>
      <c r="C91" s="106"/>
      <c r="D91" s="106"/>
      <c r="E91" s="106"/>
      <c r="F91" s="106"/>
      <c r="G91" s="106"/>
      <c r="H91" s="106"/>
    </row>
    <row r="92" spans="1:12" x14ac:dyDescent="0.3">
      <c r="A92" s="94" t="s">
        <v>110</v>
      </c>
      <c r="B92" s="94"/>
      <c r="C92" s="94"/>
      <c r="D92" s="94"/>
      <c r="E92" s="94"/>
      <c r="F92" s="121">
        <v>3700</v>
      </c>
      <c r="G92" s="121"/>
      <c r="H92" s="121"/>
      <c r="I92" s="50" t="s">
        <v>227</v>
      </c>
      <c r="J92" s="50" t="s">
        <v>228</v>
      </c>
      <c r="K92" s="51">
        <v>44739</v>
      </c>
      <c r="L92" s="50"/>
    </row>
    <row r="93" spans="1:12" x14ac:dyDescent="0.3">
      <c r="A93" s="94" t="s">
        <v>117</v>
      </c>
      <c r="B93" s="94"/>
      <c r="C93" s="94"/>
      <c r="D93" s="94"/>
      <c r="E93" s="94"/>
      <c r="F93" s="102" t="s">
        <v>197</v>
      </c>
      <c r="G93" s="102"/>
      <c r="H93" s="102"/>
      <c r="I93" s="62" t="s">
        <v>229</v>
      </c>
      <c r="J93" s="62" t="s">
        <v>230</v>
      </c>
      <c r="K93" s="63">
        <v>44778</v>
      </c>
      <c r="L93" s="62" t="s">
        <v>231</v>
      </c>
    </row>
    <row r="94" spans="1:12" hidden="1" x14ac:dyDescent="0.3">
      <c r="A94" s="94" t="s">
        <v>118</v>
      </c>
      <c r="B94" s="94"/>
      <c r="C94" s="94"/>
      <c r="D94" s="94"/>
      <c r="E94" s="94"/>
      <c r="F94" s="102"/>
      <c r="G94" s="102"/>
      <c r="H94" s="102"/>
    </row>
    <row r="95" spans="1:12" s="12" customFormat="1" hidden="1" x14ac:dyDescent="0.25">
      <c r="A95" s="94" t="s">
        <v>135</v>
      </c>
      <c r="B95" s="94"/>
      <c r="C95" s="94"/>
      <c r="D95" s="94"/>
      <c r="E95" s="94"/>
      <c r="F95" s="102" t="s">
        <v>31</v>
      </c>
      <c r="G95" s="102"/>
      <c r="H95" s="102"/>
    </row>
    <row r="96" spans="1:12" s="12" customFormat="1" hidden="1" x14ac:dyDescent="0.25">
      <c r="A96" s="94" t="s">
        <v>136</v>
      </c>
      <c r="B96" s="94"/>
      <c r="C96" s="94"/>
      <c r="D96" s="94"/>
      <c r="E96" s="94"/>
      <c r="F96" s="102" t="s">
        <v>31</v>
      </c>
      <c r="G96" s="102"/>
      <c r="H96" s="102"/>
    </row>
    <row r="97" spans="1:8" s="12" customFormat="1" hidden="1" x14ac:dyDescent="0.25">
      <c r="A97" s="94" t="s">
        <v>137</v>
      </c>
      <c r="B97" s="94"/>
      <c r="C97" s="94"/>
      <c r="D97" s="94"/>
      <c r="E97" s="94"/>
      <c r="F97" s="102" t="s">
        <v>31</v>
      </c>
      <c r="G97" s="102"/>
      <c r="H97" s="102"/>
    </row>
    <row r="98" spans="1:8" s="12" customFormat="1" hidden="1" x14ac:dyDescent="0.25">
      <c r="A98" s="94" t="s">
        <v>138</v>
      </c>
      <c r="B98" s="94"/>
      <c r="C98" s="94"/>
      <c r="D98" s="94"/>
      <c r="E98" s="94"/>
      <c r="F98" s="102" t="s">
        <v>31</v>
      </c>
      <c r="G98" s="102"/>
      <c r="H98" s="102"/>
    </row>
    <row r="99" spans="1:8" s="12" customFormat="1" hidden="1" x14ac:dyDescent="0.25">
      <c r="A99" s="94" t="s">
        <v>139</v>
      </c>
      <c r="B99" s="94"/>
      <c r="C99" s="94"/>
      <c r="D99" s="94"/>
      <c r="E99" s="94"/>
      <c r="F99" s="102" t="s">
        <v>31</v>
      </c>
      <c r="G99" s="102"/>
      <c r="H99" s="102"/>
    </row>
    <row r="100" spans="1:8" s="12" customFormat="1" hidden="1" x14ac:dyDescent="0.25">
      <c r="A100" s="94" t="s">
        <v>140</v>
      </c>
      <c r="B100" s="94"/>
      <c r="C100" s="94"/>
      <c r="D100" s="94"/>
      <c r="E100" s="94"/>
      <c r="F100" s="102" t="s">
        <v>31</v>
      </c>
      <c r="G100" s="102"/>
      <c r="H100" s="102"/>
    </row>
    <row r="101" spans="1:8" s="12" customFormat="1" x14ac:dyDescent="0.25">
      <c r="A101" s="94" t="s">
        <v>136</v>
      </c>
      <c r="B101" s="94"/>
      <c r="C101" s="94"/>
      <c r="D101" s="94"/>
      <c r="E101" s="94"/>
      <c r="F101" s="102" t="s">
        <v>225</v>
      </c>
      <c r="G101" s="102"/>
      <c r="H101" s="102"/>
    </row>
    <row r="102" spans="1:8" s="12" customFormat="1" x14ac:dyDescent="0.25">
      <c r="A102" s="94" t="s">
        <v>141</v>
      </c>
      <c r="B102" s="94"/>
      <c r="C102" s="94"/>
      <c r="D102" s="94"/>
      <c r="E102" s="94"/>
      <c r="F102" s="102" t="s">
        <v>226</v>
      </c>
      <c r="G102" s="102"/>
      <c r="H102" s="102"/>
    </row>
    <row r="103" spans="1:8" x14ac:dyDescent="0.3">
      <c r="A103" s="94" t="s">
        <v>57</v>
      </c>
      <c r="B103" s="94"/>
      <c r="C103" s="94"/>
      <c r="D103" s="94"/>
      <c r="E103" s="94"/>
      <c r="F103" s="103" t="s">
        <v>187</v>
      </c>
      <c r="G103" s="103"/>
      <c r="H103" s="103"/>
    </row>
    <row r="104" spans="1:8" s="9" customFormat="1" x14ac:dyDescent="0.3">
      <c r="A104" s="106" t="s">
        <v>58</v>
      </c>
      <c r="B104" s="106"/>
      <c r="C104" s="106"/>
      <c r="D104" s="106"/>
      <c r="E104" s="106"/>
      <c r="F104" s="102">
        <f>F92*0.8</f>
        <v>2960</v>
      </c>
      <c r="G104" s="102"/>
      <c r="H104" s="102"/>
    </row>
    <row r="105" spans="1:8" s="1" customFormat="1" ht="15.75" customHeight="1" x14ac:dyDescent="0.3">
      <c r="A105" s="116" t="s">
        <v>111</v>
      </c>
      <c r="B105" s="116"/>
      <c r="C105" s="116"/>
      <c r="D105" s="116"/>
      <c r="E105" s="116"/>
      <c r="F105" s="116"/>
      <c r="G105" s="116"/>
      <c r="H105" s="116"/>
    </row>
    <row r="106" spans="1:8" s="1" customFormat="1" ht="15.75" customHeight="1" x14ac:dyDescent="0.3">
      <c r="A106" s="100" t="s">
        <v>59</v>
      </c>
      <c r="B106" s="100"/>
      <c r="C106" s="56" t="s">
        <v>114</v>
      </c>
      <c r="D106" s="101" t="s">
        <v>60</v>
      </c>
      <c r="E106" s="101"/>
      <c r="F106" s="100" t="s">
        <v>61</v>
      </c>
      <c r="G106" s="100"/>
      <c r="H106" s="100"/>
    </row>
    <row r="107" spans="1:8" s="1" customFormat="1" ht="15.75" customHeight="1" x14ac:dyDescent="0.3">
      <c r="A107" s="156" t="s">
        <v>193</v>
      </c>
      <c r="B107" s="156"/>
      <c r="C107" s="57">
        <f>COUNT(D121:D136)</f>
        <v>16</v>
      </c>
      <c r="D107" s="157">
        <f>SUM(D121:D136)</f>
        <v>2275.5636</v>
      </c>
      <c r="E107" s="157"/>
      <c r="F107" s="158">
        <f>SUM(F121:F136)</f>
        <v>3413.3453999999988</v>
      </c>
      <c r="G107" s="159"/>
      <c r="H107" s="160"/>
    </row>
    <row r="108" spans="1:8" s="1" customFormat="1" ht="15.75" customHeight="1" x14ac:dyDescent="0.3">
      <c r="A108" s="156" t="s">
        <v>195</v>
      </c>
      <c r="B108" s="156"/>
      <c r="C108" s="57">
        <f>COUNT(D166:D173)</f>
        <v>8</v>
      </c>
      <c r="D108" s="157">
        <f>SUM(D166:D173)</f>
        <v>981.99972000000002</v>
      </c>
      <c r="E108" s="157"/>
      <c r="F108" s="158">
        <f>SUM(F166:F173)</f>
        <v>1472.9995800000002</v>
      </c>
      <c r="G108" s="159"/>
      <c r="H108" s="160"/>
    </row>
    <row r="109" spans="1:8" s="1" customFormat="1" x14ac:dyDescent="0.3">
      <c r="A109" s="100" t="s">
        <v>63</v>
      </c>
      <c r="B109" s="100"/>
      <c r="C109" s="58">
        <f>SUM(C107:C108)</f>
        <v>24</v>
      </c>
      <c r="D109" s="117">
        <f>SUM(D107:E108)</f>
        <v>3257.5633200000002</v>
      </c>
      <c r="E109" s="101"/>
      <c r="F109" s="100">
        <f>SUM(F107:H108)</f>
        <v>4886.3449799999989</v>
      </c>
      <c r="G109" s="100"/>
      <c r="H109" s="100"/>
    </row>
    <row r="110" spans="1:8" s="1" customFormat="1" x14ac:dyDescent="0.3">
      <c r="A110" s="116" t="s">
        <v>102</v>
      </c>
      <c r="B110" s="116"/>
      <c r="C110" s="116"/>
      <c r="D110" s="116"/>
      <c r="E110" s="116"/>
      <c r="F110" s="116"/>
      <c r="G110" s="116"/>
      <c r="H110" s="116"/>
    </row>
    <row r="111" spans="1:8" s="1" customFormat="1" x14ac:dyDescent="0.3">
      <c r="A111" s="100" t="s">
        <v>59</v>
      </c>
      <c r="B111" s="100"/>
      <c r="C111" s="56" t="s">
        <v>114</v>
      </c>
      <c r="D111" s="101" t="s">
        <v>60</v>
      </c>
      <c r="E111" s="101"/>
      <c r="F111" s="100" t="s">
        <v>61</v>
      </c>
      <c r="G111" s="100"/>
      <c r="H111" s="100"/>
    </row>
    <row r="112" spans="1:8" s="1" customFormat="1" x14ac:dyDescent="0.3">
      <c r="A112" s="156" t="s">
        <v>193</v>
      </c>
      <c r="B112" s="156"/>
      <c r="C112" s="57">
        <f>COUNT(D141:D149)+COUNT(D151:D159)*6</f>
        <v>63</v>
      </c>
      <c r="D112" s="157">
        <f>SUM(D141:D149)+SUM(D151:D159)*6</f>
        <v>22623.237000000005</v>
      </c>
      <c r="E112" s="157"/>
      <c r="F112" s="158">
        <f>SUM(F141:F149)+SUM(F151:F159)*6</f>
        <v>33127.367129999999</v>
      </c>
      <c r="G112" s="159"/>
      <c r="H112" s="160"/>
    </row>
    <row r="113" spans="1:23" s="1" customFormat="1" x14ac:dyDescent="0.3">
      <c r="A113" s="156" t="s">
        <v>195</v>
      </c>
      <c r="B113" s="156"/>
      <c r="C113" s="57">
        <f>COUNT(D178)+COUNT(D180:D185)+COUNT(D187:D192)+COUNT(D194:D199)*2</f>
        <v>25</v>
      </c>
      <c r="D113" s="157">
        <f>SUM(D178)+SUM(D180:D185)+SUM(D187:D192)+SUM(D194:D199)*2</f>
        <v>9939.908159999999</v>
      </c>
      <c r="E113" s="157"/>
      <c r="F113" s="158">
        <f>SUM(F178)+SUM(F180:F185)+SUM(F187:F192)+SUM(F194:F199)*2</f>
        <v>14619.707855999997</v>
      </c>
      <c r="G113" s="159"/>
      <c r="H113" s="160"/>
    </row>
    <row r="114" spans="1:23" s="1" customFormat="1" x14ac:dyDescent="0.3">
      <c r="A114" s="100" t="s">
        <v>63</v>
      </c>
      <c r="B114" s="100"/>
      <c r="C114" s="58">
        <f>SUM(C112:C113)</f>
        <v>88</v>
      </c>
      <c r="D114" s="117">
        <f>SUM(D112:E113)</f>
        <v>32563.145160000004</v>
      </c>
      <c r="E114" s="101"/>
      <c r="F114" s="100">
        <f>SUM(F112:H113)</f>
        <v>47747.074985999992</v>
      </c>
      <c r="G114" s="100"/>
      <c r="H114" s="100"/>
    </row>
    <row r="115" spans="1:23" s="9" customFormat="1" x14ac:dyDescent="0.3">
      <c r="A115" s="99" t="s">
        <v>64</v>
      </c>
      <c r="B115" s="99"/>
      <c r="C115" s="99"/>
      <c r="D115" s="99"/>
      <c r="E115" s="99"/>
      <c r="F115" s="99"/>
      <c r="G115" s="99"/>
      <c r="H115" s="99"/>
    </row>
    <row r="116" spans="1:23" x14ac:dyDescent="0.3">
      <c r="A116" s="99" t="s">
        <v>65</v>
      </c>
      <c r="B116" s="99"/>
      <c r="C116" s="99"/>
      <c r="D116" s="99"/>
      <c r="E116" s="99"/>
      <c r="F116" s="99"/>
      <c r="G116" s="99"/>
      <c r="H116" s="99"/>
    </row>
    <row r="117" spans="1:23" ht="47.25" customHeight="1" x14ac:dyDescent="0.3">
      <c r="A117" s="84" t="s">
        <v>200</v>
      </c>
      <c r="B117" s="85"/>
      <c r="C117" s="89" t="s">
        <v>66</v>
      </c>
      <c r="D117" s="89" t="s">
        <v>67</v>
      </c>
      <c r="E117" s="91" t="s">
        <v>68</v>
      </c>
      <c r="F117" s="45" t="s">
        <v>164</v>
      </c>
      <c r="G117" s="84" t="s">
        <v>69</v>
      </c>
      <c r="H117" s="85"/>
    </row>
    <row r="118" spans="1:23" s="2" customFormat="1" x14ac:dyDescent="0.3">
      <c r="A118" s="86"/>
      <c r="B118" s="87"/>
      <c r="C118" s="90"/>
      <c r="D118" s="90"/>
      <c r="E118" s="92"/>
      <c r="F118" s="31">
        <v>0.5</v>
      </c>
      <c r="G118" s="86"/>
      <c r="H118" s="87"/>
    </row>
    <row r="119" spans="1:23" s="2" customFormat="1" x14ac:dyDescent="0.3">
      <c r="A119" s="71" t="s">
        <v>193</v>
      </c>
      <c r="B119" s="71"/>
      <c r="C119" s="71"/>
      <c r="D119" s="71"/>
      <c r="E119" s="71"/>
      <c r="F119" s="71"/>
      <c r="G119" s="71"/>
      <c r="H119" s="71"/>
    </row>
    <row r="120" spans="1:23" s="2" customFormat="1" x14ac:dyDescent="0.3">
      <c r="A120" s="71" t="s">
        <v>179</v>
      </c>
      <c r="B120" s="71"/>
      <c r="C120" s="71"/>
      <c r="D120" s="71"/>
      <c r="E120" s="71"/>
      <c r="F120" s="71"/>
      <c r="G120" s="71"/>
      <c r="H120" s="71"/>
      <c r="V120" s="70" t="s">
        <v>165</v>
      </c>
      <c r="W120" s="70"/>
    </row>
    <row r="121" spans="1:23" s="2" customFormat="1" ht="15.75" customHeight="1" x14ac:dyDescent="0.3">
      <c r="A121" s="74">
        <v>1</v>
      </c>
      <c r="B121" s="74"/>
      <c r="C121" s="46" t="s">
        <v>178</v>
      </c>
      <c r="D121" s="46">
        <f>11.23*10.764</f>
        <v>120.87971999999999</v>
      </c>
      <c r="E121" s="46">
        <v>0</v>
      </c>
      <c r="F121" s="46">
        <f>D121*(($F$118)+1)+E121</f>
        <v>181.31957999999997</v>
      </c>
      <c r="G121" s="74" t="str">
        <f>A120</f>
        <v>Ground Floor for Commercial &amp; Parking</v>
      </c>
      <c r="H121" s="74"/>
      <c r="S121" s="70"/>
      <c r="T121" s="70"/>
      <c r="U121" s="32"/>
    </row>
    <row r="122" spans="1:23" s="2" customFormat="1" x14ac:dyDescent="0.3">
      <c r="A122" s="74">
        <f>A121+1</f>
        <v>2</v>
      </c>
      <c r="B122" s="74"/>
      <c r="C122" s="46" t="s">
        <v>178</v>
      </c>
      <c r="D122" s="46">
        <f>11.4*10.764</f>
        <v>122.70959999999999</v>
      </c>
      <c r="E122" s="46">
        <v>0</v>
      </c>
      <c r="F122" s="46">
        <f t="shared" ref="F122:F123" si="0">D122*(($F$118)+1)+E122</f>
        <v>184.06439999999998</v>
      </c>
      <c r="G122" s="74"/>
      <c r="H122" s="74"/>
      <c r="S122" s="70"/>
      <c r="T122" s="70"/>
      <c r="U122" s="32"/>
    </row>
    <row r="123" spans="1:23" s="2" customFormat="1" x14ac:dyDescent="0.3">
      <c r="A123" s="74">
        <f t="shared" ref="A123:A125" si="1">A122+1</f>
        <v>3</v>
      </c>
      <c r="B123" s="74"/>
      <c r="C123" s="46" t="s">
        <v>178</v>
      </c>
      <c r="D123" s="46">
        <f>14.94*10.746</f>
        <v>160.54524000000001</v>
      </c>
      <c r="E123" s="46">
        <v>0</v>
      </c>
      <c r="F123" s="46">
        <f t="shared" si="0"/>
        <v>240.81786</v>
      </c>
      <c r="G123" s="74"/>
      <c r="H123" s="74"/>
      <c r="S123" s="70"/>
      <c r="T123" s="70"/>
      <c r="U123" s="32"/>
    </row>
    <row r="124" spans="1:23" s="2" customFormat="1" x14ac:dyDescent="0.3">
      <c r="A124" s="74">
        <f t="shared" si="1"/>
        <v>4</v>
      </c>
      <c r="B124" s="74"/>
      <c r="C124" s="46" t="s">
        <v>178</v>
      </c>
      <c r="D124" s="46">
        <f>14.96*10.764</f>
        <v>161.02943999999999</v>
      </c>
      <c r="E124" s="46">
        <v>0</v>
      </c>
      <c r="F124" s="46">
        <f t="shared" ref="F124:F125" si="2">D124*(($F$118)+1)+E124</f>
        <v>241.54415999999998</v>
      </c>
      <c r="G124" s="74"/>
      <c r="H124" s="74"/>
      <c r="S124" s="70"/>
      <c r="T124" s="70"/>
      <c r="U124" s="32"/>
    </row>
    <row r="125" spans="1:23" s="2" customFormat="1" x14ac:dyDescent="0.3">
      <c r="A125" s="74">
        <f t="shared" si="1"/>
        <v>5</v>
      </c>
      <c r="B125" s="74"/>
      <c r="C125" s="46" t="s">
        <v>178</v>
      </c>
      <c r="D125" s="46">
        <f>11.4*10.764</f>
        <v>122.70959999999999</v>
      </c>
      <c r="E125" s="46">
        <v>0</v>
      </c>
      <c r="F125" s="46">
        <f t="shared" si="2"/>
        <v>184.06439999999998</v>
      </c>
      <c r="G125" s="74"/>
      <c r="H125" s="74"/>
      <c r="S125" s="70"/>
      <c r="T125" s="70"/>
      <c r="U125" s="32"/>
    </row>
    <row r="126" spans="1:23" s="2" customFormat="1" x14ac:dyDescent="0.3">
      <c r="A126" s="74">
        <f t="shared" ref="A126:A127" si="3">A125+1</f>
        <v>6</v>
      </c>
      <c r="B126" s="74"/>
      <c r="C126" s="46" t="s">
        <v>178</v>
      </c>
      <c r="D126" s="46">
        <f>14.96*10.764</f>
        <v>161.02943999999999</v>
      </c>
      <c r="E126" s="46">
        <v>0</v>
      </c>
      <c r="F126" s="46">
        <f t="shared" ref="F126:F131" si="4">D126*(($F$118)+1)+E126</f>
        <v>241.54415999999998</v>
      </c>
      <c r="G126" s="74"/>
      <c r="H126" s="74"/>
      <c r="S126" s="70"/>
      <c r="T126" s="70"/>
      <c r="U126" s="32"/>
    </row>
    <row r="127" spans="1:23" s="2" customFormat="1" x14ac:dyDescent="0.3">
      <c r="A127" s="74">
        <f t="shared" si="3"/>
        <v>7</v>
      </c>
      <c r="B127" s="74"/>
      <c r="C127" s="46" t="s">
        <v>178</v>
      </c>
      <c r="D127" s="46">
        <f>14.96*10.764</f>
        <v>161.02943999999999</v>
      </c>
      <c r="E127" s="46">
        <v>0</v>
      </c>
      <c r="F127" s="46">
        <f t="shared" si="4"/>
        <v>241.54415999999998</v>
      </c>
      <c r="G127" s="74"/>
      <c r="H127" s="74"/>
      <c r="S127" s="70"/>
      <c r="T127" s="70"/>
      <c r="U127" s="32"/>
    </row>
    <row r="128" spans="1:23" s="2" customFormat="1" x14ac:dyDescent="0.3">
      <c r="A128" s="74">
        <f>A127+1</f>
        <v>8</v>
      </c>
      <c r="B128" s="74"/>
      <c r="C128" s="46" t="s">
        <v>178</v>
      </c>
      <c r="D128" s="46">
        <f>11.4*10.764</f>
        <v>122.70959999999999</v>
      </c>
      <c r="E128" s="46">
        <v>0</v>
      </c>
      <c r="F128" s="46">
        <f t="shared" si="4"/>
        <v>184.06439999999998</v>
      </c>
      <c r="G128" s="74"/>
      <c r="H128" s="74"/>
      <c r="S128" s="70"/>
      <c r="T128" s="70"/>
      <c r="U128" s="32"/>
    </row>
    <row r="129" spans="1:22" s="2" customFormat="1" x14ac:dyDescent="0.3">
      <c r="A129" s="74">
        <f t="shared" ref="A129:A136" si="5">A128+1</f>
        <v>9</v>
      </c>
      <c r="B129" s="74"/>
      <c r="C129" s="46" t="s">
        <v>178</v>
      </c>
      <c r="D129" s="46">
        <f>14.96*10.764</f>
        <v>161.02943999999999</v>
      </c>
      <c r="E129" s="46">
        <v>0</v>
      </c>
      <c r="F129" s="46">
        <f t="shared" si="4"/>
        <v>241.54415999999998</v>
      </c>
      <c r="G129" s="74"/>
      <c r="H129" s="74"/>
      <c r="S129" s="70"/>
      <c r="T129" s="70"/>
      <c r="U129" s="32"/>
    </row>
    <row r="130" spans="1:22" s="2" customFormat="1" x14ac:dyDescent="0.3">
      <c r="A130" s="74">
        <f t="shared" si="5"/>
        <v>10</v>
      </c>
      <c r="B130" s="74"/>
      <c r="C130" s="46" t="s">
        <v>178</v>
      </c>
      <c r="D130" s="46">
        <f>14.96*10.764</f>
        <v>161.02943999999999</v>
      </c>
      <c r="E130" s="46">
        <v>0</v>
      </c>
      <c r="F130" s="46">
        <f t="shared" si="4"/>
        <v>241.54415999999998</v>
      </c>
      <c r="G130" s="74"/>
      <c r="H130" s="74"/>
      <c r="S130" s="70"/>
      <c r="T130" s="70"/>
      <c r="U130" s="32"/>
    </row>
    <row r="131" spans="1:22" s="2" customFormat="1" x14ac:dyDescent="0.3">
      <c r="A131" s="74">
        <f t="shared" si="5"/>
        <v>11</v>
      </c>
      <c r="B131" s="74"/>
      <c r="C131" s="46" t="s">
        <v>178</v>
      </c>
      <c r="D131" s="46">
        <f>11.4*10.764</f>
        <v>122.70959999999999</v>
      </c>
      <c r="E131" s="46">
        <v>0</v>
      </c>
      <c r="F131" s="46">
        <f t="shared" si="4"/>
        <v>184.06439999999998</v>
      </c>
      <c r="G131" s="74"/>
      <c r="H131" s="74"/>
      <c r="S131" s="70"/>
      <c r="T131" s="70"/>
      <c r="U131" s="32"/>
    </row>
    <row r="132" spans="1:22" s="2" customFormat="1" x14ac:dyDescent="0.3">
      <c r="A132" s="74">
        <f t="shared" si="5"/>
        <v>12</v>
      </c>
      <c r="B132" s="74"/>
      <c r="C132" s="46" t="s">
        <v>178</v>
      </c>
      <c r="D132" s="46">
        <f>14.96*10.764</f>
        <v>161.02943999999999</v>
      </c>
      <c r="E132" s="46">
        <v>0</v>
      </c>
      <c r="F132" s="46">
        <f t="shared" ref="F132:F134" si="6">D132*(($F$118)+1)+E132</f>
        <v>241.54415999999998</v>
      </c>
      <c r="G132" s="74"/>
      <c r="H132" s="74"/>
      <c r="S132" s="70"/>
      <c r="T132" s="70"/>
      <c r="U132" s="32"/>
    </row>
    <row r="133" spans="1:22" s="2" customFormat="1" x14ac:dyDescent="0.3">
      <c r="A133" s="74">
        <f t="shared" si="5"/>
        <v>13</v>
      </c>
      <c r="B133" s="74"/>
      <c r="C133" s="46" t="s">
        <v>178</v>
      </c>
      <c r="D133" s="46">
        <f>13.98*10.764</f>
        <v>150.48071999999999</v>
      </c>
      <c r="E133" s="46">
        <v>0</v>
      </c>
      <c r="F133" s="46">
        <f t="shared" si="6"/>
        <v>225.72107999999997</v>
      </c>
      <c r="G133" s="74"/>
      <c r="H133" s="74"/>
      <c r="S133" s="70"/>
      <c r="T133" s="70"/>
      <c r="U133" s="32"/>
    </row>
    <row r="134" spans="1:22" s="2" customFormat="1" x14ac:dyDescent="0.3">
      <c r="A134" s="74">
        <f t="shared" si="5"/>
        <v>14</v>
      </c>
      <c r="B134" s="74"/>
      <c r="C134" s="46" t="s">
        <v>178</v>
      </c>
      <c r="D134" s="46">
        <f>10.9*10.764</f>
        <v>117.32759999999999</v>
      </c>
      <c r="E134" s="46">
        <v>0</v>
      </c>
      <c r="F134" s="46">
        <f t="shared" si="6"/>
        <v>175.9914</v>
      </c>
      <c r="G134" s="74"/>
      <c r="H134" s="74"/>
      <c r="S134" s="70"/>
      <c r="T134" s="70"/>
      <c r="U134" s="32"/>
    </row>
    <row r="135" spans="1:22" s="2" customFormat="1" x14ac:dyDescent="0.3">
      <c r="A135" s="74">
        <f t="shared" si="5"/>
        <v>15</v>
      </c>
      <c r="B135" s="74"/>
      <c r="C135" s="46" t="s">
        <v>178</v>
      </c>
      <c r="D135" s="46">
        <f>14.75*10.764</f>
        <v>158.76899999999998</v>
      </c>
      <c r="E135" s="46">
        <v>0</v>
      </c>
      <c r="F135" s="46">
        <f t="shared" ref="F135:F136" si="7">D135*(($F$118)+1)+E135</f>
        <v>238.15349999999995</v>
      </c>
      <c r="G135" s="74"/>
      <c r="H135" s="74"/>
      <c r="S135" s="70"/>
      <c r="T135" s="70"/>
      <c r="U135" s="32"/>
    </row>
    <row r="136" spans="1:22" s="2" customFormat="1" x14ac:dyDescent="0.3">
      <c r="A136" s="74">
        <f t="shared" si="5"/>
        <v>16</v>
      </c>
      <c r="B136" s="74"/>
      <c r="C136" s="46" t="s">
        <v>178</v>
      </c>
      <c r="D136" s="46">
        <f>10.27*10.764</f>
        <v>110.54627999999998</v>
      </c>
      <c r="E136" s="46">
        <v>0</v>
      </c>
      <c r="F136" s="46">
        <f t="shared" si="7"/>
        <v>165.81941999999998</v>
      </c>
      <c r="G136" s="74"/>
      <c r="H136" s="74"/>
      <c r="S136" s="70"/>
      <c r="T136" s="70"/>
      <c r="U136" s="32"/>
    </row>
    <row r="137" spans="1:22" s="2" customFormat="1" x14ac:dyDescent="0.3">
      <c r="A137" s="71" t="s">
        <v>193</v>
      </c>
      <c r="B137" s="71"/>
      <c r="C137" s="71"/>
      <c r="D137" s="71"/>
      <c r="E137" s="71"/>
      <c r="F137" s="71"/>
      <c r="G137" s="71"/>
      <c r="H137" s="71"/>
      <c r="U137" s="32"/>
    </row>
    <row r="138" spans="1:22" ht="47.25" customHeight="1" x14ac:dyDescent="0.3">
      <c r="A138" s="84" t="s">
        <v>201</v>
      </c>
      <c r="B138" s="85"/>
      <c r="C138" s="89" t="s">
        <v>66</v>
      </c>
      <c r="D138" s="89" t="s">
        <v>67</v>
      </c>
      <c r="E138" s="91" t="s">
        <v>68</v>
      </c>
      <c r="F138" s="45" t="s">
        <v>164</v>
      </c>
      <c r="G138" s="84" t="s">
        <v>69</v>
      </c>
      <c r="H138" s="85"/>
    </row>
    <row r="139" spans="1:22" s="2" customFormat="1" x14ac:dyDescent="0.3">
      <c r="A139" s="86"/>
      <c r="B139" s="87"/>
      <c r="C139" s="90"/>
      <c r="D139" s="90"/>
      <c r="E139" s="92"/>
      <c r="F139" s="31">
        <v>0.45</v>
      </c>
      <c r="G139" s="86"/>
      <c r="H139" s="87"/>
    </row>
    <row r="140" spans="1:22" s="2" customFormat="1" x14ac:dyDescent="0.3">
      <c r="A140" s="71" t="s">
        <v>166</v>
      </c>
      <c r="B140" s="71"/>
      <c r="C140" s="71"/>
      <c r="D140" s="71"/>
      <c r="E140" s="71"/>
      <c r="F140" s="71"/>
      <c r="G140" s="71"/>
      <c r="H140" s="71"/>
      <c r="S140" s="70"/>
      <c r="T140" s="70"/>
      <c r="V140" s="2" t="str">
        <f>LEFT(A140,SUM(LEN(A140)-LEN(SUBSTITUTE(A140,{"0","1","2","3","4","5","6","7","8","9"},""))))</f>
        <v>1</v>
      </c>
    </row>
    <row r="141" spans="1:22" s="2" customFormat="1" x14ac:dyDescent="0.3">
      <c r="A141" s="74">
        <f t="shared" ref="A141:A149" ca="1" si="8">S141</f>
        <v>101</v>
      </c>
      <c r="B141" s="74"/>
      <c r="C141" s="46" t="s">
        <v>181</v>
      </c>
      <c r="D141" s="46">
        <f>31.57*10.764</f>
        <v>339.81948</v>
      </c>
      <c r="E141" s="46">
        <v>0</v>
      </c>
      <c r="F141" s="46">
        <f>D141*(($F$139)+1)+E141</f>
        <v>492.738246</v>
      </c>
      <c r="G141" s="75" t="str">
        <f>A140</f>
        <v>1st Floor</v>
      </c>
      <c r="H141" s="76"/>
      <c r="I141" s="32"/>
      <c r="S141" s="70">
        <f t="shared" ref="S141:S149" ca="1" si="9">V141</f>
        <v>101</v>
      </c>
      <c r="T141" s="70"/>
      <c r="U141" s="32">
        <v>1</v>
      </c>
      <c r="V141" s="2">
        <f ca="1">(SUMPRODUCT(MID(0&amp;V140, LARGE(INDEX(ISNUMBER(--MID(V140, ROW(INDIRECT("1:"&amp;LEN(V140))), 1)) * ROW(INDIRECT("1:"&amp;LEN(V140))), 0), ROW(INDIRECT("1:"&amp;LEN(V140))))+1, 1) * 10^ROW(INDIRECT("1:"&amp;LEN(V140)))/10))*U141*100+1</f>
        <v>101</v>
      </c>
    </row>
    <row r="142" spans="1:22" s="2" customFormat="1" x14ac:dyDescent="0.3">
      <c r="A142" s="74">
        <f t="shared" ca="1" si="8"/>
        <v>102</v>
      </c>
      <c r="B142" s="74"/>
      <c r="C142" s="46" t="s">
        <v>181</v>
      </c>
      <c r="D142" s="46">
        <f>31.42*10.764</f>
        <v>338.20488</v>
      </c>
      <c r="E142" s="46">
        <v>0</v>
      </c>
      <c r="F142" s="46">
        <f t="shared" ref="F142:F149" si="10">D142*(($F$139)+1)+E142</f>
        <v>490.39707599999997</v>
      </c>
      <c r="G142" s="77"/>
      <c r="H142" s="78"/>
      <c r="I142" s="32"/>
      <c r="S142" s="70">
        <f t="shared" ca="1" si="9"/>
        <v>102</v>
      </c>
      <c r="T142" s="70"/>
      <c r="U142" s="32">
        <f>U141+1</f>
        <v>2</v>
      </c>
      <c r="V142" s="2">
        <f ca="1">V141+1</f>
        <v>102</v>
      </c>
    </row>
    <row r="143" spans="1:22" s="2" customFormat="1" x14ac:dyDescent="0.3">
      <c r="A143" s="74">
        <f t="shared" ca="1" si="8"/>
        <v>103</v>
      </c>
      <c r="B143" s="74"/>
      <c r="C143" s="46" t="s">
        <v>181</v>
      </c>
      <c r="D143" s="46">
        <f>31.42*10.764</f>
        <v>338.20488</v>
      </c>
      <c r="E143" s="46">
        <v>0</v>
      </c>
      <c r="F143" s="46">
        <f t="shared" si="10"/>
        <v>490.39707599999997</v>
      </c>
      <c r="G143" s="77"/>
      <c r="H143" s="78"/>
      <c r="I143" s="32"/>
      <c r="S143" s="70">
        <f t="shared" ca="1" si="9"/>
        <v>103</v>
      </c>
      <c r="T143" s="70"/>
      <c r="U143" s="32">
        <f>U142+1</f>
        <v>3</v>
      </c>
      <c r="V143" s="2">
        <f ca="1">V142+1</f>
        <v>103</v>
      </c>
    </row>
    <row r="144" spans="1:22" s="2" customFormat="1" x14ac:dyDescent="0.3">
      <c r="A144" s="74">
        <f t="shared" ca="1" si="8"/>
        <v>104</v>
      </c>
      <c r="B144" s="74"/>
      <c r="C144" s="46" t="s">
        <v>181</v>
      </c>
      <c r="D144" s="46">
        <f>31.57*10.764</f>
        <v>339.81948</v>
      </c>
      <c r="E144" s="46">
        <v>0</v>
      </c>
      <c r="F144" s="46">
        <f t="shared" si="10"/>
        <v>492.738246</v>
      </c>
      <c r="G144" s="77"/>
      <c r="H144" s="78"/>
      <c r="I144" s="32"/>
      <c r="S144" s="70">
        <f t="shared" ca="1" si="9"/>
        <v>104</v>
      </c>
      <c r="T144" s="70"/>
      <c r="U144" s="32">
        <f t="shared" ref="U144:V149" si="11">U143+1</f>
        <v>4</v>
      </c>
      <c r="V144" s="2">
        <f t="shared" ca="1" si="11"/>
        <v>104</v>
      </c>
    </row>
    <row r="145" spans="1:23" s="2" customFormat="1" x14ac:dyDescent="0.3">
      <c r="A145" s="74">
        <f t="shared" ca="1" si="8"/>
        <v>105</v>
      </c>
      <c r="B145" s="74"/>
      <c r="C145" s="46" t="s">
        <v>182</v>
      </c>
      <c r="D145" s="46">
        <f>47.99*10.764</f>
        <v>516.56435999999997</v>
      </c>
      <c r="E145" s="46">
        <f>(2.75*0.8+2.5*0.5+2.75*0.4)*10.764</f>
        <v>48.976200000000006</v>
      </c>
      <c r="F145" s="46">
        <f t="shared" si="10"/>
        <v>797.99452199999996</v>
      </c>
      <c r="G145" s="77"/>
      <c r="H145" s="78"/>
      <c r="I145" s="32"/>
      <c r="S145" s="70">
        <f t="shared" ca="1" si="9"/>
        <v>105</v>
      </c>
      <c r="T145" s="70"/>
      <c r="U145" s="32">
        <f t="shared" si="11"/>
        <v>5</v>
      </c>
      <c r="V145" s="2">
        <f t="shared" ca="1" si="11"/>
        <v>105</v>
      </c>
    </row>
    <row r="146" spans="1:23" s="2" customFormat="1" x14ac:dyDescent="0.3">
      <c r="A146" s="74">
        <f t="shared" ca="1" si="8"/>
        <v>106</v>
      </c>
      <c r="B146" s="74"/>
      <c r="C146" s="46" t="s">
        <v>181</v>
      </c>
      <c r="D146" s="46">
        <f t="shared" ref="D146:D149" si="12">31.57*10.764</f>
        <v>339.81948</v>
      </c>
      <c r="E146" s="46">
        <f>(2.75*1.3+2.2*0.4+2.75*0.7)*10.764</f>
        <v>68.674319999999994</v>
      </c>
      <c r="F146" s="46">
        <f t="shared" si="10"/>
        <v>561.41256599999997</v>
      </c>
      <c r="G146" s="77"/>
      <c r="H146" s="78"/>
      <c r="I146" s="32"/>
      <c r="S146" s="70">
        <f t="shared" ca="1" si="9"/>
        <v>106</v>
      </c>
      <c r="T146" s="70"/>
      <c r="U146" s="32">
        <f>U145+1</f>
        <v>6</v>
      </c>
      <c r="V146" s="2">
        <f t="shared" ca="1" si="11"/>
        <v>106</v>
      </c>
    </row>
    <row r="147" spans="1:23" s="2" customFormat="1" x14ac:dyDescent="0.3">
      <c r="A147" s="74">
        <f t="shared" ca="1" si="8"/>
        <v>107</v>
      </c>
      <c r="B147" s="74"/>
      <c r="C147" s="46" t="s">
        <v>181</v>
      </c>
      <c r="D147" s="46">
        <f t="shared" si="12"/>
        <v>339.81948</v>
      </c>
      <c r="E147" s="46">
        <f>(2.75*1.3+2.2*0.4+2.75*0.7)*10.764</f>
        <v>68.674319999999994</v>
      </c>
      <c r="F147" s="46">
        <f t="shared" si="10"/>
        <v>561.41256599999997</v>
      </c>
      <c r="G147" s="77"/>
      <c r="H147" s="78"/>
      <c r="I147" s="32"/>
      <c r="S147" s="70">
        <f t="shared" ca="1" si="9"/>
        <v>107</v>
      </c>
      <c r="T147" s="70"/>
      <c r="U147" s="32">
        <f>U146+1</f>
        <v>7</v>
      </c>
      <c r="V147" s="2">
        <f t="shared" ca="1" si="11"/>
        <v>107</v>
      </c>
    </row>
    <row r="148" spans="1:23" s="2" customFormat="1" x14ac:dyDescent="0.3">
      <c r="A148" s="74">
        <f t="shared" ca="1" si="8"/>
        <v>108</v>
      </c>
      <c r="B148" s="74"/>
      <c r="C148" s="46" t="s">
        <v>181</v>
      </c>
      <c r="D148" s="46">
        <f t="shared" si="12"/>
        <v>339.81948</v>
      </c>
      <c r="E148" s="46">
        <f t="shared" ref="E148:E149" si="13">(2.75*1.3+2.2*0.4+2.75*0.7)*10.764</f>
        <v>68.674319999999994</v>
      </c>
      <c r="F148" s="46">
        <f t="shared" si="10"/>
        <v>561.41256599999997</v>
      </c>
      <c r="G148" s="77"/>
      <c r="H148" s="78"/>
      <c r="I148" s="32"/>
      <c r="S148" s="70">
        <f t="shared" ca="1" si="9"/>
        <v>108</v>
      </c>
      <c r="T148" s="70"/>
      <c r="U148" s="32">
        <f t="shared" ref="U148:U149" si="14">U147+1</f>
        <v>8</v>
      </c>
      <c r="V148" s="2">
        <f t="shared" ca="1" si="11"/>
        <v>108</v>
      </c>
    </row>
    <row r="149" spans="1:23" s="2" customFormat="1" x14ac:dyDescent="0.3">
      <c r="A149" s="74">
        <f t="shared" ca="1" si="8"/>
        <v>109</v>
      </c>
      <c r="B149" s="74"/>
      <c r="C149" s="46" t="s">
        <v>181</v>
      </c>
      <c r="D149" s="46">
        <f t="shared" si="12"/>
        <v>339.81948</v>
      </c>
      <c r="E149" s="46">
        <f t="shared" si="13"/>
        <v>68.674319999999994</v>
      </c>
      <c r="F149" s="46">
        <f t="shared" si="10"/>
        <v>561.41256599999997</v>
      </c>
      <c r="G149" s="79"/>
      <c r="H149" s="80"/>
      <c r="I149" s="32"/>
      <c r="S149" s="70">
        <f t="shared" ca="1" si="9"/>
        <v>109</v>
      </c>
      <c r="T149" s="70"/>
      <c r="U149" s="32">
        <f t="shared" si="14"/>
        <v>9</v>
      </c>
      <c r="V149" s="2">
        <f t="shared" ca="1" si="11"/>
        <v>109</v>
      </c>
    </row>
    <row r="150" spans="1:23" s="2" customFormat="1" x14ac:dyDescent="0.3">
      <c r="A150" s="71" t="s">
        <v>180</v>
      </c>
      <c r="B150" s="71"/>
      <c r="C150" s="71"/>
      <c r="D150" s="71"/>
      <c r="E150" s="71"/>
      <c r="F150" s="71"/>
      <c r="G150" s="71"/>
      <c r="H150" s="71"/>
      <c r="S150" s="70"/>
      <c r="T150" s="70"/>
      <c r="V150" s="2" t="str">
        <f>MID(A150,1,3)</f>
        <v>2nd</v>
      </c>
      <c r="W150" s="2">
        <f ca="1">--TRIM(RIGHT(SUBSTITUTE(LEFT(A150,_xlfn.AGGREGATE(14,6,FIND({0,1,2,3,4,5,6,7,8,9},A150,ROW(INDIRECT("1:"&amp;LEN(A150)))),1))," ",REPT(" ",LEN(A150))),LEN(A150)))</f>
        <v>7</v>
      </c>
    </row>
    <row r="151" spans="1:23" s="2" customFormat="1" ht="15.75" customHeight="1" x14ac:dyDescent="0.3">
      <c r="A151" s="74" t="str">
        <f t="shared" ref="A151:A159" ca="1" si="15">S151</f>
        <v>201,..,701</v>
      </c>
      <c r="B151" s="74"/>
      <c r="C151" s="46" t="s">
        <v>181</v>
      </c>
      <c r="D151" s="46">
        <f>31.57*10.764</f>
        <v>339.81948</v>
      </c>
      <c r="E151" s="46">
        <v>0</v>
      </c>
      <c r="F151" s="46">
        <f>D151*(($F$139)+1)+E151</f>
        <v>492.738246</v>
      </c>
      <c r="G151" s="74" t="str">
        <f>A150</f>
        <v>2nd to 7th Floor</v>
      </c>
      <c r="H151" s="74"/>
      <c r="S151" s="70" t="str">
        <f t="shared" ref="S151:S159" ca="1" si="16">V151&amp;""&amp;$V$120&amp;""&amp;W151</f>
        <v>201,..,701</v>
      </c>
      <c r="T151" s="70"/>
      <c r="U151" s="32">
        <v>1</v>
      </c>
      <c r="V151" s="2">
        <f ca="1">(SUMPRODUCT(MID(0&amp;V150, LARGE(INDEX(ISNUMBER(--MID(V150, ROW(INDIRECT("1:"&amp;LEN(V150))), 1)) * ROW(INDIRECT("1:"&amp;LEN(V150))), 0), ROW(INDIRECT("1:"&amp;LEN(V150))))+1, 1) * 10^ROW(INDIRECT("1:"&amp;LEN(V150)))/10))*U151*100+1</f>
        <v>201</v>
      </c>
      <c r="W151" s="2">
        <f ca="1">(SUMPRODUCT(MID(0&amp;W150, LARGE(INDEX(ISNUMBER(--MID(W150, ROW(INDIRECT("1:"&amp;LEN(W150))), 1)) * ROW(INDIRECT("1:"&amp;LEN(W150))), 0), ROW(INDIRECT("1:"&amp;LEN(W150))))+1, 1) * 10^ROW(INDIRECT("1:"&amp;LEN(W150)))/10))*U151*100+1</f>
        <v>701</v>
      </c>
    </row>
    <row r="152" spans="1:23" s="2" customFormat="1" ht="15.75" customHeight="1" x14ac:dyDescent="0.3">
      <c r="A152" s="74" t="str">
        <f t="shared" ca="1" si="15"/>
        <v>202,..,702</v>
      </c>
      <c r="B152" s="74"/>
      <c r="C152" s="46" t="s">
        <v>181</v>
      </c>
      <c r="D152" s="46">
        <f>31.42*10.764</f>
        <v>338.20488</v>
      </c>
      <c r="E152" s="46">
        <v>0</v>
      </c>
      <c r="F152" s="46">
        <f>D152*(($F$139)+1)+E152</f>
        <v>490.39707599999997</v>
      </c>
      <c r="G152" s="74"/>
      <c r="H152" s="74"/>
      <c r="S152" s="70" t="str">
        <f t="shared" ca="1" si="16"/>
        <v>202,..,702</v>
      </c>
      <c r="T152" s="70"/>
      <c r="U152" s="32">
        <f t="shared" ref="U152:W155" si="17">U151+1</f>
        <v>2</v>
      </c>
      <c r="V152" s="2">
        <f t="shared" ca="1" si="17"/>
        <v>202</v>
      </c>
      <c r="W152" s="2">
        <f t="shared" ca="1" si="17"/>
        <v>702</v>
      </c>
    </row>
    <row r="153" spans="1:23" s="2" customFormat="1" ht="15.75" customHeight="1" x14ac:dyDescent="0.3">
      <c r="A153" s="74" t="str">
        <f t="shared" ca="1" si="15"/>
        <v>203,..,703</v>
      </c>
      <c r="B153" s="74"/>
      <c r="C153" s="46" t="s">
        <v>181</v>
      </c>
      <c r="D153" s="46">
        <f>31.42*10.764</f>
        <v>338.20488</v>
      </c>
      <c r="E153" s="46">
        <v>0</v>
      </c>
      <c r="F153" s="46">
        <f>D153*(($F$139)+1)+E153</f>
        <v>490.39707599999997</v>
      </c>
      <c r="G153" s="74"/>
      <c r="H153" s="74"/>
      <c r="S153" s="70" t="str">
        <f t="shared" ca="1" si="16"/>
        <v>203,..,703</v>
      </c>
      <c r="T153" s="70"/>
      <c r="U153" s="32">
        <f t="shared" si="17"/>
        <v>3</v>
      </c>
      <c r="V153" s="2">
        <f t="shared" ca="1" si="17"/>
        <v>203</v>
      </c>
      <c r="W153" s="2">
        <f t="shared" ca="1" si="17"/>
        <v>703</v>
      </c>
    </row>
    <row r="154" spans="1:23" s="2" customFormat="1" ht="15.75" customHeight="1" x14ac:dyDescent="0.3">
      <c r="A154" s="74" t="str">
        <f t="shared" ca="1" si="15"/>
        <v>204,..,704</v>
      </c>
      <c r="B154" s="74"/>
      <c r="C154" s="46" t="s">
        <v>181</v>
      </c>
      <c r="D154" s="46">
        <f>31.57*10.764</f>
        <v>339.81948</v>
      </c>
      <c r="E154" s="46">
        <v>0</v>
      </c>
      <c r="F154" s="46">
        <f>D154*(($F$139)+1)+E154</f>
        <v>492.738246</v>
      </c>
      <c r="G154" s="74"/>
      <c r="H154" s="74"/>
      <c r="S154" s="70" t="str">
        <f t="shared" ca="1" si="16"/>
        <v>204,..,704</v>
      </c>
      <c r="T154" s="70"/>
      <c r="U154" s="32">
        <f t="shared" si="17"/>
        <v>4</v>
      </c>
      <c r="V154" s="2">
        <f t="shared" ca="1" si="17"/>
        <v>204</v>
      </c>
      <c r="W154" s="2">
        <f t="shared" ca="1" si="17"/>
        <v>704</v>
      </c>
    </row>
    <row r="155" spans="1:23" s="2" customFormat="1" ht="15.75" customHeight="1" x14ac:dyDescent="0.3">
      <c r="A155" s="74" t="str">
        <f t="shared" ca="1" si="15"/>
        <v>205,..,705</v>
      </c>
      <c r="B155" s="74"/>
      <c r="C155" s="46" t="s">
        <v>182</v>
      </c>
      <c r="D155" s="46">
        <f>47.99*10.764</f>
        <v>516.56435999999997</v>
      </c>
      <c r="E155" s="46">
        <v>0</v>
      </c>
      <c r="F155" s="46">
        <f>D155*(($F$139)+1)+E155</f>
        <v>749.0183219999999</v>
      </c>
      <c r="G155" s="74"/>
      <c r="H155" s="74"/>
      <c r="S155" s="70" t="str">
        <f t="shared" ca="1" si="16"/>
        <v>205,..,705</v>
      </c>
      <c r="T155" s="70"/>
      <c r="U155" s="32">
        <f t="shared" si="17"/>
        <v>5</v>
      </c>
      <c r="V155" s="2">
        <f t="shared" ca="1" si="17"/>
        <v>205</v>
      </c>
      <c r="W155" s="2">
        <f t="shared" ca="1" si="17"/>
        <v>705</v>
      </c>
    </row>
    <row r="156" spans="1:23" s="2" customFormat="1" ht="15.75" customHeight="1" x14ac:dyDescent="0.3">
      <c r="A156" s="74" t="str">
        <f t="shared" ca="1" si="15"/>
        <v>206,..,706</v>
      </c>
      <c r="B156" s="74"/>
      <c r="C156" s="46" t="s">
        <v>181</v>
      </c>
      <c r="D156" s="46">
        <f t="shared" ref="D156:D159" si="18">31.57*10.764</f>
        <v>339.81948</v>
      </c>
      <c r="E156" s="46">
        <v>0</v>
      </c>
      <c r="F156" s="46">
        <f t="shared" ref="F156:F159" si="19">D156*(($F$139)+1)+E156</f>
        <v>492.738246</v>
      </c>
      <c r="G156" s="74"/>
      <c r="H156" s="74"/>
      <c r="S156" s="70" t="str">
        <f t="shared" ca="1" si="16"/>
        <v>206,..,706</v>
      </c>
      <c r="T156" s="70"/>
      <c r="U156" s="32">
        <f t="shared" ref="U156:W156" si="20">U155+1</f>
        <v>6</v>
      </c>
      <c r="V156" s="2">
        <f t="shared" ca="1" si="20"/>
        <v>206</v>
      </c>
      <c r="W156" s="2">
        <f t="shared" ca="1" si="20"/>
        <v>706</v>
      </c>
    </row>
    <row r="157" spans="1:23" s="2" customFormat="1" ht="15.75" customHeight="1" x14ac:dyDescent="0.3">
      <c r="A157" s="74" t="str">
        <f t="shared" ca="1" si="15"/>
        <v>207,..,707</v>
      </c>
      <c r="B157" s="74"/>
      <c r="C157" s="46" t="s">
        <v>181</v>
      </c>
      <c r="D157" s="46">
        <f t="shared" si="18"/>
        <v>339.81948</v>
      </c>
      <c r="E157" s="46">
        <v>0</v>
      </c>
      <c r="F157" s="46">
        <f t="shared" si="19"/>
        <v>492.738246</v>
      </c>
      <c r="G157" s="74"/>
      <c r="H157" s="74"/>
      <c r="S157" s="70" t="str">
        <f t="shared" ca="1" si="16"/>
        <v>207,..,707</v>
      </c>
      <c r="T157" s="70"/>
      <c r="U157" s="32">
        <f t="shared" ref="U157:W157" si="21">U156+1</f>
        <v>7</v>
      </c>
      <c r="V157" s="2">
        <f t="shared" ca="1" si="21"/>
        <v>207</v>
      </c>
      <c r="W157" s="2">
        <f t="shared" ca="1" si="21"/>
        <v>707</v>
      </c>
    </row>
    <row r="158" spans="1:23" s="2" customFormat="1" ht="15.75" customHeight="1" x14ac:dyDescent="0.3">
      <c r="A158" s="74" t="str">
        <f t="shared" ca="1" si="15"/>
        <v>208,..,708</v>
      </c>
      <c r="B158" s="74"/>
      <c r="C158" s="46" t="s">
        <v>181</v>
      </c>
      <c r="D158" s="46">
        <f t="shared" si="18"/>
        <v>339.81948</v>
      </c>
      <c r="E158" s="46">
        <v>0</v>
      </c>
      <c r="F158" s="46">
        <f t="shared" si="19"/>
        <v>492.738246</v>
      </c>
      <c r="G158" s="74"/>
      <c r="H158" s="74"/>
      <c r="S158" s="70" t="str">
        <f t="shared" ca="1" si="16"/>
        <v>208,..,708</v>
      </c>
      <c r="T158" s="70"/>
      <c r="U158" s="32">
        <f t="shared" ref="U158:W158" si="22">U157+1</f>
        <v>8</v>
      </c>
      <c r="V158" s="2">
        <f t="shared" ca="1" si="22"/>
        <v>208</v>
      </c>
      <c r="W158" s="2">
        <f t="shared" ca="1" si="22"/>
        <v>708</v>
      </c>
    </row>
    <row r="159" spans="1:23" s="2" customFormat="1" ht="15.75" customHeight="1" x14ac:dyDescent="0.3">
      <c r="A159" s="74" t="str">
        <f t="shared" ca="1" si="15"/>
        <v>209,..,709</v>
      </c>
      <c r="B159" s="74"/>
      <c r="C159" s="46" t="s">
        <v>181</v>
      </c>
      <c r="D159" s="46">
        <f t="shared" si="18"/>
        <v>339.81948</v>
      </c>
      <c r="E159" s="46">
        <v>0</v>
      </c>
      <c r="F159" s="46">
        <f t="shared" si="19"/>
        <v>492.738246</v>
      </c>
      <c r="G159" s="74"/>
      <c r="H159" s="74"/>
      <c r="S159" s="70" t="str">
        <f t="shared" ca="1" si="16"/>
        <v>209,..,709</v>
      </c>
      <c r="T159" s="70"/>
      <c r="U159" s="32">
        <f t="shared" ref="U159:W159" si="23">U158+1</f>
        <v>9</v>
      </c>
      <c r="V159" s="2">
        <f t="shared" ca="1" si="23"/>
        <v>209</v>
      </c>
      <c r="W159" s="2">
        <f t="shared" ca="1" si="23"/>
        <v>709</v>
      </c>
    </row>
    <row r="160" spans="1:23" s="2" customFormat="1" x14ac:dyDescent="0.3">
      <c r="A160" s="74"/>
      <c r="B160" s="74"/>
      <c r="C160" s="74"/>
      <c r="D160" s="74"/>
      <c r="E160" s="74"/>
      <c r="F160" s="74"/>
      <c r="G160" s="74"/>
      <c r="H160" s="74"/>
      <c r="U160" s="32"/>
    </row>
    <row r="161" spans="1:23" ht="47.25" customHeight="1" x14ac:dyDescent="0.3">
      <c r="A161" s="93" t="s">
        <v>200</v>
      </c>
      <c r="B161" s="93"/>
      <c r="C161" s="93" t="s">
        <v>66</v>
      </c>
      <c r="D161" s="93" t="s">
        <v>67</v>
      </c>
      <c r="E161" s="161" t="s">
        <v>68</v>
      </c>
      <c r="F161" s="66" t="s">
        <v>164</v>
      </c>
      <c r="G161" s="93" t="s">
        <v>69</v>
      </c>
      <c r="H161" s="93"/>
    </row>
    <row r="162" spans="1:23" s="2" customFormat="1" x14ac:dyDescent="0.3">
      <c r="A162" s="93"/>
      <c r="B162" s="93"/>
      <c r="C162" s="93"/>
      <c r="D162" s="93"/>
      <c r="E162" s="161"/>
      <c r="F162" s="67">
        <v>0.5</v>
      </c>
      <c r="G162" s="93"/>
      <c r="H162" s="93"/>
    </row>
    <row r="163" spans="1:23" s="2" customFormat="1" x14ac:dyDescent="0.3">
      <c r="A163" s="81" t="s">
        <v>195</v>
      </c>
      <c r="B163" s="82"/>
      <c r="C163" s="82"/>
      <c r="D163" s="82"/>
      <c r="E163" s="82"/>
      <c r="F163" s="82"/>
      <c r="G163" s="82"/>
      <c r="H163" s="83"/>
    </row>
    <row r="164" spans="1:23" s="2" customFormat="1" x14ac:dyDescent="0.3">
      <c r="A164" s="81" t="s">
        <v>183</v>
      </c>
      <c r="B164" s="82"/>
      <c r="C164" s="82"/>
      <c r="D164" s="82"/>
      <c r="E164" s="82"/>
      <c r="F164" s="82"/>
      <c r="G164" s="82"/>
      <c r="H164" s="83"/>
      <c r="U164" s="32"/>
    </row>
    <row r="165" spans="1:23" s="2" customFormat="1" x14ac:dyDescent="0.3">
      <c r="A165" s="71" t="s">
        <v>179</v>
      </c>
      <c r="B165" s="71"/>
      <c r="C165" s="71"/>
      <c r="D165" s="71"/>
      <c r="E165" s="71"/>
      <c r="F165" s="71"/>
      <c r="G165" s="71"/>
      <c r="H165" s="71"/>
      <c r="V165" s="70" t="s">
        <v>165</v>
      </c>
      <c r="W165" s="70"/>
    </row>
    <row r="166" spans="1:23" s="2" customFormat="1" ht="15.75" customHeight="1" x14ac:dyDescent="0.3">
      <c r="A166" s="74">
        <v>1</v>
      </c>
      <c r="B166" s="74"/>
      <c r="C166" s="46" t="s">
        <v>178</v>
      </c>
      <c r="D166" s="46">
        <f>12.49*10.764</f>
        <v>134.44236000000001</v>
      </c>
      <c r="E166" s="46">
        <v>0</v>
      </c>
      <c r="F166" s="46">
        <f>D166*(($F$162)+1)+E166</f>
        <v>201.66354000000001</v>
      </c>
      <c r="G166" s="75" t="str">
        <f>A165</f>
        <v>Ground Floor for Commercial &amp; Parking</v>
      </c>
      <c r="H166" s="76"/>
      <c r="S166" s="70"/>
      <c r="T166" s="70"/>
      <c r="U166" s="32"/>
    </row>
    <row r="167" spans="1:23" s="2" customFormat="1" x14ac:dyDescent="0.3">
      <c r="A167" s="74">
        <f>A166+1</f>
        <v>2</v>
      </c>
      <c r="B167" s="74"/>
      <c r="C167" s="46" t="s">
        <v>178</v>
      </c>
      <c r="D167" s="46">
        <f>12.49*10.764</f>
        <v>134.44236000000001</v>
      </c>
      <c r="E167" s="46">
        <v>0</v>
      </c>
      <c r="F167" s="46">
        <f t="shared" ref="F167:F173" si="24">D167*(($F$162)+1)+E167</f>
        <v>201.66354000000001</v>
      </c>
      <c r="G167" s="77"/>
      <c r="H167" s="78"/>
      <c r="S167" s="70"/>
      <c r="T167" s="70"/>
      <c r="U167" s="32"/>
    </row>
    <row r="168" spans="1:23" s="2" customFormat="1" x14ac:dyDescent="0.3">
      <c r="A168" s="74">
        <f t="shared" ref="A168:A172" si="25">A167+1</f>
        <v>3</v>
      </c>
      <c r="B168" s="74"/>
      <c r="C168" s="46" t="s">
        <v>178</v>
      </c>
      <c r="D168" s="46">
        <f>12.3*10.764</f>
        <v>132.3972</v>
      </c>
      <c r="E168" s="46">
        <v>0</v>
      </c>
      <c r="F168" s="46">
        <f t="shared" si="24"/>
        <v>198.5958</v>
      </c>
      <c r="G168" s="77"/>
      <c r="H168" s="78"/>
      <c r="S168" s="70"/>
      <c r="T168" s="70"/>
      <c r="U168" s="32"/>
    </row>
    <row r="169" spans="1:23" s="2" customFormat="1" x14ac:dyDescent="0.3">
      <c r="A169" s="74">
        <f t="shared" si="25"/>
        <v>4</v>
      </c>
      <c r="B169" s="74"/>
      <c r="C169" s="46" t="s">
        <v>178</v>
      </c>
      <c r="D169" s="46">
        <f>15.76*10.764</f>
        <v>169.64063999999999</v>
      </c>
      <c r="E169" s="46">
        <v>0</v>
      </c>
      <c r="F169" s="46">
        <f t="shared" si="24"/>
        <v>254.46096</v>
      </c>
      <c r="G169" s="77"/>
      <c r="H169" s="78"/>
      <c r="S169" s="70"/>
      <c r="T169" s="70"/>
      <c r="U169" s="32"/>
    </row>
    <row r="170" spans="1:23" s="2" customFormat="1" x14ac:dyDescent="0.3">
      <c r="A170" s="74">
        <f t="shared" si="25"/>
        <v>5</v>
      </c>
      <c r="B170" s="74"/>
      <c r="C170" s="46" t="s">
        <v>178</v>
      </c>
      <c r="D170" s="46">
        <f>12.19*10.764</f>
        <v>131.21315999999999</v>
      </c>
      <c r="E170" s="46">
        <v>0</v>
      </c>
      <c r="F170" s="46">
        <f t="shared" si="24"/>
        <v>196.81973999999997</v>
      </c>
      <c r="G170" s="77"/>
      <c r="H170" s="78"/>
      <c r="S170" s="70"/>
      <c r="T170" s="70"/>
      <c r="U170" s="32"/>
    </row>
    <row r="171" spans="1:23" s="2" customFormat="1" x14ac:dyDescent="0.3">
      <c r="A171" s="74">
        <f t="shared" si="25"/>
        <v>6</v>
      </c>
      <c r="B171" s="74"/>
      <c r="C171" s="46" t="s">
        <v>178</v>
      </c>
      <c r="D171" s="46">
        <f>8.95*10.764</f>
        <v>96.337799999999987</v>
      </c>
      <c r="E171" s="46">
        <v>0</v>
      </c>
      <c r="F171" s="46">
        <f t="shared" si="24"/>
        <v>144.50669999999997</v>
      </c>
      <c r="G171" s="77"/>
      <c r="H171" s="78"/>
      <c r="S171" s="70"/>
      <c r="T171" s="70"/>
      <c r="U171" s="32"/>
    </row>
    <row r="172" spans="1:23" s="2" customFormat="1" x14ac:dyDescent="0.3">
      <c r="A172" s="74">
        <f t="shared" si="25"/>
        <v>7</v>
      </c>
      <c r="B172" s="74"/>
      <c r="C172" s="46" t="s">
        <v>178</v>
      </c>
      <c r="D172" s="46">
        <f>10.08*10.764</f>
        <v>108.50112</v>
      </c>
      <c r="E172" s="46">
        <v>0</v>
      </c>
      <c r="F172" s="46">
        <f t="shared" si="24"/>
        <v>162.75167999999999</v>
      </c>
      <c r="G172" s="77"/>
      <c r="H172" s="78"/>
      <c r="S172" s="70"/>
      <c r="T172" s="70"/>
      <c r="U172" s="32"/>
    </row>
    <row r="173" spans="1:23" s="2" customFormat="1" x14ac:dyDescent="0.3">
      <c r="A173" s="88">
        <f>A172+1</f>
        <v>8</v>
      </c>
      <c r="B173" s="88"/>
      <c r="C173" s="49" t="s">
        <v>178</v>
      </c>
      <c r="D173" s="49">
        <f>6.97*10.764</f>
        <v>75.025079999999988</v>
      </c>
      <c r="E173" s="49">
        <v>0</v>
      </c>
      <c r="F173" s="49">
        <f t="shared" si="24"/>
        <v>112.53761999999998</v>
      </c>
      <c r="G173" s="77"/>
      <c r="H173" s="78"/>
      <c r="S173" s="70"/>
      <c r="T173" s="70"/>
      <c r="U173" s="32"/>
    </row>
    <row r="174" spans="1:23" s="2" customFormat="1" x14ac:dyDescent="0.3">
      <c r="A174" s="81" t="s">
        <v>195</v>
      </c>
      <c r="B174" s="82"/>
      <c r="C174" s="82"/>
      <c r="D174" s="82"/>
      <c r="E174" s="82"/>
      <c r="F174" s="82"/>
      <c r="G174" s="82"/>
      <c r="H174" s="83"/>
      <c r="U174" s="32"/>
    </row>
    <row r="175" spans="1:23" ht="47.25" customHeight="1" x14ac:dyDescent="0.3">
      <c r="A175" s="84" t="s">
        <v>201</v>
      </c>
      <c r="B175" s="85"/>
      <c r="C175" s="89" t="s">
        <v>66</v>
      </c>
      <c r="D175" s="89" t="s">
        <v>67</v>
      </c>
      <c r="E175" s="91" t="s">
        <v>68</v>
      </c>
      <c r="F175" s="45" t="s">
        <v>164</v>
      </c>
      <c r="G175" s="84" t="s">
        <v>69</v>
      </c>
      <c r="H175" s="85"/>
    </row>
    <row r="176" spans="1:23" s="2" customFormat="1" x14ac:dyDescent="0.3">
      <c r="A176" s="86"/>
      <c r="B176" s="87"/>
      <c r="C176" s="90"/>
      <c r="D176" s="90"/>
      <c r="E176" s="92"/>
      <c r="F176" s="31">
        <v>0.45</v>
      </c>
      <c r="G176" s="86"/>
      <c r="H176" s="87"/>
    </row>
    <row r="177" spans="1:23" s="2" customFormat="1" x14ac:dyDescent="0.3">
      <c r="A177" s="81" t="s">
        <v>184</v>
      </c>
      <c r="B177" s="82"/>
      <c r="C177" s="82"/>
      <c r="D177" s="82"/>
      <c r="E177" s="82"/>
      <c r="F177" s="82"/>
      <c r="G177" s="82"/>
      <c r="H177" s="83"/>
    </row>
    <row r="178" spans="1:23" s="2" customFormat="1" ht="15.75" customHeight="1" x14ac:dyDescent="0.3">
      <c r="A178" s="74">
        <v>1</v>
      </c>
      <c r="B178" s="74"/>
      <c r="C178" s="46" t="s">
        <v>181</v>
      </c>
      <c r="D178" s="46">
        <f>27.56*10.764</f>
        <v>296.65583999999996</v>
      </c>
      <c r="E178" s="46">
        <v>0</v>
      </c>
      <c r="F178" s="46">
        <f>D178*(($F$176)+1)+E178</f>
        <v>430.15096799999992</v>
      </c>
      <c r="G178" s="74" t="s">
        <v>167</v>
      </c>
      <c r="H178" s="74"/>
      <c r="S178" s="70"/>
      <c r="T178" s="70"/>
      <c r="U178" s="32"/>
    </row>
    <row r="179" spans="1:23" s="2" customFormat="1" x14ac:dyDescent="0.3">
      <c r="A179" s="71" t="s">
        <v>166</v>
      </c>
      <c r="B179" s="71"/>
      <c r="C179" s="71"/>
      <c r="D179" s="71"/>
      <c r="E179" s="71"/>
      <c r="F179" s="71"/>
      <c r="G179" s="71"/>
      <c r="H179" s="71"/>
      <c r="S179" s="70"/>
      <c r="T179" s="70"/>
      <c r="V179" s="2" t="str">
        <f>LEFT(A179,SUM(LEN(A179)-LEN(SUBSTITUTE(A179,{"0","1","2","3","4","5","6","7","8","9"},""))))</f>
        <v>1</v>
      </c>
    </row>
    <row r="180" spans="1:23" s="2" customFormat="1" x14ac:dyDescent="0.3">
      <c r="A180" s="74">
        <f t="shared" ref="A180:A185" ca="1" si="26">S180</f>
        <v>101</v>
      </c>
      <c r="B180" s="74"/>
      <c r="C180" s="46" t="s">
        <v>181</v>
      </c>
      <c r="D180" s="46">
        <f>(27.56++(1.8+1.95+2.75)*0.7)*10.764</f>
        <v>345.63203999999996</v>
      </c>
      <c r="E180" s="46">
        <v>0</v>
      </c>
      <c r="F180" s="46">
        <f t="shared" ref="F180:F184" si="27">D180*(($F$176)+1)+E180</f>
        <v>501.16645799999992</v>
      </c>
      <c r="G180" s="75" t="str">
        <f>A179</f>
        <v>1st Floor</v>
      </c>
      <c r="H180" s="76"/>
      <c r="S180" s="70">
        <f t="shared" ref="S180:S185" ca="1" si="28">V180</f>
        <v>101</v>
      </c>
      <c r="T180" s="70"/>
      <c r="U180" s="32">
        <v>1</v>
      </c>
      <c r="V180" s="2">
        <f ca="1">(SUMPRODUCT(MID(0&amp;V179, LARGE(INDEX(ISNUMBER(--MID(V179, ROW(INDIRECT("1:"&amp;LEN(V179))), 1)) * ROW(INDIRECT("1:"&amp;LEN(V179))), 0), ROW(INDIRECT("1:"&amp;LEN(V179))))+1, 1) * 10^ROW(INDIRECT("1:"&amp;LEN(V179)))/10))*U180*100+1</f>
        <v>101</v>
      </c>
    </row>
    <row r="181" spans="1:23" s="2" customFormat="1" x14ac:dyDescent="0.3">
      <c r="A181" s="74">
        <f t="shared" ca="1" si="26"/>
        <v>102</v>
      </c>
      <c r="B181" s="74"/>
      <c r="C181" s="46" t="s">
        <v>181</v>
      </c>
      <c r="D181" s="46">
        <f>(27.56+(2+1.95+2.75)*0.7)*10.764</f>
        <v>347.13899999999995</v>
      </c>
      <c r="E181" s="46">
        <v>0</v>
      </c>
      <c r="F181" s="46">
        <f t="shared" si="27"/>
        <v>503.35154999999992</v>
      </c>
      <c r="G181" s="77"/>
      <c r="H181" s="78"/>
      <c r="S181" s="70">
        <f t="shared" ca="1" si="28"/>
        <v>102</v>
      </c>
      <c r="T181" s="70"/>
      <c r="U181" s="32">
        <f>U180+1</f>
        <v>2</v>
      </c>
      <c r="V181" s="2">
        <f ca="1">V180+1</f>
        <v>102</v>
      </c>
    </row>
    <row r="182" spans="1:23" s="2" customFormat="1" x14ac:dyDescent="0.3">
      <c r="A182" s="74">
        <f t="shared" ca="1" si="26"/>
        <v>103</v>
      </c>
      <c r="B182" s="74"/>
      <c r="C182" s="46" t="s">
        <v>181</v>
      </c>
      <c r="D182" s="46">
        <f>(30.9+(2.75+2.15+2.75)*0.7)*10.764</f>
        <v>390.24881999999991</v>
      </c>
      <c r="E182" s="46">
        <v>0</v>
      </c>
      <c r="F182" s="46">
        <f t="shared" si="27"/>
        <v>565.86078899999984</v>
      </c>
      <c r="G182" s="77"/>
      <c r="H182" s="78"/>
      <c r="S182" s="70">
        <f t="shared" ca="1" si="28"/>
        <v>103</v>
      </c>
      <c r="T182" s="70"/>
      <c r="U182" s="32">
        <f>U181+1</f>
        <v>3</v>
      </c>
      <c r="V182" s="2">
        <f ca="1">V181+1</f>
        <v>103</v>
      </c>
    </row>
    <row r="183" spans="1:23" s="2" customFormat="1" x14ac:dyDescent="0.3">
      <c r="A183" s="74">
        <f t="shared" ca="1" si="26"/>
        <v>104</v>
      </c>
      <c r="B183" s="74"/>
      <c r="C183" s="46" t="s">
        <v>182</v>
      </c>
      <c r="D183" s="46">
        <f>(44.24+(2.75+2.1+2.7+2.8)*0.7)*10.764</f>
        <v>554.18453999999997</v>
      </c>
      <c r="E183" s="46">
        <v>0</v>
      </c>
      <c r="F183" s="46">
        <f t="shared" si="27"/>
        <v>803.5675829999999</v>
      </c>
      <c r="G183" s="77"/>
      <c r="H183" s="78"/>
      <c r="S183" s="70">
        <f t="shared" ca="1" si="28"/>
        <v>104</v>
      </c>
      <c r="T183" s="70"/>
      <c r="U183" s="32">
        <f t="shared" ref="U183:V183" si="29">U182+1</f>
        <v>4</v>
      </c>
      <c r="V183" s="2">
        <f t="shared" ca="1" si="29"/>
        <v>104</v>
      </c>
    </row>
    <row r="184" spans="1:23" s="2" customFormat="1" x14ac:dyDescent="0.3">
      <c r="A184" s="74">
        <f t="shared" ca="1" si="26"/>
        <v>105</v>
      </c>
      <c r="B184" s="74"/>
      <c r="C184" s="46" t="s">
        <v>181</v>
      </c>
      <c r="D184" s="46">
        <f>(30.23+(2.75+2.1+3.3)*0.7)*10.764</f>
        <v>386.80434000000002</v>
      </c>
      <c r="E184" s="46">
        <f>(2.75*0.4+2.15*0.8+2.8*0.4+2.28*0.7)*10.764</f>
        <v>59.589503999999998</v>
      </c>
      <c r="F184" s="46">
        <f t="shared" si="27"/>
        <v>620.45579700000008</v>
      </c>
      <c r="G184" s="77"/>
      <c r="H184" s="78"/>
      <c r="S184" s="70">
        <f t="shared" ca="1" si="28"/>
        <v>105</v>
      </c>
      <c r="T184" s="70"/>
      <c r="U184" s="32">
        <f t="shared" ref="U184:V184" si="30">U183+1</f>
        <v>5</v>
      </c>
      <c r="V184" s="2">
        <f t="shared" ca="1" si="30"/>
        <v>105</v>
      </c>
    </row>
    <row r="185" spans="1:23" s="2" customFormat="1" x14ac:dyDescent="0.3">
      <c r="A185" s="74">
        <f t="shared" ca="1" si="26"/>
        <v>106</v>
      </c>
      <c r="B185" s="74"/>
      <c r="C185" s="46" t="s">
        <v>181</v>
      </c>
      <c r="D185" s="46">
        <f>(30.23+(2.75+2.1+3.3)*0.7)*10.764</f>
        <v>386.80434000000002</v>
      </c>
      <c r="E185" s="46">
        <f>(2.75*1.8+2.4*1+5.85*2.2+3.4*2.1)*10.764</f>
        <v>294.50304</v>
      </c>
      <c r="F185" s="46">
        <f>D185*(($F$176)+1)+E185/2</f>
        <v>708.11781300000007</v>
      </c>
      <c r="G185" s="79"/>
      <c r="H185" s="80"/>
      <c r="S185" s="70">
        <f t="shared" ca="1" si="28"/>
        <v>106</v>
      </c>
      <c r="T185" s="70"/>
      <c r="U185" s="32">
        <f>U184+1</f>
        <v>6</v>
      </c>
      <c r="V185" s="2">
        <f t="shared" ref="V185" ca="1" si="31">V184+1</f>
        <v>106</v>
      </c>
    </row>
    <row r="186" spans="1:23" s="2" customFormat="1" x14ac:dyDescent="0.3">
      <c r="A186" s="81" t="s">
        <v>186</v>
      </c>
      <c r="B186" s="82"/>
      <c r="C186" s="82"/>
      <c r="D186" s="82"/>
      <c r="E186" s="82"/>
      <c r="F186" s="82"/>
      <c r="G186" s="82"/>
      <c r="H186" s="83"/>
      <c r="V186" s="2" t="str">
        <f>LEFT(A186,SUM(LEN(A186)-LEN(SUBSTITUTE(A186,{"0","1","2","3","4","5","6","7","8","9"},""))))</f>
        <v>3</v>
      </c>
      <c r="W186" s="2">
        <f ca="1">--TRIM(RIGHT(SUBSTITUTE(LEFT(A186,_xlfn.AGGREGATE(14,6,FIND({0,1,2,3,4,5,6,7,8,9},A186,ROW(INDIRECT("1:"&amp;LEN(A186)))),1))," ",REPT(" ",LEN(A186))),LEN(A186)))</f>
        <v>3</v>
      </c>
    </row>
    <row r="187" spans="1:23" s="2" customFormat="1" x14ac:dyDescent="0.3">
      <c r="A187" s="72">
        <v>301</v>
      </c>
      <c r="B187" s="73"/>
      <c r="C187" s="46" t="s">
        <v>181</v>
      </c>
      <c r="D187" s="46">
        <f>(27.56++(1.8+1.95+2.75)*0.7)*10.764</f>
        <v>345.63203999999996</v>
      </c>
      <c r="E187" s="46">
        <v>0</v>
      </c>
      <c r="F187" s="46">
        <f>D187*(($F$176)+1)+E187</f>
        <v>501.16645799999992</v>
      </c>
      <c r="G187" s="75" t="str">
        <f>A186</f>
        <v>3rd Floor</v>
      </c>
      <c r="H187" s="76"/>
      <c r="S187" s="70" t="str">
        <f t="shared" ref="S187:S192" ca="1" si="32">V187&amp;""&amp;$V$120&amp;""&amp;W187</f>
        <v>301,..,301</v>
      </c>
      <c r="T187" s="70"/>
      <c r="U187" s="32">
        <v>1</v>
      </c>
      <c r="V187" s="2">
        <f ca="1">(SUMPRODUCT(MID(0&amp;V186, LARGE(INDEX(ISNUMBER(--MID(V186, ROW(INDIRECT("1:"&amp;LEN(V186))), 1)) * ROW(INDIRECT("1:"&amp;LEN(V186))), 0), ROW(INDIRECT("1:"&amp;LEN(V186))))+1, 1) * 10^ROW(INDIRECT("1:"&amp;LEN(V186)))/10))*U187*100+1</f>
        <v>301</v>
      </c>
      <c r="W187" s="2">
        <f ca="1">(SUMPRODUCT(MID(0&amp;W186, LARGE(INDEX(ISNUMBER(--MID(W186, ROW(INDIRECT("1:"&amp;LEN(W186))), 1)) * ROW(INDIRECT("1:"&amp;LEN(W186))), 0), ROW(INDIRECT("1:"&amp;LEN(W186))))+1, 1) * 10^ROW(INDIRECT("1:"&amp;LEN(W186)))/10))*U187*100+1</f>
        <v>301</v>
      </c>
    </row>
    <row r="188" spans="1:23" s="2" customFormat="1" x14ac:dyDescent="0.3">
      <c r="A188" s="72">
        <v>302</v>
      </c>
      <c r="B188" s="73"/>
      <c r="C188" s="46" t="s">
        <v>181</v>
      </c>
      <c r="D188" s="46">
        <f>(27.56+(2+1.95+2.75)*0.7)*10.764</f>
        <v>347.13899999999995</v>
      </c>
      <c r="E188" s="46">
        <v>0</v>
      </c>
      <c r="F188" s="46">
        <f t="shared" ref="F188:F192" si="33">D188*(($F$176)+1)+E188</f>
        <v>503.35154999999992</v>
      </c>
      <c r="G188" s="77"/>
      <c r="H188" s="78"/>
      <c r="S188" s="70" t="str">
        <f t="shared" ca="1" si="32"/>
        <v>302,..,302</v>
      </c>
      <c r="T188" s="70"/>
      <c r="U188" s="32">
        <f t="shared" ref="U188:W188" si="34">U187+1</f>
        <v>2</v>
      </c>
      <c r="V188" s="2">
        <f t="shared" ca="1" si="34"/>
        <v>302</v>
      </c>
      <c r="W188" s="2">
        <f t="shared" ca="1" si="34"/>
        <v>302</v>
      </c>
    </row>
    <row r="189" spans="1:23" s="2" customFormat="1" x14ac:dyDescent="0.3">
      <c r="A189" s="72">
        <v>303</v>
      </c>
      <c r="B189" s="73"/>
      <c r="C189" s="46" t="s">
        <v>181</v>
      </c>
      <c r="D189" s="46">
        <f>(30.9+(2.75+2.15+2.75)*0.7)*10.764</f>
        <v>390.24881999999991</v>
      </c>
      <c r="E189" s="46">
        <v>0</v>
      </c>
      <c r="F189" s="46">
        <f t="shared" si="33"/>
        <v>565.86078899999984</v>
      </c>
      <c r="G189" s="77"/>
      <c r="H189" s="78"/>
      <c r="S189" s="70" t="str">
        <f t="shared" ca="1" si="32"/>
        <v>303,..,303</v>
      </c>
      <c r="T189" s="70"/>
      <c r="U189" s="32">
        <f t="shared" ref="U189:W189" si="35">U188+1</f>
        <v>3</v>
      </c>
      <c r="V189" s="2">
        <f t="shared" ca="1" si="35"/>
        <v>303</v>
      </c>
      <c r="W189" s="2">
        <f t="shared" ca="1" si="35"/>
        <v>303</v>
      </c>
    </row>
    <row r="190" spans="1:23" s="2" customFormat="1" x14ac:dyDescent="0.3">
      <c r="A190" s="72">
        <v>304</v>
      </c>
      <c r="B190" s="73"/>
      <c r="C190" s="46" t="s">
        <v>182</v>
      </c>
      <c r="D190" s="46">
        <f>(44.24+(2.75+2.1+2.7+2.8)*0.7)*10.764</f>
        <v>554.18453999999997</v>
      </c>
      <c r="E190" s="46">
        <v>0</v>
      </c>
      <c r="F190" s="46">
        <f t="shared" si="33"/>
        <v>803.5675829999999</v>
      </c>
      <c r="G190" s="77"/>
      <c r="H190" s="78"/>
      <c r="S190" s="70" t="str">
        <f t="shared" ca="1" si="32"/>
        <v>304,..,304</v>
      </c>
      <c r="T190" s="70"/>
      <c r="U190" s="32">
        <f t="shared" ref="U190:W190" si="36">U189+1</f>
        <v>4</v>
      </c>
      <c r="V190" s="2">
        <f t="shared" ca="1" si="36"/>
        <v>304</v>
      </c>
      <c r="W190" s="2">
        <f t="shared" ca="1" si="36"/>
        <v>304</v>
      </c>
    </row>
    <row r="191" spans="1:23" s="2" customFormat="1" x14ac:dyDescent="0.3">
      <c r="A191" s="72">
        <v>305</v>
      </c>
      <c r="B191" s="73"/>
      <c r="C191" s="46" t="s">
        <v>181</v>
      </c>
      <c r="D191" s="46">
        <f>(30.23+(2.75+2.1+3.3)*0.7)*10.764</f>
        <v>386.80434000000002</v>
      </c>
      <c r="E191" s="46">
        <v>0</v>
      </c>
      <c r="F191" s="46">
        <f t="shared" si="33"/>
        <v>560.86629300000004</v>
      </c>
      <c r="G191" s="77"/>
      <c r="H191" s="78"/>
      <c r="S191" s="70" t="str">
        <f t="shared" ca="1" si="32"/>
        <v>305,..,305</v>
      </c>
      <c r="T191" s="70"/>
      <c r="U191" s="32">
        <f t="shared" ref="U191:W191" si="37">U190+1</f>
        <v>5</v>
      </c>
      <c r="V191" s="2">
        <f t="shared" ca="1" si="37"/>
        <v>305</v>
      </c>
      <c r="W191" s="2">
        <f t="shared" ca="1" si="37"/>
        <v>305</v>
      </c>
    </row>
    <row r="192" spans="1:23" s="2" customFormat="1" x14ac:dyDescent="0.3">
      <c r="A192" s="72">
        <v>306</v>
      </c>
      <c r="B192" s="73"/>
      <c r="C192" s="46" t="s">
        <v>181</v>
      </c>
      <c r="D192" s="46">
        <f>(30.23+(2.75+2.1+3.3)*0.7)*10.764</f>
        <v>386.80434000000002</v>
      </c>
      <c r="E192" s="46">
        <v>0</v>
      </c>
      <c r="F192" s="46">
        <f t="shared" si="33"/>
        <v>560.86629300000004</v>
      </c>
      <c r="G192" s="79"/>
      <c r="H192" s="80"/>
      <c r="S192" s="70" t="str">
        <f t="shared" ca="1" si="32"/>
        <v>306,..,306</v>
      </c>
      <c r="T192" s="70"/>
      <c r="U192" s="32">
        <f t="shared" ref="U192:W192" si="38">U191+1</f>
        <v>6</v>
      </c>
      <c r="V192" s="2">
        <f t="shared" ca="1" si="38"/>
        <v>306</v>
      </c>
      <c r="W192" s="2">
        <f t="shared" ca="1" si="38"/>
        <v>306</v>
      </c>
    </row>
    <row r="193" spans="1:23" s="2" customFormat="1" x14ac:dyDescent="0.3">
      <c r="A193" s="71" t="s">
        <v>185</v>
      </c>
      <c r="B193" s="71"/>
      <c r="C193" s="71"/>
      <c r="D193" s="71"/>
      <c r="E193" s="71"/>
      <c r="F193" s="71"/>
      <c r="G193" s="71"/>
      <c r="H193" s="71"/>
      <c r="S193" s="70"/>
      <c r="T193" s="70"/>
      <c r="V193" s="2" t="str">
        <f>LEFT(A193,SUM(LEN(A193)-LEN(SUBSTITUTE(A193,{"0","1","2","3","4","5","6","7","8","9"},""))))</f>
        <v>2n</v>
      </c>
      <c r="W193" s="2">
        <f ca="1">--TRIM(RIGHT(SUBSTITUTE(LEFT(A193,_xlfn.AGGREGATE(14,6,FIND({0,1,2,3,4,5,6,7,8,9},A193,ROW(INDIRECT("1:"&amp;LEN(A193)))),1))," ",REPT(" ",LEN(A193))),LEN(A193)))</f>
        <v>4</v>
      </c>
    </row>
    <row r="194" spans="1:23" s="2" customFormat="1" ht="15.75" customHeight="1" x14ac:dyDescent="0.3">
      <c r="A194" s="74" t="str">
        <f t="shared" ref="A194:A199" ca="1" si="39">S194</f>
        <v>201,..,401</v>
      </c>
      <c r="B194" s="74"/>
      <c r="C194" s="46" t="s">
        <v>181</v>
      </c>
      <c r="D194" s="46">
        <f>(27.56++(1.8+1.95+2.75)*0.7)*10.764</f>
        <v>345.63203999999996</v>
      </c>
      <c r="E194" s="46">
        <v>0</v>
      </c>
      <c r="F194" s="46">
        <f>D194*(($F$176)+1)+E194</f>
        <v>501.16645799999992</v>
      </c>
      <c r="G194" s="74" t="str">
        <f>A193</f>
        <v>2nd &amp; 4th  Floor</v>
      </c>
      <c r="H194" s="74"/>
      <c r="S194" s="70" t="str">
        <f t="shared" ref="S194:S199" ca="1" si="40">V194&amp;""&amp;$V$120&amp;""&amp;W194</f>
        <v>201,..,401</v>
      </c>
      <c r="T194" s="70"/>
      <c r="U194" s="32">
        <v>1</v>
      </c>
      <c r="V194" s="2">
        <f ca="1">(SUMPRODUCT(MID(0&amp;V193, LARGE(INDEX(ISNUMBER(--MID(V193, ROW(INDIRECT("1:"&amp;LEN(V193))), 1)) * ROW(INDIRECT("1:"&amp;LEN(V193))), 0), ROW(INDIRECT("1:"&amp;LEN(V193))))+1, 1) * 10^ROW(INDIRECT("1:"&amp;LEN(V193)))/10))*U194*100+1</f>
        <v>201</v>
      </c>
      <c r="W194" s="2">
        <f ca="1">(SUMPRODUCT(MID(0&amp;W193, LARGE(INDEX(ISNUMBER(--MID(W193, ROW(INDIRECT("1:"&amp;LEN(W193))), 1)) * ROW(INDIRECT("1:"&amp;LEN(W193))), 0), ROW(INDIRECT("1:"&amp;LEN(W193))))+1, 1) * 10^ROW(INDIRECT("1:"&amp;LEN(W193)))/10))*U194*100+1</f>
        <v>401</v>
      </c>
    </row>
    <row r="195" spans="1:23" s="2" customFormat="1" ht="15.75" customHeight="1" x14ac:dyDescent="0.3">
      <c r="A195" s="74" t="str">
        <f t="shared" ca="1" si="39"/>
        <v>202,..,402</v>
      </c>
      <c r="B195" s="74"/>
      <c r="C195" s="46" t="s">
        <v>181</v>
      </c>
      <c r="D195" s="46">
        <f>(27.56+(2+1.95+2.75)*0.7)*10.764</f>
        <v>347.13899999999995</v>
      </c>
      <c r="E195" s="46">
        <v>0</v>
      </c>
      <c r="F195" s="46">
        <f t="shared" ref="F195:F199" si="41">D195*(($F$176)+1)+E195</f>
        <v>503.35154999999992</v>
      </c>
      <c r="G195" s="74"/>
      <c r="H195" s="74"/>
      <c r="S195" s="70" t="str">
        <f t="shared" ca="1" si="40"/>
        <v>202,..,402</v>
      </c>
      <c r="T195" s="70"/>
      <c r="U195" s="32">
        <f t="shared" ref="U195:W199" si="42">U194+1</f>
        <v>2</v>
      </c>
      <c r="V195" s="2">
        <f t="shared" ca="1" si="42"/>
        <v>202</v>
      </c>
      <c r="W195" s="2">
        <f t="shared" ca="1" si="42"/>
        <v>402</v>
      </c>
    </row>
    <row r="196" spans="1:23" s="2" customFormat="1" ht="15.75" customHeight="1" x14ac:dyDescent="0.3">
      <c r="A196" s="74" t="str">
        <f t="shared" ca="1" si="39"/>
        <v>203,..,403</v>
      </c>
      <c r="B196" s="74"/>
      <c r="C196" s="46" t="s">
        <v>181</v>
      </c>
      <c r="D196" s="46">
        <f>(30.9+(2.75+2.15+2.75)*0.7)*10.764</f>
        <v>390.24881999999991</v>
      </c>
      <c r="E196" s="46">
        <v>0</v>
      </c>
      <c r="F196" s="46">
        <f t="shared" si="41"/>
        <v>565.86078899999984</v>
      </c>
      <c r="G196" s="74"/>
      <c r="H196" s="74"/>
      <c r="S196" s="70" t="str">
        <f t="shared" ca="1" si="40"/>
        <v>203,..,403</v>
      </c>
      <c r="T196" s="70"/>
      <c r="U196" s="32">
        <f t="shared" si="42"/>
        <v>3</v>
      </c>
      <c r="V196" s="2">
        <f t="shared" ca="1" si="42"/>
        <v>203</v>
      </c>
      <c r="W196" s="2">
        <f t="shared" ca="1" si="42"/>
        <v>403</v>
      </c>
    </row>
    <row r="197" spans="1:23" s="2" customFormat="1" ht="15.75" customHeight="1" x14ac:dyDescent="0.3">
      <c r="A197" s="74" t="str">
        <f t="shared" ca="1" si="39"/>
        <v>204,..,404</v>
      </c>
      <c r="B197" s="74"/>
      <c r="C197" s="46" t="s">
        <v>182</v>
      </c>
      <c r="D197" s="46">
        <f>(44.24+(2.75+2.1+2.7+2.8)*0.7)*10.764</f>
        <v>554.18453999999997</v>
      </c>
      <c r="E197" s="46">
        <v>0</v>
      </c>
      <c r="F197" s="46">
        <f t="shared" si="41"/>
        <v>803.5675829999999</v>
      </c>
      <c r="G197" s="74"/>
      <c r="H197" s="74"/>
      <c r="S197" s="70" t="str">
        <f t="shared" ca="1" si="40"/>
        <v>204,..,404</v>
      </c>
      <c r="T197" s="70"/>
      <c r="U197" s="32">
        <f t="shared" si="42"/>
        <v>4</v>
      </c>
      <c r="V197" s="2">
        <f t="shared" ca="1" si="42"/>
        <v>204</v>
      </c>
      <c r="W197" s="2">
        <f t="shared" ca="1" si="42"/>
        <v>404</v>
      </c>
    </row>
    <row r="198" spans="1:23" s="2" customFormat="1" ht="15.75" customHeight="1" x14ac:dyDescent="0.3">
      <c r="A198" s="74" t="str">
        <f t="shared" ca="1" si="39"/>
        <v>205,..,405</v>
      </c>
      <c r="B198" s="74"/>
      <c r="C198" s="46" t="s">
        <v>181</v>
      </c>
      <c r="D198" s="46">
        <f>(30.23+(2.75+2.1+3.3)*0.7)*10.764</f>
        <v>386.80434000000002</v>
      </c>
      <c r="E198" s="46">
        <v>0</v>
      </c>
      <c r="F198" s="46">
        <f t="shared" si="41"/>
        <v>560.86629300000004</v>
      </c>
      <c r="G198" s="74"/>
      <c r="H198" s="74"/>
      <c r="S198" s="70" t="str">
        <f t="shared" ca="1" si="40"/>
        <v>205,..,405</v>
      </c>
      <c r="T198" s="70"/>
      <c r="U198" s="32">
        <f t="shared" si="42"/>
        <v>5</v>
      </c>
      <c r="V198" s="2">
        <f t="shared" ca="1" si="42"/>
        <v>205</v>
      </c>
      <c r="W198" s="2">
        <f t="shared" ca="1" si="42"/>
        <v>405</v>
      </c>
    </row>
    <row r="199" spans="1:23" s="2" customFormat="1" ht="15.75" customHeight="1" x14ac:dyDescent="0.3">
      <c r="A199" s="74" t="str">
        <f t="shared" ca="1" si="39"/>
        <v>206,..,406</v>
      </c>
      <c r="B199" s="74"/>
      <c r="C199" s="46" t="s">
        <v>181</v>
      </c>
      <c r="D199" s="46">
        <f>(30.23+(2.75+2.1+3.3)*0.7)*10.764</f>
        <v>386.80434000000002</v>
      </c>
      <c r="E199" s="46">
        <v>0</v>
      </c>
      <c r="F199" s="46">
        <f t="shared" si="41"/>
        <v>560.86629300000004</v>
      </c>
      <c r="G199" s="74"/>
      <c r="H199" s="74"/>
      <c r="S199" s="70" t="str">
        <f t="shared" ca="1" si="40"/>
        <v>206,..,406</v>
      </c>
      <c r="T199" s="70"/>
      <c r="U199" s="32">
        <f t="shared" si="42"/>
        <v>6</v>
      </c>
      <c r="V199" s="2">
        <f t="shared" ca="1" si="42"/>
        <v>206</v>
      </c>
      <c r="W199" s="2">
        <f t="shared" ca="1" si="42"/>
        <v>406</v>
      </c>
    </row>
    <row r="200" spans="1:23" s="1" customFormat="1" x14ac:dyDescent="0.3">
      <c r="A200" s="96" t="s">
        <v>79</v>
      </c>
      <c r="B200" s="96"/>
      <c r="C200" s="96"/>
      <c r="D200" s="96"/>
      <c r="E200" s="96"/>
      <c r="F200" s="96"/>
      <c r="G200" s="96"/>
      <c r="H200" s="96"/>
    </row>
    <row r="201" spans="1:23" s="42" customFormat="1" ht="189" customHeight="1" x14ac:dyDescent="0.3">
      <c r="A201" s="97" t="s">
        <v>245</v>
      </c>
      <c r="B201" s="97"/>
      <c r="C201" s="97"/>
      <c r="D201" s="97"/>
      <c r="E201" s="97"/>
      <c r="F201" s="97"/>
      <c r="G201" s="97"/>
      <c r="H201" s="97"/>
      <c r="K201" s="42" t="s">
        <v>239</v>
      </c>
    </row>
    <row r="202" spans="1:23" x14ac:dyDescent="0.3">
      <c r="A202" s="98" t="s">
        <v>70</v>
      </c>
      <c r="B202" s="98"/>
      <c r="C202" s="98"/>
      <c r="D202" s="98"/>
      <c r="E202" s="98"/>
      <c r="F202" s="98"/>
      <c r="G202" s="98"/>
      <c r="H202" s="98"/>
    </row>
    <row r="203" spans="1:23" x14ac:dyDescent="0.3">
      <c r="A203" s="94" t="s">
        <v>71</v>
      </c>
      <c r="B203" s="94"/>
      <c r="C203" s="94"/>
      <c r="D203" s="94"/>
      <c r="E203" s="94"/>
      <c r="F203" s="94"/>
      <c r="G203" s="94"/>
      <c r="H203" s="94"/>
    </row>
    <row r="204" spans="1:23" ht="15.75" customHeight="1" x14ac:dyDescent="0.3">
      <c r="A204" s="118" t="s">
        <v>72</v>
      </c>
      <c r="B204" s="118"/>
      <c r="C204" s="118"/>
      <c r="D204" s="118"/>
      <c r="E204" s="118"/>
      <c r="F204" s="118"/>
      <c r="G204" s="118"/>
      <c r="H204" s="118"/>
    </row>
    <row r="205" spans="1:23" x14ac:dyDescent="0.3">
      <c r="A205" s="94" t="s">
        <v>73</v>
      </c>
      <c r="B205" s="94"/>
      <c r="C205" s="94"/>
      <c r="D205" s="94"/>
      <c r="E205" s="94"/>
      <c r="F205" s="94"/>
      <c r="G205" s="94"/>
      <c r="H205" s="94"/>
    </row>
    <row r="206" spans="1:23" x14ac:dyDescent="0.3">
      <c r="A206" s="94" t="s">
        <v>74</v>
      </c>
      <c r="B206" s="94"/>
      <c r="C206" s="94"/>
      <c r="D206" s="94"/>
      <c r="E206" s="94"/>
      <c r="F206" s="94"/>
      <c r="G206" s="94"/>
      <c r="H206" s="94"/>
    </row>
    <row r="207" spans="1:23" x14ac:dyDescent="0.3">
      <c r="A207" s="94" t="s">
        <v>75</v>
      </c>
      <c r="B207" s="94"/>
      <c r="C207" s="94"/>
      <c r="D207" s="94"/>
      <c r="E207" s="94"/>
      <c r="F207" s="94"/>
      <c r="G207" s="94"/>
      <c r="H207" s="94"/>
    </row>
    <row r="208" spans="1:23" ht="35.25" customHeight="1" x14ac:dyDescent="0.3">
      <c r="A208" s="95" t="s">
        <v>76</v>
      </c>
      <c r="B208" s="95"/>
      <c r="C208" s="95"/>
      <c r="D208" s="95"/>
      <c r="E208" s="95"/>
      <c r="F208" s="95"/>
      <c r="G208" s="95"/>
      <c r="H208" s="95"/>
    </row>
    <row r="209" spans="1:8" ht="15.75" customHeight="1" x14ac:dyDescent="0.3">
      <c r="A209" s="115" t="s">
        <v>113</v>
      </c>
      <c r="B209" s="115"/>
      <c r="C209" s="115" t="s">
        <v>247</v>
      </c>
      <c r="D209" s="115"/>
      <c r="E209" s="115" t="s">
        <v>150</v>
      </c>
      <c r="F209" s="115"/>
      <c r="G209" s="115" t="s">
        <v>246</v>
      </c>
      <c r="H209" s="115"/>
    </row>
    <row r="210" spans="1:8" x14ac:dyDescent="0.3">
      <c r="A210" s="114" t="s">
        <v>115</v>
      </c>
      <c r="B210" s="114"/>
      <c r="C210" s="114"/>
      <c r="D210" s="114"/>
      <c r="E210" s="114"/>
      <c r="F210" s="114"/>
      <c r="G210" s="114"/>
      <c r="H210" s="114"/>
    </row>
    <row r="211" spans="1:8" x14ac:dyDescent="0.3">
      <c r="A211" s="114"/>
      <c r="B211" s="114"/>
      <c r="C211" s="114"/>
      <c r="D211" s="114"/>
      <c r="E211" s="114"/>
      <c r="F211" s="114"/>
      <c r="G211" s="114"/>
      <c r="H211" s="114"/>
    </row>
    <row r="212" spans="1:8" x14ac:dyDescent="0.3">
      <c r="A212" s="114"/>
      <c r="B212" s="114"/>
      <c r="C212" s="114"/>
      <c r="D212" s="114"/>
      <c r="E212" s="114"/>
      <c r="F212" s="114"/>
      <c r="G212" s="114"/>
      <c r="H212" s="114"/>
    </row>
    <row r="213" spans="1:8" x14ac:dyDescent="0.3">
      <c r="A213" s="114"/>
      <c r="B213" s="114"/>
      <c r="C213" s="114"/>
      <c r="D213" s="114"/>
      <c r="E213" s="114"/>
      <c r="F213" s="114"/>
      <c r="G213" s="114"/>
      <c r="H213" s="114"/>
    </row>
    <row r="214" spans="1:8" x14ac:dyDescent="0.3">
      <c r="A214" s="59" t="s">
        <v>77</v>
      </c>
      <c r="B214" s="60"/>
      <c r="C214" s="60"/>
      <c r="D214" s="59" t="str">
        <f>E8</f>
        <v>Shree Puram Township Phase 1</v>
      </c>
      <c r="F214" s="60"/>
      <c r="G214" s="60"/>
      <c r="H214" s="60"/>
    </row>
    <row r="215" spans="1:8" x14ac:dyDescent="0.3">
      <c r="A215" s="60"/>
      <c r="B215" s="60"/>
      <c r="C215" s="60"/>
      <c r="D215" s="60"/>
      <c r="E215" s="60"/>
      <c r="F215" s="60"/>
      <c r="G215" s="60"/>
      <c r="H215" s="60"/>
    </row>
    <row r="216" spans="1:8" x14ac:dyDescent="0.3">
      <c r="A216" s="60"/>
      <c r="B216" s="60"/>
      <c r="C216" s="60"/>
      <c r="D216" s="60"/>
      <c r="E216" s="60"/>
      <c r="F216" s="60"/>
      <c r="G216" s="60"/>
      <c r="H216" s="60"/>
    </row>
    <row r="217" spans="1:8" ht="15" customHeight="1" x14ac:dyDescent="0.3"/>
    <row r="250" spans="1:1" hidden="1" x14ac:dyDescent="0.3"/>
    <row r="252" spans="1:1" x14ac:dyDescent="0.3">
      <c r="A252" s="61" t="s">
        <v>232</v>
      </c>
    </row>
    <row r="289" spans="1:1" x14ac:dyDescent="0.3">
      <c r="A289" s="61" t="s">
        <v>78</v>
      </c>
    </row>
  </sheetData>
  <mergeCells count="410">
    <mergeCell ref="C36:H36"/>
    <mergeCell ref="A83:B83"/>
    <mergeCell ref="A84:B84"/>
    <mergeCell ref="A85:B85"/>
    <mergeCell ref="A86:B86"/>
    <mergeCell ref="A108:B108"/>
    <mergeCell ref="D108:E108"/>
    <mergeCell ref="A89:H89"/>
    <mergeCell ref="A90:B90"/>
    <mergeCell ref="C90:H90"/>
    <mergeCell ref="F93:H93"/>
    <mergeCell ref="A93:E93"/>
    <mergeCell ref="F94:H94"/>
    <mergeCell ref="F108:H108"/>
    <mergeCell ref="A98:E98"/>
    <mergeCell ref="F98:H98"/>
    <mergeCell ref="A99:E99"/>
    <mergeCell ref="F99:H99"/>
    <mergeCell ref="A95:E95"/>
    <mergeCell ref="F95:H95"/>
    <mergeCell ref="A94:E94"/>
    <mergeCell ref="A91:H91"/>
    <mergeCell ref="F107:H107"/>
    <mergeCell ref="F101:H101"/>
    <mergeCell ref="A112:B112"/>
    <mergeCell ref="D112:E112"/>
    <mergeCell ref="F112:H112"/>
    <mergeCell ref="A67:B67"/>
    <mergeCell ref="A68:B68"/>
    <mergeCell ref="A69:B69"/>
    <mergeCell ref="A70:B70"/>
    <mergeCell ref="A71:B71"/>
    <mergeCell ref="A72:B72"/>
    <mergeCell ref="A73:B73"/>
    <mergeCell ref="C73:H73"/>
    <mergeCell ref="A75:B75"/>
    <mergeCell ref="C75:H75"/>
    <mergeCell ref="A76:B76"/>
    <mergeCell ref="E76:F76"/>
    <mergeCell ref="G76:H76"/>
    <mergeCell ref="A77:B77"/>
    <mergeCell ref="E77:F86"/>
    <mergeCell ref="G77:H86"/>
    <mergeCell ref="A78:B78"/>
    <mergeCell ref="A79:B79"/>
    <mergeCell ref="G63:H72"/>
    <mergeCell ref="A64:B64"/>
    <mergeCell ref="A65:B65"/>
    <mergeCell ref="V165:W165"/>
    <mergeCell ref="G166:H173"/>
    <mergeCell ref="C175:C176"/>
    <mergeCell ref="D175:D176"/>
    <mergeCell ref="E175:E176"/>
    <mergeCell ref="G175:H176"/>
    <mergeCell ref="A166:B166"/>
    <mergeCell ref="S166:T166"/>
    <mergeCell ref="A167:B167"/>
    <mergeCell ref="S167:T167"/>
    <mergeCell ref="A168:B168"/>
    <mergeCell ref="S168:T168"/>
    <mergeCell ref="S172:T172"/>
    <mergeCell ref="S173:T173"/>
    <mergeCell ref="A174:H174"/>
    <mergeCell ref="S158:T158"/>
    <mergeCell ref="A159:B159"/>
    <mergeCell ref="S159:T159"/>
    <mergeCell ref="A164:H164"/>
    <mergeCell ref="C161:C162"/>
    <mergeCell ref="D161:D162"/>
    <mergeCell ref="E161:E162"/>
    <mergeCell ref="G161:H162"/>
    <mergeCell ref="A160:H160"/>
    <mergeCell ref="G151:H159"/>
    <mergeCell ref="A156:B156"/>
    <mergeCell ref="S156:T156"/>
    <mergeCell ref="A140:H140"/>
    <mergeCell ref="S140:T140"/>
    <mergeCell ref="S132:T132"/>
    <mergeCell ref="A133:B133"/>
    <mergeCell ref="S133:T133"/>
    <mergeCell ref="A134:B134"/>
    <mergeCell ref="S134:T134"/>
    <mergeCell ref="A135:B135"/>
    <mergeCell ref="S135:T135"/>
    <mergeCell ref="G121:H136"/>
    <mergeCell ref="A125:B125"/>
    <mergeCell ref="A131:B131"/>
    <mergeCell ref="S131:T131"/>
    <mergeCell ref="A127:B127"/>
    <mergeCell ref="A144:B144"/>
    <mergeCell ref="S144:T144"/>
    <mergeCell ref="A145:B145"/>
    <mergeCell ref="S145:T145"/>
    <mergeCell ref="A146:B146"/>
    <mergeCell ref="S146:T146"/>
    <mergeCell ref="S147:T147"/>
    <mergeCell ref="A148:B148"/>
    <mergeCell ref="S148:T148"/>
    <mergeCell ref="G141:H149"/>
    <mergeCell ref="S142:T142"/>
    <mergeCell ref="A178:B178"/>
    <mergeCell ref="A157:B157"/>
    <mergeCell ref="A165:H165"/>
    <mergeCell ref="A150:H150"/>
    <mergeCell ref="G178:H178"/>
    <mergeCell ref="A177:H177"/>
    <mergeCell ref="A169:B169"/>
    <mergeCell ref="A170:B170"/>
    <mergeCell ref="A181:B181"/>
    <mergeCell ref="A180:B180"/>
    <mergeCell ref="A158:B158"/>
    <mergeCell ref="S180:T180"/>
    <mergeCell ref="S181:T181"/>
    <mergeCell ref="S178:T178"/>
    <mergeCell ref="S179:T179"/>
    <mergeCell ref="S149:T149"/>
    <mergeCell ref="A66:B66"/>
    <mergeCell ref="A130:B130"/>
    <mergeCell ref="A102:E102"/>
    <mergeCell ref="F102:H102"/>
    <mergeCell ref="A110:H110"/>
    <mergeCell ref="A141:B141"/>
    <mergeCell ref="A119:H119"/>
    <mergeCell ref="A128:B128"/>
    <mergeCell ref="A132:B132"/>
    <mergeCell ref="A136:B136"/>
    <mergeCell ref="A120:H120"/>
    <mergeCell ref="A121:B121"/>
    <mergeCell ref="A122:B122"/>
    <mergeCell ref="A123:B123"/>
    <mergeCell ref="A113:B113"/>
    <mergeCell ref="D113:E113"/>
    <mergeCell ref="F113:H113"/>
    <mergeCell ref="A107:B107"/>
    <mergeCell ref="D107:E107"/>
    <mergeCell ref="A97:E97"/>
    <mergeCell ref="F97:H97"/>
    <mergeCell ref="A47:B48"/>
    <mergeCell ref="G47:H47"/>
    <mergeCell ref="D53:H53"/>
    <mergeCell ref="A53:C53"/>
    <mergeCell ref="G49:H49"/>
    <mergeCell ref="C46:E46"/>
    <mergeCell ref="A49:B49"/>
    <mergeCell ref="C49:E49"/>
    <mergeCell ref="A46:B46"/>
    <mergeCell ref="A50:H50"/>
    <mergeCell ref="A51:C51"/>
    <mergeCell ref="D52:H52"/>
    <mergeCell ref="D56:H56"/>
    <mergeCell ref="A54:C54"/>
    <mergeCell ref="D54:H54"/>
    <mergeCell ref="A52:C52"/>
    <mergeCell ref="C48:H48"/>
    <mergeCell ref="D51:H51"/>
    <mergeCell ref="A96:E96"/>
    <mergeCell ref="F96:H96"/>
    <mergeCell ref="A88:E88"/>
    <mergeCell ref="F88:H88"/>
    <mergeCell ref="A55:C55"/>
    <mergeCell ref="A56:C56"/>
    <mergeCell ref="D55:H55"/>
    <mergeCell ref="A58:C58"/>
    <mergeCell ref="D58:H58"/>
    <mergeCell ref="A59:B59"/>
    <mergeCell ref="C59:H59"/>
    <mergeCell ref="A61:B61"/>
    <mergeCell ref="C61:H61"/>
    <mergeCell ref="A62:B62"/>
    <mergeCell ref="E62:F62"/>
    <mergeCell ref="G62:H62"/>
    <mergeCell ref="A63:B63"/>
    <mergeCell ref="E63:F72"/>
    <mergeCell ref="A92:E92"/>
    <mergeCell ref="F92:H92"/>
    <mergeCell ref="A80:B80"/>
    <mergeCell ref="A81:B81"/>
    <mergeCell ref="A82:B82"/>
    <mergeCell ref="A87:B87"/>
    <mergeCell ref="C87:D87"/>
    <mergeCell ref="E87:F87"/>
    <mergeCell ref="G87:H87"/>
    <mergeCell ref="A29:B29"/>
    <mergeCell ref="C47:E47"/>
    <mergeCell ref="A45:B45"/>
    <mergeCell ref="C45:E45"/>
    <mergeCell ref="A40:D40"/>
    <mergeCell ref="E40:H40"/>
    <mergeCell ref="E41:H41"/>
    <mergeCell ref="E42:H42"/>
    <mergeCell ref="E43:H43"/>
    <mergeCell ref="A41:D41"/>
    <mergeCell ref="A42:D42"/>
    <mergeCell ref="A43:D43"/>
    <mergeCell ref="A44:H44"/>
    <mergeCell ref="G45:H45"/>
    <mergeCell ref="G46:H46"/>
    <mergeCell ref="C30:E30"/>
    <mergeCell ref="A31:B31"/>
    <mergeCell ref="C31:E31"/>
    <mergeCell ref="A32:B32"/>
    <mergeCell ref="C32:E32"/>
    <mergeCell ref="C33:E33"/>
    <mergeCell ref="A35:B35"/>
    <mergeCell ref="C35:H35"/>
    <mergeCell ref="A36:B36"/>
    <mergeCell ref="A210:H213"/>
    <mergeCell ref="A209:B209"/>
    <mergeCell ref="E209:F209"/>
    <mergeCell ref="C209:D209"/>
    <mergeCell ref="G209:H209"/>
    <mergeCell ref="A105:H105"/>
    <mergeCell ref="A103:E103"/>
    <mergeCell ref="F103:H103"/>
    <mergeCell ref="A104:E104"/>
    <mergeCell ref="F104:H104"/>
    <mergeCell ref="D114:E114"/>
    <mergeCell ref="F114:H114"/>
    <mergeCell ref="A114:B114"/>
    <mergeCell ref="A171:B171"/>
    <mergeCell ref="D106:E106"/>
    <mergeCell ref="F106:H106"/>
    <mergeCell ref="A109:B109"/>
    <mergeCell ref="D109:E109"/>
    <mergeCell ref="F109:H109"/>
    <mergeCell ref="A106:B106"/>
    <mergeCell ref="A204:H204"/>
    <mergeCell ref="A151:B151"/>
    <mergeCell ref="A152:B152"/>
    <mergeCell ref="A153:B153"/>
    <mergeCell ref="A16:B16"/>
    <mergeCell ref="C16:D16"/>
    <mergeCell ref="E16:F16"/>
    <mergeCell ref="G16:H16"/>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206:H206"/>
    <mergeCell ref="A207:H207"/>
    <mergeCell ref="A208:H208"/>
    <mergeCell ref="A57:C57"/>
    <mergeCell ref="D57:H57"/>
    <mergeCell ref="A200:H200"/>
    <mergeCell ref="A201:H201"/>
    <mergeCell ref="A202:H202"/>
    <mergeCell ref="A203:H203"/>
    <mergeCell ref="A197:B197"/>
    <mergeCell ref="A198:B198"/>
    <mergeCell ref="A116:H116"/>
    <mergeCell ref="A111:B111"/>
    <mergeCell ref="D111:E111"/>
    <mergeCell ref="A115:H115"/>
    <mergeCell ref="A100:E100"/>
    <mergeCell ref="F100:H100"/>
    <mergeCell ref="A101:E101"/>
    <mergeCell ref="F111:H111"/>
    <mergeCell ref="E117:E118"/>
    <mergeCell ref="D117:D118"/>
    <mergeCell ref="C117:C118"/>
    <mergeCell ref="A205:H205"/>
    <mergeCell ref="A124:B124"/>
    <mergeCell ref="G117:H118"/>
    <mergeCell ref="A155:B155"/>
    <mergeCell ref="A172:B172"/>
    <mergeCell ref="A173:B173"/>
    <mergeCell ref="A185:B185"/>
    <mergeCell ref="C138:C139"/>
    <mergeCell ref="D138:D139"/>
    <mergeCell ref="E138:E139"/>
    <mergeCell ref="G138:H139"/>
    <mergeCell ref="A137:H137"/>
    <mergeCell ref="A182:B182"/>
    <mergeCell ref="A143:B143"/>
    <mergeCell ref="A147:B147"/>
    <mergeCell ref="A129:B129"/>
    <mergeCell ref="A149:B149"/>
    <mergeCell ref="A142:B142"/>
    <mergeCell ref="A163:H163"/>
    <mergeCell ref="A154:B154"/>
    <mergeCell ref="A179:H179"/>
    <mergeCell ref="A117:B118"/>
    <mergeCell ref="A138:B139"/>
    <mergeCell ref="A161:B162"/>
    <mergeCell ref="A175:B176"/>
    <mergeCell ref="A126:B126"/>
    <mergeCell ref="V120:W120"/>
    <mergeCell ref="S169:T169"/>
    <mergeCell ref="S170:T170"/>
    <mergeCell ref="S171:T171"/>
    <mergeCell ref="S154:T154"/>
    <mergeCell ref="S150:T150"/>
    <mergeCell ref="S151:T151"/>
    <mergeCell ref="S152:T152"/>
    <mergeCell ref="S153:T153"/>
    <mergeCell ref="S155:T155"/>
    <mergeCell ref="S121:T121"/>
    <mergeCell ref="S122:T122"/>
    <mergeCell ref="S123:T123"/>
    <mergeCell ref="S124:T124"/>
    <mergeCell ref="S125:T125"/>
    <mergeCell ref="S141:T141"/>
    <mergeCell ref="S128:T128"/>
    <mergeCell ref="S129:T129"/>
    <mergeCell ref="S130:T130"/>
    <mergeCell ref="S126:T126"/>
    <mergeCell ref="S127:T127"/>
    <mergeCell ref="S143:T143"/>
    <mergeCell ref="S136:T136"/>
    <mergeCell ref="S157:T157"/>
    <mergeCell ref="S182:T182"/>
    <mergeCell ref="S183:T183"/>
    <mergeCell ref="S184:T184"/>
    <mergeCell ref="A184:B184"/>
    <mergeCell ref="S185:T185"/>
    <mergeCell ref="A183:B183"/>
    <mergeCell ref="G180:H185"/>
    <mergeCell ref="A196:B196"/>
    <mergeCell ref="A194:B194"/>
    <mergeCell ref="A186:H186"/>
    <mergeCell ref="S187:T187"/>
    <mergeCell ref="S188:T188"/>
    <mergeCell ref="S189:T189"/>
    <mergeCell ref="A190:B190"/>
    <mergeCell ref="S190:T190"/>
    <mergeCell ref="A187:B187"/>
    <mergeCell ref="A188:B188"/>
    <mergeCell ref="A189:B189"/>
    <mergeCell ref="G194:H199"/>
    <mergeCell ref="G187:H192"/>
    <mergeCell ref="A199:B199"/>
    <mergeCell ref="S199:T199"/>
    <mergeCell ref="A192:B192"/>
    <mergeCell ref="S192:T192"/>
    <mergeCell ref="S191:T191"/>
    <mergeCell ref="A193:H193"/>
    <mergeCell ref="S193:T193"/>
    <mergeCell ref="S194:T194"/>
    <mergeCell ref="S195:T195"/>
    <mergeCell ref="S196:T196"/>
    <mergeCell ref="S197:T197"/>
    <mergeCell ref="S198:T198"/>
    <mergeCell ref="A191:B191"/>
    <mergeCell ref="A195:B195"/>
  </mergeCells>
  <dataValidations count="1">
    <dataValidation type="list" allowBlank="1" showInputMessage="1" showErrorMessage="1" sqref="G209:H209" xr:uid="{00000000-0002-0000-0000-000000000000}">
      <formula1>"Kunal Kadam,Pranita Mhatre,Shruti Fule,Pooja Kawale,Gaurav Panchal,Shruti Tathare, Hitakshi Mhatre, Sachin Sawant"</formula1>
    </dataValidation>
  </dataValidations>
  <hyperlinks>
    <hyperlink ref="C36" r:id="rId1" xr:uid="{00000000-0004-0000-0000-000000000000}"/>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                                               &amp;P</oddFooter>
  </headerFooter>
  <rowBreaks count="3" manualBreakCount="3">
    <brk id="213" max="16383" man="1"/>
    <brk id="251" max="7" man="1"/>
    <brk id="28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L36"/>
  <sheetViews>
    <sheetView workbookViewId="0">
      <selection activeCell="M197" sqref="M197"/>
    </sheetView>
  </sheetViews>
  <sheetFormatPr defaultRowHeight="14.4" x14ac:dyDescent="0.3"/>
  <cols>
    <col min="2" max="2" width="12.33203125" customWidth="1"/>
  </cols>
  <sheetData>
    <row r="2" spans="1:12" x14ac:dyDescent="0.3">
      <c r="B2" s="3" t="s">
        <v>80</v>
      </c>
      <c r="C2" s="165"/>
      <c r="D2" s="165"/>
    </row>
    <row r="3" spans="1:12" x14ac:dyDescent="0.3">
      <c r="D3" s="4"/>
      <c r="E3" s="4"/>
      <c r="F3" s="4"/>
      <c r="G3" s="4"/>
      <c r="H3" s="4"/>
      <c r="I3" s="4"/>
    </row>
    <row r="4" spans="1:12" x14ac:dyDescent="0.3">
      <c r="A4" s="3" t="s">
        <v>81</v>
      </c>
      <c r="B4" s="5" t="s">
        <v>82</v>
      </c>
      <c r="C4" s="166" t="s">
        <v>83</v>
      </c>
      <c r="D4" s="166"/>
      <c r="E4" s="166"/>
      <c r="F4" s="6"/>
      <c r="G4" s="166" t="s">
        <v>84</v>
      </c>
      <c r="H4" s="166"/>
      <c r="I4" s="166"/>
      <c r="J4" s="166" t="s">
        <v>85</v>
      </c>
      <c r="K4" s="166"/>
      <c r="L4" s="166"/>
    </row>
    <row r="5" spans="1:12" x14ac:dyDescent="0.3">
      <c r="A5" s="3">
        <v>202</v>
      </c>
      <c r="B5" s="5"/>
      <c r="C5" s="5" t="s">
        <v>86</v>
      </c>
      <c r="D5" s="5" t="s">
        <v>87</v>
      </c>
      <c r="E5" s="5" t="s">
        <v>62</v>
      </c>
      <c r="F5" s="5"/>
      <c r="G5" s="5" t="s">
        <v>86</v>
      </c>
      <c r="H5" s="5" t="s">
        <v>87</v>
      </c>
      <c r="I5" s="5" t="s">
        <v>62</v>
      </c>
      <c r="J5" s="5" t="s">
        <v>86</v>
      </c>
      <c r="K5" s="5" t="s">
        <v>87</v>
      </c>
      <c r="L5" s="5" t="s">
        <v>62</v>
      </c>
    </row>
    <row r="6" spans="1:12" x14ac:dyDescent="0.3">
      <c r="B6" s="7" t="s">
        <v>88</v>
      </c>
      <c r="C6" s="7">
        <v>4.5</v>
      </c>
      <c r="D6" s="7">
        <v>2.9</v>
      </c>
      <c r="E6" s="7">
        <f>C6*D6</f>
        <v>13.049999999999999</v>
      </c>
      <c r="F6" s="7" t="s">
        <v>89</v>
      </c>
      <c r="G6" s="7"/>
      <c r="H6" s="7"/>
      <c r="I6" s="7">
        <f>G6*H6</f>
        <v>0</v>
      </c>
      <c r="J6" s="7"/>
      <c r="K6" s="7"/>
      <c r="L6" s="7">
        <f>J6*K6</f>
        <v>0</v>
      </c>
    </row>
    <row r="7" spans="1:12" x14ac:dyDescent="0.3">
      <c r="B7" s="7"/>
      <c r="C7" s="7"/>
      <c r="D7" s="7"/>
      <c r="E7" s="7">
        <f t="shared" ref="E7:E33" si="0">C7*D7</f>
        <v>0</v>
      </c>
      <c r="F7" s="7" t="s">
        <v>90</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91</v>
      </c>
      <c r="C9" s="7">
        <v>1.88</v>
      </c>
      <c r="D9" s="7">
        <v>2.13</v>
      </c>
      <c r="E9" s="7">
        <f t="shared" si="0"/>
        <v>4.0043999999999995</v>
      </c>
      <c r="F9" s="7" t="s">
        <v>89</v>
      </c>
      <c r="G9" s="7"/>
      <c r="H9" s="7"/>
      <c r="I9" s="7">
        <f t="shared" si="1"/>
        <v>0</v>
      </c>
      <c r="J9" s="7"/>
      <c r="K9" s="7"/>
      <c r="L9" s="7">
        <f t="shared" si="2"/>
        <v>0</v>
      </c>
    </row>
    <row r="10" spans="1:12" x14ac:dyDescent="0.3">
      <c r="B10" s="7"/>
      <c r="C10" s="7"/>
      <c r="D10" s="7"/>
      <c r="E10" s="7">
        <f t="shared" si="0"/>
        <v>0</v>
      </c>
      <c r="F10" s="7" t="s">
        <v>90</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92</v>
      </c>
      <c r="C13" s="7"/>
      <c r="D13" s="7"/>
      <c r="E13" s="7">
        <f t="shared" si="0"/>
        <v>0</v>
      </c>
      <c r="F13" s="7" t="s">
        <v>89</v>
      </c>
      <c r="G13" s="7"/>
      <c r="H13" s="7"/>
      <c r="I13" s="7">
        <f t="shared" si="1"/>
        <v>0</v>
      </c>
      <c r="J13" s="7"/>
      <c r="K13" s="7"/>
      <c r="L13" s="7">
        <f t="shared" si="2"/>
        <v>0</v>
      </c>
    </row>
    <row r="14" spans="1:12" x14ac:dyDescent="0.3">
      <c r="B14" s="7"/>
      <c r="C14" s="7"/>
      <c r="D14" s="7"/>
      <c r="E14" s="7">
        <f t="shared" si="0"/>
        <v>0</v>
      </c>
      <c r="F14" s="7" t="s">
        <v>90</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93</v>
      </c>
      <c r="C17" s="7"/>
      <c r="D17" s="7"/>
      <c r="E17" s="7">
        <f t="shared" si="0"/>
        <v>0</v>
      </c>
      <c r="F17" s="7" t="s">
        <v>89</v>
      </c>
      <c r="G17" s="7"/>
      <c r="H17" s="7"/>
      <c r="I17" s="7">
        <f t="shared" si="1"/>
        <v>0</v>
      </c>
      <c r="J17" s="7"/>
      <c r="K17" s="7"/>
      <c r="L17" s="7">
        <f t="shared" si="2"/>
        <v>0</v>
      </c>
    </row>
    <row r="18" spans="2:12" x14ac:dyDescent="0.3">
      <c r="B18" s="7"/>
      <c r="C18" s="7"/>
      <c r="D18" s="7"/>
      <c r="E18" s="7">
        <f t="shared" si="0"/>
        <v>0</v>
      </c>
      <c r="F18" s="7" t="s">
        <v>90</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93</v>
      </c>
      <c r="C20" s="7"/>
      <c r="D20" s="7"/>
      <c r="E20" s="7">
        <f t="shared" si="0"/>
        <v>0</v>
      </c>
      <c r="F20" s="7" t="s">
        <v>89</v>
      </c>
      <c r="G20" s="7"/>
      <c r="H20" s="7"/>
      <c r="I20" s="7">
        <f t="shared" si="1"/>
        <v>0</v>
      </c>
      <c r="J20" s="7"/>
      <c r="K20" s="7"/>
      <c r="L20" s="7">
        <f t="shared" si="2"/>
        <v>0</v>
      </c>
    </row>
    <row r="21" spans="2:12" x14ac:dyDescent="0.3">
      <c r="B21" s="7"/>
      <c r="C21" s="7"/>
      <c r="D21" s="7"/>
      <c r="E21" s="7">
        <f t="shared" si="0"/>
        <v>0</v>
      </c>
      <c r="F21" s="7" t="s">
        <v>90</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94</v>
      </c>
      <c r="C23" s="7">
        <v>1.9</v>
      </c>
      <c r="D23" s="7">
        <v>1.07</v>
      </c>
      <c r="E23" s="7">
        <f t="shared" si="0"/>
        <v>2.0329999999999999</v>
      </c>
      <c r="F23" s="7" t="s">
        <v>95</v>
      </c>
      <c r="G23" s="7"/>
      <c r="H23" s="7"/>
      <c r="I23" s="7">
        <f t="shared" si="1"/>
        <v>0</v>
      </c>
      <c r="J23" s="7"/>
      <c r="K23" s="7"/>
      <c r="L23" s="7">
        <f t="shared" si="2"/>
        <v>0</v>
      </c>
    </row>
    <row r="24" spans="2:12" x14ac:dyDescent="0.3">
      <c r="B24" s="7" t="s">
        <v>96</v>
      </c>
      <c r="C24" s="7"/>
      <c r="D24" s="7"/>
      <c r="E24" s="7">
        <f t="shared" si="0"/>
        <v>0</v>
      </c>
      <c r="F24" s="7" t="s">
        <v>95</v>
      </c>
      <c r="G24" s="7"/>
      <c r="H24" s="7"/>
      <c r="I24" s="7">
        <f t="shared" si="1"/>
        <v>0</v>
      </c>
      <c r="J24" s="7"/>
      <c r="K24" s="7"/>
      <c r="L24" s="7">
        <f t="shared" si="2"/>
        <v>0</v>
      </c>
    </row>
    <row r="25" spans="2:12" x14ac:dyDescent="0.3">
      <c r="B25" s="7" t="s">
        <v>97</v>
      </c>
      <c r="C25" s="7"/>
      <c r="D25" s="7"/>
      <c r="E25" s="7">
        <f t="shared" si="0"/>
        <v>0</v>
      </c>
      <c r="F25" s="7" t="s">
        <v>95</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98</v>
      </c>
      <c r="C27" s="7"/>
      <c r="D27" s="7"/>
      <c r="E27" s="7">
        <f t="shared" si="0"/>
        <v>0</v>
      </c>
      <c r="F27" s="7"/>
      <c r="G27" s="7"/>
      <c r="H27" s="7"/>
      <c r="I27" s="7">
        <f t="shared" si="1"/>
        <v>0</v>
      </c>
      <c r="J27" s="7"/>
      <c r="K27" s="7"/>
      <c r="L27" s="7">
        <f t="shared" si="2"/>
        <v>0</v>
      </c>
    </row>
    <row r="28" spans="2:12" x14ac:dyDescent="0.3">
      <c r="B28" s="7" t="s">
        <v>99</v>
      </c>
      <c r="C28" s="7"/>
      <c r="D28" s="7"/>
      <c r="E28" s="7">
        <f t="shared" si="0"/>
        <v>0</v>
      </c>
      <c r="F28" s="7"/>
      <c r="G28" s="7"/>
      <c r="H28" s="7"/>
      <c r="I28" s="7">
        <f t="shared" si="1"/>
        <v>0</v>
      </c>
      <c r="J28" s="7"/>
      <c r="K28" s="7"/>
      <c r="L28" s="7">
        <f t="shared" si="2"/>
        <v>0</v>
      </c>
    </row>
    <row r="29" spans="2:12" x14ac:dyDescent="0.3">
      <c r="B29" s="7" t="s">
        <v>100</v>
      </c>
      <c r="C29" s="7"/>
      <c r="D29" s="7"/>
      <c r="E29" s="7">
        <f t="shared" si="0"/>
        <v>0</v>
      </c>
      <c r="F29" s="7"/>
      <c r="G29" s="7"/>
      <c r="H29" s="7"/>
      <c r="I29" s="7">
        <f t="shared" si="1"/>
        <v>0</v>
      </c>
      <c r="J29" s="7"/>
      <c r="K29" s="7"/>
      <c r="L29" s="7">
        <f t="shared" si="2"/>
        <v>0</v>
      </c>
    </row>
    <row r="30" spans="2:12" x14ac:dyDescent="0.3">
      <c r="B30" s="7" t="s">
        <v>101</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63</v>
      </c>
      <c r="C34" s="7"/>
      <c r="D34" s="7">
        <f>E34*10.764</f>
        <v>205.45677359999996</v>
      </c>
      <c r="E34" s="7">
        <f>SUM(E6:E33)</f>
        <v>19.087399999999999</v>
      </c>
      <c r="F34" s="7"/>
      <c r="G34" s="7"/>
      <c r="H34" s="7">
        <f>I34*10.764</f>
        <v>0</v>
      </c>
      <c r="I34" s="7">
        <f>SUM(I6:I33)</f>
        <v>0</v>
      </c>
      <c r="J34" s="7"/>
      <c r="K34" s="7">
        <f>L34*10.764</f>
        <v>0</v>
      </c>
      <c r="L34" s="7">
        <f>SUM(L6:L33)</f>
        <v>0</v>
      </c>
    </row>
    <row r="36" spans="2:12" x14ac:dyDescent="0.3">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C16" sqref="C16"/>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6"/>
  <sheetViews>
    <sheetView zoomScale="115" zoomScaleNormal="115" workbookViewId="0"/>
  </sheetViews>
  <sheetFormatPr defaultColWidth="8.6640625" defaultRowHeight="14.4" x14ac:dyDescent="0.3"/>
  <cols>
    <col min="1" max="1" width="8.6640625" style="19"/>
    <col min="2" max="2" width="22.33203125" style="19" customWidth="1"/>
    <col min="3" max="3" width="37" style="19" customWidth="1"/>
    <col min="4" max="5" width="11.44140625" style="19" customWidth="1"/>
    <col min="6" max="6" width="14" style="19" customWidth="1"/>
    <col min="7" max="7" width="20" style="19" customWidth="1"/>
    <col min="8" max="8" width="16.44140625" style="19" customWidth="1"/>
    <col min="9" max="16384" width="8.6640625" style="19"/>
  </cols>
  <sheetData>
    <row r="1" spans="1:9" ht="15" customHeight="1" x14ac:dyDescent="0.3"/>
    <row r="2" spans="1:9" ht="15" customHeight="1" x14ac:dyDescent="0.3">
      <c r="A2" s="20"/>
      <c r="B2" s="20"/>
      <c r="C2" s="20"/>
      <c r="D2" s="20"/>
      <c r="E2" s="20"/>
      <c r="F2" s="20"/>
      <c r="G2" s="20"/>
      <c r="H2" s="20"/>
    </row>
    <row r="3" spans="1:9" ht="15.75" customHeight="1" x14ac:dyDescent="0.3">
      <c r="A3" s="20"/>
      <c r="B3" s="167" t="s">
        <v>151</v>
      </c>
      <c r="C3" s="167"/>
      <c r="D3" s="167"/>
      <c r="E3" s="167"/>
      <c r="F3" s="167"/>
      <c r="G3" s="167"/>
      <c r="H3" s="167"/>
    </row>
    <row r="4" spans="1:9" x14ac:dyDescent="0.3">
      <c r="A4" s="20"/>
      <c r="B4" s="21" t="s">
        <v>152</v>
      </c>
      <c r="C4" s="21" t="s">
        <v>153</v>
      </c>
      <c r="D4" s="21" t="s">
        <v>81</v>
      </c>
      <c r="E4" s="21" t="s">
        <v>154</v>
      </c>
      <c r="F4" s="21" t="s">
        <v>161</v>
      </c>
      <c r="G4" s="21" t="s">
        <v>162</v>
      </c>
      <c r="H4" s="21" t="s">
        <v>155</v>
      </c>
    </row>
    <row r="5" spans="1:9" ht="15" customHeight="1" x14ac:dyDescent="0.3">
      <c r="A5" s="20"/>
      <c r="B5" s="23" t="s">
        <v>156</v>
      </c>
      <c r="C5" s="24"/>
      <c r="D5" s="23" t="s">
        <v>157</v>
      </c>
      <c r="E5" s="23">
        <v>1106</v>
      </c>
      <c r="F5" s="25">
        <f>E5*1.6</f>
        <v>1769.6000000000001</v>
      </c>
      <c r="G5" s="25">
        <f>H5/F5</f>
        <v>31532.549728752259</v>
      </c>
      <c r="H5" s="26">
        <v>55800000</v>
      </c>
    </row>
    <row r="6" spans="1:9" x14ac:dyDescent="0.3">
      <c r="A6" s="20"/>
      <c r="B6" s="23" t="s">
        <v>156</v>
      </c>
      <c r="C6" s="27"/>
      <c r="D6" s="23"/>
      <c r="E6" s="23"/>
      <c r="F6" s="25">
        <f t="shared" ref="F6:F11" si="0">E6*1.6</f>
        <v>0</v>
      </c>
      <c r="G6" s="25" t="e">
        <f t="shared" ref="G6:G11" si="1">H6/F6</f>
        <v>#DIV/0!</v>
      </c>
      <c r="H6" s="26"/>
    </row>
    <row r="7" spans="1:9" ht="15" customHeight="1" x14ac:dyDescent="0.3">
      <c r="A7" s="20"/>
      <c r="B7" s="23" t="s">
        <v>156</v>
      </c>
      <c r="C7" s="24"/>
      <c r="D7" s="23"/>
      <c r="E7" s="23"/>
      <c r="F7" s="25">
        <f t="shared" si="0"/>
        <v>0</v>
      </c>
      <c r="G7" s="25" t="e">
        <f t="shared" si="1"/>
        <v>#DIV/0!</v>
      </c>
      <c r="H7" s="26"/>
    </row>
    <row r="8" spans="1:9" x14ac:dyDescent="0.3">
      <c r="A8" s="20"/>
      <c r="B8" s="23" t="s">
        <v>156</v>
      </c>
      <c r="C8" s="27"/>
      <c r="D8" s="23"/>
      <c r="E8" s="23"/>
      <c r="F8" s="25">
        <f t="shared" si="0"/>
        <v>0</v>
      </c>
      <c r="G8" s="25" t="e">
        <f t="shared" si="1"/>
        <v>#DIV/0!</v>
      </c>
      <c r="H8" s="26"/>
    </row>
    <row r="9" spans="1:9" ht="15" customHeight="1" x14ac:dyDescent="0.3">
      <c r="A9" s="20"/>
      <c r="B9" s="23" t="s">
        <v>156</v>
      </c>
      <c r="C9" s="27"/>
      <c r="D9" s="23"/>
      <c r="E9" s="23"/>
      <c r="F9" s="25">
        <f t="shared" si="0"/>
        <v>0</v>
      </c>
      <c r="G9" s="25" t="e">
        <f t="shared" si="1"/>
        <v>#DIV/0!</v>
      </c>
      <c r="H9" s="26"/>
    </row>
    <row r="10" spans="1:9" ht="15" customHeight="1" x14ac:dyDescent="0.3">
      <c r="A10" s="20"/>
      <c r="B10" s="23" t="s">
        <v>158</v>
      </c>
      <c r="C10" s="24"/>
      <c r="D10" s="23"/>
      <c r="E10" s="23"/>
      <c r="F10" s="25">
        <f t="shared" si="0"/>
        <v>0</v>
      </c>
      <c r="G10" s="25" t="e">
        <f t="shared" si="1"/>
        <v>#DIV/0!</v>
      </c>
      <c r="H10" s="26"/>
    </row>
    <row r="11" spans="1:9" ht="15" customHeight="1" x14ac:dyDescent="0.3">
      <c r="A11" s="20"/>
      <c r="B11" s="23" t="s">
        <v>158</v>
      </c>
      <c r="C11" s="24"/>
      <c r="D11" s="23"/>
      <c r="E11" s="23"/>
      <c r="F11" s="25">
        <f t="shared" si="0"/>
        <v>0</v>
      </c>
      <c r="G11" s="25" t="e">
        <f t="shared" si="1"/>
        <v>#DIV/0!</v>
      </c>
      <c r="H11" s="26"/>
    </row>
    <row r="12" spans="1:9" ht="15" customHeight="1" x14ac:dyDescent="0.3">
      <c r="A12" s="20"/>
      <c r="B12" s="28" t="s">
        <v>159</v>
      </c>
      <c r="C12" s="23"/>
      <c r="D12" s="23"/>
      <c r="E12" s="23"/>
      <c r="F12" s="23"/>
      <c r="G12" s="29" t="e">
        <f>AVERAGE(G5:G11)</f>
        <v>#DIV/0!</v>
      </c>
      <c r="H12" s="23"/>
    </row>
    <row r="13" spans="1:9" ht="15" customHeight="1" x14ac:dyDescent="0.3">
      <c r="B13" s="28" t="s">
        <v>160</v>
      </c>
      <c r="C13" s="23"/>
      <c r="D13" s="23"/>
      <c r="E13" s="23"/>
      <c r="F13" s="30"/>
      <c r="G13" s="28"/>
      <c r="H13" s="28"/>
      <c r="I13" s="22"/>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2025-09-19T09:07:05Z</cp:lastPrinted>
  <dcterms:created xsi:type="dcterms:W3CDTF">2019-07-16T09:29:46Z</dcterms:created>
  <dcterms:modified xsi:type="dcterms:W3CDTF">2025-09-19T09:07:05Z</dcterms:modified>
</cp:coreProperties>
</file>