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973A0B01-75DB-49F8-9A2C-D4B71E59988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D91" i="1"/>
  <c r="J90" i="1"/>
  <c r="D90" i="1"/>
  <c r="J89" i="1"/>
  <c r="D89" i="1"/>
  <c r="J88" i="1"/>
  <c r="D88" i="1"/>
  <c r="J87" i="1"/>
  <c r="D87" i="1"/>
  <c r="D86" i="1"/>
  <c r="J85" i="1"/>
  <c r="J86" i="1" s="1"/>
  <c r="J91" i="1" s="1"/>
  <c r="C84" i="1" s="1"/>
  <c r="D85" i="1"/>
  <c r="J84" i="1"/>
  <c r="C83" i="1" s="1"/>
  <c r="J83" i="1"/>
  <c r="J82" i="1"/>
  <c r="J79" i="1"/>
  <c r="J81" i="1" s="1"/>
  <c r="G83" i="1" l="1"/>
  <c r="J92" i="1"/>
  <c r="D83" i="1"/>
  <c r="J80" i="1" s="1"/>
  <c r="D156" i="1"/>
  <c r="D155" i="1"/>
  <c r="D154" i="1"/>
  <c r="D150" i="1"/>
  <c r="F150" i="1" s="1"/>
  <c r="D149" i="1"/>
  <c r="F149" i="1" s="1"/>
  <c r="D148" i="1"/>
  <c r="F148" i="1" s="1"/>
  <c r="D147" i="1"/>
  <c r="F147" i="1" s="1"/>
  <c r="D146" i="1"/>
  <c r="F146" i="1" s="1"/>
  <c r="G145" i="1"/>
  <c r="G146" i="1" s="1"/>
  <c r="G147" i="1" s="1"/>
  <c r="G148" i="1" s="1"/>
  <c r="G149" i="1" s="1"/>
  <c r="G150" i="1" s="1"/>
  <c r="G151" i="1" s="1"/>
  <c r="G152" i="1" s="1"/>
  <c r="G153" i="1" s="1"/>
  <c r="D145" i="1"/>
  <c r="F145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5" i="1"/>
  <c r="D136" i="1"/>
  <c r="D137" i="1"/>
  <c r="F137" i="1" s="1"/>
  <c r="D134" i="1"/>
  <c r="D133" i="1"/>
  <c r="D132" i="1"/>
  <c r="D130" i="1"/>
  <c r="F130" i="1" s="1"/>
  <c r="D129" i="1"/>
  <c r="D128" i="1"/>
  <c r="F128" i="1" s="1"/>
  <c r="D122" i="1"/>
  <c r="D123" i="1"/>
  <c r="D124" i="1"/>
  <c r="F124" i="1" s="1"/>
  <c r="D121" i="1"/>
  <c r="D120" i="1"/>
  <c r="D119" i="1"/>
  <c r="F129" i="1"/>
  <c r="D84" i="1" l="1"/>
  <c r="I80" i="1" s="1"/>
  <c r="E83" i="1"/>
  <c r="E110" i="1"/>
  <c r="C110" i="1"/>
  <c r="E29" i="1"/>
  <c r="I81" i="1" l="1"/>
  <c r="I79" i="1" s="1"/>
  <c r="C81" i="1" s="1"/>
  <c r="F107" i="1"/>
  <c r="B159" i="1" l="1"/>
  <c r="F156" i="1" l="1"/>
  <c r="F155" i="1"/>
  <c r="F154" i="1"/>
  <c r="F136" i="1"/>
  <c r="F135" i="1"/>
  <c r="F134" i="1"/>
  <c r="F133" i="1"/>
  <c r="I133" i="1" s="1"/>
  <c r="F132" i="1"/>
  <c r="F123" i="1"/>
  <c r="F122" i="1"/>
  <c r="F120" i="1"/>
  <c r="F119" i="1"/>
  <c r="F121" i="1"/>
  <c r="G11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2" i="1"/>
  <c r="G155" i="1"/>
  <c r="G156" i="1" s="1"/>
  <c r="G132" i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19" i="1"/>
  <c r="G120" i="1" s="1"/>
  <c r="G121" i="1" s="1"/>
  <c r="G122" i="1" s="1"/>
  <c r="G123" i="1" s="1"/>
  <c r="G124" i="1" s="1"/>
  <c r="J76" i="1"/>
  <c r="J75" i="1"/>
  <c r="J74" i="1"/>
  <c r="J73" i="1"/>
  <c r="D54" i="1"/>
  <c r="C49" i="1"/>
  <c r="C50" i="1" s="1"/>
  <c r="E42" i="1"/>
  <c r="E43" i="1" s="1"/>
  <c r="E26" i="1"/>
  <c r="E24" i="1"/>
  <c r="E7" i="1"/>
  <c r="E3" i="1"/>
  <c r="G129" i="1" l="1"/>
  <c r="G130" i="1" s="1"/>
  <c r="G125" i="1"/>
  <c r="G126" i="1" s="1"/>
  <c r="G127" i="1" s="1"/>
  <c r="D59" i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D71" i="1"/>
  <c r="J67" i="1"/>
  <c r="D69" i="1"/>
  <c r="J78" i="1" l="1"/>
  <c r="C70" i="1" s="1"/>
  <c r="E69" i="1" s="1"/>
  <c r="C93" i="1" s="1"/>
  <c r="D70" i="1" l="1"/>
  <c r="I66" i="1" s="1"/>
  <c r="I67" i="1" s="1"/>
  <c r="G69" i="1"/>
  <c r="G93" i="1" s="1"/>
  <c r="J66" i="1"/>
  <c r="D63" i="1" l="1"/>
  <c r="F64" i="1" s="1"/>
  <c r="I65" i="1"/>
  <c r="C67" i="1" s="1"/>
  <c r="D64" i="1" l="1"/>
</calcChain>
</file>

<file path=xl/sharedStrings.xml><?xml version="1.0" encoding="utf-8"?>
<sst xmlns="http://schemas.openxmlformats.org/spreadsheetml/2006/main" count="328" uniqueCount="226">
  <si>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</si>
  <si>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</si>
  <si>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</si>
  <si>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</si>
  <si>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</si>
  <si>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</si>
  <si>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</si>
  <si>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</si>
  <si>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</si>
  <si>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</si>
  <si>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</si>
  <si>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</si>
  <si>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</si>
  <si>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</si>
  <si>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</si>
  <si>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</si>
  <si>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</si>
  <si>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</si>
  <si>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</si>
  <si>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</si>
  <si>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</si>
  <si>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</si>
  <si>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</si>
  <si>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</si>
  <si>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</si>
  <si>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</si>
  <si>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</si>
  <si>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</si>
  <si>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</si>
  <si>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</si>
  <si>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</si>
  <si>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</si>
  <si>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</si>
  <si>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</si>
  <si>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</si>
  <si>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</si>
  <si>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</si>
  <si>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</si>
  <si>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</si>
  <si>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</si>
  <si>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</si>
  <si>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</si>
  <si>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</si>
  <si>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</si>
  <si>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</si>
  <si>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</si>
  <si>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</si>
  <si>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</si>
  <si>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</si>
  <si>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</si>
  <si>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</si>
  <si>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</si>
  <si>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</si>
  <si>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</si>
  <si>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</si>
  <si>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</si>
  <si>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</si>
  <si>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</si>
  <si>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</si>
  <si>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</si>
  <si>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</si>
  <si>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</si>
  <si>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</si>
  <si>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</si>
  <si>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</si>
  <si>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</si>
  <si>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</si>
  <si>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</si>
  <si>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</si>
  <si>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</si>
  <si>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</si>
  <si>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</si>
  <si>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</si>
  <si>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</si>
  <si>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</si>
  <si>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</si>
  <si>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</si>
  <si>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</si>
  <si>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</si>
  <si>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</si>
  <si>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</si>
  <si>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</si>
  <si>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</si>
  <si>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</si>
  <si>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</si>
  <si>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</si>
  <si>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</si>
  <si>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</si>
  <si>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</si>
  <si>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</si>
  <si>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</si>
  <si>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</si>
  <si>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</si>
  <si>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</si>
  <si>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</si>
  <si>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</si>
  <si>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</si>
  <si>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</si>
  <si>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</si>
  <si>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</si>
  <si>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</si>
  <si>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</si>
  <si>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</si>
  <si>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</si>
  <si>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</si>
  <si>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</si>
  <si>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</si>
  <si>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</si>
  <si>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</si>
  <si>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</si>
  <si>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</si>
  <si>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</si>
  <si>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</si>
  <si>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</si>
  <si>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</si>
  <si>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</si>
  <si>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</si>
  <si>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</si>
  <si>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</si>
  <si>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</si>
  <si>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</si>
  <si>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</si>
  <si>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</si>
  <si>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</si>
  <si>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</si>
  <si>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</si>
  <si>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</si>
  <si>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</si>
  <si>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</si>
  <si>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</si>
  <si>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</si>
  <si>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</si>
  <si>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</si>
  <si>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</si>
  <si>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</si>
  <si>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</si>
  <si>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</si>
  <si>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</si>
  <si>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</si>
  <si>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</si>
  <si>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</si>
  <si>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</si>
  <si>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</si>
  <si>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</si>
  <si>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</si>
  <si>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</si>
  <si>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</si>
  <si>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</si>
  <si>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</si>
  <si>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</si>
  <si>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</si>
  <si>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</si>
  <si>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</si>
  <si>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</si>
  <si>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</si>
  <si>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</si>
  <si>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</si>
  <si>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</si>
  <si>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</si>
  <si>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</si>
  <si>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</si>
  <si>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</si>
  <si>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</si>
  <si>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</si>
  <si>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</si>
  <si>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</si>
  <si>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</si>
  <si>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</si>
  <si>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Axis Thane</t>
  </si>
  <si>
    <t xml:space="preserve">M/s. Buidtech Homes </t>
  </si>
  <si>
    <t>Sky Annex</t>
  </si>
  <si>
    <t>P51800015214</t>
  </si>
  <si>
    <t>CTS No</t>
  </si>
  <si>
    <t>Maravali</t>
  </si>
  <si>
    <t>Mumbai</t>
  </si>
  <si>
    <t xml:space="preserve">Internal Road </t>
  </si>
  <si>
    <t>Bharat Petroleum</t>
  </si>
  <si>
    <t>3.7KM from Chembur Railway Station</t>
  </si>
  <si>
    <t>Lok Vihar Hospital</t>
  </si>
  <si>
    <t>Buildtech Heights</t>
  </si>
  <si>
    <t>Ghausiya Masjid</t>
  </si>
  <si>
    <t>Open Plot</t>
  </si>
  <si>
    <t>https://goo.gl/maps/4YrgDR8LYZBv8iYi9</t>
  </si>
  <si>
    <t>SRA</t>
  </si>
  <si>
    <t>SRA/ENG/3870/ME/STGL/AP</t>
  </si>
  <si>
    <t>As per RERA - 31/12/2026</t>
  </si>
  <si>
    <t>Basement For Parking</t>
  </si>
  <si>
    <t>Ground Floor For Parking</t>
  </si>
  <si>
    <t>1BHK</t>
  </si>
  <si>
    <t>1st  Floor For Residential &amp; Amenities</t>
  </si>
  <si>
    <t>2BHK</t>
  </si>
  <si>
    <t>3BHK</t>
  </si>
  <si>
    <t>Amenities</t>
  </si>
  <si>
    <t>2nd to 5th &amp; 7th to 12th &amp; 14th to 19th &amp;21st to 25th Floor</t>
  </si>
  <si>
    <t>6th &amp; 13th &amp;20th Floor</t>
  </si>
  <si>
    <t>Refuge Area</t>
  </si>
  <si>
    <t>We considered Gross carpet area = Net carpet</t>
  </si>
  <si>
    <t>This plinth C.C. is re-endorosed as per amended plan dated 27/09/2021</t>
  </si>
  <si>
    <t>Approved Plans, CC, Sale Plans.</t>
  </si>
  <si>
    <t>Flats -288</t>
  </si>
  <si>
    <t xml:space="preserve">Proposed slum rehabilitation scheme on plot bearing C.T.S. No.128, of village Maravali, Chembur, Mumbai : 400071, for Uttkarsha CHS </t>
  </si>
  <si>
    <t xml:space="preserve">Maravali </t>
  </si>
  <si>
    <t>Chembur West</t>
  </si>
  <si>
    <t>Sale Building No.1</t>
  </si>
  <si>
    <t xml:space="preserve">Sale Building No.1 = G + 1st to 25th Floor
</t>
  </si>
  <si>
    <t>Sale Building No.1 = G + 1st to 35th Floor</t>
  </si>
  <si>
    <t>6th, 13th &amp; 20th Floor (Part Refuge Area)</t>
  </si>
  <si>
    <t xml:space="preserve">Reference taken from approved Plan, 
As per Approved Site layout &amp; Elevation Sale Building No. 1 is Gr. + 35th Floor structure
As per Approved Floor plan Sale Building No. 1 is Gr. + 25th Floor structure
So please provide an approved floor plan of 26th to 35th floor of Sale building No. 1.
</t>
  </si>
  <si>
    <t>Latitude, Longitude</t>
  </si>
  <si>
    <t>Office No. 1031, Wing J, Akshar Business Park, Plot No. 03 Sector 25, Near APMC Market,
Vashi, Navi Mumbai, Maharashtra 400703 TEL: 022-46090378/79/80
E mail : vsjcapf@gmail.com. Web site : www.vsjadon.com</t>
  </si>
  <si>
    <t>Rushikesh</t>
  </si>
  <si>
    <t>13800 to 14000 &amp; 3.5L  OC</t>
  </si>
  <si>
    <t xml:space="preserve">Recommended Rates/Other Charges of the Property have been revised on 30/12/2023.
</t>
  </si>
  <si>
    <t xml:space="preserve">1. Vitrified tiles flooring 2. Granite Kitchen Platform 3. Decorative
Enternace etc.
</t>
  </si>
  <si>
    <t>On Site, we meet Mr. Khan : 8080829777.</t>
  </si>
  <si>
    <t>Part II = Sale Building No.1 = G + 1st to 35th Floor</t>
  </si>
  <si>
    <t>Average Progress %</t>
  </si>
  <si>
    <t>Average Disbursement %</t>
  </si>
  <si>
    <t>19.0350211,72.8945351</t>
  </si>
  <si>
    <t>Mr. Hardik Sejpal 7498066255</t>
  </si>
  <si>
    <t>Site Person - Contact Details (Name &amp; Contact No.)</t>
  </si>
  <si>
    <t>Akash Kadam</t>
  </si>
  <si>
    <t>Mr. Tripathi 8108755761</t>
  </si>
  <si>
    <t>Construction work is in process at the time of visit (Slow Speed).</t>
  </si>
  <si>
    <t>Construction work goes beyond approved CC. Provide revised CC.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</si>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</sst>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13" fillId="3" borderId="32" xfId="1" applyFont="1" applyFill="1" applyBorder="1" applyAlignment="1" applyProtection="1">
      <alignment horizontal="center" vertical="center" wrapText="1"/>
      <protection locked="0"/>
    </xf>
    <xf numFmtId="0" fontId="13" fillId="3" borderId="33" xfId="1" applyFont="1" applyFill="1" applyBorder="1" applyAlignment="1" applyProtection="1">
      <alignment horizontal="center" vertical="center" wrapText="1"/>
      <protection locked="0"/>
    </xf>
    <xf numFmtId="9" fontId="13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35" xfId="1" applyFont="1" applyFill="1" applyBorder="1" applyAlignment="1" applyProtection="1">
      <alignment horizontal="center" vertical="center" wrapText="1"/>
      <protection locked="0"/>
    </xf>
    <xf numFmtId="0" fontId="13" fillId="3" borderId="37" xfId="1" applyFont="1" applyFill="1" applyBorder="1" applyAlignment="1" applyProtection="1">
      <alignment horizontal="center" vertical="center" wrapText="1"/>
      <protection locked="0"/>
    </xf>
    <xf numFmtId="0" fontId="13" fillId="3" borderId="36" xfId="1" applyFont="1" applyFill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225</xdr:row>
      <xdr:rowOff>0</xdr:rowOff>
    </xdr:from>
    <xdr:to>
      <xdr:col>6</xdr:col>
      <xdr:colOff>8753</xdr:colOff>
      <xdr:row>243</xdr:row>
      <xdr:rowOff>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9775" y="52006500"/>
          <a:ext cx="327582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333375</xdr:colOff>
      <xdr:row>243</xdr:row>
      <xdr:rowOff>160668</xdr:rowOff>
    </xdr:from>
    <xdr:to>
      <xdr:col>6</xdr:col>
      <xdr:colOff>4557</xdr:colOff>
      <xdr:row>261</xdr:row>
      <xdr:rowOff>160218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9775" y="55767618"/>
          <a:ext cx="326037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466725</xdr:colOff>
      <xdr:row>5</xdr:row>
      <xdr:rowOff>161925</xdr:rowOff>
    </xdr:from>
    <xdr:to>
      <xdr:col>14</xdr:col>
      <xdr:colOff>200687</xdr:colOff>
      <xdr:row>15</xdr:row>
      <xdr:rowOff>181287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1350" y="1552575"/>
          <a:ext cx="4744112" cy="2238687"/>
        </a:xfrm>
        <a:prstGeom prst="rect">
          <a:avLst/>
        </a:prstGeom>
      </xdr:spPr>
    </xdr:pic>
    <xdr:clientData/>
  </xdr:twoCellAnchor>
  <xdr:twoCellAnchor>
    <xdr:from>
      <xdr:col>9</xdr:col>
      <xdr:colOff>271548</xdr:colOff>
      <xdr:row>181</xdr:row>
      <xdr:rowOff>91441</xdr:rowOff>
    </xdr:from>
    <xdr:to>
      <xdr:col>17</xdr:col>
      <xdr:colOff>344977</xdr:colOff>
      <xdr:row>219</xdr:row>
      <xdr:rowOff>31866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8165868" y="33375601"/>
          <a:ext cx="6138949" cy="7468985"/>
          <a:chOff x="216225" y="330636"/>
          <a:chExt cx="6641775" cy="8496864"/>
        </a:xfrm>
      </xdr:grpSpPr>
      <xdr:pic>
        <xdr:nvPicPr>
          <xdr:cNvPr id="29" name="Picture 28" descr="https://vsjcllp.vsjadon.com/upload/insp-236810-2141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63064" y="330636"/>
            <a:ext cx="3635514" cy="27266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6810-2142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3097" y="3228974"/>
            <a:ext cx="4828956" cy="32480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6810-2143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225" y="6667500"/>
            <a:ext cx="32113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646650" y="6667500"/>
            <a:ext cx="32113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152400</xdr:colOff>
      <xdr:row>183</xdr:row>
      <xdr:rowOff>22860</xdr:rowOff>
    </xdr:from>
    <xdr:to>
      <xdr:col>7</xdr:col>
      <xdr:colOff>716280</xdr:colOff>
      <xdr:row>216</xdr:row>
      <xdr:rowOff>190720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4159DA7-348C-CF76-050D-566AB4BE0EF5}"/>
            </a:ext>
          </a:extLst>
        </xdr:cNvPr>
        <xdr:cNvGrpSpPr/>
      </xdr:nvGrpSpPr>
      <xdr:grpSpPr>
        <a:xfrm>
          <a:off x="152400" y="33703260"/>
          <a:ext cx="6408420" cy="6705820"/>
          <a:chOff x="80000" y="222226"/>
          <a:chExt cx="6832010" cy="731542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C186B63D-A795-B7AE-9CB4-3B223B3440A5}"/>
              </a:ext>
            </a:extLst>
          </xdr:cNvPr>
          <xdr:cNvGrpSpPr/>
        </xdr:nvGrpSpPr>
        <xdr:grpSpPr>
          <a:xfrm>
            <a:off x="1123125" y="5557646"/>
            <a:ext cx="4745760" cy="1980000"/>
            <a:chOff x="2246250" y="5557646"/>
            <a:chExt cx="4745760" cy="198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1D5F43C8-046C-92DA-30D7-1FB9C9949B4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72010" y="5557646"/>
              <a:ext cx="352000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1241153A-AB07-81EF-B68A-0155A3F8F1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46250" y="5557646"/>
              <a:ext cx="111375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F57D56A3-250C-56C4-165B-E764D4938602}"/>
              </a:ext>
            </a:extLst>
          </xdr:cNvPr>
          <xdr:cNvGrpSpPr/>
        </xdr:nvGrpSpPr>
        <xdr:grpSpPr>
          <a:xfrm>
            <a:off x="80000" y="2889936"/>
            <a:ext cx="6832010" cy="2520000"/>
            <a:chOff x="0" y="2889936"/>
            <a:chExt cx="6832010" cy="252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A090DE69-44F6-3685-25EC-4495731277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72010" y="2889936"/>
              <a:ext cx="336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9FC5CFA9-5A75-1303-BF9F-9965DDB8FAC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2889936"/>
              <a:ext cx="336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80DE27A9-89DB-2FDB-AD54-82BC656AC743}"/>
              </a:ext>
            </a:extLst>
          </xdr:cNvPr>
          <xdr:cNvGrpSpPr/>
        </xdr:nvGrpSpPr>
        <xdr:grpSpPr>
          <a:xfrm>
            <a:off x="80000" y="222226"/>
            <a:ext cx="6832010" cy="2520000"/>
            <a:chOff x="0" y="222226"/>
            <a:chExt cx="6832010" cy="252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B74063FF-EC9A-A968-7F5A-F4812D42BC2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72010" y="222226"/>
              <a:ext cx="336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9CD90F3C-2894-50E2-407B-AF8AC54AF6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222226"/>
              <a:ext cx="336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4YrgDR8LYZBv8iYi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24"/>
  <sheetViews>
    <sheetView tabSelected="1" view="pageBreakPreview" zoomScaleNormal="100" zoomScaleSheetLayoutView="100" workbookViewId="0">
      <selection activeCell="J1" sqref="J1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2.44140625" style="38" customWidth="1"/>
    <col min="9" max="9" width="17.44140625" style="19" customWidth="1"/>
    <col min="10" max="10" width="11.44140625" style="19" customWidth="1"/>
    <col min="11" max="11" width="11.3320312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34" t="s">
        <v>209</v>
      </c>
      <c r="B1" s="134"/>
      <c r="C1" s="134"/>
      <c r="D1" s="134"/>
      <c r="E1" s="134"/>
      <c r="F1" s="134"/>
      <c r="G1" s="134"/>
      <c r="H1" s="134"/>
    </row>
    <row r="2" spans="1:8" ht="16.5" customHeight="1" x14ac:dyDescent="0.3">
      <c r="A2" s="109" t="s">
        <v>0</v>
      </c>
      <c r="B2" s="109"/>
      <c r="C2" s="109"/>
      <c r="D2" s="109"/>
      <c r="E2" s="109"/>
      <c r="F2" s="109"/>
      <c r="G2" s="109"/>
      <c r="H2" s="109"/>
    </row>
    <row r="3" spans="1:8" x14ac:dyDescent="0.3">
      <c r="A3" s="115" t="s">
        <v>1</v>
      </c>
      <c r="B3" s="115"/>
      <c r="C3" s="115"/>
      <c r="D3" s="115"/>
      <c r="E3" s="115" t="str">
        <f ca="1">TEXT(TODAY(),"DD/MM/YYYY")</f>
        <v>19/09/2025</v>
      </c>
      <c r="F3" s="115"/>
      <c r="G3" s="115"/>
      <c r="H3" s="115"/>
    </row>
    <row r="4" spans="1:8" ht="15" customHeight="1" x14ac:dyDescent="0.3">
      <c r="A4" s="115" t="s">
        <v>2</v>
      </c>
      <c r="B4" s="115"/>
      <c r="C4" s="115"/>
      <c r="D4" s="115"/>
      <c r="E4" s="115" t="s">
        <v>168</v>
      </c>
      <c r="F4" s="115"/>
      <c r="G4" s="115"/>
      <c r="H4" s="115"/>
    </row>
    <row r="5" spans="1:8" x14ac:dyDescent="0.3">
      <c r="A5" s="115" t="s">
        <v>3</v>
      </c>
      <c r="B5" s="115"/>
      <c r="C5" s="115"/>
      <c r="D5" s="115"/>
      <c r="E5" s="135">
        <v>45916</v>
      </c>
      <c r="F5" s="115"/>
      <c r="G5" s="115"/>
      <c r="H5" s="115"/>
    </row>
    <row r="6" spans="1:8" ht="16.5" customHeight="1" x14ac:dyDescent="0.3">
      <c r="A6" s="115" t="s">
        <v>4</v>
      </c>
      <c r="B6" s="115"/>
      <c r="C6" s="115"/>
      <c r="D6" s="115"/>
      <c r="E6" s="115" t="s">
        <v>169</v>
      </c>
      <c r="F6" s="115"/>
      <c r="G6" s="115"/>
      <c r="H6" s="115"/>
    </row>
    <row r="7" spans="1:8" ht="15" customHeight="1" x14ac:dyDescent="0.3">
      <c r="A7" s="115" t="s">
        <v>5</v>
      </c>
      <c r="B7" s="115"/>
      <c r="C7" s="115"/>
      <c r="D7" s="115"/>
      <c r="E7" s="115" t="str">
        <f>E6</f>
        <v xml:space="preserve">M/s. Buidtech Homes </v>
      </c>
      <c r="F7" s="115"/>
      <c r="G7" s="115"/>
      <c r="H7" s="115"/>
    </row>
    <row r="8" spans="1:8" x14ac:dyDescent="0.3">
      <c r="A8" s="115" t="s">
        <v>6</v>
      </c>
      <c r="B8" s="115"/>
      <c r="C8" s="115"/>
      <c r="D8" s="115"/>
      <c r="E8" s="68" t="s">
        <v>170</v>
      </c>
      <c r="F8" s="115"/>
      <c r="G8" s="115"/>
      <c r="H8" s="115"/>
    </row>
    <row r="9" spans="1:8" x14ac:dyDescent="0.3">
      <c r="A9" s="115" t="s">
        <v>124</v>
      </c>
      <c r="B9" s="115"/>
      <c r="C9" s="115"/>
      <c r="D9" s="115"/>
      <c r="E9" s="115" t="s">
        <v>219</v>
      </c>
      <c r="F9" s="115"/>
      <c r="G9" s="115"/>
      <c r="H9" s="115"/>
    </row>
    <row r="10" spans="1:8" x14ac:dyDescent="0.3">
      <c r="A10" s="115" t="s">
        <v>220</v>
      </c>
      <c r="B10" s="115"/>
      <c r="C10" s="115"/>
      <c r="D10" s="115"/>
      <c r="E10" s="115" t="s">
        <v>222</v>
      </c>
      <c r="F10" s="115"/>
      <c r="G10" s="115"/>
      <c r="H10" s="115"/>
    </row>
    <row r="11" spans="1:8" x14ac:dyDescent="0.3">
      <c r="A11" s="115" t="s">
        <v>7</v>
      </c>
      <c r="B11" s="115"/>
      <c r="C11" s="115"/>
      <c r="D11" s="115"/>
      <c r="E11" s="115" t="s">
        <v>203</v>
      </c>
      <c r="F11" s="115"/>
      <c r="G11" s="115"/>
      <c r="H11" s="115"/>
    </row>
    <row r="12" spans="1:8" x14ac:dyDescent="0.3">
      <c r="A12" s="96" t="s">
        <v>8</v>
      </c>
      <c r="B12" s="96"/>
      <c r="C12" s="96"/>
      <c r="D12" s="96"/>
      <c r="E12" s="110" t="s">
        <v>198</v>
      </c>
      <c r="F12" s="110"/>
      <c r="G12" s="110"/>
      <c r="H12" s="110"/>
    </row>
    <row r="13" spans="1:8" x14ac:dyDescent="0.3">
      <c r="A13" s="96" t="s">
        <v>9</v>
      </c>
      <c r="B13" s="96"/>
      <c r="C13" s="96"/>
      <c r="D13" s="96"/>
      <c r="E13" s="110" t="s">
        <v>171</v>
      </c>
      <c r="F13" s="115"/>
      <c r="G13" s="115"/>
      <c r="H13" s="115"/>
    </row>
    <row r="14" spans="1:8" ht="33" customHeight="1" x14ac:dyDescent="0.3">
      <c r="A14" s="111" t="s">
        <v>10</v>
      </c>
      <c r="B14" s="111"/>
      <c r="C14" s="111" t="s">
        <v>200</v>
      </c>
      <c r="D14" s="111"/>
      <c r="E14" s="111"/>
      <c r="F14" s="111"/>
      <c r="G14" s="111"/>
      <c r="H14" s="111"/>
    </row>
    <row r="15" spans="1:8" x14ac:dyDescent="0.3">
      <c r="A15" s="110" t="s">
        <v>172</v>
      </c>
      <c r="B15" s="110"/>
      <c r="C15" s="110">
        <v>128</v>
      </c>
      <c r="D15" s="110"/>
      <c r="E15" s="110"/>
      <c r="F15" s="110"/>
      <c r="G15" s="110"/>
      <c r="H15" s="110"/>
    </row>
    <row r="16" spans="1:8" ht="15.75" customHeight="1" x14ac:dyDescent="0.3">
      <c r="A16" s="110" t="s">
        <v>167</v>
      </c>
      <c r="B16" s="110"/>
      <c r="C16" s="110" t="s">
        <v>201</v>
      </c>
      <c r="D16" s="110"/>
      <c r="E16" s="110"/>
      <c r="F16" s="110"/>
      <c r="G16" s="110"/>
      <c r="H16" s="110"/>
    </row>
    <row r="17" spans="1:8" ht="15.75" customHeight="1" x14ac:dyDescent="0.3">
      <c r="A17" s="111" t="s">
        <v>11</v>
      </c>
      <c r="B17" s="111"/>
      <c r="C17" s="115" t="s">
        <v>175</v>
      </c>
      <c r="D17" s="115"/>
      <c r="E17" s="111" t="s">
        <v>75</v>
      </c>
      <c r="F17" s="111"/>
      <c r="G17" s="110" t="s">
        <v>173</v>
      </c>
      <c r="H17" s="110"/>
    </row>
    <row r="18" spans="1:8" x14ac:dyDescent="0.3">
      <c r="A18" s="96" t="s">
        <v>13</v>
      </c>
      <c r="B18" s="96"/>
      <c r="C18" s="110" t="s">
        <v>202</v>
      </c>
      <c r="D18" s="110"/>
      <c r="E18" s="111" t="s">
        <v>12</v>
      </c>
      <c r="F18" s="111"/>
      <c r="G18" s="136" t="s">
        <v>174</v>
      </c>
      <c r="H18" s="136"/>
    </row>
    <row r="19" spans="1:8" x14ac:dyDescent="0.3">
      <c r="A19" s="96" t="s">
        <v>76</v>
      </c>
      <c r="B19" s="96"/>
      <c r="C19" s="110" t="s">
        <v>174</v>
      </c>
      <c r="D19" s="110"/>
      <c r="E19" s="111" t="s">
        <v>14</v>
      </c>
      <c r="F19" s="111"/>
      <c r="G19" s="110">
        <v>400071</v>
      </c>
      <c r="H19" s="110"/>
    </row>
    <row r="20" spans="1:8" ht="32.25" customHeight="1" x14ac:dyDescent="0.3">
      <c r="A20" s="96" t="s">
        <v>126</v>
      </c>
      <c r="B20" s="96"/>
      <c r="C20" s="110" t="s">
        <v>176</v>
      </c>
      <c r="D20" s="110"/>
      <c r="E20" s="111" t="s">
        <v>15</v>
      </c>
      <c r="F20" s="111"/>
      <c r="G20" s="110" t="s">
        <v>177</v>
      </c>
      <c r="H20" s="110"/>
    </row>
    <row r="21" spans="1:8" ht="15" customHeight="1" x14ac:dyDescent="0.3">
      <c r="A21" s="111" t="s">
        <v>78</v>
      </c>
      <c r="B21" s="111"/>
      <c r="C21" s="111"/>
      <c r="D21" s="111"/>
      <c r="E21" s="115" t="s">
        <v>16</v>
      </c>
      <c r="F21" s="115"/>
      <c r="G21" s="115"/>
      <c r="H21" s="115"/>
    </row>
    <row r="22" spans="1:8" ht="18.75" customHeight="1" x14ac:dyDescent="0.3">
      <c r="A22" s="111"/>
      <c r="B22" s="111"/>
      <c r="C22" s="111"/>
      <c r="D22" s="111"/>
      <c r="E22" s="115"/>
      <c r="F22" s="115"/>
      <c r="G22" s="115"/>
      <c r="H22" s="115"/>
    </row>
    <row r="23" spans="1:8" ht="15" customHeight="1" x14ac:dyDescent="0.3">
      <c r="A23" s="111" t="s">
        <v>17</v>
      </c>
      <c r="B23" s="111"/>
      <c r="C23" s="111"/>
      <c r="D23" s="111"/>
      <c r="E23" s="110" t="s">
        <v>18</v>
      </c>
      <c r="F23" s="110"/>
      <c r="G23" s="110"/>
      <c r="H23" s="110"/>
    </row>
    <row r="24" spans="1:8" ht="15" customHeight="1" x14ac:dyDescent="0.3">
      <c r="A24" s="96" t="s">
        <v>19</v>
      </c>
      <c r="B24" s="96"/>
      <c r="C24" s="96"/>
      <c r="D24" s="96"/>
      <c r="E24" s="110" t="str">
        <f>IF(AND(G18="Mumbai"),"Upper Class","Middle Class")</f>
        <v>Upper Class</v>
      </c>
      <c r="F24" s="110"/>
      <c r="G24" s="110"/>
      <c r="H24" s="110"/>
    </row>
    <row r="25" spans="1:8" x14ac:dyDescent="0.3">
      <c r="A25" s="96" t="s">
        <v>20</v>
      </c>
      <c r="B25" s="96"/>
      <c r="C25" s="96"/>
      <c r="D25" s="96"/>
      <c r="E25" s="110" t="s">
        <v>21</v>
      </c>
      <c r="F25" s="110"/>
      <c r="G25" s="110"/>
      <c r="H25" s="110"/>
    </row>
    <row r="26" spans="1:8" ht="15.75" customHeight="1" x14ac:dyDescent="0.3">
      <c r="A26" s="96" t="s">
        <v>22</v>
      </c>
      <c r="B26" s="96"/>
      <c r="C26" s="96"/>
      <c r="D26" s="96"/>
      <c r="E26" s="110" t="str">
        <f>IF(AND(G18="Mumbai"),"Developed","Developing")</f>
        <v>Developed</v>
      </c>
      <c r="F26" s="110"/>
      <c r="G26" s="110"/>
      <c r="H26" s="110"/>
    </row>
    <row r="27" spans="1:8" x14ac:dyDescent="0.3">
      <c r="A27" s="96" t="s">
        <v>23</v>
      </c>
      <c r="B27" s="96"/>
      <c r="C27" s="96"/>
      <c r="D27" s="96"/>
      <c r="E27" s="110" t="s">
        <v>24</v>
      </c>
      <c r="F27" s="110"/>
      <c r="G27" s="110"/>
      <c r="H27" s="110"/>
    </row>
    <row r="28" spans="1:8" ht="15.75" customHeight="1" x14ac:dyDescent="0.3">
      <c r="A28" s="96" t="s">
        <v>83</v>
      </c>
      <c r="B28" s="96"/>
      <c r="C28" s="96"/>
      <c r="D28" s="96"/>
      <c r="E28" s="110" t="s">
        <v>84</v>
      </c>
      <c r="F28" s="110"/>
      <c r="G28" s="110"/>
      <c r="H28" s="110"/>
    </row>
    <row r="29" spans="1:8" ht="15" customHeight="1" x14ac:dyDescent="0.3">
      <c r="A29" s="96" t="s">
        <v>33</v>
      </c>
      <c r="B29" s="96"/>
      <c r="C29" s="96"/>
      <c r="D29" s="96"/>
      <c r="E29" s="11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10"/>
      <c r="G29" s="110"/>
      <c r="H29" s="110"/>
    </row>
    <row r="30" spans="1:8" ht="15.75" customHeight="1" x14ac:dyDescent="0.3">
      <c r="A30" s="96" t="s">
        <v>95</v>
      </c>
      <c r="B30" s="96"/>
      <c r="C30" s="96"/>
      <c r="D30" s="96"/>
      <c r="E30" s="110" t="s">
        <v>34</v>
      </c>
      <c r="F30" s="110"/>
      <c r="G30" s="110"/>
      <c r="H30" s="110"/>
    </row>
    <row r="31" spans="1:8" s="20" customFormat="1" x14ac:dyDescent="0.3">
      <c r="A31" s="140" t="s">
        <v>96</v>
      </c>
      <c r="B31" s="140"/>
      <c r="C31" s="139" t="s">
        <v>29</v>
      </c>
      <c r="D31" s="139"/>
      <c r="E31" s="139"/>
      <c r="F31" s="139" t="s">
        <v>31</v>
      </c>
      <c r="G31" s="139"/>
      <c r="H31" s="139"/>
    </row>
    <row r="32" spans="1:8" s="20" customFormat="1" x14ac:dyDescent="0.3">
      <c r="A32" s="137" t="s">
        <v>25</v>
      </c>
      <c r="B32" s="137" t="s">
        <v>30</v>
      </c>
      <c r="C32" s="138" t="s">
        <v>30</v>
      </c>
      <c r="D32" s="138"/>
      <c r="E32" s="138"/>
      <c r="F32" s="138" t="s">
        <v>178</v>
      </c>
      <c r="G32" s="138"/>
      <c r="H32" s="138"/>
    </row>
    <row r="33" spans="1:8" x14ac:dyDescent="0.3">
      <c r="A33" s="137" t="s">
        <v>26</v>
      </c>
      <c r="B33" s="137" t="s">
        <v>30</v>
      </c>
      <c r="C33" s="138" t="s">
        <v>30</v>
      </c>
      <c r="D33" s="138"/>
      <c r="E33" s="138"/>
      <c r="F33" s="138" t="s">
        <v>179</v>
      </c>
      <c r="G33" s="138"/>
      <c r="H33" s="138"/>
    </row>
    <row r="34" spans="1:8" s="20" customFormat="1" x14ac:dyDescent="0.3">
      <c r="A34" s="137" t="s">
        <v>28</v>
      </c>
      <c r="B34" s="137" t="s">
        <v>30</v>
      </c>
      <c r="C34" s="138" t="s">
        <v>30</v>
      </c>
      <c r="D34" s="138"/>
      <c r="E34" s="138"/>
      <c r="F34" s="138" t="s">
        <v>180</v>
      </c>
      <c r="G34" s="138"/>
      <c r="H34" s="138"/>
    </row>
    <row r="35" spans="1:8" x14ac:dyDescent="0.3">
      <c r="A35" s="137" t="s">
        <v>27</v>
      </c>
      <c r="B35" s="137" t="s">
        <v>30</v>
      </c>
      <c r="C35" s="138" t="s">
        <v>30</v>
      </c>
      <c r="D35" s="138"/>
      <c r="E35" s="138"/>
      <c r="F35" s="138" t="s">
        <v>181</v>
      </c>
      <c r="G35" s="138"/>
      <c r="H35" s="138"/>
    </row>
    <row r="36" spans="1:8" x14ac:dyDescent="0.3">
      <c r="A36" s="96" t="s">
        <v>32</v>
      </c>
      <c r="B36" s="96"/>
      <c r="C36" s="96"/>
      <c r="D36" s="96"/>
      <c r="E36" s="96"/>
      <c r="F36" s="96"/>
      <c r="G36" s="96"/>
      <c r="H36" s="96"/>
    </row>
    <row r="37" spans="1:8" ht="15.75" customHeight="1" x14ac:dyDescent="0.3">
      <c r="A37" s="109" t="s">
        <v>208</v>
      </c>
      <c r="B37" s="109"/>
      <c r="C37" s="90" t="s">
        <v>218</v>
      </c>
      <c r="D37" s="91"/>
      <c r="E37" s="91"/>
      <c r="F37" s="91"/>
      <c r="G37" s="91"/>
      <c r="H37" s="92"/>
    </row>
    <row r="38" spans="1:8" x14ac:dyDescent="0.3">
      <c r="A38" s="109" t="s">
        <v>166</v>
      </c>
      <c r="B38" s="109"/>
      <c r="C38" s="144" t="s">
        <v>182</v>
      </c>
      <c r="D38" s="110"/>
      <c r="E38" s="110"/>
      <c r="F38" s="110"/>
      <c r="G38" s="110"/>
      <c r="H38" s="110"/>
    </row>
    <row r="39" spans="1:8" x14ac:dyDescent="0.3">
      <c r="A39" s="121" t="s">
        <v>35</v>
      </c>
      <c r="B39" s="121"/>
      <c r="C39" s="121"/>
      <c r="D39" s="121"/>
      <c r="E39" s="121"/>
      <c r="F39" s="121"/>
      <c r="G39" s="121"/>
      <c r="H39" s="121"/>
    </row>
    <row r="40" spans="1:8" x14ac:dyDescent="0.3">
      <c r="A40" s="96" t="s">
        <v>36</v>
      </c>
      <c r="B40" s="96"/>
      <c r="C40" s="96"/>
      <c r="D40" s="96"/>
      <c r="E40" s="158">
        <v>4719.16</v>
      </c>
      <c r="F40" s="158"/>
      <c r="G40" s="158"/>
      <c r="H40" s="158"/>
    </row>
    <row r="41" spans="1:8" x14ac:dyDescent="0.3">
      <c r="A41" s="96" t="s">
        <v>37</v>
      </c>
      <c r="B41" s="96"/>
      <c r="C41" s="96"/>
      <c r="D41" s="96"/>
      <c r="E41" s="113">
        <v>4</v>
      </c>
      <c r="F41" s="113"/>
      <c r="G41" s="113"/>
      <c r="H41" s="113"/>
    </row>
    <row r="42" spans="1:8" x14ac:dyDescent="0.3">
      <c r="A42" s="96" t="s">
        <v>38</v>
      </c>
      <c r="B42" s="96"/>
      <c r="C42" s="96"/>
      <c r="D42" s="96"/>
      <c r="E42" s="113">
        <f>E44/E40-E41</f>
        <v>8.2082404495715799E-2</v>
      </c>
      <c r="F42" s="113"/>
      <c r="G42" s="113"/>
      <c r="H42" s="113"/>
    </row>
    <row r="43" spans="1:8" x14ac:dyDescent="0.3">
      <c r="A43" s="96" t="s">
        <v>39</v>
      </c>
      <c r="B43" s="96"/>
      <c r="C43" s="96"/>
      <c r="D43" s="96"/>
      <c r="E43" s="113">
        <f>E41+E42</f>
        <v>4.0820824044957158</v>
      </c>
      <c r="F43" s="113"/>
      <c r="G43" s="113"/>
      <c r="H43" s="113"/>
    </row>
    <row r="44" spans="1:8" x14ac:dyDescent="0.3">
      <c r="A44" s="96" t="s">
        <v>94</v>
      </c>
      <c r="B44" s="96"/>
      <c r="C44" s="96"/>
      <c r="D44" s="96"/>
      <c r="E44" s="143">
        <v>19264</v>
      </c>
      <c r="F44" s="143"/>
      <c r="G44" s="143"/>
      <c r="H44" s="143"/>
    </row>
    <row r="45" spans="1:8" x14ac:dyDescent="0.3">
      <c r="A45" s="115" t="s">
        <v>40</v>
      </c>
      <c r="B45" s="115"/>
      <c r="C45" s="115"/>
      <c r="D45" s="115"/>
      <c r="E45" s="115" t="s">
        <v>125</v>
      </c>
      <c r="F45" s="115"/>
      <c r="G45" s="115"/>
      <c r="H45" s="115"/>
    </row>
    <row r="46" spans="1:8" x14ac:dyDescent="0.3">
      <c r="A46" s="68" t="s">
        <v>41</v>
      </c>
      <c r="B46" s="68"/>
      <c r="C46" s="68"/>
      <c r="D46" s="68"/>
      <c r="E46" s="68"/>
      <c r="F46" s="68"/>
      <c r="G46" s="68"/>
      <c r="H46" s="68"/>
    </row>
    <row r="47" spans="1:8" ht="33.75" customHeight="1" x14ac:dyDescent="0.3">
      <c r="A47" s="160" t="s">
        <v>154</v>
      </c>
      <c r="B47" s="161"/>
      <c r="C47" s="162" t="s">
        <v>183</v>
      </c>
      <c r="D47" s="163"/>
      <c r="E47" s="163"/>
      <c r="F47" s="163"/>
      <c r="G47" s="163"/>
      <c r="H47" s="164"/>
    </row>
    <row r="48" spans="1:8" ht="15.75" customHeight="1" x14ac:dyDescent="0.3">
      <c r="A48" s="97" t="s">
        <v>42</v>
      </c>
      <c r="B48" s="99"/>
      <c r="C48" s="97" t="s">
        <v>184</v>
      </c>
      <c r="D48" s="98"/>
      <c r="E48" s="99"/>
      <c r="F48" s="18" t="s">
        <v>43</v>
      </c>
      <c r="G48" s="114">
        <v>44466</v>
      </c>
      <c r="H48" s="99"/>
    </row>
    <row r="49" spans="1:14" x14ac:dyDescent="0.3">
      <c r="A49" s="97" t="s">
        <v>44</v>
      </c>
      <c r="B49" s="99"/>
      <c r="C49" s="97" t="str">
        <f>C48</f>
        <v>SRA/ENG/3870/ME/STGL/AP</v>
      </c>
      <c r="D49" s="98"/>
      <c r="E49" s="99"/>
      <c r="F49" s="18" t="s">
        <v>43</v>
      </c>
      <c r="G49" s="114">
        <v>44466</v>
      </c>
      <c r="H49" s="99"/>
    </row>
    <row r="50" spans="1:14" s="21" customFormat="1" ht="15.75" customHeight="1" x14ac:dyDescent="0.3">
      <c r="A50" s="146" t="s">
        <v>158</v>
      </c>
      <c r="B50" s="147"/>
      <c r="C50" s="97" t="str">
        <f>C49</f>
        <v>SRA/ENG/3870/ME/STGL/AP</v>
      </c>
      <c r="D50" s="98"/>
      <c r="E50" s="99"/>
      <c r="F50" s="18" t="s">
        <v>43</v>
      </c>
      <c r="G50" s="114">
        <v>44553</v>
      </c>
      <c r="H50" s="99"/>
    </row>
    <row r="51" spans="1:14" s="21" customFormat="1" x14ac:dyDescent="0.3">
      <c r="A51" s="148"/>
      <c r="B51" s="149"/>
      <c r="C51" s="97" t="s">
        <v>197</v>
      </c>
      <c r="D51" s="98"/>
      <c r="E51" s="98"/>
      <c r="F51" s="98"/>
      <c r="G51" s="98"/>
      <c r="H51" s="99"/>
    </row>
    <row r="52" spans="1:14" x14ac:dyDescent="0.3">
      <c r="A52" s="102" t="s">
        <v>45</v>
      </c>
      <c r="B52" s="103"/>
      <c r="C52" s="102" t="s">
        <v>108</v>
      </c>
      <c r="D52" s="104"/>
      <c r="E52" s="103"/>
      <c r="F52" s="42" t="s">
        <v>43</v>
      </c>
      <c r="G52" s="116" t="s">
        <v>30</v>
      </c>
      <c r="H52" s="117"/>
    </row>
    <row r="53" spans="1:14" x14ac:dyDescent="0.3">
      <c r="A53" s="105" t="s">
        <v>47</v>
      </c>
      <c r="B53" s="105"/>
      <c r="C53" s="105"/>
      <c r="D53" s="105"/>
      <c r="E53" s="105"/>
      <c r="F53" s="105"/>
      <c r="G53" s="105"/>
      <c r="H53" s="105"/>
    </row>
    <row r="54" spans="1:14" x14ac:dyDescent="0.3">
      <c r="A54" s="111" t="s">
        <v>93</v>
      </c>
      <c r="B54" s="111"/>
      <c r="C54" s="111"/>
      <c r="D54" s="96">
        <f>E44</f>
        <v>19264</v>
      </c>
      <c r="E54" s="96"/>
      <c r="F54" s="96"/>
      <c r="G54" s="96"/>
      <c r="H54" s="96"/>
    </row>
    <row r="55" spans="1:14" x14ac:dyDescent="0.3">
      <c r="A55" s="110" t="s">
        <v>48</v>
      </c>
      <c r="B55" s="115"/>
      <c r="C55" s="115"/>
      <c r="D55" s="115" t="s">
        <v>199</v>
      </c>
      <c r="E55" s="115"/>
      <c r="F55" s="115"/>
      <c r="G55" s="115"/>
      <c r="H55" s="115"/>
      <c r="I55" s="22"/>
    </row>
    <row r="56" spans="1:14" x14ac:dyDescent="0.3">
      <c r="A56" s="100" t="s">
        <v>49</v>
      </c>
      <c r="B56" s="101"/>
      <c r="C56" s="145"/>
      <c r="D56" s="132" t="s">
        <v>204</v>
      </c>
      <c r="E56" s="159"/>
      <c r="F56" s="159"/>
      <c r="G56" s="159"/>
      <c r="H56" s="159"/>
    </row>
    <row r="57" spans="1:14" ht="15.75" customHeight="1" x14ac:dyDescent="0.3">
      <c r="A57" s="100" t="s">
        <v>91</v>
      </c>
      <c r="B57" s="101"/>
      <c r="C57" s="101"/>
      <c r="D57" s="115" t="s">
        <v>205</v>
      </c>
      <c r="E57" s="115"/>
      <c r="F57" s="115"/>
      <c r="G57" s="115"/>
      <c r="H57" s="115"/>
    </row>
    <row r="58" spans="1:14" ht="15.75" customHeight="1" x14ac:dyDescent="0.3">
      <c r="A58" s="96" t="s">
        <v>46</v>
      </c>
      <c r="B58" s="96"/>
      <c r="C58" s="96"/>
      <c r="D58" s="141" t="s">
        <v>185</v>
      </c>
      <c r="E58" s="141"/>
      <c r="F58" s="141"/>
      <c r="G58" s="141"/>
      <c r="H58" s="141"/>
      <c r="J58" s="23"/>
      <c r="K58" s="22"/>
      <c r="N58" s="22"/>
    </row>
    <row r="59" spans="1:14" ht="15.75" customHeight="1" x14ac:dyDescent="0.3">
      <c r="A59" s="96" t="s">
        <v>89</v>
      </c>
      <c r="B59" s="96"/>
      <c r="C59" s="96"/>
      <c r="D59" s="142" t="str">
        <f>(IF(G52="NA","60 Years After Completion",IF(G52&lt;&gt;"NA",""&amp;60-ROUNDDOWN((E3-G52)/360,0)&amp;" Years"," ")))</f>
        <v>60 Years After Completion</v>
      </c>
      <c r="E59" s="142"/>
      <c r="F59" s="142"/>
      <c r="G59" s="142"/>
      <c r="H59" s="142"/>
      <c r="N59" s="22"/>
    </row>
    <row r="60" spans="1:14" ht="15.75" customHeight="1" x14ac:dyDescent="0.3">
      <c r="A60" s="96" t="s">
        <v>90</v>
      </c>
      <c r="B60" s="96"/>
      <c r="C60" s="96"/>
      <c r="D60" s="111" t="s">
        <v>24</v>
      </c>
      <c r="E60" s="111"/>
      <c r="F60" s="111"/>
      <c r="G60" s="111"/>
      <c r="H60" s="111"/>
      <c r="J60" s="24"/>
      <c r="K60" s="24"/>
    </row>
    <row r="61" spans="1:14" ht="31.5" customHeight="1" x14ac:dyDescent="0.3">
      <c r="A61" s="96" t="s">
        <v>77</v>
      </c>
      <c r="B61" s="96"/>
      <c r="C61" s="96"/>
      <c r="D61" s="110" t="s">
        <v>213</v>
      </c>
      <c r="E61" s="111"/>
      <c r="F61" s="111"/>
      <c r="G61" s="111"/>
      <c r="H61" s="111"/>
    </row>
    <row r="62" spans="1:14" x14ac:dyDescent="0.3">
      <c r="A62" s="111" t="s">
        <v>152</v>
      </c>
      <c r="B62" s="111"/>
      <c r="C62" s="111"/>
      <c r="D62" s="111" t="s">
        <v>30</v>
      </c>
      <c r="E62" s="111"/>
      <c r="F62" s="111"/>
      <c r="G62" s="111"/>
      <c r="H62" s="111"/>
      <c r="I62" s="25"/>
      <c r="J62" s="25"/>
      <c r="K62" s="25"/>
      <c r="L62" s="25"/>
      <c r="M62" s="25"/>
      <c r="N62" s="25"/>
    </row>
    <row r="63" spans="1:14" ht="15.75" customHeight="1" x14ac:dyDescent="0.3">
      <c r="A63" s="133" t="s">
        <v>88</v>
      </c>
      <c r="B63" s="133"/>
      <c r="C63" s="133"/>
      <c r="D63" s="132" t="str">
        <f>(IF(G69&gt;95%,"Nothing",IF(G69&gt;0%,"Cement, Aggregate, Steel, etc",IF(G69=0%,"Work not yet Started"))))</f>
        <v>Cement, Aggregate, Steel, etc</v>
      </c>
      <c r="E63" s="132"/>
      <c r="F63" s="132"/>
      <c r="G63" s="132"/>
      <c r="H63" s="132"/>
      <c r="J63" s="24"/>
    </row>
    <row r="64" spans="1:14" ht="33.75" customHeight="1" thickBot="1" x14ac:dyDescent="0.35">
      <c r="A64" s="112" t="s">
        <v>121</v>
      </c>
      <c r="B64" s="112"/>
      <c r="C64" s="112"/>
      <c r="D64" s="132" t="str">
        <f>(IF(D63="Nothing","Yes",IF(D63="Cement, Aggregate, Steel, etc","Under Construction",IF(D63="Work not yet Started","Work not yet Started"))))</f>
        <v>Under Construction</v>
      </c>
      <c r="E64" s="132"/>
      <c r="F64" s="132" t="str">
        <f>(IF(D63="Nothing","Yes",IF(D63="Cement, Aggregate, Steel, etc","Under Construction",IF(D63="Work not yet Started","Work not yet Started"))))</f>
        <v>Under Construction</v>
      </c>
      <c r="G64" s="132"/>
      <c r="H64" s="132"/>
    </row>
    <row r="65" spans="1:10" ht="15.75" customHeight="1" x14ac:dyDescent="0.3">
      <c r="A65" s="62" t="s">
        <v>144</v>
      </c>
      <c r="B65" s="63"/>
      <c r="C65" s="64" t="s">
        <v>205</v>
      </c>
      <c r="D65" s="65"/>
      <c r="E65" s="65"/>
      <c r="F65" s="65"/>
      <c r="G65" s="65"/>
      <c r="H65" s="66"/>
      <c r="I65" s="44" t="str">
        <f>IF(D78=100%,"All work Completed. Possession granted to the Building.",IF(D77=100%,"All work Completed, Waiting for OC",I66&amp;""&amp;I67&amp;""&amp;J66&amp;""&amp;J65&amp;" "&amp;J67))</f>
        <v>Excavation, Plinth Completed, RCC upto 3 Slab Completed</v>
      </c>
      <c r="J65" s="45" t="str">
        <f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3 Slab</v>
      </c>
    </row>
    <row r="66" spans="1:10" x14ac:dyDescent="0.3">
      <c r="A66" s="16" t="s">
        <v>146</v>
      </c>
      <c r="B66" s="48">
        <v>0</v>
      </c>
      <c r="C66" s="48" t="s">
        <v>74</v>
      </c>
      <c r="D66" s="48">
        <v>1</v>
      </c>
      <c r="E66" s="48" t="s">
        <v>73</v>
      </c>
      <c r="F66" s="48">
        <v>0</v>
      </c>
      <c r="G66" s="48" t="s">
        <v>82</v>
      </c>
      <c r="H66" s="17">
        <v>35</v>
      </c>
      <c r="I66" s="46" t="str">
        <f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47" t="str">
        <f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3">
      <c r="A67" s="67" t="s">
        <v>92</v>
      </c>
      <c r="B67" s="68"/>
      <c r="C67" s="69" t="str">
        <f>(IF($G$52="NA",I65,"All work Completed. OC Received."))</f>
        <v>Excavation, Plinth Completed, RCC upto 3 Slab Completed</v>
      </c>
      <c r="D67" s="69"/>
      <c r="E67" s="69"/>
      <c r="F67" s="69"/>
      <c r="G67" s="69"/>
      <c r="H67" s="70"/>
      <c r="I67" s="46" t="str">
        <f>IF(I66&lt;&gt;""," Completed","")</f>
        <v xml:space="preserve"> Completed</v>
      </c>
      <c r="J67" s="47" t="str">
        <f>IF(J65&lt;&gt;"","Completed","")</f>
        <v>Completed</v>
      </c>
    </row>
    <row r="68" spans="1:10" ht="15.75" customHeight="1" x14ac:dyDescent="0.3">
      <c r="A68" s="71" t="s">
        <v>50</v>
      </c>
      <c r="B68" s="72"/>
      <c r="C68" s="49" t="s">
        <v>143</v>
      </c>
      <c r="D68" s="49" t="s">
        <v>85</v>
      </c>
      <c r="E68" s="72" t="s">
        <v>87</v>
      </c>
      <c r="F68" s="72"/>
      <c r="G68" s="72" t="s">
        <v>86</v>
      </c>
      <c r="H68" s="73"/>
      <c r="I68" s="14" t="s">
        <v>145</v>
      </c>
      <c r="J68" s="26">
        <f>H66*25%</f>
        <v>8.75</v>
      </c>
    </row>
    <row r="69" spans="1:10" x14ac:dyDescent="0.3">
      <c r="A69" s="71" t="s">
        <v>132</v>
      </c>
      <c r="B69" s="72"/>
      <c r="C69" s="49">
        <f>J70</f>
        <v>35</v>
      </c>
      <c r="D69" s="50">
        <f>((100/H66)*C69)/100</f>
        <v>1</v>
      </c>
      <c r="E69" s="74">
        <f>(((C70/H66*10)+(40/(D66+F66+H66)*C71)+(7.5/(H66)*C72)+(7.5/(H66)*C73)+(10/H66*C74)+(10/H66*C75)+(5/H66*C76)+(5/H66*C77)+(5/H66*C78))/100)</f>
        <v>0.13333333333333333</v>
      </c>
      <c r="F69" s="75"/>
      <c r="G69" s="74">
        <f>((((C69/H66)*20)+((C70/H66)*25)+(30/(H66+F66+D66)*C71)+(5/H66*C72)+(5/H66*C73)+(5/H66*C74)+(5/H66*C75)+(0/H66*C76)+(0/H66*C77)+(5/H66*C78))/100)</f>
        <v>0.47499999999999998</v>
      </c>
      <c r="H69" s="80"/>
      <c r="I69" s="14" t="s">
        <v>103</v>
      </c>
      <c r="J69" s="27">
        <f>H66*50%</f>
        <v>17.5</v>
      </c>
    </row>
    <row r="70" spans="1:10" x14ac:dyDescent="0.3">
      <c r="A70" s="71" t="s">
        <v>51</v>
      </c>
      <c r="B70" s="72"/>
      <c r="C70" s="51">
        <f>J78</f>
        <v>35</v>
      </c>
      <c r="D70" s="50">
        <f>((100/H66)*C70)/100</f>
        <v>1</v>
      </c>
      <c r="E70" s="76"/>
      <c r="F70" s="77"/>
      <c r="G70" s="76"/>
      <c r="H70" s="81"/>
      <c r="I70" s="14" t="s">
        <v>104</v>
      </c>
      <c r="J70" s="27">
        <f>H66</f>
        <v>35</v>
      </c>
    </row>
    <row r="71" spans="1:10" ht="15.75" customHeight="1" x14ac:dyDescent="0.3">
      <c r="A71" s="71" t="s">
        <v>133</v>
      </c>
      <c r="B71" s="72"/>
      <c r="C71" s="49">
        <v>3</v>
      </c>
      <c r="D71" s="50">
        <f>((100/(D66+F66+H66))*C71)/100</f>
        <v>8.3333333333333315E-2</v>
      </c>
      <c r="E71" s="76"/>
      <c r="F71" s="77"/>
      <c r="G71" s="76"/>
      <c r="H71" s="81"/>
      <c r="I71" s="14" t="s">
        <v>105</v>
      </c>
      <c r="J71" s="28">
        <f>(IF(B66&gt;1,(H66/(B66+2)),H66/4))</f>
        <v>8.75</v>
      </c>
    </row>
    <row r="72" spans="1:10" ht="15.75" customHeight="1" x14ac:dyDescent="0.3">
      <c r="A72" s="71" t="s">
        <v>140</v>
      </c>
      <c r="B72" s="72" t="s">
        <v>134</v>
      </c>
      <c r="C72" s="49">
        <v>0</v>
      </c>
      <c r="D72" s="50">
        <f>((100/H66)*C72)/100</f>
        <v>0</v>
      </c>
      <c r="E72" s="76"/>
      <c r="F72" s="77"/>
      <c r="G72" s="76"/>
      <c r="H72" s="81"/>
      <c r="I72" s="14" t="s">
        <v>106</v>
      </c>
      <c r="J72" s="28">
        <f>(IF(B66&gt;1,(H66/(B66+2)+J71),H66/4+J71))</f>
        <v>17.5</v>
      </c>
    </row>
    <row r="73" spans="1:10" ht="15.75" customHeight="1" x14ac:dyDescent="0.3">
      <c r="A73" s="71" t="s">
        <v>141</v>
      </c>
      <c r="B73" s="72" t="s">
        <v>134</v>
      </c>
      <c r="C73" s="49">
        <v>0</v>
      </c>
      <c r="D73" s="50">
        <f>((100/H66)*C73)/100</f>
        <v>0</v>
      </c>
      <c r="E73" s="76"/>
      <c r="F73" s="77"/>
      <c r="G73" s="76"/>
      <c r="H73" s="81"/>
      <c r="I73" s="14" t="s">
        <v>150</v>
      </c>
      <c r="J73" s="28">
        <f>(IF(B66&gt;1,(H66/(B66+2)+J72),0))</f>
        <v>0</v>
      </c>
    </row>
    <row r="74" spans="1:10" ht="15" customHeight="1" x14ac:dyDescent="0.3">
      <c r="A74" s="71" t="s">
        <v>139</v>
      </c>
      <c r="B74" s="72" t="s">
        <v>136</v>
      </c>
      <c r="C74" s="49">
        <v>0</v>
      </c>
      <c r="D74" s="50">
        <f>((100/(H66))*C74)/100</f>
        <v>0</v>
      </c>
      <c r="E74" s="76"/>
      <c r="F74" s="77"/>
      <c r="G74" s="76"/>
      <c r="H74" s="81"/>
      <c r="I74" s="14" t="s">
        <v>147</v>
      </c>
      <c r="J74" s="28">
        <f>(IF(B66&gt;2,(H66/(B66+2)+J73),0))</f>
        <v>0</v>
      </c>
    </row>
    <row r="75" spans="1:10" ht="15.75" customHeight="1" x14ac:dyDescent="0.3">
      <c r="A75" s="71" t="s">
        <v>135</v>
      </c>
      <c r="B75" s="72" t="s">
        <v>135</v>
      </c>
      <c r="C75" s="49">
        <v>0</v>
      </c>
      <c r="D75" s="50">
        <f>((100/H66)*C75)/100</f>
        <v>0</v>
      </c>
      <c r="E75" s="76"/>
      <c r="F75" s="77"/>
      <c r="G75" s="76"/>
      <c r="H75" s="81"/>
      <c r="I75" s="14" t="s">
        <v>148</v>
      </c>
      <c r="J75" s="29">
        <f>(IF(B66&gt;3,(H66/(B66+2)+J74),0))</f>
        <v>0</v>
      </c>
    </row>
    <row r="76" spans="1:10" ht="15.75" customHeight="1" x14ac:dyDescent="0.3">
      <c r="A76" s="71" t="s">
        <v>142</v>
      </c>
      <c r="B76" s="72"/>
      <c r="C76" s="49">
        <v>0</v>
      </c>
      <c r="D76" s="50">
        <f>((100/H66)*C76)/100</f>
        <v>0</v>
      </c>
      <c r="E76" s="76"/>
      <c r="F76" s="77"/>
      <c r="G76" s="76"/>
      <c r="H76" s="81"/>
      <c r="I76" s="14" t="s">
        <v>149</v>
      </c>
      <c r="J76" s="28">
        <f>(IF(B66&gt;4,(H66/(B66+2)+J75),0))</f>
        <v>0</v>
      </c>
    </row>
    <row r="77" spans="1:10" ht="15.75" customHeight="1" x14ac:dyDescent="0.3">
      <c r="A77" s="71" t="s">
        <v>137</v>
      </c>
      <c r="B77" s="72" t="s">
        <v>137</v>
      </c>
      <c r="C77" s="49">
        <v>0</v>
      </c>
      <c r="D77" s="50">
        <f>((100/(H66))*C77)/100</f>
        <v>0</v>
      </c>
      <c r="E77" s="76"/>
      <c r="F77" s="77"/>
      <c r="G77" s="76"/>
      <c r="H77" s="81"/>
      <c r="I77" s="14" t="s">
        <v>151</v>
      </c>
      <c r="J77" s="28">
        <f>(IF(B66=1,(H66/(B66+3)+J72),IF(B66=0,(H66/4+J72),IF(B66&gt;1,0))))</f>
        <v>26.25</v>
      </c>
    </row>
    <row r="78" spans="1:10" ht="16.2" thickBot="1" x14ac:dyDescent="0.35">
      <c r="A78" s="83" t="s">
        <v>138</v>
      </c>
      <c r="B78" s="84"/>
      <c r="C78" s="52">
        <v>0</v>
      </c>
      <c r="D78" s="53">
        <f>((100/(H66))*C78)/100</f>
        <v>0</v>
      </c>
      <c r="E78" s="78"/>
      <c r="F78" s="79"/>
      <c r="G78" s="78"/>
      <c r="H78" s="82"/>
      <c r="I78" s="15" t="s">
        <v>107</v>
      </c>
      <c r="J78" s="30">
        <f>(IF(B66&gt;1.5,(H66/(B66+2)+J72+MAX(0,J73-J72)+MAX(0,J74-J73)+MAX(0,J75-J74)+MAX(0,J76-J75)+MAX(0,J77-J76)),IF(B66=1,(H66/(B66+3)+J77),IF(B66=0,H66/4+J77))))</f>
        <v>35</v>
      </c>
    </row>
    <row r="79" spans="1:10" ht="15.75" hidden="1" customHeight="1" x14ac:dyDescent="0.3">
      <c r="A79" s="62" t="s">
        <v>144</v>
      </c>
      <c r="B79" s="63"/>
      <c r="C79" s="64" t="s">
        <v>215</v>
      </c>
      <c r="D79" s="65"/>
      <c r="E79" s="65"/>
      <c r="F79" s="65"/>
      <c r="G79" s="65"/>
      <c r="H79" s="66"/>
      <c r="I79" s="44" t="str">
        <f>IF(D92=100%,"All work Completed. Possession granted to the Building.",IF(D91=100%,"All work Completed, Waiting for OC",I80&amp;""&amp;I81&amp;""&amp;J80&amp;""&amp;J79&amp;" "&amp;J81))</f>
        <v xml:space="preserve">Excavation Completed, Plinth work is process </v>
      </c>
      <c r="J79" s="45" t="str">
        <f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/>
      </c>
    </row>
    <row r="80" spans="1:10" ht="15.75" hidden="1" customHeight="1" x14ac:dyDescent="0.3">
      <c r="A80" s="16" t="s">
        <v>146</v>
      </c>
      <c r="B80" s="48">
        <v>0</v>
      </c>
      <c r="C80" s="48" t="s">
        <v>74</v>
      </c>
      <c r="D80" s="48">
        <v>1</v>
      </c>
      <c r="E80" s="48" t="s">
        <v>73</v>
      </c>
      <c r="F80" s="48">
        <v>0</v>
      </c>
      <c r="G80" s="48" t="s">
        <v>82</v>
      </c>
      <c r="H80" s="17">
        <v>35</v>
      </c>
      <c r="I80" s="46" t="str">
        <f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</v>
      </c>
      <c r="J80" s="47" t="str">
        <f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>, Plinth work is process</v>
      </c>
    </row>
    <row r="81" spans="1:12" ht="15.75" hidden="1" customHeight="1" x14ac:dyDescent="0.3">
      <c r="A81" s="67" t="s">
        <v>92</v>
      </c>
      <c r="B81" s="68"/>
      <c r="C81" s="69" t="str">
        <f>(IF($G$52="NA",I79,"All work Completed. OC Received."))</f>
        <v xml:space="preserve">Excavation Completed, Plinth work is process </v>
      </c>
      <c r="D81" s="69"/>
      <c r="E81" s="69"/>
      <c r="F81" s="69"/>
      <c r="G81" s="69"/>
      <c r="H81" s="70"/>
      <c r="I81" s="46" t="str">
        <f>IF(I80&lt;&gt;""," Completed","")</f>
        <v xml:space="preserve"> Completed</v>
      </c>
      <c r="J81" s="47" t="str">
        <f>IF(J79&lt;&gt;"","Completed","")</f>
        <v/>
      </c>
    </row>
    <row r="82" spans="1:12" ht="15.75" hidden="1" customHeight="1" x14ac:dyDescent="0.3">
      <c r="A82" s="71" t="s">
        <v>50</v>
      </c>
      <c r="B82" s="72"/>
      <c r="C82" s="49" t="s">
        <v>143</v>
      </c>
      <c r="D82" s="49" t="s">
        <v>85</v>
      </c>
      <c r="E82" s="72" t="s">
        <v>87</v>
      </c>
      <c r="F82" s="72"/>
      <c r="G82" s="72" t="s">
        <v>86</v>
      </c>
      <c r="H82" s="73"/>
      <c r="I82" s="14" t="s">
        <v>145</v>
      </c>
      <c r="J82" s="26">
        <f>H80*25%</f>
        <v>8.75</v>
      </c>
    </row>
    <row r="83" spans="1:12" ht="15.75" hidden="1" customHeight="1" x14ac:dyDescent="0.3">
      <c r="A83" s="71" t="s">
        <v>132</v>
      </c>
      <c r="B83" s="72"/>
      <c r="C83" s="49">
        <f>J84</f>
        <v>35</v>
      </c>
      <c r="D83" s="50">
        <f>((100/H80)*C83)/100</f>
        <v>1</v>
      </c>
      <c r="E83" s="74">
        <f>(((C84/H80*10)+(40/(D80+F80+H80)*C85)+(7.5/(H80)*C86)+(7.5/(H80)*C87)+(10/H80*C88)+(10/H80*C89)+(5/H80*C90)+(5/H80*C91)+(5/H80*C92))/100)</f>
        <v>7.4999999999999997E-2</v>
      </c>
      <c r="F83" s="75"/>
      <c r="G83" s="74">
        <f>((((C83/H80)*20)+((C84/H80)*25)+(30/(H80+F80+D80)*C85)+(5/H80*C86)+(5/H80*C87)+(5/H80*C88)+(5/H80*C89)+(0/H80*C90)+(0/H80*C91)+(5/H80*C92))/100)</f>
        <v>0.38750000000000001</v>
      </c>
      <c r="H83" s="80"/>
      <c r="I83" s="14" t="s">
        <v>103</v>
      </c>
      <c r="J83" s="27">
        <f>H80*50%</f>
        <v>17.5</v>
      </c>
    </row>
    <row r="84" spans="1:12" ht="15.75" hidden="1" customHeight="1" x14ac:dyDescent="0.3">
      <c r="A84" s="71" t="s">
        <v>51</v>
      </c>
      <c r="B84" s="72"/>
      <c r="C84" s="51">
        <f>J91</f>
        <v>26.25</v>
      </c>
      <c r="D84" s="50">
        <f>((100/H80)*C84)/100</f>
        <v>0.75</v>
      </c>
      <c r="E84" s="76"/>
      <c r="F84" s="77"/>
      <c r="G84" s="76"/>
      <c r="H84" s="81"/>
      <c r="I84" s="14" t="s">
        <v>104</v>
      </c>
      <c r="J84" s="27">
        <f>H80</f>
        <v>35</v>
      </c>
    </row>
    <row r="85" spans="1:12" ht="15.75" hidden="1" customHeight="1" x14ac:dyDescent="0.3">
      <c r="A85" s="71" t="s">
        <v>133</v>
      </c>
      <c r="B85" s="72"/>
      <c r="C85" s="49">
        <v>0</v>
      </c>
      <c r="D85" s="50">
        <f>((100/(D80+F80+H80))*C85)/100</f>
        <v>0</v>
      </c>
      <c r="E85" s="76"/>
      <c r="F85" s="77"/>
      <c r="G85" s="76"/>
      <c r="H85" s="81"/>
      <c r="I85" s="14" t="s">
        <v>105</v>
      </c>
      <c r="J85" s="28">
        <f>(IF(B80&gt;1,(H80/(B80+2)),H80/4))</f>
        <v>8.75</v>
      </c>
    </row>
    <row r="86" spans="1:12" ht="15.75" hidden="1" customHeight="1" x14ac:dyDescent="0.3">
      <c r="A86" s="71" t="s">
        <v>140</v>
      </c>
      <c r="B86" s="72" t="s">
        <v>134</v>
      </c>
      <c r="C86" s="49">
        <v>0</v>
      </c>
      <c r="D86" s="50">
        <f>((100/H80)*C86)/100</f>
        <v>0</v>
      </c>
      <c r="E86" s="76"/>
      <c r="F86" s="77"/>
      <c r="G86" s="76"/>
      <c r="H86" s="81"/>
      <c r="I86" s="14" t="s">
        <v>106</v>
      </c>
      <c r="J86" s="28">
        <f>(IF(B80&gt;1,(H80/(B80+2)+J85),H80/4+J85))</f>
        <v>17.5</v>
      </c>
    </row>
    <row r="87" spans="1:12" ht="15.75" hidden="1" customHeight="1" x14ac:dyDescent="0.3">
      <c r="A87" s="71" t="s">
        <v>141</v>
      </c>
      <c r="B87" s="72" t="s">
        <v>134</v>
      </c>
      <c r="C87" s="49">
        <v>0</v>
      </c>
      <c r="D87" s="50">
        <f>((100/H80)*C87)/100</f>
        <v>0</v>
      </c>
      <c r="E87" s="76"/>
      <c r="F87" s="77"/>
      <c r="G87" s="76"/>
      <c r="H87" s="81"/>
      <c r="I87" s="14" t="s">
        <v>150</v>
      </c>
      <c r="J87" s="28">
        <f>(IF(B80&gt;1,(H80/(B80+2)+J86),0))</f>
        <v>0</v>
      </c>
    </row>
    <row r="88" spans="1:12" ht="15" hidden="1" customHeight="1" x14ac:dyDescent="0.3">
      <c r="A88" s="71" t="s">
        <v>139</v>
      </c>
      <c r="B88" s="72" t="s">
        <v>136</v>
      </c>
      <c r="C88" s="49">
        <v>0</v>
      </c>
      <c r="D88" s="50">
        <f>((100/(H80))*C88)/100</f>
        <v>0</v>
      </c>
      <c r="E88" s="76"/>
      <c r="F88" s="77"/>
      <c r="G88" s="76"/>
      <c r="H88" s="81"/>
      <c r="I88" s="14" t="s">
        <v>147</v>
      </c>
      <c r="J88" s="28">
        <f>(IF(B80&gt;2,(H80/(B80+2)+J87),0))</f>
        <v>0</v>
      </c>
    </row>
    <row r="89" spans="1:12" ht="15.75" hidden="1" customHeight="1" x14ac:dyDescent="0.3">
      <c r="A89" s="71" t="s">
        <v>135</v>
      </c>
      <c r="B89" s="72" t="s">
        <v>135</v>
      </c>
      <c r="C89" s="49">
        <v>0</v>
      </c>
      <c r="D89" s="50">
        <f>((100/H80)*C89)/100</f>
        <v>0</v>
      </c>
      <c r="E89" s="76"/>
      <c r="F89" s="77"/>
      <c r="G89" s="76"/>
      <c r="H89" s="81"/>
      <c r="I89" s="14" t="s">
        <v>148</v>
      </c>
      <c r="J89" s="29">
        <f>(IF(B80&gt;3,(H80/(B80+2)+J88),0))</f>
        <v>0</v>
      </c>
    </row>
    <row r="90" spans="1:12" ht="15.75" hidden="1" customHeight="1" x14ac:dyDescent="0.3">
      <c r="A90" s="71" t="s">
        <v>142</v>
      </c>
      <c r="B90" s="72"/>
      <c r="C90" s="49">
        <v>0</v>
      </c>
      <c r="D90" s="50">
        <f>((100/H80)*C90)/100</f>
        <v>0</v>
      </c>
      <c r="E90" s="76"/>
      <c r="F90" s="77"/>
      <c r="G90" s="76"/>
      <c r="H90" s="81"/>
      <c r="I90" s="14" t="s">
        <v>149</v>
      </c>
      <c r="J90" s="28">
        <f>(IF(B80&gt;4,(H80/(B80+2)+J89),0))</f>
        <v>0</v>
      </c>
    </row>
    <row r="91" spans="1:12" ht="15.75" hidden="1" customHeight="1" x14ac:dyDescent="0.3">
      <c r="A91" s="71" t="s">
        <v>137</v>
      </c>
      <c r="B91" s="72" t="s">
        <v>137</v>
      </c>
      <c r="C91" s="49">
        <v>0</v>
      </c>
      <c r="D91" s="50">
        <f>((100/(H80))*C91)/100</f>
        <v>0</v>
      </c>
      <c r="E91" s="76"/>
      <c r="F91" s="77"/>
      <c r="G91" s="76"/>
      <c r="H91" s="81"/>
      <c r="I91" s="14" t="s">
        <v>151</v>
      </c>
      <c r="J91" s="28">
        <f>(IF(B80=1,(H80/(B80+3)+J86),IF(B80=0,(H80/4+J86),IF(B80&gt;1,0))))</f>
        <v>26.25</v>
      </c>
    </row>
    <row r="92" spans="1:12" ht="16.5" hidden="1" customHeight="1" thickBot="1" x14ac:dyDescent="0.35">
      <c r="A92" s="83" t="s">
        <v>138</v>
      </c>
      <c r="B92" s="84"/>
      <c r="C92" s="52">
        <v>0</v>
      </c>
      <c r="D92" s="53">
        <f>((100/(H80))*C92)/100</f>
        <v>0</v>
      </c>
      <c r="E92" s="78"/>
      <c r="F92" s="79"/>
      <c r="G92" s="78"/>
      <c r="H92" s="82"/>
      <c r="I92" s="15" t="s">
        <v>107</v>
      </c>
      <c r="J92" s="30">
        <f>(IF(B80&gt;1.5,(H80/(B80+2)+J86+MAX(0,J87-J86)+MAX(0,J88-J87)+MAX(0,J89-J88)+MAX(0,J90-J89)+MAX(0,J91-J90)),IF(B80=1,(H80/(B80+3)+J91),IF(B80=0,H80/4+J91))))</f>
        <v>35</v>
      </c>
    </row>
    <row r="93" spans="1:12" ht="30.6" hidden="1" customHeight="1" thickBot="1" x14ac:dyDescent="0.35">
      <c r="A93" s="56" t="s">
        <v>216</v>
      </c>
      <c r="B93" s="57"/>
      <c r="C93" s="58">
        <f>AVERAGE(E69,E83)</f>
        <v>0.10416666666666666</v>
      </c>
      <c r="D93" s="59"/>
      <c r="E93" s="57" t="s">
        <v>217</v>
      </c>
      <c r="F93" s="60"/>
      <c r="G93" s="58">
        <f>AVERAGE(G69,G83)</f>
        <v>0.43125000000000002</v>
      </c>
      <c r="H93" s="61"/>
      <c r="I93" s="46"/>
      <c r="J93" s="47"/>
    </row>
    <row r="94" spans="1:12" x14ac:dyDescent="0.3">
      <c r="A94" s="151" t="s">
        <v>159</v>
      </c>
      <c r="B94" s="151"/>
      <c r="C94" s="151"/>
      <c r="D94" s="151"/>
      <c r="E94" s="151"/>
      <c r="F94" s="150" t="s">
        <v>164</v>
      </c>
      <c r="G94" s="150"/>
      <c r="H94" s="150"/>
    </row>
    <row r="95" spans="1:12" x14ac:dyDescent="0.3">
      <c r="A95" s="96" t="s">
        <v>162</v>
      </c>
      <c r="B95" s="96"/>
      <c r="C95" s="96"/>
      <c r="D95" s="96"/>
      <c r="E95" s="96"/>
      <c r="F95" s="106">
        <v>14000</v>
      </c>
      <c r="G95" s="106"/>
      <c r="H95" s="106"/>
      <c r="J95" s="54" t="s">
        <v>211</v>
      </c>
      <c r="K95" s="55">
        <v>45290</v>
      </c>
      <c r="L95" s="54" t="s">
        <v>210</v>
      </c>
    </row>
    <row r="96" spans="1:12" hidden="1" x14ac:dyDescent="0.3">
      <c r="A96" s="96" t="s">
        <v>161</v>
      </c>
      <c r="B96" s="96"/>
      <c r="C96" s="96"/>
      <c r="D96" s="96"/>
      <c r="E96" s="96"/>
      <c r="F96" s="106"/>
      <c r="G96" s="106"/>
      <c r="H96" s="106"/>
    </row>
    <row r="97" spans="1:8" hidden="1" x14ac:dyDescent="0.3">
      <c r="A97" s="96" t="s">
        <v>163</v>
      </c>
      <c r="B97" s="96"/>
      <c r="C97" s="96"/>
      <c r="D97" s="96"/>
      <c r="E97" s="96"/>
      <c r="F97" s="106"/>
      <c r="G97" s="106"/>
      <c r="H97" s="106"/>
    </row>
    <row r="98" spans="1:8" s="31" customFormat="1" hidden="1" x14ac:dyDescent="0.25">
      <c r="A98" s="96" t="s">
        <v>160</v>
      </c>
      <c r="B98" s="96"/>
      <c r="C98" s="96"/>
      <c r="D98" s="96"/>
      <c r="E98" s="96"/>
      <c r="F98" s="106"/>
      <c r="G98" s="106"/>
      <c r="H98" s="106"/>
    </row>
    <row r="99" spans="1:8" s="31" customFormat="1" x14ac:dyDescent="0.25">
      <c r="A99" s="96" t="s">
        <v>97</v>
      </c>
      <c r="B99" s="96"/>
      <c r="C99" s="96"/>
      <c r="D99" s="96"/>
      <c r="E99" s="96"/>
      <c r="F99" s="106">
        <v>350000</v>
      </c>
      <c r="G99" s="106"/>
      <c r="H99" s="106"/>
    </row>
    <row r="100" spans="1:8" s="31" customFormat="1" hidden="1" x14ac:dyDescent="0.25">
      <c r="A100" s="96" t="s">
        <v>98</v>
      </c>
      <c r="B100" s="96"/>
      <c r="C100" s="96"/>
      <c r="D100" s="96"/>
      <c r="E100" s="96"/>
      <c r="F100" s="106"/>
      <c r="G100" s="106"/>
      <c r="H100" s="106"/>
    </row>
    <row r="101" spans="1:8" s="31" customFormat="1" hidden="1" x14ac:dyDescent="0.25">
      <c r="A101" s="96" t="s">
        <v>165</v>
      </c>
      <c r="B101" s="96"/>
      <c r="C101" s="96"/>
      <c r="D101" s="96"/>
      <c r="E101" s="96"/>
      <c r="F101" s="106"/>
      <c r="G101" s="106"/>
      <c r="H101" s="106"/>
    </row>
    <row r="102" spans="1:8" s="31" customFormat="1" ht="16.5" hidden="1" customHeight="1" x14ac:dyDescent="0.25">
      <c r="A102" s="96" t="s">
        <v>99</v>
      </c>
      <c r="B102" s="96"/>
      <c r="C102" s="96"/>
      <c r="D102" s="96"/>
      <c r="E102" s="96"/>
      <c r="F102" s="106"/>
      <c r="G102" s="106"/>
      <c r="H102" s="106"/>
    </row>
    <row r="103" spans="1:8" s="31" customFormat="1" hidden="1" x14ac:dyDescent="0.25">
      <c r="A103" s="96" t="s">
        <v>100</v>
      </c>
      <c r="B103" s="96"/>
      <c r="C103" s="96"/>
      <c r="D103" s="96"/>
      <c r="E103" s="96"/>
      <c r="F103" s="106"/>
      <c r="G103" s="106"/>
      <c r="H103" s="106"/>
    </row>
    <row r="104" spans="1:8" s="31" customFormat="1" hidden="1" x14ac:dyDescent="0.25">
      <c r="A104" s="96" t="s">
        <v>101</v>
      </c>
      <c r="B104" s="96"/>
      <c r="C104" s="96"/>
      <c r="D104" s="96"/>
      <c r="E104" s="96"/>
      <c r="F104" s="106"/>
      <c r="G104" s="106"/>
      <c r="H104" s="106"/>
    </row>
    <row r="105" spans="1:8" s="31" customFormat="1" hidden="1" x14ac:dyDescent="0.25">
      <c r="A105" s="96" t="s">
        <v>102</v>
      </c>
      <c r="B105" s="96"/>
      <c r="C105" s="96"/>
      <c r="D105" s="96"/>
      <c r="E105" s="96"/>
      <c r="F105" s="106"/>
      <c r="G105" s="106"/>
      <c r="H105" s="106"/>
    </row>
    <row r="106" spans="1:8" x14ac:dyDescent="0.3">
      <c r="A106" s="96" t="s">
        <v>52</v>
      </c>
      <c r="B106" s="96"/>
      <c r="C106" s="96"/>
      <c r="D106" s="96"/>
      <c r="E106" s="96"/>
      <c r="F106" s="106">
        <v>800000</v>
      </c>
      <c r="G106" s="106"/>
      <c r="H106" s="106"/>
    </row>
    <row r="107" spans="1:8" s="32" customFormat="1" x14ac:dyDescent="0.3">
      <c r="A107" s="121" t="s">
        <v>53</v>
      </c>
      <c r="B107" s="121"/>
      <c r="C107" s="121"/>
      <c r="D107" s="121"/>
      <c r="E107" s="121"/>
      <c r="F107" s="106">
        <f>F95*0.8</f>
        <v>11200</v>
      </c>
      <c r="G107" s="106"/>
      <c r="H107" s="106"/>
    </row>
    <row r="108" spans="1:8" s="33" customFormat="1" x14ac:dyDescent="0.3">
      <c r="A108" s="124" t="s">
        <v>72</v>
      </c>
      <c r="B108" s="124"/>
      <c r="C108" s="124"/>
      <c r="D108" s="124"/>
      <c r="E108" s="124"/>
      <c r="F108" s="124"/>
      <c r="G108" s="124"/>
      <c r="H108" s="124"/>
    </row>
    <row r="109" spans="1:8" s="33" customFormat="1" ht="15.75" customHeight="1" x14ac:dyDescent="0.3">
      <c r="A109" s="127" t="s">
        <v>54</v>
      </c>
      <c r="B109" s="127"/>
      <c r="C109" s="174" t="s">
        <v>80</v>
      </c>
      <c r="D109" s="174"/>
      <c r="E109" s="157" t="s">
        <v>55</v>
      </c>
      <c r="F109" s="157"/>
      <c r="G109" s="127" t="s">
        <v>56</v>
      </c>
      <c r="H109" s="127"/>
    </row>
    <row r="110" spans="1:8" s="33" customFormat="1" x14ac:dyDescent="0.3">
      <c r="A110" s="123" t="s">
        <v>203</v>
      </c>
      <c r="B110" s="123"/>
      <c r="C110" s="125">
        <f>COUNT(D119:D124,D128:D130)+COUNT(D132:D143)*21+COUNT(D145:D150,D154:D156)*3</f>
        <v>288</v>
      </c>
      <c r="D110" s="125"/>
      <c r="E110" s="107">
        <f>SUM(D119:D124,D128:D130)+SUM(D132:D143)*21+SUM(D145:D150,D154:D156)*3</f>
        <v>127320.78995999997</v>
      </c>
      <c r="F110" s="107"/>
      <c r="G110" s="107">
        <f>SUM(F119:F124,F128:F130)+SUM(F132:F143)*21+SUM(F145:F150,F154:F156)*3</f>
        <v>203713.26393599994</v>
      </c>
      <c r="H110" s="107"/>
    </row>
    <row r="111" spans="1:8" s="32" customFormat="1" x14ac:dyDescent="0.3">
      <c r="A111" s="109" t="s">
        <v>57</v>
      </c>
      <c r="B111" s="109"/>
      <c r="C111" s="109"/>
      <c r="D111" s="109"/>
      <c r="E111" s="109"/>
      <c r="F111" s="109"/>
      <c r="G111" s="109"/>
      <c r="H111" s="109"/>
    </row>
    <row r="112" spans="1:8" x14ac:dyDescent="0.3">
      <c r="A112" s="109" t="s">
        <v>58</v>
      </c>
      <c r="B112" s="109"/>
      <c r="C112" s="109"/>
      <c r="D112" s="109"/>
      <c r="E112" s="109"/>
      <c r="F112" s="109"/>
      <c r="G112" s="109"/>
      <c r="H112" s="109"/>
    </row>
    <row r="113" spans="1:14" s="35" customFormat="1" ht="15.75" customHeight="1" x14ac:dyDescent="0.3">
      <c r="A113" s="93" t="s">
        <v>186</v>
      </c>
      <c r="B113" s="94"/>
      <c r="C113" s="94"/>
      <c r="D113" s="94"/>
      <c r="E113" s="94"/>
      <c r="F113" s="94"/>
      <c r="G113" s="94"/>
      <c r="H113" s="95"/>
      <c r="J113" s="34"/>
    </row>
    <row r="114" spans="1:14" ht="47.25" customHeight="1" x14ac:dyDescent="0.3">
      <c r="A114" s="153" t="s">
        <v>122</v>
      </c>
      <c r="B114" s="153" t="s">
        <v>123</v>
      </c>
      <c r="C114" s="128" t="s">
        <v>59</v>
      </c>
      <c r="D114" s="128" t="s">
        <v>60</v>
      </c>
      <c r="E114" s="130" t="s">
        <v>61</v>
      </c>
      <c r="F114" s="41" t="s">
        <v>153</v>
      </c>
      <c r="G114" s="153" t="s">
        <v>62</v>
      </c>
      <c r="H114" s="155"/>
      <c r="I114" s="34"/>
    </row>
    <row r="115" spans="1:14" s="35" customFormat="1" x14ac:dyDescent="0.3">
      <c r="A115" s="154"/>
      <c r="B115" s="154"/>
      <c r="C115" s="129"/>
      <c r="D115" s="129"/>
      <c r="E115" s="131"/>
      <c r="F115" s="13">
        <v>0.6</v>
      </c>
      <c r="G115" s="154"/>
      <c r="H115" s="156"/>
      <c r="I115" s="34"/>
    </row>
    <row r="116" spans="1:14" s="35" customFormat="1" x14ac:dyDescent="0.3">
      <c r="A116" s="93" t="s">
        <v>203</v>
      </c>
      <c r="B116" s="94"/>
      <c r="C116" s="94"/>
      <c r="D116" s="94"/>
      <c r="E116" s="94"/>
      <c r="F116" s="94"/>
      <c r="G116" s="94"/>
      <c r="H116" s="95"/>
      <c r="J116" s="34"/>
    </row>
    <row r="117" spans="1:14" s="35" customFormat="1" x14ac:dyDescent="0.3">
      <c r="A117" s="93" t="s">
        <v>187</v>
      </c>
      <c r="B117" s="94"/>
      <c r="C117" s="94"/>
      <c r="D117" s="94"/>
      <c r="E117" s="94"/>
      <c r="F117" s="94"/>
      <c r="G117" s="94"/>
      <c r="H117" s="95"/>
      <c r="J117" s="34"/>
    </row>
    <row r="118" spans="1:14" s="35" customFormat="1" x14ac:dyDescent="0.3">
      <c r="A118" s="122" t="s">
        <v>189</v>
      </c>
      <c r="B118" s="122"/>
      <c r="C118" s="122"/>
      <c r="D118" s="122"/>
      <c r="E118" s="122"/>
      <c r="F118" s="122"/>
      <c r="G118" s="122"/>
      <c r="H118" s="122"/>
      <c r="I118" s="34"/>
      <c r="L118" s="152"/>
      <c r="M118" s="152"/>
    </row>
    <row r="119" spans="1:14" s="35" customFormat="1" x14ac:dyDescent="0.3">
      <c r="A119" s="108">
        <v>1</v>
      </c>
      <c r="B119" s="108"/>
      <c r="C119" s="40" t="s">
        <v>188</v>
      </c>
      <c r="D119" s="40">
        <f>34.26*10.764</f>
        <v>368.77463999999998</v>
      </c>
      <c r="E119" s="40">
        <v>0</v>
      </c>
      <c r="F119" s="40">
        <f t="shared" ref="F119:F120" si="0">D119*(($F$115)+1)+(IF(E119&lt;101,E119,IF(E119&lt;201,E119/2,IF(E119&lt;=301,E119/3,E119/4))))</f>
        <v>590.03942399999994</v>
      </c>
      <c r="G119" s="108" t="str">
        <f>A118</f>
        <v>1st  Floor For Residential &amp; Amenities</v>
      </c>
      <c r="H119" s="108"/>
      <c r="I119" s="34"/>
      <c r="N119" s="34"/>
    </row>
    <row r="120" spans="1:14" s="35" customFormat="1" x14ac:dyDescent="0.3">
      <c r="A120" s="108">
        <v>2</v>
      </c>
      <c r="B120" s="108"/>
      <c r="C120" s="40" t="s">
        <v>188</v>
      </c>
      <c r="D120" s="40">
        <f>34.1*10.764</f>
        <v>367.05239999999998</v>
      </c>
      <c r="E120" s="40">
        <v>0</v>
      </c>
      <c r="F120" s="40">
        <f t="shared" si="0"/>
        <v>587.28383999999994</v>
      </c>
      <c r="G120" s="108" t="str">
        <f>G119</f>
        <v>1st  Floor For Residential &amp; Amenities</v>
      </c>
      <c r="H120" s="108"/>
      <c r="I120" s="34"/>
      <c r="N120" s="34"/>
    </row>
    <row r="121" spans="1:14" s="35" customFormat="1" x14ac:dyDescent="0.3">
      <c r="A121" s="108">
        <v>3</v>
      </c>
      <c r="B121" s="108"/>
      <c r="C121" s="40" t="s">
        <v>188</v>
      </c>
      <c r="D121" s="40">
        <f>34.12*10.764</f>
        <v>367.26767999999993</v>
      </c>
      <c r="E121" s="40">
        <v>0</v>
      </c>
      <c r="F121" s="40">
        <f>D121*(($F$115)+1)+(IF(E121&lt;101,E121,IF(E121&lt;201,E121/2,IF(E121&lt;=301,E121/3,E121/4))))</f>
        <v>587.62828799999988</v>
      </c>
      <c r="G121" s="108" t="str">
        <f>G120</f>
        <v>1st  Floor For Residential &amp; Amenities</v>
      </c>
      <c r="H121" s="108"/>
      <c r="I121" s="34"/>
      <c r="J121" s="35" t="s">
        <v>203</v>
      </c>
      <c r="N121" s="34"/>
    </row>
    <row r="122" spans="1:14" s="35" customFormat="1" x14ac:dyDescent="0.3">
      <c r="A122" s="108">
        <v>4</v>
      </c>
      <c r="B122" s="108"/>
      <c r="C122" s="40" t="s">
        <v>188</v>
      </c>
      <c r="D122" s="40">
        <f t="shared" ref="D122:D124" si="1">34.12*10.764</f>
        <v>367.26767999999993</v>
      </c>
      <c r="E122" s="40">
        <v>0</v>
      </c>
      <c r="F122" s="40">
        <f>D122*(($F$115)+1)+(IF(E122&lt;101,E122,IF(E122&lt;201,E122/2,IF(E122&lt;=301,E122/3,E122/4))))</f>
        <v>587.62828799999988</v>
      </c>
      <c r="G122" s="108" t="str">
        <f>G121</f>
        <v>1st  Floor For Residential &amp; Amenities</v>
      </c>
      <c r="H122" s="108"/>
      <c r="I122" s="34"/>
      <c r="N122" s="34"/>
    </row>
    <row r="123" spans="1:14" s="35" customFormat="1" x14ac:dyDescent="0.3">
      <c r="A123" s="108">
        <v>5</v>
      </c>
      <c r="B123" s="108"/>
      <c r="C123" s="40" t="s">
        <v>188</v>
      </c>
      <c r="D123" s="40">
        <f t="shared" si="1"/>
        <v>367.26767999999993</v>
      </c>
      <c r="E123" s="40">
        <v>0</v>
      </c>
      <c r="F123" s="40">
        <f>D123*(($F$115)+1)+(IF(E123&lt;101,E123,IF(E123&lt;201,E123/2,IF(E123&lt;=301,E123/3,E123/4))))</f>
        <v>587.62828799999988</v>
      </c>
      <c r="G123" s="108" t="str">
        <f>G122</f>
        <v>1st  Floor For Residential &amp; Amenities</v>
      </c>
      <c r="H123" s="108"/>
      <c r="I123" s="34"/>
      <c r="N123" s="34"/>
    </row>
    <row r="124" spans="1:14" s="35" customFormat="1" ht="15.75" customHeight="1" x14ac:dyDescent="0.3">
      <c r="A124" s="108">
        <v>6</v>
      </c>
      <c r="B124" s="108"/>
      <c r="C124" s="40" t="s">
        <v>188</v>
      </c>
      <c r="D124" s="40">
        <f t="shared" si="1"/>
        <v>367.26767999999993</v>
      </c>
      <c r="E124" s="40">
        <v>0</v>
      </c>
      <c r="F124" s="40">
        <f t="shared" ref="F124" si="2">D124*(($F$115)+1)+(IF(E124&lt;101,E124,IF(E124&lt;201,E124/2,IF(E124&lt;=301,E124/3,E124/4))))</f>
        <v>587.62828799999988</v>
      </c>
      <c r="G124" s="108" t="str">
        <f t="shared" ref="G124:G130" si="3">G123</f>
        <v>1st  Floor For Residential &amp; Amenities</v>
      </c>
      <c r="H124" s="108"/>
      <c r="I124" s="34"/>
    </row>
    <row r="125" spans="1:14" s="35" customFormat="1" ht="15.75" customHeight="1" x14ac:dyDescent="0.3">
      <c r="A125" s="108">
        <v>7</v>
      </c>
      <c r="B125" s="108"/>
      <c r="C125" s="165" t="s">
        <v>192</v>
      </c>
      <c r="D125" s="166"/>
      <c r="E125" s="166"/>
      <c r="F125" s="167"/>
      <c r="G125" s="85" t="str">
        <f t="shared" si="3"/>
        <v>1st  Floor For Residential &amp; Amenities</v>
      </c>
      <c r="H125" s="86"/>
      <c r="I125" s="34"/>
    </row>
    <row r="126" spans="1:14" s="35" customFormat="1" ht="15.75" customHeight="1" x14ac:dyDescent="0.3">
      <c r="A126" s="108">
        <v>8</v>
      </c>
      <c r="B126" s="108"/>
      <c r="C126" s="168"/>
      <c r="D126" s="169"/>
      <c r="E126" s="169"/>
      <c r="F126" s="170"/>
      <c r="G126" s="85" t="str">
        <f t="shared" si="3"/>
        <v>1st  Floor For Residential &amp; Amenities</v>
      </c>
      <c r="H126" s="86"/>
      <c r="I126" s="34"/>
    </row>
    <row r="127" spans="1:14" s="35" customFormat="1" ht="15.75" customHeight="1" x14ac:dyDescent="0.3">
      <c r="A127" s="108">
        <v>9</v>
      </c>
      <c r="B127" s="108"/>
      <c r="C127" s="171"/>
      <c r="D127" s="172"/>
      <c r="E127" s="172"/>
      <c r="F127" s="173"/>
      <c r="G127" s="85" t="str">
        <f t="shared" si="3"/>
        <v>1st  Floor For Residential &amp; Amenities</v>
      </c>
      <c r="H127" s="86"/>
      <c r="I127" s="34"/>
    </row>
    <row r="128" spans="1:14" s="35" customFormat="1" ht="15.75" customHeight="1" x14ac:dyDescent="0.3">
      <c r="A128" s="108">
        <v>10</v>
      </c>
      <c r="B128" s="108"/>
      <c r="C128" s="40" t="s">
        <v>190</v>
      </c>
      <c r="D128" s="40">
        <f>51.29*10.764</f>
        <v>552.08555999999999</v>
      </c>
      <c r="E128" s="40">
        <v>0</v>
      </c>
      <c r="F128" s="40">
        <f>D128*(($F$115)+1)+(IF(E128&lt;101,E128,IF(E128&lt;201,E128/2,IF(E128&lt;=301,E128/3,E128/4))))</f>
        <v>883.33689600000002</v>
      </c>
      <c r="G128" s="108" t="s">
        <v>189</v>
      </c>
      <c r="H128" s="108"/>
      <c r="I128" s="34"/>
    </row>
    <row r="129" spans="1:9" s="35" customFormat="1" ht="15.75" customHeight="1" x14ac:dyDescent="0.3">
      <c r="A129" s="108">
        <v>11</v>
      </c>
      <c r="B129" s="108"/>
      <c r="C129" s="40" t="s">
        <v>190</v>
      </c>
      <c r="D129" s="40">
        <f>51.29*10.764</f>
        <v>552.08555999999999</v>
      </c>
      <c r="E129" s="40">
        <v>0</v>
      </c>
      <c r="F129" s="40">
        <f t="shared" ref="F129:F130" si="4">D129*(($F$115)+1)+(IF(E129&lt;101,E129,IF(E129&lt;201,E129/2,IF(E129&lt;=301,E129/3,E129/4))))</f>
        <v>883.33689600000002</v>
      </c>
      <c r="G129" s="108" t="str">
        <f t="shared" si="3"/>
        <v>1st  Floor For Residential &amp; Amenities</v>
      </c>
      <c r="H129" s="108"/>
      <c r="I129" s="34"/>
    </row>
    <row r="130" spans="1:9" s="35" customFormat="1" x14ac:dyDescent="0.3">
      <c r="A130" s="108">
        <v>12</v>
      </c>
      <c r="B130" s="108"/>
      <c r="C130" s="40" t="s">
        <v>191</v>
      </c>
      <c r="D130" s="40">
        <f>56.23*10.764</f>
        <v>605.2597199999999</v>
      </c>
      <c r="E130" s="40">
        <v>0</v>
      </c>
      <c r="F130" s="40">
        <f t="shared" si="4"/>
        <v>968.41555199999993</v>
      </c>
      <c r="G130" s="108" t="str">
        <f t="shared" si="3"/>
        <v>1st  Floor For Residential &amp; Amenities</v>
      </c>
      <c r="H130" s="108"/>
      <c r="I130" s="34"/>
    </row>
    <row r="131" spans="1:9" x14ac:dyDescent="0.3">
      <c r="A131" s="93" t="s">
        <v>193</v>
      </c>
      <c r="B131" s="94"/>
      <c r="C131" s="94"/>
      <c r="D131" s="94"/>
      <c r="E131" s="94"/>
      <c r="F131" s="94"/>
      <c r="G131" s="94"/>
      <c r="H131" s="95"/>
    </row>
    <row r="132" spans="1:9" x14ac:dyDescent="0.3">
      <c r="A132" s="85">
        <v>1</v>
      </c>
      <c r="B132" s="86"/>
      <c r="C132" s="40" t="s">
        <v>188</v>
      </c>
      <c r="D132" s="40">
        <f>34.26*10.764</f>
        <v>368.77463999999998</v>
      </c>
      <c r="E132" s="40">
        <v>0</v>
      </c>
      <c r="F132" s="40">
        <f t="shared" ref="F132:F143" si="5">D132*(($F$115)+1)+(IF(E132&lt;101,E132,IF(E132&lt;201,E132/2,IF(E132&lt;=301,E132/3,E132/4))))</f>
        <v>590.03942399999994</v>
      </c>
      <c r="G132" s="85" t="str">
        <f>A131</f>
        <v>2nd to 5th &amp; 7th to 12th &amp; 14th to 19th &amp;21st to 25th Floor</v>
      </c>
      <c r="H132" s="86"/>
    </row>
    <row r="133" spans="1:9" x14ac:dyDescent="0.3">
      <c r="A133" s="85">
        <v>2</v>
      </c>
      <c r="B133" s="86"/>
      <c r="C133" s="40" t="s">
        <v>188</v>
      </c>
      <c r="D133" s="40">
        <f>34.1*10.764</f>
        <v>367.05239999999998</v>
      </c>
      <c r="E133" s="40">
        <v>0</v>
      </c>
      <c r="F133" s="40">
        <f t="shared" si="5"/>
        <v>587.28383999999994</v>
      </c>
      <c r="G133" s="85" t="str">
        <f>G132</f>
        <v>2nd to 5th &amp; 7th to 12th &amp; 14th to 19th &amp;21st to 25th Floor</v>
      </c>
      <c r="H133" s="86"/>
      <c r="I133" s="19">
        <f>8100000/F133</f>
        <v>13792.308673094089</v>
      </c>
    </row>
    <row r="134" spans="1:9" x14ac:dyDescent="0.3">
      <c r="A134" s="85">
        <v>3</v>
      </c>
      <c r="B134" s="86"/>
      <c r="C134" s="40" t="s">
        <v>188</v>
      </c>
      <c r="D134" s="40">
        <f>34.12*10.764</f>
        <v>367.26767999999993</v>
      </c>
      <c r="E134" s="40">
        <v>0</v>
      </c>
      <c r="F134" s="40">
        <f t="shared" si="5"/>
        <v>587.62828799999988</v>
      </c>
      <c r="G134" s="85" t="str">
        <f>G133</f>
        <v>2nd to 5th &amp; 7th to 12th &amp; 14th to 19th &amp;21st to 25th Floor</v>
      </c>
      <c r="H134" s="86"/>
    </row>
    <row r="135" spans="1:9" x14ac:dyDescent="0.3">
      <c r="A135" s="85">
        <v>4</v>
      </c>
      <c r="B135" s="86"/>
      <c r="C135" s="40" t="s">
        <v>188</v>
      </c>
      <c r="D135" s="40">
        <f t="shared" ref="D135:D137" si="6">34.12*10.764</f>
        <v>367.26767999999993</v>
      </c>
      <c r="E135" s="40">
        <v>0</v>
      </c>
      <c r="F135" s="40">
        <f t="shared" si="5"/>
        <v>587.62828799999988</v>
      </c>
      <c r="G135" s="85" t="str">
        <f>G134</f>
        <v>2nd to 5th &amp; 7th to 12th &amp; 14th to 19th &amp;21st to 25th Floor</v>
      </c>
      <c r="H135" s="86"/>
    </row>
    <row r="136" spans="1:9" x14ac:dyDescent="0.3">
      <c r="A136" s="85">
        <v>5</v>
      </c>
      <c r="B136" s="86"/>
      <c r="C136" s="40" t="s">
        <v>188</v>
      </c>
      <c r="D136" s="40">
        <f t="shared" si="6"/>
        <v>367.26767999999993</v>
      </c>
      <c r="E136" s="40">
        <v>0</v>
      </c>
      <c r="F136" s="40">
        <f t="shared" si="5"/>
        <v>587.62828799999988</v>
      </c>
      <c r="G136" s="85" t="str">
        <f>G135</f>
        <v>2nd to 5th &amp; 7th to 12th &amp; 14th to 19th &amp;21st to 25th Floor</v>
      </c>
      <c r="H136" s="86"/>
    </row>
    <row r="137" spans="1:9" x14ac:dyDescent="0.3">
      <c r="A137" s="85">
        <v>6</v>
      </c>
      <c r="B137" s="86"/>
      <c r="C137" s="40" t="s">
        <v>188</v>
      </c>
      <c r="D137" s="40">
        <f t="shared" si="6"/>
        <v>367.26767999999993</v>
      </c>
      <c r="E137" s="40">
        <v>0</v>
      </c>
      <c r="F137" s="40">
        <f t="shared" si="5"/>
        <v>587.62828799999988</v>
      </c>
      <c r="G137" s="85" t="str">
        <f t="shared" ref="G137:G143" si="7">G136</f>
        <v>2nd to 5th &amp; 7th to 12th &amp; 14th to 19th &amp;21st to 25th Floor</v>
      </c>
      <c r="H137" s="86"/>
    </row>
    <row r="138" spans="1:9" x14ac:dyDescent="0.3">
      <c r="A138" s="85">
        <v>7</v>
      </c>
      <c r="B138" s="86"/>
      <c r="C138" s="40" t="s">
        <v>188</v>
      </c>
      <c r="D138" s="40">
        <f>33.93*10.764</f>
        <v>365.22251999999997</v>
      </c>
      <c r="E138" s="40">
        <v>0</v>
      </c>
      <c r="F138" s="40">
        <f t="shared" si="5"/>
        <v>584.35603200000003</v>
      </c>
      <c r="G138" s="85" t="str">
        <f t="shared" si="7"/>
        <v>2nd to 5th &amp; 7th to 12th &amp; 14th to 19th &amp;21st to 25th Floor</v>
      </c>
      <c r="H138" s="86"/>
    </row>
    <row r="139" spans="1:9" ht="15" customHeight="1" x14ac:dyDescent="0.3">
      <c r="A139" s="85">
        <v>8</v>
      </c>
      <c r="B139" s="86"/>
      <c r="C139" s="40" t="s">
        <v>188</v>
      </c>
      <c r="D139" s="40">
        <f>34.26*10.764</f>
        <v>368.77463999999998</v>
      </c>
      <c r="E139" s="40">
        <v>0</v>
      </c>
      <c r="F139" s="40">
        <f t="shared" si="5"/>
        <v>590.03942399999994</v>
      </c>
      <c r="G139" s="85" t="str">
        <f t="shared" si="7"/>
        <v>2nd to 5th &amp; 7th to 12th &amp; 14th to 19th &amp;21st to 25th Floor</v>
      </c>
      <c r="H139" s="86"/>
    </row>
    <row r="140" spans="1:9" x14ac:dyDescent="0.3">
      <c r="A140" s="85">
        <v>9</v>
      </c>
      <c r="B140" s="86"/>
      <c r="C140" s="40" t="s">
        <v>191</v>
      </c>
      <c r="D140" s="40">
        <f>62.15*10.764</f>
        <v>668.98259999999993</v>
      </c>
      <c r="E140" s="40">
        <v>0</v>
      </c>
      <c r="F140" s="40">
        <f t="shared" si="5"/>
        <v>1070.3721599999999</v>
      </c>
      <c r="G140" s="85" t="str">
        <f t="shared" si="7"/>
        <v>2nd to 5th &amp; 7th to 12th &amp; 14th to 19th &amp;21st to 25th Floor</v>
      </c>
      <c r="H140" s="86"/>
    </row>
    <row r="141" spans="1:9" x14ac:dyDescent="0.3">
      <c r="A141" s="85">
        <v>10</v>
      </c>
      <c r="B141" s="86"/>
      <c r="C141" s="40" t="s">
        <v>190</v>
      </c>
      <c r="D141" s="40">
        <f>51.29*10.764</f>
        <v>552.08555999999999</v>
      </c>
      <c r="E141" s="40">
        <v>0</v>
      </c>
      <c r="F141" s="40">
        <f t="shared" si="5"/>
        <v>883.33689600000002</v>
      </c>
      <c r="G141" s="85" t="str">
        <f t="shared" si="7"/>
        <v>2nd to 5th &amp; 7th to 12th &amp; 14th to 19th &amp;21st to 25th Floor</v>
      </c>
      <c r="H141" s="86"/>
    </row>
    <row r="142" spans="1:9" x14ac:dyDescent="0.3">
      <c r="A142" s="85">
        <v>11</v>
      </c>
      <c r="B142" s="86"/>
      <c r="C142" s="40" t="s">
        <v>190</v>
      </c>
      <c r="D142" s="40">
        <f>51.29*10.764</f>
        <v>552.08555999999999</v>
      </c>
      <c r="E142" s="40">
        <v>0</v>
      </c>
      <c r="F142" s="40">
        <f t="shared" si="5"/>
        <v>883.33689600000002</v>
      </c>
      <c r="G142" s="85" t="str">
        <f t="shared" si="7"/>
        <v>2nd to 5th &amp; 7th to 12th &amp; 14th to 19th &amp;21st to 25th Floor</v>
      </c>
      <c r="H142" s="86"/>
    </row>
    <row r="143" spans="1:9" x14ac:dyDescent="0.3">
      <c r="A143" s="85">
        <v>12</v>
      </c>
      <c r="B143" s="86"/>
      <c r="C143" s="40" t="s">
        <v>191</v>
      </c>
      <c r="D143" s="40">
        <f>56.23*10.764</f>
        <v>605.2597199999999</v>
      </c>
      <c r="E143" s="40">
        <v>0</v>
      </c>
      <c r="F143" s="40">
        <f t="shared" si="5"/>
        <v>968.41555199999993</v>
      </c>
      <c r="G143" s="85" t="str">
        <f t="shared" si="7"/>
        <v>2nd to 5th &amp; 7th to 12th &amp; 14th to 19th &amp;21st to 25th Floor</v>
      </c>
      <c r="H143" s="86"/>
    </row>
    <row r="144" spans="1:9" x14ac:dyDescent="0.3">
      <c r="A144" s="93" t="s">
        <v>206</v>
      </c>
      <c r="B144" s="94"/>
      <c r="C144" s="94"/>
      <c r="D144" s="94"/>
      <c r="E144" s="94"/>
      <c r="F144" s="94"/>
      <c r="G144" s="94"/>
      <c r="H144" s="95"/>
    </row>
    <row r="145" spans="1:8" x14ac:dyDescent="0.3">
      <c r="A145" s="85">
        <v>1</v>
      </c>
      <c r="B145" s="86"/>
      <c r="C145" s="40" t="s">
        <v>188</v>
      </c>
      <c r="D145" s="40">
        <f>34.26*10.764</f>
        <v>368.77463999999998</v>
      </c>
      <c r="E145" s="40">
        <v>0</v>
      </c>
      <c r="F145" s="40">
        <f t="shared" ref="F145:F150" si="8">D145*(($F$115)+1)+(IF(E145&lt;101,E145,IF(E145&lt;201,E145/2,IF(E145&lt;=301,E145/3,E145/4))))</f>
        <v>590.03942399999994</v>
      </c>
      <c r="G145" s="85" t="str">
        <f>A144</f>
        <v>6th, 13th &amp; 20th Floor (Part Refuge Area)</v>
      </c>
      <c r="H145" s="86"/>
    </row>
    <row r="146" spans="1:8" x14ac:dyDescent="0.3">
      <c r="A146" s="85">
        <v>2</v>
      </c>
      <c r="B146" s="86"/>
      <c r="C146" s="40" t="s">
        <v>188</v>
      </c>
      <c r="D146" s="40">
        <f>34.1*10.764</f>
        <v>367.05239999999998</v>
      </c>
      <c r="E146" s="40">
        <v>0</v>
      </c>
      <c r="F146" s="40">
        <f t="shared" si="8"/>
        <v>587.28383999999994</v>
      </c>
      <c r="G146" s="85" t="str">
        <f>G145</f>
        <v>6th, 13th &amp; 20th Floor (Part Refuge Area)</v>
      </c>
      <c r="H146" s="86"/>
    </row>
    <row r="147" spans="1:8" x14ac:dyDescent="0.3">
      <c r="A147" s="85">
        <v>3</v>
      </c>
      <c r="B147" s="86"/>
      <c r="C147" s="40" t="s">
        <v>188</v>
      </c>
      <c r="D147" s="40">
        <f>34.12*10.764</f>
        <v>367.26767999999993</v>
      </c>
      <c r="E147" s="40">
        <v>0</v>
      </c>
      <c r="F147" s="40">
        <f t="shared" si="8"/>
        <v>587.62828799999988</v>
      </c>
      <c r="G147" s="85" t="str">
        <f>G146</f>
        <v>6th, 13th &amp; 20th Floor (Part Refuge Area)</v>
      </c>
      <c r="H147" s="86"/>
    </row>
    <row r="148" spans="1:8" x14ac:dyDescent="0.3">
      <c r="A148" s="85">
        <v>4</v>
      </c>
      <c r="B148" s="86"/>
      <c r="C148" s="40" t="s">
        <v>188</v>
      </c>
      <c r="D148" s="40">
        <f t="shared" ref="D148:D150" si="9">34.12*10.764</f>
        <v>367.26767999999993</v>
      </c>
      <c r="E148" s="40">
        <v>0</v>
      </c>
      <c r="F148" s="40">
        <f t="shared" si="8"/>
        <v>587.62828799999988</v>
      </c>
      <c r="G148" s="85" t="str">
        <f>G147</f>
        <v>6th, 13th &amp; 20th Floor (Part Refuge Area)</v>
      </c>
      <c r="H148" s="86"/>
    </row>
    <row r="149" spans="1:8" x14ac:dyDescent="0.3">
      <c r="A149" s="85">
        <v>5</v>
      </c>
      <c r="B149" s="86"/>
      <c r="C149" s="40" t="s">
        <v>188</v>
      </c>
      <c r="D149" s="40">
        <f t="shared" si="9"/>
        <v>367.26767999999993</v>
      </c>
      <c r="E149" s="40">
        <v>0</v>
      </c>
      <c r="F149" s="40">
        <f t="shared" si="8"/>
        <v>587.62828799999988</v>
      </c>
      <c r="G149" s="85" t="str">
        <f>G148</f>
        <v>6th, 13th &amp; 20th Floor (Part Refuge Area)</v>
      </c>
      <c r="H149" s="86"/>
    </row>
    <row r="150" spans="1:8" x14ac:dyDescent="0.3">
      <c r="A150" s="85">
        <v>6</v>
      </c>
      <c r="B150" s="86"/>
      <c r="C150" s="40" t="s">
        <v>188</v>
      </c>
      <c r="D150" s="40">
        <f t="shared" si="9"/>
        <v>367.26767999999993</v>
      </c>
      <c r="E150" s="40">
        <v>0</v>
      </c>
      <c r="F150" s="40">
        <f t="shared" si="8"/>
        <v>587.62828799999988</v>
      </c>
      <c r="G150" s="85" t="str">
        <f t="shared" ref="G150:G153" si="10">G149</f>
        <v>6th, 13th &amp; 20th Floor (Part Refuge Area)</v>
      </c>
      <c r="H150" s="86"/>
    </row>
    <row r="151" spans="1:8" ht="15.75" customHeight="1" x14ac:dyDescent="0.3">
      <c r="A151" s="85">
        <v>7</v>
      </c>
      <c r="B151" s="86"/>
      <c r="C151" s="165" t="s">
        <v>195</v>
      </c>
      <c r="D151" s="166"/>
      <c r="E151" s="166"/>
      <c r="F151" s="167"/>
      <c r="G151" s="85" t="str">
        <f t="shared" si="10"/>
        <v>6th, 13th &amp; 20th Floor (Part Refuge Area)</v>
      </c>
      <c r="H151" s="86"/>
    </row>
    <row r="152" spans="1:8" ht="15.75" customHeight="1" x14ac:dyDescent="0.3">
      <c r="A152" s="85">
        <v>8</v>
      </c>
      <c r="B152" s="86"/>
      <c r="C152" s="168"/>
      <c r="D152" s="169"/>
      <c r="E152" s="169"/>
      <c r="F152" s="170"/>
      <c r="G152" s="85" t="str">
        <f t="shared" si="10"/>
        <v>6th, 13th &amp; 20th Floor (Part Refuge Area)</v>
      </c>
      <c r="H152" s="86"/>
    </row>
    <row r="153" spans="1:8" ht="15.75" customHeight="1" x14ac:dyDescent="0.3">
      <c r="A153" s="85">
        <v>9</v>
      </c>
      <c r="B153" s="86"/>
      <c r="C153" s="171"/>
      <c r="D153" s="172"/>
      <c r="E153" s="172"/>
      <c r="F153" s="173"/>
      <c r="G153" s="85" t="str">
        <f t="shared" si="10"/>
        <v>6th, 13th &amp; 20th Floor (Part Refuge Area)</v>
      </c>
      <c r="H153" s="86"/>
    </row>
    <row r="154" spans="1:8" x14ac:dyDescent="0.3">
      <c r="A154" s="85">
        <v>10</v>
      </c>
      <c r="B154" s="86"/>
      <c r="C154" s="40" t="s">
        <v>190</v>
      </c>
      <c r="D154" s="40">
        <f>51.29*10.764</f>
        <v>552.08555999999999</v>
      </c>
      <c r="E154" s="40">
        <v>0</v>
      </c>
      <c r="F154" s="40">
        <f>D154*(($F$115)+1)+(IF(E154&lt;101,E154,IF(E154&lt;201,E154/2,IF(E154&lt;=301,E154/3,E154/4))))</f>
        <v>883.33689600000002</v>
      </c>
      <c r="G154" s="85" t="s">
        <v>194</v>
      </c>
      <c r="H154" s="86"/>
    </row>
    <row r="155" spans="1:8" x14ac:dyDescent="0.3">
      <c r="A155" s="85">
        <v>11</v>
      </c>
      <c r="B155" s="86"/>
      <c r="C155" s="40" t="s">
        <v>190</v>
      </c>
      <c r="D155" s="40">
        <f>51.29*10.764</f>
        <v>552.08555999999999</v>
      </c>
      <c r="E155" s="40">
        <v>0</v>
      </c>
      <c r="F155" s="40">
        <f>D155*(($F$115)+1)+(IF(E155&lt;101,E155,IF(E155&lt;201,E155/2,IF(E155&lt;=301,E155/3,E155/4))))</f>
        <v>883.33689600000002</v>
      </c>
      <c r="G155" s="85" t="str">
        <f t="shared" ref="G155:G156" si="11">G154</f>
        <v>6th &amp; 13th &amp;20th Floor</v>
      </c>
      <c r="H155" s="86"/>
    </row>
    <row r="156" spans="1:8" x14ac:dyDescent="0.3">
      <c r="A156" s="85">
        <v>12</v>
      </c>
      <c r="B156" s="86"/>
      <c r="C156" s="40" t="s">
        <v>191</v>
      </c>
      <c r="D156" s="40">
        <f>56.23*10.764</f>
        <v>605.2597199999999</v>
      </c>
      <c r="E156" s="40">
        <v>0</v>
      </c>
      <c r="F156" s="40">
        <f>D156*(($F$115)+1)+(IF(E156&lt;101,E156,IF(E156&lt;201,E156/2,IF(E156&lt;=301,E156/3,E156/4))))</f>
        <v>968.41555199999993</v>
      </c>
      <c r="G156" s="85" t="str">
        <f t="shared" si="11"/>
        <v>6th &amp; 13th &amp;20th Floor</v>
      </c>
      <c r="H156" s="86"/>
    </row>
    <row r="157" spans="1:8" x14ac:dyDescent="0.3">
      <c r="A157" s="118" t="s">
        <v>70</v>
      </c>
      <c r="B157" s="118"/>
      <c r="C157" s="118"/>
      <c r="D157" s="118"/>
      <c r="E157" s="118"/>
      <c r="F157" s="118"/>
      <c r="G157" s="118"/>
      <c r="H157" s="118"/>
    </row>
    <row r="158" spans="1:8" x14ac:dyDescent="0.3">
      <c r="A158" s="43" t="s">
        <v>156</v>
      </c>
      <c r="B158" s="87" t="s">
        <v>223</v>
      </c>
      <c r="C158" s="88"/>
      <c r="D158" s="88"/>
      <c r="E158" s="88"/>
      <c r="F158" s="88"/>
      <c r="G158" s="88"/>
      <c r="H158" s="89"/>
    </row>
    <row r="159" spans="1:8" x14ac:dyDescent="0.3">
      <c r="A159" s="43" t="s">
        <v>156</v>
      </c>
      <c r="B159" s="87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59" s="88"/>
      <c r="D159" s="88"/>
      <c r="E159" s="88"/>
      <c r="F159" s="88"/>
      <c r="G159" s="88"/>
      <c r="H159" s="89"/>
    </row>
    <row r="160" spans="1:8" x14ac:dyDescent="0.3">
      <c r="A160" s="43" t="s">
        <v>156</v>
      </c>
      <c r="B160" s="87" t="s">
        <v>127</v>
      </c>
      <c r="C160" s="88"/>
      <c r="D160" s="88"/>
      <c r="E160" s="88"/>
      <c r="F160" s="88"/>
      <c r="G160" s="88"/>
      <c r="H160" s="89"/>
    </row>
    <row r="161" spans="1:8" x14ac:dyDescent="0.3">
      <c r="A161" s="43" t="s">
        <v>156</v>
      </c>
      <c r="B161" s="87" t="s">
        <v>196</v>
      </c>
      <c r="C161" s="88"/>
      <c r="D161" s="88"/>
      <c r="E161" s="88"/>
      <c r="F161" s="88"/>
      <c r="G161" s="88"/>
      <c r="H161" s="89"/>
    </row>
    <row r="162" spans="1:8" x14ac:dyDescent="0.3">
      <c r="A162" s="43" t="s">
        <v>156</v>
      </c>
      <c r="B162" s="87" t="s">
        <v>155</v>
      </c>
      <c r="C162" s="88"/>
      <c r="D162" s="88"/>
      <c r="E162" s="88"/>
      <c r="F162" s="88"/>
      <c r="G162" s="88"/>
      <c r="H162" s="89"/>
    </row>
    <row r="163" spans="1:8" x14ac:dyDescent="0.3">
      <c r="A163" s="43" t="s">
        <v>156</v>
      </c>
      <c r="B163" s="87" t="s">
        <v>128</v>
      </c>
      <c r="C163" s="88"/>
      <c r="D163" s="88"/>
      <c r="E163" s="88"/>
      <c r="F163" s="88"/>
      <c r="G163" s="88"/>
      <c r="H163" s="89"/>
    </row>
    <row r="164" spans="1:8" ht="36.75" customHeight="1" x14ac:dyDescent="0.3">
      <c r="A164" s="43" t="s">
        <v>156</v>
      </c>
      <c r="B164" s="87" t="s">
        <v>157</v>
      </c>
      <c r="C164" s="88"/>
      <c r="D164" s="88"/>
      <c r="E164" s="88"/>
      <c r="F164" s="88"/>
      <c r="G164" s="88"/>
      <c r="H164" s="89"/>
    </row>
    <row r="165" spans="1:8" x14ac:dyDescent="0.3">
      <c r="A165" s="43" t="s">
        <v>156</v>
      </c>
      <c r="B165" s="87" t="s">
        <v>129</v>
      </c>
      <c r="C165" s="88"/>
      <c r="D165" s="88"/>
      <c r="E165" s="88"/>
      <c r="F165" s="88"/>
      <c r="G165" s="88"/>
      <c r="H165" s="89"/>
    </row>
    <row r="166" spans="1:8" hidden="1" x14ac:dyDescent="0.3">
      <c r="A166" s="43" t="s">
        <v>156</v>
      </c>
      <c r="B166" s="87" t="s">
        <v>214</v>
      </c>
      <c r="C166" s="88"/>
      <c r="D166" s="88"/>
      <c r="E166" s="88"/>
      <c r="F166" s="88"/>
      <c r="G166" s="88"/>
      <c r="H166" s="89"/>
    </row>
    <row r="167" spans="1:8" ht="66" customHeight="1" x14ac:dyDescent="0.3">
      <c r="A167" s="43" t="s">
        <v>156</v>
      </c>
      <c r="B167" s="87" t="s">
        <v>207</v>
      </c>
      <c r="C167" s="88"/>
      <c r="D167" s="88"/>
      <c r="E167" s="88"/>
      <c r="F167" s="88"/>
      <c r="G167" s="88"/>
      <c r="H167" s="89"/>
    </row>
    <row r="168" spans="1:8" x14ac:dyDescent="0.3">
      <c r="A168" s="43" t="s">
        <v>156</v>
      </c>
      <c r="B168" s="87" t="s">
        <v>212</v>
      </c>
      <c r="C168" s="88"/>
      <c r="D168" s="88"/>
      <c r="E168" s="88"/>
      <c r="F168" s="88"/>
      <c r="G168" s="88"/>
      <c r="H168" s="89"/>
    </row>
    <row r="169" spans="1:8" x14ac:dyDescent="0.3">
      <c r="A169" s="43" t="s">
        <v>156</v>
      </c>
      <c r="B169" s="87" t="s">
        <v>224</v>
      </c>
      <c r="C169" s="88"/>
      <c r="D169" s="88"/>
      <c r="E169" s="88"/>
      <c r="F169" s="88"/>
      <c r="G169" s="88"/>
      <c r="H169" s="89"/>
    </row>
    <row r="170" spans="1:8" x14ac:dyDescent="0.3">
      <c r="A170" s="105" t="s">
        <v>63</v>
      </c>
      <c r="B170" s="105"/>
      <c r="C170" s="105"/>
      <c r="D170" s="105"/>
      <c r="E170" s="105"/>
      <c r="F170" s="105"/>
      <c r="G170" s="105"/>
      <c r="H170" s="105"/>
    </row>
    <row r="171" spans="1:8" x14ac:dyDescent="0.3">
      <c r="A171" s="96" t="s">
        <v>64</v>
      </c>
      <c r="B171" s="96"/>
      <c r="C171" s="96"/>
      <c r="D171" s="96"/>
      <c r="E171" s="96"/>
      <c r="F171" s="96"/>
      <c r="G171" s="96"/>
      <c r="H171" s="96"/>
    </row>
    <row r="172" spans="1:8" x14ac:dyDescent="0.3">
      <c r="A172" s="126" t="s">
        <v>65</v>
      </c>
      <c r="B172" s="126"/>
      <c r="C172" s="126"/>
      <c r="D172" s="126"/>
      <c r="E172" s="126"/>
      <c r="F172" s="126"/>
      <c r="G172" s="126"/>
      <c r="H172" s="126"/>
    </row>
    <row r="173" spans="1:8" x14ac:dyDescent="0.3">
      <c r="A173" s="96" t="s">
        <v>66</v>
      </c>
      <c r="B173" s="96"/>
      <c r="C173" s="96"/>
      <c r="D173" s="96"/>
      <c r="E173" s="96"/>
      <c r="F173" s="96"/>
      <c r="G173" s="96"/>
      <c r="H173" s="96"/>
    </row>
    <row r="174" spans="1:8" x14ac:dyDescent="0.3">
      <c r="A174" s="96" t="s">
        <v>67</v>
      </c>
      <c r="B174" s="96"/>
      <c r="C174" s="96"/>
      <c r="D174" s="96"/>
      <c r="E174" s="96"/>
      <c r="F174" s="96"/>
      <c r="G174" s="96"/>
      <c r="H174" s="96"/>
    </row>
    <row r="175" spans="1:8" hidden="1" x14ac:dyDescent="0.3">
      <c r="A175" s="96" t="s">
        <v>130</v>
      </c>
      <c r="B175" s="96"/>
      <c r="C175" s="96"/>
      <c r="D175" s="96"/>
      <c r="E175" s="96"/>
      <c r="F175" s="96"/>
      <c r="G175" s="96"/>
      <c r="H175" s="96"/>
    </row>
    <row r="176" spans="1:8" hidden="1" x14ac:dyDescent="0.3">
      <c r="A176" s="111" t="s">
        <v>131</v>
      </c>
      <c r="B176" s="111"/>
      <c r="C176" s="111"/>
      <c r="D176" s="111"/>
      <c r="E176" s="111"/>
      <c r="F176" s="111"/>
      <c r="G176" s="111"/>
      <c r="H176" s="111"/>
    </row>
    <row r="177" spans="1:8" ht="15.75" customHeight="1" x14ac:dyDescent="0.3">
      <c r="A177" s="120" t="s">
        <v>79</v>
      </c>
      <c r="B177" s="120"/>
      <c r="C177" s="120" t="s">
        <v>221</v>
      </c>
      <c r="D177" s="120"/>
      <c r="E177" s="120" t="s">
        <v>109</v>
      </c>
      <c r="F177" s="120"/>
      <c r="G177" s="120" t="s">
        <v>225</v>
      </c>
      <c r="H177" s="120"/>
    </row>
    <row r="178" spans="1:8" x14ac:dyDescent="0.3">
      <c r="A178" s="119" t="s">
        <v>81</v>
      </c>
      <c r="B178" s="119"/>
      <c r="C178" s="119"/>
      <c r="D178" s="119"/>
      <c r="E178" s="119"/>
      <c r="F178" s="119"/>
      <c r="G178" s="119"/>
      <c r="H178" s="119"/>
    </row>
    <row r="179" spans="1:8" x14ac:dyDescent="0.3">
      <c r="A179" s="119"/>
      <c r="B179" s="119"/>
      <c r="C179" s="119"/>
      <c r="D179" s="119"/>
      <c r="E179" s="119"/>
      <c r="F179" s="119"/>
      <c r="G179" s="119"/>
      <c r="H179" s="119"/>
    </row>
    <row r="180" spans="1:8" x14ac:dyDescent="0.3">
      <c r="A180" s="119"/>
      <c r="B180" s="119"/>
      <c r="C180" s="119"/>
      <c r="D180" s="119"/>
      <c r="E180" s="119"/>
      <c r="F180" s="119"/>
      <c r="G180" s="119"/>
      <c r="H180" s="119"/>
    </row>
    <row r="181" spans="1:8" x14ac:dyDescent="0.3">
      <c r="A181" s="119"/>
      <c r="B181" s="119"/>
      <c r="C181" s="119"/>
      <c r="D181" s="119"/>
      <c r="E181" s="119"/>
      <c r="F181" s="119"/>
      <c r="G181" s="119"/>
      <c r="H181" s="119"/>
    </row>
    <row r="182" spans="1:8" x14ac:dyDescent="0.3">
      <c r="A182" s="36" t="s">
        <v>68</v>
      </c>
      <c r="B182" s="37"/>
      <c r="C182" s="37"/>
      <c r="D182" s="36" t="str">
        <f>E8</f>
        <v>Sky Annex</v>
      </c>
      <c r="F182" s="37"/>
      <c r="G182" s="37"/>
      <c r="H182" s="37"/>
    </row>
    <row r="183" spans="1:8" x14ac:dyDescent="0.3">
      <c r="A183" s="37"/>
      <c r="B183" s="37"/>
      <c r="C183" s="37"/>
      <c r="D183" s="37"/>
      <c r="E183" s="37"/>
      <c r="F183" s="37"/>
      <c r="G183" s="37"/>
      <c r="H183" s="37"/>
    </row>
    <row r="184" spans="1:8" x14ac:dyDescent="0.3">
      <c r="A184" s="37"/>
      <c r="B184" s="37"/>
      <c r="C184" s="37"/>
      <c r="D184" s="37"/>
      <c r="E184" s="37"/>
      <c r="F184" s="37"/>
      <c r="G184" s="37"/>
      <c r="H184" s="37"/>
    </row>
    <row r="224" spans="1:1" x14ac:dyDescent="0.3">
      <c r="A224" s="39" t="s">
        <v>69</v>
      </c>
    </row>
  </sheetData>
  <mergeCells count="329">
    <mergeCell ref="A40:D40"/>
    <mergeCell ref="E40:H40"/>
    <mergeCell ref="A45:D45"/>
    <mergeCell ref="A46:H46"/>
    <mergeCell ref="D56:H56"/>
    <mergeCell ref="B164:H164"/>
    <mergeCell ref="A47:B47"/>
    <mergeCell ref="C47:H47"/>
    <mergeCell ref="B162:H162"/>
    <mergeCell ref="F96:H96"/>
    <mergeCell ref="A96:E96"/>
    <mergeCell ref="G122:H122"/>
    <mergeCell ref="G119:H119"/>
    <mergeCell ref="A98:E98"/>
    <mergeCell ref="A99:E99"/>
    <mergeCell ref="G125:H125"/>
    <mergeCell ref="G126:H126"/>
    <mergeCell ref="G127:H127"/>
    <mergeCell ref="C125:F127"/>
    <mergeCell ref="G151:H151"/>
    <mergeCell ref="G152:H152"/>
    <mergeCell ref="G153:H153"/>
    <mergeCell ref="C151:F153"/>
    <mergeCell ref="C109:D109"/>
    <mergeCell ref="A95:E95"/>
    <mergeCell ref="A113:H113"/>
    <mergeCell ref="A123:B123"/>
    <mergeCell ref="A120:B120"/>
    <mergeCell ref="A121:B121"/>
    <mergeCell ref="A122:B122"/>
    <mergeCell ref="G123:H123"/>
    <mergeCell ref="A133:B133"/>
    <mergeCell ref="G120:H120"/>
    <mergeCell ref="A124:B124"/>
    <mergeCell ref="G124:H124"/>
    <mergeCell ref="A131:H131"/>
    <mergeCell ref="E109:F109"/>
    <mergeCell ref="A125:B125"/>
    <mergeCell ref="A119:B119"/>
    <mergeCell ref="A130:B130"/>
    <mergeCell ref="G130:H130"/>
    <mergeCell ref="A132:B132"/>
    <mergeCell ref="G132:H132"/>
    <mergeCell ref="F94:H94"/>
    <mergeCell ref="F99:H99"/>
    <mergeCell ref="F97:H97"/>
    <mergeCell ref="A97:E97"/>
    <mergeCell ref="A94:E94"/>
    <mergeCell ref="F98:H98"/>
    <mergeCell ref="G109:H109"/>
    <mergeCell ref="L118:M118"/>
    <mergeCell ref="A114:A115"/>
    <mergeCell ref="A100:E100"/>
    <mergeCell ref="F100:H100"/>
    <mergeCell ref="A101:E101"/>
    <mergeCell ref="A103:E103"/>
    <mergeCell ref="A102:E102"/>
    <mergeCell ref="F104:H104"/>
    <mergeCell ref="A105:E105"/>
    <mergeCell ref="G114:H115"/>
    <mergeCell ref="F105:H105"/>
    <mergeCell ref="F103:H103"/>
    <mergeCell ref="A112:H112"/>
    <mergeCell ref="A104:E104"/>
    <mergeCell ref="C114:C115"/>
    <mergeCell ref="A117:H117"/>
    <mergeCell ref="B114:B115"/>
    <mergeCell ref="A36:H36"/>
    <mergeCell ref="A35:B35"/>
    <mergeCell ref="C35:E35"/>
    <mergeCell ref="F32:H32"/>
    <mergeCell ref="F33:H33"/>
    <mergeCell ref="A39:H39"/>
    <mergeCell ref="A58:C58"/>
    <mergeCell ref="A59:C59"/>
    <mergeCell ref="D58:H5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A44:D44"/>
    <mergeCell ref="A38:B38"/>
    <mergeCell ref="C38:H38"/>
    <mergeCell ref="A56:C56"/>
    <mergeCell ref="G49:H49"/>
    <mergeCell ref="A50:B51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4:H64"/>
    <mergeCell ref="A62:C62"/>
    <mergeCell ref="D62:H62"/>
    <mergeCell ref="A63:C63"/>
    <mergeCell ref="D63:H63"/>
    <mergeCell ref="A69:B69"/>
    <mergeCell ref="G68:H68"/>
    <mergeCell ref="E69:F78"/>
    <mergeCell ref="G69:H78"/>
    <mergeCell ref="A77:B77"/>
    <mergeCell ref="A78:B78"/>
    <mergeCell ref="A76:B76"/>
    <mergeCell ref="A75:B75"/>
    <mergeCell ref="A178:H181"/>
    <mergeCell ref="A177:B177"/>
    <mergeCell ref="E177:F177"/>
    <mergeCell ref="C177:D177"/>
    <mergeCell ref="G177:H177"/>
    <mergeCell ref="A106:E106"/>
    <mergeCell ref="F106:H106"/>
    <mergeCell ref="A107:E107"/>
    <mergeCell ref="F107:H107"/>
    <mergeCell ref="A118:H118"/>
    <mergeCell ref="A110:B110"/>
    <mergeCell ref="A134:B134"/>
    <mergeCell ref="A173:H173"/>
    <mergeCell ref="A108:H108"/>
    <mergeCell ref="A176:H176"/>
    <mergeCell ref="A174:H174"/>
    <mergeCell ref="C110:D110"/>
    <mergeCell ref="E110:F110"/>
    <mergeCell ref="A175:H175"/>
    <mergeCell ref="A172:H172"/>
    <mergeCell ref="G135:H135"/>
    <mergeCell ref="A109:B109"/>
    <mergeCell ref="D114:D115"/>
    <mergeCell ref="E114:E115"/>
    <mergeCell ref="A170:H170"/>
    <mergeCell ref="A171:H171"/>
    <mergeCell ref="B165:H165"/>
    <mergeCell ref="B166:H166"/>
    <mergeCell ref="B163:H163"/>
    <mergeCell ref="A156:B156"/>
    <mergeCell ref="G156:H156"/>
    <mergeCell ref="G155:H155"/>
    <mergeCell ref="A154:B154"/>
    <mergeCell ref="A155:B155"/>
    <mergeCell ref="B158:H158"/>
    <mergeCell ref="B159:H159"/>
    <mergeCell ref="B160:H160"/>
    <mergeCell ref="B161:H161"/>
    <mergeCell ref="G154:H154"/>
    <mergeCell ref="A157:H157"/>
    <mergeCell ref="B167:H167"/>
    <mergeCell ref="B168:H168"/>
    <mergeCell ref="A16:B16"/>
    <mergeCell ref="C16:H16"/>
    <mergeCell ref="E41:H41"/>
    <mergeCell ref="A41:D41"/>
    <mergeCell ref="A48:B48"/>
    <mergeCell ref="C48:E48"/>
    <mergeCell ref="G48:H48"/>
    <mergeCell ref="G50:H50"/>
    <mergeCell ref="A74:B74"/>
    <mergeCell ref="A54:C54"/>
    <mergeCell ref="A55:C55"/>
    <mergeCell ref="D55:H55"/>
    <mergeCell ref="G52:H52"/>
    <mergeCell ref="D57:H57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C52:E52"/>
    <mergeCell ref="A49:B49"/>
    <mergeCell ref="A53:H53"/>
    <mergeCell ref="A135:B135"/>
    <mergeCell ref="C51:H51"/>
    <mergeCell ref="A116:H116"/>
    <mergeCell ref="F95:H95"/>
    <mergeCell ref="G110:H110"/>
    <mergeCell ref="G134:H134"/>
    <mergeCell ref="F101:H101"/>
    <mergeCell ref="A126:B126"/>
    <mergeCell ref="A127:B127"/>
    <mergeCell ref="A128:B128"/>
    <mergeCell ref="G128:H128"/>
    <mergeCell ref="A129:B129"/>
    <mergeCell ref="G129:H129"/>
    <mergeCell ref="A111:H111"/>
    <mergeCell ref="G121:H121"/>
    <mergeCell ref="F102:H102"/>
    <mergeCell ref="A72:B72"/>
    <mergeCell ref="E68:F68"/>
    <mergeCell ref="A61:C61"/>
    <mergeCell ref="D61:H61"/>
    <mergeCell ref="A64:C64"/>
    <mergeCell ref="C37:H37"/>
    <mergeCell ref="A151:B151"/>
    <mergeCell ref="A142:B142"/>
    <mergeCell ref="G142:H142"/>
    <mergeCell ref="A143:B143"/>
    <mergeCell ref="G143:H143"/>
    <mergeCell ref="A144:H144"/>
    <mergeCell ref="A145:B145"/>
    <mergeCell ref="G145:H145"/>
    <mergeCell ref="A146:B146"/>
    <mergeCell ref="G146:H146"/>
    <mergeCell ref="A147:B147"/>
    <mergeCell ref="G147:H147"/>
    <mergeCell ref="A148:B148"/>
    <mergeCell ref="G148:H148"/>
    <mergeCell ref="A149:B149"/>
    <mergeCell ref="G149:H149"/>
    <mergeCell ref="A139:B139"/>
    <mergeCell ref="G139:H139"/>
    <mergeCell ref="D54:H54"/>
    <mergeCell ref="C50:E50"/>
    <mergeCell ref="A57:C57"/>
    <mergeCell ref="C49:E49"/>
    <mergeCell ref="A52:B52"/>
    <mergeCell ref="A150:B150"/>
    <mergeCell ref="B169:H169"/>
    <mergeCell ref="A136:B136"/>
    <mergeCell ref="A137:B137"/>
    <mergeCell ref="G137:H137"/>
    <mergeCell ref="G133:H133"/>
    <mergeCell ref="G136:H136"/>
    <mergeCell ref="A153:B153"/>
    <mergeCell ref="A152:B152"/>
    <mergeCell ref="A138:B138"/>
    <mergeCell ref="G138:H138"/>
    <mergeCell ref="G150:H150"/>
    <mergeCell ref="A140:B140"/>
    <mergeCell ref="G140:H140"/>
    <mergeCell ref="A141:B141"/>
    <mergeCell ref="G141:H141"/>
    <mergeCell ref="A93:B93"/>
    <mergeCell ref="C93:D93"/>
    <mergeCell ref="E93:F93"/>
    <mergeCell ref="G93:H93"/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</mergeCells>
  <dataValidations count="1">
    <dataValidation type="list" allowBlank="1" showInputMessage="1" showErrorMessage="1" sqref="G177:H177" xr:uid="{00000000-0002-0000-0000-000000000000}">
      <formula1>"Kunal Kadam,Pranita Mhatre,Shruti Fule,Pooja Kawale,Gaurav Panchal,Shruti Tathare, Hitakshi Mhatre, Sachin Sawant"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81" max="16383" man="1"/>
    <brk id="22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5" t="s">
        <v>110</v>
      </c>
      <c r="C3" s="175"/>
      <c r="D3" s="175"/>
      <c r="E3" s="175"/>
      <c r="F3" s="175"/>
      <c r="G3" s="175"/>
      <c r="H3" s="175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2025-09-19T11:05:02Z</cp:lastPrinted>
  <dcterms:created xsi:type="dcterms:W3CDTF">2019-07-16T09:29:46Z</dcterms:created>
  <dcterms:modified xsi:type="dcterms:W3CDTF">2025-09-19T11:05:33Z</dcterms:modified>
</cp:coreProperties>
</file>