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B9731D87-EA0C-48CE-87EE-11E783786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(2)" sheetId="1" r:id="rId1"/>
    <sheet name="C% C" sheetId="6" r:id="rId2"/>
    <sheet name="C% ( D)" sheetId="2" r:id="rId3"/>
    <sheet name="C% (E)" sheetId="4" r:id="rId4"/>
    <sheet name="Note" sheetId="5" r:id="rId5"/>
    <sheet name="Flat detail" sheetId="3" r:id="rId6"/>
  </sheets>
  <definedNames>
    <definedName name="_xlnm.Print_Area" localSheetId="0">'Report (2)'!$A$1:$J$427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127" i="1" l="1"/>
  <c r="G127" i="1"/>
  <c r="L334" i="1"/>
  <c r="F3" i="1" l="1"/>
  <c r="L81" i="1" l="1"/>
  <c r="L80" i="1"/>
  <c r="L79" i="1"/>
  <c r="L78" i="1"/>
  <c r="I71" i="1"/>
  <c r="D83" i="1" l="1"/>
  <c r="D77" i="1"/>
  <c r="L76" i="1"/>
  <c r="L77" i="1" s="1"/>
  <c r="L82" i="1" s="1"/>
  <c r="L83" i="1" s="1"/>
  <c r="D82" i="1"/>
  <c r="D76" i="1"/>
  <c r="L75" i="1"/>
  <c r="D81" i="1"/>
  <c r="D75" i="1"/>
  <c r="F74" i="1"/>
  <c r="L74" i="1"/>
  <c r="L73" i="1"/>
  <c r="D74" i="1" s="1"/>
  <c r="D80" i="1"/>
  <c r="D79" i="1"/>
  <c r="D78" i="1"/>
  <c r="L111" i="1"/>
  <c r="L110" i="1"/>
  <c r="L109" i="1"/>
  <c r="L108" i="1"/>
  <c r="L95" i="1"/>
  <c r="L94" i="1"/>
  <c r="L93" i="1"/>
  <c r="L92" i="1"/>
  <c r="L67" i="1"/>
  <c r="L66" i="1"/>
  <c r="L65" i="1"/>
  <c r="L64" i="1"/>
  <c r="I85" i="1"/>
  <c r="I57" i="1"/>
  <c r="I99" i="1"/>
  <c r="K70" i="1" l="1"/>
  <c r="C72" i="1" s="1"/>
  <c r="H74" i="1"/>
  <c r="L105" i="1"/>
  <c r="F104" i="1"/>
  <c r="D113" i="1"/>
  <c r="D111" i="1"/>
  <c r="D109" i="1"/>
  <c r="D107" i="1"/>
  <c r="D105" i="1"/>
  <c r="D104" i="1"/>
  <c r="D110" i="1"/>
  <c r="D106" i="1"/>
  <c r="L106" i="1"/>
  <c r="L107" i="1" s="1"/>
  <c r="L112" i="1" s="1"/>
  <c r="L113" i="1" s="1"/>
  <c r="L104" i="1"/>
  <c r="L103" i="1"/>
  <c r="D112" i="1"/>
  <c r="D108" i="1"/>
  <c r="H104" i="1"/>
  <c r="D90" i="1"/>
  <c r="L88" i="1"/>
  <c r="D97" i="1"/>
  <c r="D95" i="1"/>
  <c r="D93" i="1"/>
  <c r="D91" i="1"/>
  <c r="L89" i="1"/>
  <c r="L87" i="1"/>
  <c r="D96" i="1"/>
  <c r="L90" i="1"/>
  <c r="D94" i="1"/>
  <c r="D92" i="1"/>
  <c r="D62" i="1"/>
  <c r="L60" i="1"/>
  <c r="D68" i="1"/>
  <c r="D69" i="1"/>
  <c r="D67" i="1"/>
  <c r="D65" i="1"/>
  <c r="D63" i="1"/>
  <c r="L61" i="1"/>
  <c r="C60" i="1" s="1"/>
  <c r="L59" i="1"/>
  <c r="L62" i="1"/>
  <c r="D66" i="1"/>
  <c r="D64" i="1"/>
  <c r="L63" i="1" l="1"/>
  <c r="K98" i="1"/>
  <c r="C100" i="1" s="1"/>
  <c r="L91" i="1"/>
  <c r="D88" i="1"/>
  <c r="D60" i="1"/>
  <c r="L68" i="1" l="1"/>
  <c r="L69" i="1" s="1"/>
  <c r="C61" i="1" s="1"/>
  <c r="F60" i="1" s="1"/>
  <c r="K56" i="1" s="1"/>
  <c r="C58" i="1" s="1"/>
  <c r="L96" i="1"/>
  <c r="L97" i="1" s="1"/>
  <c r="C89" i="1" s="1"/>
  <c r="F88" i="1" s="1"/>
  <c r="K84" i="1" s="1"/>
  <c r="C86" i="1" s="1"/>
  <c r="D61" i="1" l="1"/>
  <c r="H60" i="1"/>
  <c r="H88" i="1"/>
  <c r="D89" i="1"/>
  <c r="G15" i="6"/>
  <c r="B15" i="6" s="1"/>
  <c r="B7" i="6"/>
  <c r="H16" i="6" s="1"/>
  <c r="C16" i="6" s="1"/>
  <c r="D6" i="6"/>
  <c r="C5" i="6"/>
  <c r="B11" i="6" s="1"/>
  <c r="H15" i="6" l="1"/>
  <c r="B16" i="6" s="1"/>
  <c r="D7" i="6"/>
  <c r="L16" i="6"/>
  <c r="C20" i="6" s="1"/>
  <c r="L15" i="6"/>
  <c r="B20" i="6" s="1"/>
  <c r="D11" i="6"/>
  <c r="B8" i="6"/>
  <c r="B10" i="6"/>
  <c r="B12" i="6"/>
  <c r="G16" i="6"/>
  <c r="C15" i="6" s="1"/>
  <c r="B9" i="6"/>
  <c r="K16" i="6" l="1"/>
  <c r="C19" i="6" s="1"/>
  <c r="D10" i="6"/>
  <c r="K15" i="6"/>
  <c r="B19" i="6" s="1"/>
  <c r="J16" i="6"/>
  <c r="C18" i="6" s="1"/>
  <c r="J15" i="6"/>
  <c r="B18" i="6" s="1"/>
  <c r="D9" i="6"/>
  <c r="I15" i="6"/>
  <c r="B17" i="6" s="1"/>
  <c r="D8" i="6"/>
  <c r="I16" i="6"/>
  <c r="C17" i="6" s="1"/>
  <c r="M15" i="6"/>
  <c r="B21" i="6" s="1"/>
  <c r="D12" i="6"/>
  <c r="M16" i="6"/>
  <c r="C21" i="6" s="1"/>
  <c r="C22" i="6" l="1"/>
  <c r="B22" i="6"/>
  <c r="G15" i="4"/>
  <c r="G16" i="4" s="1"/>
  <c r="C15" i="4" s="1"/>
  <c r="B7" i="4"/>
  <c r="H15" i="4" s="1"/>
  <c r="B16" i="4" s="1"/>
  <c r="D6" i="4"/>
  <c r="C5" i="4"/>
  <c r="B12" i="4" s="1"/>
  <c r="B9" i="4" l="1"/>
  <c r="J16" i="4" s="1"/>
  <c r="C18" i="4" s="1"/>
  <c r="B15" i="4"/>
  <c r="B11" i="4"/>
  <c r="L15" i="4" s="1"/>
  <c r="B20" i="4" s="1"/>
  <c r="D12" i="4"/>
  <c r="M16" i="4"/>
  <c r="C21" i="4" s="1"/>
  <c r="M15" i="4"/>
  <c r="B21" i="4" s="1"/>
  <c r="H16" i="4"/>
  <c r="C16" i="4" s="1"/>
  <c r="L16" i="4"/>
  <c r="C20" i="4" s="1"/>
  <c r="D7" i="4"/>
  <c r="D9" i="4"/>
  <c r="D11" i="4"/>
  <c r="J15" i="4"/>
  <c r="B18" i="4" s="1"/>
  <c r="B8" i="4"/>
  <c r="B10" i="4"/>
  <c r="G134" i="1"/>
  <c r="F319" i="1"/>
  <c r="D319" i="1"/>
  <c r="L319" i="1" l="1"/>
  <c r="K16" i="4"/>
  <c r="C19" i="4" s="1"/>
  <c r="D10" i="4"/>
  <c r="K15" i="4"/>
  <c r="B19" i="4" s="1"/>
  <c r="D8" i="4"/>
  <c r="I16" i="4"/>
  <c r="C17" i="4" s="1"/>
  <c r="C22" i="4" s="1"/>
  <c r="I15" i="4"/>
  <c r="B17" i="4" s="1"/>
  <c r="B22" i="4" l="1"/>
  <c r="C14" i="1"/>
  <c r="F339" i="1"/>
  <c r="F338" i="1"/>
  <c r="F337" i="1"/>
  <c r="F336" i="1"/>
  <c r="F335" i="1"/>
  <c r="D339" i="1"/>
  <c r="D338" i="1"/>
  <c r="D337" i="1"/>
  <c r="D336" i="1"/>
  <c r="D335" i="1"/>
  <c r="D333" i="1"/>
  <c r="L333" i="1" s="1"/>
  <c r="D332" i="1"/>
  <c r="L332" i="1" s="1"/>
  <c r="D331" i="1"/>
  <c r="L331" i="1" s="1"/>
  <c r="D330" i="1"/>
  <c r="L330" i="1" s="1"/>
  <c r="D329" i="1"/>
  <c r="L329" i="1" s="1"/>
  <c r="F327" i="1"/>
  <c r="F326" i="1"/>
  <c r="F325" i="1"/>
  <c r="F324" i="1"/>
  <c r="F323" i="1"/>
  <c r="L323" i="1" s="1"/>
  <c r="D327" i="1"/>
  <c r="D326" i="1"/>
  <c r="D325" i="1"/>
  <c r="D324" i="1"/>
  <c r="D323" i="1"/>
  <c r="I335" i="1"/>
  <c r="I329" i="1"/>
  <c r="I323" i="1"/>
  <c r="F318" i="1"/>
  <c r="F317" i="1"/>
  <c r="F316" i="1"/>
  <c r="F315" i="1"/>
  <c r="F314" i="1"/>
  <c r="F313" i="1"/>
  <c r="F312" i="1"/>
  <c r="F311" i="1"/>
  <c r="L311" i="1" s="1"/>
  <c r="F310" i="1"/>
  <c r="F309" i="1"/>
  <c r="F308" i="1"/>
  <c r="F307" i="1"/>
  <c r="F306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I306" i="1"/>
  <c r="D302" i="1"/>
  <c r="L302" i="1" s="1"/>
  <c r="D301" i="1"/>
  <c r="L301" i="1" s="1"/>
  <c r="D300" i="1"/>
  <c r="L300" i="1" s="1"/>
  <c r="D299" i="1"/>
  <c r="L299" i="1" s="1"/>
  <c r="D294" i="1"/>
  <c r="L294" i="1" s="1"/>
  <c r="D293" i="1"/>
  <c r="L293" i="1" s="1"/>
  <c r="D292" i="1"/>
  <c r="L292" i="1" s="1"/>
  <c r="D291" i="1"/>
  <c r="L291" i="1" s="1"/>
  <c r="I289" i="1"/>
  <c r="D304" i="1"/>
  <c r="L304" i="1" s="1"/>
  <c r="D303" i="1"/>
  <c r="L303" i="1" s="1"/>
  <c r="D298" i="1"/>
  <c r="L298" i="1" s="1"/>
  <c r="D297" i="1"/>
  <c r="L297" i="1" s="1"/>
  <c r="D296" i="1"/>
  <c r="L296" i="1" s="1"/>
  <c r="D295" i="1"/>
  <c r="L295" i="1" s="1"/>
  <c r="D290" i="1"/>
  <c r="L290" i="1" s="1"/>
  <c r="D289" i="1"/>
  <c r="L289" i="1" s="1"/>
  <c r="D287" i="1"/>
  <c r="D272" i="1"/>
  <c r="I272" i="1"/>
  <c r="F281" i="1"/>
  <c r="F282" i="1"/>
  <c r="F283" i="1"/>
  <c r="F284" i="1"/>
  <c r="F285" i="1"/>
  <c r="L285" i="1" s="1"/>
  <c r="F286" i="1"/>
  <c r="F287" i="1"/>
  <c r="L287" i="1" s="1"/>
  <c r="F280" i="1"/>
  <c r="F279" i="1"/>
  <c r="F278" i="1"/>
  <c r="F277" i="1"/>
  <c r="F276" i="1"/>
  <c r="F275" i="1"/>
  <c r="F274" i="1"/>
  <c r="F273" i="1"/>
  <c r="F272" i="1"/>
  <c r="D280" i="1"/>
  <c r="D281" i="1"/>
  <c r="D282" i="1"/>
  <c r="D283" i="1"/>
  <c r="D284" i="1"/>
  <c r="D285" i="1"/>
  <c r="D286" i="1"/>
  <c r="D279" i="1"/>
  <c r="D278" i="1"/>
  <c r="D277" i="1"/>
  <c r="D276" i="1"/>
  <c r="D275" i="1"/>
  <c r="D274" i="1"/>
  <c r="D273" i="1"/>
  <c r="F268" i="1"/>
  <c r="F267" i="1"/>
  <c r="F266" i="1"/>
  <c r="F265" i="1"/>
  <c r="F262" i="1"/>
  <c r="F261" i="1"/>
  <c r="F260" i="1"/>
  <c r="F259" i="1"/>
  <c r="D267" i="1"/>
  <c r="D266" i="1"/>
  <c r="D265" i="1"/>
  <c r="D264" i="1"/>
  <c r="G264" i="1" s="1"/>
  <c r="D263" i="1"/>
  <c r="G263" i="1" s="1"/>
  <c r="D262" i="1"/>
  <c r="D261" i="1"/>
  <c r="D260" i="1"/>
  <c r="D268" i="1"/>
  <c r="D259" i="1"/>
  <c r="D256" i="1"/>
  <c r="G256" i="1" s="1"/>
  <c r="D255" i="1"/>
  <c r="G255" i="1" s="1"/>
  <c r="D254" i="1"/>
  <c r="G254" i="1" s="1"/>
  <c r="D253" i="1"/>
  <c r="G253" i="1" s="1"/>
  <c r="D249" i="1"/>
  <c r="G249" i="1" s="1"/>
  <c r="D248" i="1"/>
  <c r="G248" i="1" s="1"/>
  <c r="D247" i="1"/>
  <c r="G247" i="1" s="1"/>
  <c r="D246" i="1"/>
  <c r="G246" i="1" s="1"/>
  <c r="D257" i="1"/>
  <c r="G257" i="1" s="1"/>
  <c r="D252" i="1"/>
  <c r="G252" i="1" s="1"/>
  <c r="D251" i="1"/>
  <c r="G251" i="1" s="1"/>
  <c r="D250" i="1"/>
  <c r="G250" i="1" s="1"/>
  <c r="F243" i="1"/>
  <c r="F242" i="1"/>
  <c r="F241" i="1"/>
  <c r="F240" i="1"/>
  <c r="F237" i="1"/>
  <c r="F236" i="1"/>
  <c r="F235" i="1"/>
  <c r="F234" i="1"/>
  <c r="D244" i="1"/>
  <c r="G244" i="1" s="1"/>
  <c r="D243" i="1"/>
  <c r="D242" i="1"/>
  <c r="D241" i="1"/>
  <c r="D240" i="1"/>
  <c r="D239" i="1"/>
  <c r="G239" i="1" s="1"/>
  <c r="D238" i="1"/>
  <c r="G238" i="1" s="1"/>
  <c r="D237" i="1"/>
  <c r="D236" i="1"/>
  <c r="D235" i="1"/>
  <c r="D234" i="1"/>
  <c r="D233" i="1"/>
  <c r="G233" i="1" s="1"/>
  <c r="I259" i="1"/>
  <c r="I246" i="1"/>
  <c r="I233" i="1"/>
  <c r="D209" i="1"/>
  <c r="G209" i="1" s="1"/>
  <c r="F229" i="1"/>
  <c r="F228" i="1"/>
  <c r="F227" i="1"/>
  <c r="F226" i="1"/>
  <c r="F225" i="1"/>
  <c r="F224" i="1"/>
  <c r="F223" i="1"/>
  <c r="F222" i="1"/>
  <c r="D229" i="1"/>
  <c r="D228" i="1"/>
  <c r="D227" i="1"/>
  <c r="D226" i="1"/>
  <c r="D225" i="1"/>
  <c r="D224" i="1"/>
  <c r="D223" i="1"/>
  <c r="D222" i="1"/>
  <c r="I222" i="1"/>
  <c r="I177" i="1"/>
  <c r="F184" i="1"/>
  <c r="F183" i="1"/>
  <c r="F182" i="1"/>
  <c r="F181" i="1"/>
  <c r="F180" i="1"/>
  <c r="F179" i="1"/>
  <c r="F178" i="1"/>
  <c r="F177" i="1"/>
  <c r="D184" i="1"/>
  <c r="D183" i="1"/>
  <c r="D182" i="1"/>
  <c r="D181" i="1"/>
  <c r="D180" i="1"/>
  <c r="D179" i="1"/>
  <c r="D178" i="1"/>
  <c r="D177" i="1"/>
  <c r="F220" i="1"/>
  <c r="F219" i="1"/>
  <c r="F218" i="1"/>
  <c r="F217" i="1"/>
  <c r="F216" i="1"/>
  <c r="F215" i="1"/>
  <c r="F214" i="1"/>
  <c r="F213" i="1"/>
  <c r="D220" i="1"/>
  <c r="D219" i="1"/>
  <c r="D218" i="1"/>
  <c r="D217" i="1"/>
  <c r="D216" i="1"/>
  <c r="D215" i="1"/>
  <c r="D214" i="1"/>
  <c r="D213" i="1"/>
  <c r="F175" i="1"/>
  <c r="F174" i="1"/>
  <c r="F173" i="1"/>
  <c r="F171" i="1"/>
  <c r="F172" i="1"/>
  <c r="F170" i="1"/>
  <c r="F169" i="1"/>
  <c r="F168" i="1"/>
  <c r="D175" i="1"/>
  <c r="D174" i="1"/>
  <c r="D173" i="1"/>
  <c r="D172" i="1"/>
  <c r="D171" i="1"/>
  <c r="D170" i="1"/>
  <c r="D169" i="1"/>
  <c r="D168" i="1"/>
  <c r="G168" i="1" s="1"/>
  <c r="I168" i="1"/>
  <c r="I213" i="1"/>
  <c r="D211" i="1"/>
  <c r="G211" i="1" s="1"/>
  <c r="D210" i="1"/>
  <c r="G210" i="1" s="1"/>
  <c r="D201" i="1"/>
  <c r="D200" i="1"/>
  <c r="D208" i="1"/>
  <c r="G208" i="1" s="1"/>
  <c r="D207" i="1"/>
  <c r="G207" i="1" s="1"/>
  <c r="D206" i="1"/>
  <c r="G206" i="1" s="1"/>
  <c r="D205" i="1"/>
  <c r="G205" i="1" s="1"/>
  <c r="D204" i="1"/>
  <c r="G204" i="1" s="1"/>
  <c r="F202" i="1"/>
  <c r="F201" i="1"/>
  <c r="D202" i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L159" i="1" s="1"/>
  <c r="I204" i="1"/>
  <c r="I159" i="1"/>
  <c r="F200" i="1"/>
  <c r="F199" i="1"/>
  <c r="F198" i="1"/>
  <c r="F197" i="1"/>
  <c r="F196" i="1"/>
  <c r="F195" i="1"/>
  <c r="D199" i="1"/>
  <c r="D198" i="1"/>
  <c r="D197" i="1"/>
  <c r="D196" i="1"/>
  <c r="D195" i="1"/>
  <c r="G195" i="1" s="1"/>
  <c r="I195" i="1"/>
  <c r="I150" i="1"/>
  <c r="F157" i="1"/>
  <c r="F156" i="1"/>
  <c r="F155" i="1"/>
  <c r="F154" i="1"/>
  <c r="F153" i="1"/>
  <c r="F152" i="1"/>
  <c r="F151" i="1"/>
  <c r="F150" i="1"/>
  <c r="D157" i="1"/>
  <c r="D156" i="1"/>
  <c r="D155" i="1"/>
  <c r="G155" i="1" s="1"/>
  <c r="D154" i="1"/>
  <c r="G154" i="1" s="1"/>
  <c r="D153" i="1"/>
  <c r="D152" i="1"/>
  <c r="D151" i="1"/>
  <c r="D150" i="1"/>
  <c r="D148" i="1"/>
  <c r="D147" i="1"/>
  <c r="D146" i="1"/>
  <c r="D145" i="1"/>
  <c r="D144" i="1"/>
  <c r="D143" i="1"/>
  <c r="G126" i="1" s="1"/>
  <c r="D142" i="1"/>
  <c r="G152" i="1" l="1"/>
  <c r="G218" i="1"/>
  <c r="G178" i="1"/>
  <c r="G229" i="1"/>
  <c r="G261" i="1"/>
  <c r="L279" i="1"/>
  <c r="G153" i="1"/>
  <c r="G219" i="1"/>
  <c r="G179" i="1"/>
  <c r="G220" i="1"/>
  <c r="G180" i="1"/>
  <c r="G181" i="1"/>
  <c r="L317" i="1"/>
  <c r="L272" i="1"/>
  <c r="G265" i="1"/>
  <c r="L286" i="1"/>
  <c r="G196" i="1"/>
  <c r="G197" i="1"/>
  <c r="L307" i="1"/>
  <c r="G262" i="1"/>
  <c r="D126" i="1"/>
  <c r="L313" i="1"/>
  <c r="L325" i="1"/>
  <c r="G234" i="1"/>
  <c r="G182" i="1"/>
  <c r="G169" i="1"/>
  <c r="G259" i="1"/>
  <c r="L308" i="1"/>
  <c r="G202" i="1"/>
  <c r="G157" i="1"/>
  <c r="G170" i="1"/>
  <c r="G183" i="1"/>
  <c r="G222" i="1"/>
  <c r="G237" i="1"/>
  <c r="G266" i="1"/>
  <c r="L284" i="1"/>
  <c r="L316" i="1"/>
  <c r="L324" i="1"/>
  <c r="L283" i="1"/>
  <c r="G235" i="1"/>
  <c r="L314" i="1"/>
  <c r="G156" i="1"/>
  <c r="G236" i="1"/>
  <c r="G184" i="1"/>
  <c r="G198" i="1"/>
  <c r="G172" i="1"/>
  <c r="G213" i="1"/>
  <c r="G224" i="1"/>
  <c r="L274" i="1"/>
  <c r="L282" i="1"/>
  <c r="L306" i="1"/>
  <c r="L318" i="1"/>
  <c r="L326" i="1"/>
  <c r="L335" i="1"/>
  <c r="G171" i="1"/>
  <c r="G223" i="1"/>
  <c r="G199" i="1"/>
  <c r="G173" i="1"/>
  <c r="G214" i="1"/>
  <c r="G225" i="1"/>
  <c r="G240" i="1"/>
  <c r="L275" i="1"/>
  <c r="L281" i="1"/>
  <c r="L327" i="1"/>
  <c r="L336" i="1"/>
  <c r="G267" i="1"/>
  <c r="G200" i="1"/>
  <c r="G174" i="1"/>
  <c r="G215" i="1"/>
  <c r="G226" i="1"/>
  <c r="G241" i="1"/>
  <c r="L276" i="1"/>
  <c r="L337" i="1"/>
  <c r="L315" i="1"/>
  <c r="L273" i="1"/>
  <c r="G150" i="1"/>
  <c r="G201" i="1"/>
  <c r="G175" i="1"/>
  <c r="G227" i="1"/>
  <c r="G242" i="1"/>
  <c r="G268" i="1"/>
  <c r="L277" i="1"/>
  <c r="L309" i="1"/>
  <c r="L338" i="1"/>
  <c r="G216" i="1"/>
  <c r="G151" i="1"/>
  <c r="G217" i="1"/>
  <c r="G177" i="1"/>
  <c r="G228" i="1"/>
  <c r="G243" i="1"/>
  <c r="G260" i="1"/>
  <c r="L278" i="1"/>
  <c r="L310" i="1"/>
  <c r="L339" i="1"/>
  <c r="L280" i="1"/>
  <c r="L312" i="1"/>
  <c r="C134" i="1"/>
  <c r="D134" i="1"/>
  <c r="C126" i="1"/>
  <c r="C132" i="1"/>
  <c r="C133" i="1"/>
  <c r="D131" i="1"/>
  <c r="D135" i="1"/>
  <c r="D132" i="1"/>
  <c r="C131" i="1"/>
  <c r="C135" i="1"/>
  <c r="D133" i="1"/>
  <c r="B7" i="2"/>
  <c r="G131" i="1" l="1"/>
  <c r="D136" i="1"/>
  <c r="C136" i="1"/>
  <c r="G135" i="1"/>
  <c r="G133" i="1"/>
  <c r="G132" i="1"/>
  <c r="G15" i="2"/>
  <c r="G16" i="2" s="1"/>
  <c r="C15" i="2" s="1"/>
  <c r="H15" i="2"/>
  <c r="B16" i="2" s="1"/>
  <c r="D6" i="2"/>
  <c r="C5" i="2"/>
  <c r="B12" i="2" s="1"/>
  <c r="D353" i="1"/>
  <c r="G128" i="1"/>
  <c r="D128" i="1"/>
  <c r="C128" i="1"/>
  <c r="G123" i="1"/>
  <c r="H47" i="1"/>
  <c r="C47" i="1"/>
  <c r="F42" i="1"/>
  <c r="F43" i="1" s="1"/>
  <c r="D52" i="1" s="1"/>
  <c r="F7" i="1"/>
  <c r="B15" i="2" l="1"/>
  <c r="G136" i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<sst xmlns="http://schemas.openxmlformats.org/spreadsheetml/2006/main" count="925" uniqueCount="273">
  <si>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</si>
  <si>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</si>
  <si>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</si>
  <si>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</si>
  <si>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</si>
  <si>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</si>
  <si>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</si>
  <si>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</si>
  <si>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</si>
  <si>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</si>
  <si>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</si>
  <si>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</si>
  <si>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</si>
  <si>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</si>
  <si>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</si>
  <si>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</si>
  <si>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</si>
  <si>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</si>
  <si>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</si>
  <si>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</si>
  <si>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</si>
  <si>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</si>
  <si>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</si>
  <si>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</si>
  <si>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</si>
  <si>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</si>
  <si>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</si>
  <si>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</si>
  <si>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</si>
  <si>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</si>
  <si>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</si>
  <si>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</si>
  <si>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</si>
  <si>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</si>
  <si>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</si>
  <si>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</si>
  <si>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</si>
  <si>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</si>
  <si>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</si>
  <si>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</si>
  <si>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</si>
  <si>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</si>
  <si>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</si>
  <si>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</si>
  <si>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</si>
  <si>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</si>
  <si>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</si>
  <si>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</si>
  <si>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</si>
  <si>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</si>
  <si>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</si>
  <si>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</si>
  <si>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</si>
  <si>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</si>
  <si>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</si>
  <si>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</si>
  <si>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</si>
  <si>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</si>
  <si>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</si>
  <si>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</si>
  <si>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</si>
  <si>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</si>
  <si>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</si>
  <si>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</si>
  <si>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</si>
  <si>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</si>
  <si>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</si>
  <si>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</si>
  <si>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</si>
  <si>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</si>
  <si>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</si>
  <si>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</si>
  <si>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</si>
  <si>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</si>
  <si>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</si>
  <si>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</si>
  <si>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</si>
  <si>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</si>
  <si>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B</t>
  </si>
  <si>
    <t>C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</si>
  <si>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</si>
  <si>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</si>
  <si>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</si>
  <si>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</si>
  <si>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</si>
  <si>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</si>
  <si>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</si>
  <si>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</si>
  <si>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</si>
  <si>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</si>
  <si>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</si>
  <si>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</si>
  <si>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</si>
  <si>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</si>
  <si>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</si>
  <si>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</si>
  <si>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</si>
  <si>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</si>
  <si>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</si>
  <si>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</si>
  <si>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</si>
  <si>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</si>
  <si>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</si>
  <si>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</si>
  <si>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</si>
  <si>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</si>
  <si>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</si>
  <si>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</si>
  <si>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</si>
  <si>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</si>
  <si>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</si>
  <si>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</si>
  <si>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</si>
  <si>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</si>
  <si>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</si>
  <si>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</si>
  <si>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</si>
  <si>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</si>
  <si>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</si>
  <si>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</si>
  <si>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</si>
  <si>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</si>
  <si>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</si>
  <si>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</si>
  <si>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</si>
  <si>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</si>
  <si>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</si>
  <si>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</si>
  <si>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</si>
  <si>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</si>
  <si>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</si>
  <si>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</si>
  <si>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</si>
  <si>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</si>
  <si>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</si>
  <si>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</si>
  <si>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</si>
  <si>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</si>
  <si>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</si>
  <si>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</si>
  <si>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</si>
  <si>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</si>
  <si>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</si>
  <si>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</si>
  <si>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</si>
  <si>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</si>
  <si>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</si>
  <si>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</si>
  <si>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</si>
  <si>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</si>
  <si>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</si>
  <si>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</si>
  <si>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</si>
  <si>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</si>
  <si>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</si>
  <si>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</si>
  <si>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</si>
  <si>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</si>
  <si>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</si>
  <si>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</si>
  <si>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</si>
  <si>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</si>
  <si>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</si>
  <si>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</si>
  <si>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</si>
  <si>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</si>
  <si>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</si>
  <si>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</si>
  <si>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</si>
  <si>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</si>
  <si>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</si>
  <si>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</si>
  <si>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</si>
  <si>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</si>
  <si>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</si>
  <si>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</si>
  <si>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</si>
  <si>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</si>
  <si>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Sanpada</t>
  </si>
  <si>
    <t>M/s.Shikhar Enterprises</t>
  </si>
  <si>
    <t>The Orbis</t>
  </si>
  <si>
    <t>P52000021134</t>
  </si>
  <si>
    <t>Survey No</t>
  </si>
  <si>
    <t>31/2/2, 37/2/2 &amp; 37/3</t>
  </si>
  <si>
    <t>Chavane</t>
  </si>
  <si>
    <t>Raigad</t>
  </si>
  <si>
    <t>Savroli - Kharpada Road</t>
  </si>
  <si>
    <t xml:space="preserve">Rasayani </t>
  </si>
  <si>
    <t>Open Plot</t>
  </si>
  <si>
    <t>Jindal Stainless Steelway Ltd</t>
  </si>
  <si>
    <t>MS/LNA-1/S.R/101/2017</t>
  </si>
  <si>
    <t>17/05/2019.</t>
  </si>
  <si>
    <t>Ground Floor is For Parking &amp; Commercial</t>
  </si>
  <si>
    <t>Shop</t>
  </si>
  <si>
    <t xml:space="preserve">A Wing </t>
  </si>
  <si>
    <t>B Wing</t>
  </si>
  <si>
    <t xml:space="preserve">Ground Floor </t>
  </si>
  <si>
    <t>Ground Floor</t>
  </si>
  <si>
    <t>Balcony</t>
  </si>
  <si>
    <t>1st Floor</t>
  </si>
  <si>
    <t>1BHK</t>
  </si>
  <si>
    <t>2BHK</t>
  </si>
  <si>
    <t>2nd, 4th &amp; 6th Floor</t>
  </si>
  <si>
    <t>3rd &amp; 5th Floor</t>
  </si>
  <si>
    <t>7th Floor</t>
  </si>
  <si>
    <t>1RK</t>
  </si>
  <si>
    <t>C Wing</t>
  </si>
  <si>
    <t xml:space="preserve">Ground Floor is For Parking </t>
  </si>
  <si>
    <t>1st, 3rd &amp; 5th Floor</t>
  </si>
  <si>
    <t>D Wing</t>
  </si>
  <si>
    <t>E Wing</t>
  </si>
  <si>
    <t>D</t>
  </si>
  <si>
    <t>E</t>
  </si>
  <si>
    <t xml:space="preserve">Development charges </t>
  </si>
  <si>
    <t>Society, Club House Membership Charges</t>
  </si>
  <si>
    <t>Residential + Commercial</t>
  </si>
  <si>
    <t>5500/-</t>
  </si>
  <si>
    <t>05 Wings</t>
  </si>
  <si>
    <t>Material laying at Site:  Cement, Steel etc.</t>
  </si>
  <si>
    <t>Quality of construction: Good</t>
  </si>
  <si>
    <t>19/12/2020.</t>
  </si>
  <si>
    <t>Pratiksha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</si>
  <si>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</si>
  <si>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</si>
  <si>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</si>
  <si>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</si>
  <si>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</si>
  <si>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</si>
  <si>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</si>
  <si>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</si>
  <si>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</si>
  <si>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</si>
  <si>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</si>
  <si>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</si>
  <si>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</si>
  <si>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</si>
  <si>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</si>
  <si>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</si>
  <si>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</si>
  <si>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</si>
  <si>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</si>
  <si>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</si>
  <si>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</si>
  <si>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</si>
  <si>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</si>
  <si>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</si>
  <si>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Wing A, B, C, D &amp; E = G + 1st to 7th Floor</t>
  </si>
  <si>
    <t>Wing C = G + 1st to 7th Floor</t>
  </si>
  <si>
    <t>Flats = 339, Shop = 14</t>
  </si>
  <si>
    <t xml:space="preserve">175000/- </t>
  </si>
  <si>
    <t>Wheather the construction is as per approved Building plan : Under Construction</t>
  </si>
  <si>
    <t>As per RERA = 30/12/2025</t>
  </si>
  <si>
    <t>Wing B = G + 1st to 7th Floor</t>
  </si>
  <si>
    <t>Wing A = G + 1st to 7th Floor</t>
  </si>
  <si>
    <t>Smith</t>
  </si>
  <si>
    <t>IGR</t>
  </si>
  <si>
    <t>150000/-</t>
  </si>
  <si>
    <t>3600 to 4000</t>
  </si>
  <si>
    <t>Location Link</t>
  </si>
  <si>
    <t>https://goo.gl/maps/GVL9aJkfv7J44tFc7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</si>
  <si>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</si>
  <si>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Contact Details ( Name &amp; Contact No.)</t>
  </si>
  <si>
    <t>Site Meet Person Contact Details ( Name &amp; Contact No.)</t>
  </si>
  <si>
    <t>Mr. Ravindra 9820707228</t>
  </si>
  <si>
    <t>18.8617439,73.158789</t>
  </si>
  <si>
    <t>Nitesh Patil</t>
  </si>
  <si>
    <t>Wing D &amp; E = G + 1st to 7th Floor</t>
  </si>
  <si>
    <t>6.6Km from Rasayani Railway Station</t>
  </si>
  <si>
    <t xml:space="preserve">Wing A to E
</t>
  </si>
  <si>
    <t>MS/L.N.A.1(B)/S.R101/2017
Wing A to E = G + 1st to 7th Floor</t>
  </si>
  <si>
    <t xml:space="preserve">Commencement Certificate No.
Valid Up to: </t>
  </si>
  <si>
    <t>1. Wing A &amp; C  = Construction work is in process at the time of visit.
    Wing D &amp; E = All work completed. Provide OC
    Wing B = Work not yet started.
2. We considered Wing A, B commercial &amp; Wing A to E residential flat Saleable area as per Builder area sheet.
3. We considered Gross carpet area = Net carpet + Enclose balcony + C.B Area + W.S Area.
4. We have considered rate by verifying it from market inquire.
5. Car parking is subjected to authentic documentation.
6. The project has received first CC on 17/05/2019, But construction work of Wing A &amp; C is not yet completed &amp; B wing is not yet started.
6. On site, we meet Mr. Ravindra : 9820707228.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</si>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</sst>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46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/>
    <xf numFmtId="0" fontId="6" fillId="2" borderId="4" xfId="1" applyFont="1" applyFill="1" applyBorder="1" applyAlignment="1">
      <alignment vertical="top"/>
    </xf>
    <xf numFmtId="0" fontId="6" fillId="0" borderId="0" xfId="2" applyFont="1"/>
    <xf numFmtId="1" fontId="3" fillId="0" borderId="4" xfId="1" applyNumberFormat="1" applyFont="1" applyBorder="1" applyAlignment="1">
      <alignment horizontal="center" vertical="top" wrapTex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/>
    <xf numFmtId="0" fontId="6" fillId="2" borderId="4" xfId="1" applyFont="1" applyFill="1" applyBorder="1" applyAlignment="1">
      <alignment horizontal="left" vertical="top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3" borderId="4" xfId="0" applyFont="1" applyFill="1" applyBorder="1"/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0" fontId="13" fillId="0" borderId="0" xfId="1" applyFont="1"/>
    <xf numFmtId="1" fontId="7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7" fillId="0" borderId="0" xfId="1" applyFont="1" applyProtection="1">
      <protection hidden="1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0" fontId="13" fillId="0" borderId="23" xfId="1" applyFont="1" applyBorder="1" applyAlignment="1" applyProtection="1">
      <alignment horizontal="center" wrapText="1"/>
      <protection locked="0"/>
    </xf>
    <xf numFmtId="0" fontId="7" fillId="0" borderId="0" xfId="1" applyFont="1" applyAlignment="1">
      <alignment horizontal="center"/>
    </xf>
    <xf numFmtId="0" fontId="7" fillId="3" borderId="0" xfId="1" applyFont="1" applyFill="1"/>
    <xf numFmtId="14" fontId="7" fillId="3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3" fillId="0" borderId="28" xfId="1" applyFont="1" applyBorder="1" applyAlignment="1" applyProtection="1">
      <alignment horizontal="center" vertical="top" wrapText="1"/>
      <protection locked="0"/>
    </xf>
    <xf numFmtId="14" fontId="13" fillId="0" borderId="4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left" vertical="top"/>
    </xf>
    <xf numFmtId="164" fontId="6" fillId="0" borderId="2" xfId="1" applyNumberFormat="1" applyFont="1" applyBorder="1" applyAlignment="1">
      <alignment horizontal="left" vertical="top"/>
    </xf>
    <xf numFmtId="164" fontId="6" fillId="0" borderId="3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6" fillId="2" borderId="4" xfId="1" applyFont="1" applyFill="1" applyBorder="1" applyAlignment="1">
      <alignment horizontal="left" vertical="top"/>
    </xf>
    <xf numFmtId="0" fontId="6" fillId="0" borderId="4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19" fillId="0" borderId="1" xfId="5" applyFill="1" applyBorder="1" applyAlignment="1">
      <alignment horizontal="left" vertical="top"/>
    </xf>
    <xf numFmtId="165" fontId="6" fillId="0" borderId="1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vertical="top" wrapText="1"/>
    </xf>
    <xf numFmtId="165" fontId="6" fillId="0" borderId="3" xfId="1" applyNumberFormat="1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/>
    </xf>
    <xf numFmtId="165" fontId="6" fillId="0" borderId="2" xfId="1" applyNumberFormat="1" applyFont="1" applyBorder="1" applyAlignment="1">
      <alignment horizontal="left" vertical="top"/>
    </xf>
    <xf numFmtId="165" fontId="6" fillId="0" borderId="3" xfId="1" applyNumberFormat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13" fillId="0" borderId="1" xfId="1" applyFont="1" applyBorder="1" applyAlignment="1">
      <alignment horizontal="center" vertical="top"/>
    </xf>
    <xf numFmtId="0" fontId="13" fillId="0" borderId="3" xfId="1" applyFont="1" applyBorder="1" applyAlignment="1">
      <alignment horizontal="center" vertical="top"/>
    </xf>
    <xf numFmtId="0" fontId="13" fillId="0" borderId="1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13" fillId="2" borderId="1" xfId="1" applyFont="1" applyFill="1" applyBorder="1" applyAlignment="1">
      <alignment horizontal="left" vertical="top"/>
    </xf>
    <xf numFmtId="0" fontId="13" fillId="2" borderId="2" xfId="1" applyFont="1" applyFill="1" applyBorder="1" applyAlignment="1">
      <alignment horizontal="left" vertical="top"/>
    </xf>
    <xf numFmtId="0" fontId="13" fillId="2" borderId="3" xfId="1" applyFont="1" applyFill="1" applyBorder="1" applyAlignment="1">
      <alignment horizontal="left" vertical="top"/>
    </xf>
    <xf numFmtId="0" fontId="14" fillId="0" borderId="1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2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9" xfId="1" applyFont="1" applyBorder="1" applyAlignment="1" applyProtection="1">
      <alignment horizontal="center" vertical="top"/>
      <protection locked="0"/>
    </xf>
    <xf numFmtId="0" fontId="14" fillId="0" borderId="18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4" fillId="0" borderId="19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0" fontId="14" fillId="0" borderId="14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1" fontId="8" fillId="0" borderId="4" xfId="0" applyNumberFormat="1" applyFont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4" fillId="0" borderId="25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30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9" fontId="14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32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14" fillId="0" borderId="31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27" xfId="1" applyFont="1" applyBorder="1" applyAlignment="1" applyProtection="1">
      <alignment horizontal="center" vertical="center" wrapText="1"/>
      <protection locked="0"/>
    </xf>
    <xf numFmtId="0" fontId="14" fillId="0" borderId="34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6">
    <cellStyle name="Excel Built-in Normal" xfId="2" xr:uid="{00000000-0005-0000-0000-000000000000}"/>
    <cellStyle name="Hyperlink" xfId="5" builtinId="8"/>
    <cellStyle name="Normal" xfId="0" builtinId="0"/>
    <cellStyle name="Normal 2" xfId="3" xr:uid="{00000000-0005-0000-0000-000003000000}"/>
    <cellStyle name="Normal 3" xfId="1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jpeg"/><Relationship Id="rId1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806163</xdr:colOff>
      <xdr:row>411</xdr:row>
      <xdr:rowOff>63000</xdr:rowOff>
    </xdr:from>
    <xdr:to>
      <xdr:col>8</xdr:col>
      <xdr:colOff>6763</xdr:colOff>
      <xdr:row>425</xdr:row>
      <xdr:rowOff>154772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6163" y="89113091"/>
          <a:ext cx="460387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797503</xdr:colOff>
      <xdr:row>396</xdr:row>
      <xdr:rowOff>17318</xdr:rowOff>
    </xdr:from>
    <xdr:to>
      <xdr:col>8</xdr:col>
      <xdr:colOff>4118</xdr:colOff>
      <xdr:row>410</xdr:row>
      <xdr:rowOff>109091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7503" y="86080023"/>
          <a:ext cx="460275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14</xdr:col>
      <xdr:colOff>132721</xdr:colOff>
      <xdr:row>352</xdr:row>
      <xdr:rowOff>0</xdr:rowOff>
    </xdr:from>
    <xdr:ext cx="714298" cy="31149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690851" y="77815109"/>
          <a:ext cx="714298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IN" sz="1400" b="1">
              <a:solidFill>
                <a:schemeClr val="tx1"/>
              </a:solidFill>
              <a:latin typeface="+mn-lt"/>
              <a:ea typeface="+mn-ea"/>
              <a:cs typeface="+mn-cs"/>
            </a:rPr>
            <a:t>Wing B</a:t>
          </a:r>
        </a:p>
      </xdr:txBody>
    </xdr:sp>
    <xdr:clientData/>
  </xdr:oneCellAnchor>
  <xdr:oneCellAnchor>
    <xdr:from>
      <xdr:col>15</xdr:col>
      <xdr:colOff>196103</xdr:colOff>
      <xdr:row>362</xdr:row>
      <xdr:rowOff>128583</xdr:rowOff>
    </xdr:from>
    <xdr:ext cx="713722" cy="31149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367146" y="79923235"/>
          <a:ext cx="713722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chemeClr val="tx1"/>
              </a:solidFill>
              <a:latin typeface="+mn-lt"/>
              <a:ea typeface="+mn-ea"/>
              <a:cs typeface="+mn-cs"/>
            </a:rPr>
            <a:t>Wing</a:t>
          </a:r>
          <a:r>
            <a:rPr lang="en-IN" sz="1100" b="1"/>
            <a:t> </a:t>
          </a:r>
          <a:r>
            <a:rPr lang="en-IN" sz="1400" b="1"/>
            <a:t>E</a:t>
          </a:r>
        </a:p>
      </xdr:txBody>
    </xdr:sp>
    <xdr:clientData/>
  </xdr:oneCellAnchor>
  <xdr:oneCellAnchor>
    <xdr:from>
      <xdr:col>11</xdr:col>
      <xdr:colOff>487215</xdr:colOff>
      <xdr:row>354</xdr:row>
      <xdr:rowOff>89453</xdr:rowOff>
    </xdr:from>
    <xdr:ext cx="722442" cy="31149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032672" y="78070214"/>
          <a:ext cx="722442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IN" sz="1400" b="1">
              <a:solidFill>
                <a:schemeClr val="tx1"/>
              </a:solidFill>
              <a:latin typeface="+mn-lt"/>
              <a:ea typeface="+mn-ea"/>
              <a:cs typeface="+mn-cs"/>
            </a:rPr>
            <a:t>Wing A</a:t>
          </a:r>
        </a:p>
      </xdr:txBody>
    </xdr:sp>
    <xdr:clientData/>
  </xdr:oneCellAnchor>
  <xdr:oneCellAnchor>
    <xdr:from>
      <xdr:col>10</xdr:col>
      <xdr:colOff>373453</xdr:colOff>
      <xdr:row>359</xdr:row>
      <xdr:rowOff>122778</xdr:rowOff>
    </xdr:from>
    <xdr:ext cx="722442" cy="311496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01366" y="79089169"/>
          <a:ext cx="722442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IN" sz="1400" b="1">
              <a:solidFill>
                <a:schemeClr val="tx1"/>
              </a:solidFill>
              <a:latin typeface="+mn-lt"/>
              <a:ea typeface="+mn-ea"/>
              <a:cs typeface="+mn-cs"/>
            </a:rPr>
            <a:t>Wing D</a:t>
          </a:r>
        </a:p>
      </xdr:txBody>
    </xdr:sp>
    <xdr:clientData/>
  </xdr:oneCellAnchor>
  <xdr:oneCellAnchor>
    <xdr:from>
      <xdr:col>11</xdr:col>
      <xdr:colOff>142273</xdr:colOff>
      <xdr:row>359</xdr:row>
      <xdr:rowOff>48235</xdr:rowOff>
    </xdr:from>
    <xdr:ext cx="722442" cy="311496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687730" y="79014626"/>
          <a:ext cx="722442" cy="311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en-IN" sz="1400" b="1">
              <a:solidFill>
                <a:schemeClr val="tx1"/>
              </a:solidFill>
              <a:latin typeface="+mn-lt"/>
              <a:ea typeface="+mn-ea"/>
              <a:cs typeface="+mn-cs"/>
            </a:rPr>
            <a:t>Wing E</a:t>
          </a:r>
        </a:p>
      </xdr:txBody>
    </xdr:sp>
    <xdr:clientData/>
  </xdr:oneCellAnchor>
  <xdr:twoCellAnchor>
    <xdr:from>
      <xdr:col>10</xdr:col>
      <xdr:colOff>285751</xdr:colOff>
      <xdr:row>349</xdr:row>
      <xdr:rowOff>180975</xdr:rowOff>
    </xdr:from>
    <xdr:to>
      <xdr:col>19</xdr:col>
      <xdr:colOff>125731</xdr:colOff>
      <xdr:row>386</xdr:row>
      <xdr:rowOff>161925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9C9E8376-41B1-4573-A05E-ADA244FC2F88}"/>
            </a:ext>
          </a:extLst>
        </xdr:cNvPr>
        <xdr:cNvGrpSpPr/>
      </xdr:nvGrpSpPr>
      <xdr:grpSpPr>
        <a:xfrm>
          <a:off x="7090411" y="70963155"/>
          <a:ext cx="6286500" cy="7303770"/>
          <a:chOff x="651116" y="251013"/>
          <a:chExt cx="5470108" cy="7021975"/>
        </a:xfrm>
      </xdr:grpSpPr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149396B2-6B44-499A-83DC-98DE4955E866}"/>
              </a:ext>
            </a:extLst>
          </xdr:cNvPr>
          <xdr:cNvGrpSpPr/>
        </xdr:nvGrpSpPr>
        <xdr:grpSpPr>
          <a:xfrm>
            <a:off x="651116" y="251013"/>
            <a:ext cx="5470108" cy="7021975"/>
            <a:chOff x="651116" y="251013"/>
            <a:chExt cx="5470108" cy="7021975"/>
          </a:xfrm>
        </xdr:grpSpPr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86250177-DBFE-4D83-A5D1-B67D323534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68151" y="25101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DFCCC31B-21B3-4F02-A7EB-1E5BA302AE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30033" y="251013"/>
              <a:ext cx="335533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42AE706B-65D2-4A5E-8D54-69A6258BD8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51116" y="2958354"/>
              <a:ext cx="175256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F583F153-4B20-46AA-90FE-6F3E6D0D27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9889" y="2958354"/>
              <a:ext cx="175256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465B77C7-0824-48B3-8816-4DBFC80E6E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8662" y="2958354"/>
              <a:ext cx="175256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9145588F-56CE-4788-A75E-969F24B2B1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9451" y="5472988"/>
              <a:ext cx="239666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EBF3643C-EA25-4FD2-BEB0-511C090009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52595" y="5472988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DCFA2AFB-9AA6-4179-B153-A0C424AE2B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37197" y="5472988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0" name="TextBox 254">
            <a:extLst>
              <a:ext uri="{FF2B5EF4-FFF2-40B4-BE49-F238E27FC236}">
                <a16:creationId xmlns:a16="http://schemas.microsoft.com/office/drawing/2014/main" id="{F0C45104-5D4D-4A79-879D-7F20C8C1019E}"/>
              </a:ext>
            </a:extLst>
          </xdr:cNvPr>
          <xdr:cNvSpPr txBox="1"/>
        </xdr:nvSpPr>
        <xdr:spPr>
          <a:xfrm>
            <a:off x="772634" y="286871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255">
            <a:extLst>
              <a:ext uri="{FF2B5EF4-FFF2-40B4-BE49-F238E27FC236}">
                <a16:creationId xmlns:a16="http://schemas.microsoft.com/office/drawing/2014/main" id="{B802265E-0ECD-4643-B6B0-B47D30374758}"/>
              </a:ext>
            </a:extLst>
          </xdr:cNvPr>
          <xdr:cNvSpPr txBox="1"/>
        </xdr:nvSpPr>
        <xdr:spPr>
          <a:xfrm>
            <a:off x="3969918" y="781708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256">
            <a:extLst>
              <a:ext uri="{FF2B5EF4-FFF2-40B4-BE49-F238E27FC236}">
                <a16:creationId xmlns:a16="http://schemas.microsoft.com/office/drawing/2014/main" id="{8989FD77-0CAD-493E-93E6-A601C45B8060}"/>
              </a:ext>
            </a:extLst>
          </xdr:cNvPr>
          <xdr:cNvSpPr txBox="1"/>
        </xdr:nvSpPr>
        <xdr:spPr>
          <a:xfrm>
            <a:off x="651116" y="293237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257">
            <a:extLst>
              <a:ext uri="{FF2B5EF4-FFF2-40B4-BE49-F238E27FC236}">
                <a16:creationId xmlns:a16="http://schemas.microsoft.com/office/drawing/2014/main" id="{17CBCC4B-4ACE-4052-BAE7-88B8CCFC9588}"/>
              </a:ext>
            </a:extLst>
          </xdr:cNvPr>
          <xdr:cNvSpPr txBox="1"/>
        </xdr:nvSpPr>
        <xdr:spPr>
          <a:xfrm>
            <a:off x="3238498" y="2997621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258">
            <a:extLst>
              <a:ext uri="{FF2B5EF4-FFF2-40B4-BE49-F238E27FC236}">
                <a16:creationId xmlns:a16="http://schemas.microsoft.com/office/drawing/2014/main" id="{3A7056AB-829C-4410-AFE8-F93FC1EE4D3C}"/>
              </a:ext>
            </a:extLst>
          </xdr:cNvPr>
          <xdr:cNvSpPr txBox="1"/>
        </xdr:nvSpPr>
        <xdr:spPr>
          <a:xfrm>
            <a:off x="5244943" y="295835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E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419100</xdr:colOff>
      <xdr:row>354</xdr:row>
      <xdr:rowOff>22860</xdr:rowOff>
    </xdr:from>
    <xdr:to>
      <xdr:col>9</xdr:col>
      <xdr:colOff>338339</xdr:colOff>
      <xdr:row>390</xdr:row>
      <xdr:rowOff>106180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B9E667-7A02-4792-A8E5-D9BC1109D633}"/>
            </a:ext>
          </a:extLst>
        </xdr:cNvPr>
        <xdr:cNvGrpSpPr/>
      </xdr:nvGrpSpPr>
      <xdr:grpSpPr>
        <a:xfrm>
          <a:off x="419100" y="71795640"/>
          <a:ext cx="6015239" cy="7208020"/>
          <a:chOff x="533887" y="444139"/>
          <a:chExt cx="6015239" cy="720802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FC224472-347E-3003-2A24-CD3D55E1FD8E}"/>
              </a:ext>
            </a:extLst>
          </xdr:cNvPr>
          <xdr:cNvGrpSpPr/>
        </xdr:nvGrpSpPr>
        <xdr:grpSpPr>
          <a:xfrm>
            <a:off x="533887" y="3148149"/>
            <a:ext cx="6015239" cy="2520000"/>
            <a:chOff x="174578" y="2899954"/>
            <a:chExt cx="6015239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E14E257B-FC59-4771-F4F2-BDC1E159DA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4578" y="289995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4AE89CA-E45A-0705-590D-848E03BCF4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38510" y="289995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E785B818-D27A-A9DE-2A40-B1E7967994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2442" y="289995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5EC5EE4A-60D4-1A0C-46F3-23F40E253544}"/>
              </a:ext>
            </a:extLst>
          </xdr:cNvPr>
          <xdr:cNvGrpSpPr/>
        </xdr:nvGrpSpPr>
        <xdr:grpSpPr>
          <a:xfrm>
            <a:off x="831874" y="444139"/>
            <a:ext cx="5419264" cy="2520000"/>
            <a:chOff x="174579" y="195944"/>
            <a:chExt cx="5419264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2AAFF70-D6B6-3AC4-4E9D-9330989CAB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4579" y="195944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A12C8B0-1F9A-D052-5FE0-5E2912F137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38510" y="195944"/>
              <a:ext cx="335533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262CDE38-1812-5BD3-5758-1FBB58A8D922}"/>
              </a:ext>
            </a:extLst>
          </xdr:cNvPr>
          <xdr:cNvGrpSpPr/>
        </xdr:nvGrpSpPr>
        <xdr:grpSpPr>
          <a:xfrm>
            <a:off x="818491" y="5852159"/>
            <a:ext cx="5446030" cy="1800000"/>
            <a:chOff x="-334713" y="5603964"/>
            <a:chExt cx="5446030" cy="180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3994AA0E-1F27-07E0-C7E2-5BE3309089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34713" y="5603964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E2A8B51E-4491-1946-2D36-65BBDBAC3C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63192" y="560396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C8DD9CBD-DD6A-EB5F-FF43-E39E23AF62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38510" y="560396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8" name="TextBox 25">
            <a:extLst>
              <a:ext uri="{FF2B5EF4-FFF2-40B4-BE49-F238E27FC236}">
                <a16:creationId xmlns:a16="http://schemas.microsoft.com/office/drawing/2014/main" id="{E7EFC3E8-C77A-F1B1-D4A2-8C563A0B5E46}"/>
              </a:ext>
            </a:extLst>
          </xdr:cNvPr>
          <xdr:cNvSpPr txBox="1"/>
        </xdr:nvSpPr>
        <xdr:spPr>
          <a:xfrm>
            <a:off x="5676179" y="3156271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E</a:t>
            </a:r>
          </a:p>
        </xdr:txBody>
      </xdr:sp>
      <xdr:sp macro="" textlink="">
        <xdr:nvSpPr>
          <xdr:cNvPr id="9" name="TextBox 26">
            <a:extLst>
              <a:ext uri="{FF2B5EF4-FFF2-40B4-BE49-F238E27FC236}">
                <a16:creationId xmlns:a16="http://schemas.microsoft.com/office/drawing/2014/main" id="{1BAD16E4-A7BE-CDBD-71A4-07FC7BE1875C}"/>
              </a:ext>
            </a:extLst>
          </xdr:cNvPr>
          <xdr:cNvSpPr txBox="1"/>
        </xdr:nvSpPr>
        <xdr:spPr>
          <a:xfrm>
            <a:off x="3601572" y="3294770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D</a:t>
            </a:r>
          </a:p>
        </xdr:txBody>
      </xdr:sp>
      <xdr:sp macro="" textlink="">
        <xdr:nvSpPr>
          <xdr:cNvPr id="10" name="TextBox 27">
            <a:extLst>
              <a:ext uri="{FF2B5EF4-FFF2-40B4-BE49-F238E27FC236}">
                <a16:creationId xmlns:a16="http://schemas.microsoft.com/office/drawing/2014/main" id="{D7A36F03-B9ED-55EE-66B9-91CFA2D4C8A1}"/>
              </a:ext>
            </a:extLst>
          </xdr:cNvPr>
          <xdr:cNvSpPr txBox="1"/>
        </xdr:nvSpPr>
        <xdr:spPr>
          <a:xfrm>
            <a:off x="4314534" y="913270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B</a:t>
            </a:r>
          </a:p>
        </xdr:txBody>
      </xdr:sp>
      <xdr:sp macro="" textlink="">
        <xdr:nvSpPr>
          <xdr:cNvPr id="11" name="TextBox 28">
            <a:extLst>
              <a:ext uri="{FF2B5EF4-FFF2-40B4-BE49-F238E27FC236}">
                <a16:creationId xmlns:a16="http://schemas.microsoft.com/office/drawing/2014/main" id="{2BCE3EC1-533C-59BB-B5FC-36FADA2D7913}"/>
              </a:ext>
            </a:extLst>
          </xdr:cNvPr>
          <xdr:cNvSpPr txBox="1"/>
        </xdr:nvSpPr>
        <xdr:spPr>
          <a:xfrm>
            <a:off x="652586" y="3156271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C</a:t>
            </a:r>
          </a:p>
        </xdr:txBody>
      </xdr:sp>
      <xdr:sp macro="" textlink="">
        <xdr:nvSpPr>
          <xdr:cNvPr id="12" name="TextBox 29">
            <a:extLst>
              <a:ext uri="{FF2B5EF4-FFF2-40B4-BE49-F238E27FC236}">
                <a16:creationId xmlns:a16="http://schemas.microsoft.com/office/drawing/2014/main" id="{29336B38-B7DA-7A8D-FDDE-91CA92DE3D17}"/>
              </a:ext>
            </a:extLst>
          </xdr:cNvPr>
          <xdr:cNvSpPr txBox="1"/>
        </xdr:nvSpPr>
        <xdr:spPr>
          <a:xfrm>
            <a:off x="976553" y="636271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145220</xdr:colOff>
      <xdr:row>1</xdr:row>
      <xdr:rowOff>0</xdr:rowOff>
    </xdr:from>
    <xdr:to>
      <xdr:col>12</xdr:col>
      <xdr:colOff>404007</xdr:colOff>
      <xdr:row>20</xdr:row>
      <xdr:rowOff>125280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6B2E7E-FF2F-445E-8FEA-4AF3B1E2B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4420" y="18288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552000</xdr:colOff>
      <xdr:row>27</xdr:row>
      <xdr:rowOff>40676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ACC2E-0833-4193-AA09-DCF9BED7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73822" y="780658"/>
          <a:ext cx="4795556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VL9aJkfv7J44tFc7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5"/>
  <sheetViews>
    <sheetView tabSelected="1" view="pageBreakPreview" topLeftCell="A366" zoomScaleNormal="100" zoomScaleSheetLayoutView="100" workbookViewId="0">
      <selection activeCell="L349" sqref="L349"/>
    </sheetView>
  </sheetViews>
  <sheetFormatPr defaultRowHeight="15.6" x14ac:dyDescent="0.3"/>
  <cols>
    <col min="1" max="2" width="12.5546875" style="12" customWidth="1"/>
    <col min="3" max="3" width="14.6640625" style="12" customWidth="1"/>
    <col min="4" max="4" width="7.33203125" style="12" customWidth="1"/>
    <col min="5" max="5" width="5.5546875" style="12" customWidth="1"/>
    <col min="6" max="6" width="9.88671875" style="12" customWidth="1"/>
    <col min="7" max="7" width="9.109375" style="12" customWidth="1"/>
    <col min="8" max="8" width="9.33203125" style="12" customWidth="1"/>
    <col min="9" max="9" width="7.88671875" style="12" customWidth="1"/>
    <col min="10" max="10" width="10.33203125" style="12" customWidth="1"/>
    <col min="11" max="11" width="18.33203125" style="12" customWidth="1"/>
    <col min="12" max="13" width="9.109375" style="12"/>
    <col min="14" max="14" width="11.88671875" style="12" bestFit="1" customWidth="1"/>
    <col min="15" max="256" width="9.109375" style="12"/>
    <col min="257" max="257" width="8.6640625" style="12" customWidth="1"/>
    <col min="258" max="258" width="9.88671875" style="12" customWidth="1"/>
    <col min="259" max="259" width="14.44140625" style="12" customWidth="1"/>
    <col min="260" max="260" width="7.33203125" style="12" customWidth="1"/>
    <col min="261" max="261" width="5.5546875" style="12" customWidth="1"/>
    <col min="262" max="262" width="9" style="12" customWidth="1"/>
    <col min="263" max="264" width="9.88671875" style="12" customWidth="1"/>
    <col min="265" max="265" width="11.109375" style="12" customWidth="1"/>
    <col min="266" max="266" width="2.88671875" style="12" customWidth="1"/>
    <col min="267" max="267" width="3.5546875" style="12" customWidth="1"/>
    <col min="268" max="512" width="9.109375" style="12"/>
    <col min="513" max="513" width="8.6640625" style="12" customWidth="1"/>
    <col min="514" max="514" width="9.88671875" style="12" customWidth="1"/>
    <col min="515" max="515" width="14.44140625" style="12" customWidth="1"/>
    <col min="516" max="516" width="7.33203125" style="12" customWidth="1"/>
    <col min="517" max="517" width="5.5546875" style="12" customWidth="1"/>
    <col min="518" max="518" width="9" style="12" customWidth="1"/>
    <col min="519" max="520" width="9.88671875" style="12" customWidth="1"/>
    <col min="521" max="521" width="11.109375" style="12" customWidth="1"/>
    <col min="522" max="522" width="2.88671875" style="12" customWidth="1"/>
    <col min="523" max="523" width="3.5546875" style="12" customWidth="1"/>
    <col min="524" max="768" width="9.109375" style="12"/>
    <col min="769" max="769" width="8.6640625" style="12" customWidth="1"/>
    <col min="770" max="770" width="9.88671875" style="12" customWidth="1"/>
    <col min="771" max="771" width="14.44140625" style="12" customWidth="1"/>
    <col min="772" max="772" width="7.33203125" style="12" customWidth="1"/>
    <col min="773" max="773" width="5.5546875" style="12" customWidth="1"/>
    <col min="774" max="774" width="9" style="12" customWidth="1"/>
    <col min="775" max="776" width="9.88671875" style="12" customWidth="1"/>
    <col min="777" max="777" width="11.109375" style="12" customWidth="1"/>
    <col min="778" max="778" width="2.88671875" style="12" customWidth="1"/>
    <col min="779" max="779" width="3.5546875" style="12" customWidth="1"/>
    <col min="780" max="1024" width="9.109375" style="12"/>
    <col min="1025" max="1025" width="8.6640625" style="12" customWidth="1"/>
    <col min="1026" max="1026" width="9.88671875" style="12" customWidth="1"/>
    <col min="1027" max="1027" width="14.44140625" style="12" customWidth="1"/>
    <col min="1028" max="1028" width="7.33203125" style="12" customWidth="1"/>
    <col min="1029" max="1029" width="5.5546875" style="12" customWidth="1"/>
    <col min="1030" max="1030" width="9" style="12" customWidth="1"/>
    <col min="1031" max="1032" width="9.88671875" style="12" customWidth="1"/>
    <col min="1033" max="1033" width="11.109375" style="12" customWidth="1"/>
    <col min="1034" max="1034" width="2.88671875" style="12" customWidth="1"/>
    <col min="1035" max="1035" width="3.5546875" style="12" customWidth="1"/>
    <col min="1036" max="1280" width="9.109375" style="12"/>
    <col min="1281" max="1281" width="8.6640625" style="12" customWidth="1"/>
    <col min="1282" max="1282" width="9.88671875" style="12" customWidth="1"/>
    <col min="1283" max="1283" width="14.44140625" style="12" customWidth="1"/>
    <col min="1284" max="1284" width="7.33203125" style="12" customWidth="1"/>
    <col min="1285" max="1285" width="5.5546875" style="12" customWidth="1"/>
    <col min="1286" max="1286" width="9" style="12" customWidth="1"/>
    <col min="1287" max="1288" width="9.88671875" style="12" customWidth="1"/>
    <col min="1289" max="1289" width="11.109375" style="12" customWidth="1"/>
    <col min="1290" max="1290" width="2.88671875" style="12" customWidth="1"/>
    <col min="1291" max="1291" width="3.5546875" style="12" customWidth="1"/>
    <col min="1292" max="1536" width="9.109375" style="12"/>
    <col min="1537" max="1537" width="8.6640625" style="12" customWidth="1"/>
    <col min="1538" max="1538" width="9.88671875" style="12" customWidth="1"/>
    <col min="1539" max="1539" width="14.44140625" style="12" customWidth="1"/>
    <col min="1540" max="1540" width="7.33203125" style="12" customWidth="1"/>
    <col min="1541" max="1541" width="5.5546875" style="12" customWidth="1"/>
    <col min="1542" max="1542" width="9" style="12" customWidth="1"/>
    <col min="1543" max="1544" width="9.88671875" style="12" customWidth="1"/>
    <col min="1545" max="1545" width="11.109375" style="12" customWidth="1"/>
    <col min="1546" max="1546" width="2.88671875" style="12" customWidth="1"/>
    <col min="1547" max="1547" width="3.5546875" style="12" customWidth="1"/>
    <col min="1548" max="1792" width="9.109375" style="12"/>
    <col min="1793" max="1793" width="8.6640625" style="12" customWidth="1"/>
    <col min="1794" max="1794" width="9.88671875" style="12" customWidth="1"/>
    <col min="1795" max="1795" width="14.44140625" style="12" customWidth="1"/>
    <col min="1796" max="1796" width="7.33203125" style="12" customWidth="1"/>
    <col min="1797" max="1797" width="5.5546875" style="12" customWidth="1"/>
    <col min="1798" max="1798" width="9" style="12" customWidth="1"/>
    <col min="1799" max="1800" width="9.88671875" style="12" customWidth="1"/>
    <col min="1801" max="1801" width="11.109375" style="12" customWidth="1"/>
    <col min="1802" max="1802" width="2.88671875" style="12" customWidth="1"/>
    <col min="1803" max="1803" width="3.5546875" style="12" customWidth="1"/>
    <col min="1804" max="2048" width="9.109375" style="12"/>
    <col min="2049" max="2049" width="8.6640625" style="12" customWidth="1"/>
    <col min="2050" max="2050" width="9.88671875" style="12" customWidth="1"/>
    <col min="2051" max="2051" width="14.44140625" style="12" customWidth="1"/>
    <col min="2052" max="2052" width="7.33203125" style="12" customWidth="1"/>
    <col min="2053" max="2053" width="5.5546875" style="12" customWidth="1"/>
    <col min="2054" max="2054" width="9" style="12" customWidth="1"/>
    <col min="2055" max="2056" width="9.88671875" style="12" customWidth="1"/>
    <col min="2057" max="2057" width="11.109375" style="12" customWidth="1"/>
    <col min="2058" max="2058" width="2.88671875" style="12" customWidth="1"/>
    <col min="2059" max="2059" width="3.5546875" style="12" customWidth="1"/>
    <col min="2060" max="2304" width="9.109375" style="12"/>
    <col min="2305" max="2305" width="8.6640625" style="12" customWidth="1"/>
    <col min="2306" max="2306" width="9.88671875" style="12" customWidth="1"/>
    <col min="2307" max="2307" width="14.44140625" style="12" customWidth="1"/>
    <col min="2308" max="2308" width="7.33203125" style="12" customWidth="1"/>
    <col min="2309" max="2309" width="5.5546875" style="12" customWidth="1"/>
    <col min="2310" max="2310" width="9" style="12" customWidth="1"/>
    <col min="2311" max="2312" width="9.88671875" style="12" customWidth="1"/>
    <col min="2313" max="2313" width="11.109375" style="12" customWidth="1"/>
    <col min="2314" max="2314" width="2.88671875" style="12" customWidth="1"/>
    <col min="2315" max="2315" width="3.5546875" style="12" customWidth="1"/>
    <col min="2316" max="2560" width="9.109375" style="12"/>
    <col min="2561" max="2561" width="8.6640625" style="12" customWidth="1"/>
    <col min="2562" max="2562" width="9.88671875" style="12" customWidth="1"/>
    <col min="2563" max="2563" width="14.44140625" style="12" customWidth="1"/>
    <col min="2564" max="2564" width="7.33203125" style="12" customWidth="1"/>
    <col min="2565" max="2565" width="5.5546875" style="12" customWidth="1"/>
    <col min="2566" max="2566" width="9" style="12" customWidth="1"/>
    <col min="2567" max="2568" width="9.88671875" style="12" customWidth="1"/>
    <col min="2569" max="2569" width="11.109375" style="12" customWidth="1"/>
    <col min="2570" max="2570" width="2.88671875" style="12" customWidth="1"/>
    <col min="2571" max="2571" width="3.5546875" style="12" customWidth="1"/>
    <col min="2572" max="2816" width="9.109375" style="12"/>
    <col min="2817" max="2817" width="8.6640625" style="12" customWidth="1"/>
    <col min="2818" max="2818" width="9.88671875" style="12" customWidth="1"/>
    <col min="2819" max="2819" width="14.44140625" style="12" customWidth="1"/>
    <col min="2820" max="2820" width="7.33203125" style="12" customWidth="1"/>
    <col min="2821" max="2821" width="5.5546875" style="12" customWidth="1"/>
    <col min="2822" max="2822" width="9" style="12" customWidth="1"/>
    <col min="2823" max="2824" width="9.88671875" style="12" customWidth="1"/>
    <col min="2825" max="2825" width="11.109375" style="12" customWidth="1"/>
    <col min="2826" max="2826" width="2.88671875" style="12" customWidth="1"/>
    <col min="2827" max="2827" width="3.5546875" style="12" customWidth="1"/>
    <col min="2828" max="3072" width="9.109375" style="12"/>
    <col min="3073" max="3073" width="8.6640625" style="12" customWidth="1"/>
    <col min="3074" max="3074" width="9.88671875" style="12" customWidth="1"/>
    <col min="3075" max="3075" width="14.44140625" style="12" customWidth="1"/>
    <col min="3076" max="3076" width="7.33203125" style="12" customWidth="1"/>
    <col min="3077" max="3077" width="5.5546875" style="12" customWidth="1"/>
    <col min="3078" max="3078" width="9" style="12" customWidth="1"/>
    <col min="3079" max="3080" width="9.88671875" style="12" customWidth="1"/>
    <col min="3081" max="3081" width="11.109375" style="12" customWidth="1"/>
    <col min="3082" max="3082" width="2.88671875" style="12" customWidth="1"/>
    <col min="3083" max="3083" width="3.5546875" style="12" customWidth="1"/>
    <col min="3084" max="3328" width="9.109375" style="12"/>
    <col min="3329" max="3329" width="8.6640625" style="12" customWidth="1"/>
    <col min="3330" max="3330" width="9.88671875" style="12" customWidth="1"/>
    <col min="3331" max="3331" width="14.44140625" style="12" customWidth="1"/>
    <col min="3332" max="3332" width="7.33203125" style="12" customWidth="1"/>
    <col min="3333" max="3333" width="5.5546875" style="12" customWidth="1"/>
    <col min="3334" max="3334" width="9" style="12" customWidth="1"/>
    <col min="3335" max="3336" width="9.88671875" style="12" customWidth="1"/>
    <col min="3337" max="3337" width="11.109375" style="12" customWidth="1"/>
    <col min="3338" max="3338" width="2.88671875" style="12" customWidth="1"/>
    <col min="3339" max="3339" width="3.5546875" style="12" customWidth="1"/>
    <col min="3340" max="3584" width="9.109375" style="12"/>
    <col min="3585" max="3585" width="8.6640625" style="12" customWidth="1"/>
    <col min="3586" max="3586" width="9.88671875" style="12" customWidth="1"/>
    <col min="3587" max="3587" width="14.44140625" style="12" customWidth="1"/>
    <col min="3588" max="3588" width="7.33203125" style="12" customWidth="1"/>
    <col min="3589" max="3589" width="5.5546875" style="12" customWidth="1"/>
    <col min="3590" max="3590" width="9" style="12" customWidth="1"/>
    <col min="3591" max="3592" width="9.88671875" style="12" customWidth="1"/>
    <col min="3593" max="3593" width="11.109375" style="12" customWidth="1"/>
    <col min="3594" max="3594" width="2.88671875" style="12" customWidth="1"/>
    <col min="3595" max="3595" width="3.5546875" style="12" customWidth="1"/>
    <col min="3596" max="3840" width="9.109375" style="12"/>
    <col min="3841" max="3841" width="8.6640625" style="12" customWidth="1"/>
    <col min="3842" max="3842" width="9.88671875" style="12" customWidth="1"/>
    <col min="3843" max="3843" width="14.44140625" style="12" customWidth="1"/>
    <col min="3844" max="3844" width="7.33203125" style="12" customWidth="1"/>
    <col min="3845" max="3845" width="5.5546875" style="12" customWidth="1"/>
    <col min="3846" max="3846" width="9" style="12" customWidth="1"/>
    <col min="3847" max="3848" width="9.88671875" style="12" customWidth="1"/>
    <col min="3849" max="3849" width="11.109375" style="12" customWidth="1"/>
    <col min="3850" max="3850" width="2.88671875" style="12" customWidth="1"/>
    <col min="3851" max="3851" width="3.5546875" style="12" customWidth="1"/>
    <col min="3852" max="4096" width="9.109375" style="12"/>
    <col min="4097" max="4097" width="8.6640625" style="12" customWidth="1"/>
    <col min="4098" max="4098" width="9.88671875" style="12" customWidth="1"/>
    <col min="4099" max="4099" width="14.44140625" style="12" customWidth="1"/>
    <col min="4100" max="4100" width="7.33203125" style="12" customWidth="1"/>
    <col min="4101" max="4101" width="5.5546875" style="12" customWidth="1"/>
    <col min="4102" max="4102" width="9" style="12" customWidth="1"/>
    <col min="4103" max="4104" width="9.88671875" style="12" customWidth="1"/>
    <col min="4105" max="4105" width="11.109375" style="12" customWidth="1"/>
    <col min="4106" max="4106" width="2.88671875" style="12" customWidth="1"/>
    <col min="4107" max="4107" width="3.5546875" style="12" customWidth="1"/>
    <col min="4108" max="4352" width="9.109375" style="12"/>
    <col min="4353" max="4353" width="8.6640625" style="12" customWidth="1"/>
    <col min="4354" max="4354" width="9.88671875" style="12" customWidth="1"/>
    <col min="4355" max="4355" width="14.44140625" style="12" customWidth="1"/>
    <col min="4356" max="4356" width="7.33203125" style="12" customWidth="1"/>
    <col min="4357" max="4357" width="5.5546875" style="12" customWidth="1"/>
    <col min="4358" max="4358" width="9" style="12" customWidth="1"/>
    <col min="4359" max="4360" width="9.88671875" style="12" customWidth="1"/>
    <col min="4361" max="4361" width="11.109375" style="12" customWidth="1"/>
    <col min="4362" max="4362" width="2.88671875" style="12" customWidth="1"/>
    <col min="4363" max="4363" width="3.5546875" style="12" customWidth="1"/>
    <col min="4364" max="4608" width="9.109375" style="12"/>
    <col min="4609" max="4609" width="8.6640625" style="12" customWidth="1"/>
    <col min="4610" max="4610" width="9.88671875" style="12" customWidth="1"/>
    <col min="4611" max="4611" width="14.44140625" style="12" customWidth="1"/>
    <col min="4612" max="4612" width="7.33203125" style="12" customWidth="1"/>
    <col min="4613" max="4613" width="5.5546875" style="12" customWidth="1"/>
    <col min="4614" max="4614" width="9" style="12" customWidth="1"/>
    <col min="4615" max="4616" width="9.88671875" style="12" customWidth="1"/>
    <col min="4617" max="4617" width="11.109375" style="12" customWidth="1"/>
    <col min="4618" max="4618" width="2.88671875" style="12" customWidth="1"/>
    <col min="4619" max="4619" width="3.5546875" style="12" customWidth="1"/>
    <col min="4620" max="4864" width="9.109375" style="12"/>
    <col min="4865" max="4865" width="8.6640625" style="12" customWidth="1"/>
    <col min="4866" max="4866" width="9.88671875" style="12" customWidth="1"/>
    <col min="4867" max="4867" width="14.44140625" style="12" customWidth="1"/>
    <col min="4868" max="4868" width="7.33203125" style="12" customWidth="1"/>
    <col min="4869" max="4869" width="5.5546875" style="12" customWidth="1"/>
    <col min="4870" max="4870" width="9" style="12" customWidth="1"/>
    <col min="4871" max="4872" width="9.88671875" style="12" customWidth="1"/>
    <col min="4873" max="4873" width="11.109375" style="12" customWidth="1"/>
    <col min="4874" max="4874" width="2.88671875" style="12" customWidth="1"/>
    <col min="4875" max="4875" width="3.5546875" style="12" customWidth="1"/>
    <col min="4876" max="5120" width="9.109375" style="12"/>
    <col min="5121" max="5121" width="8.6640625" style="12" customWidth="1"/>
    <col min="5122" max="5122" width="9.88671875" style="12" customWidth="1"/>
    <col min="5123" max="5123" width="14.44140625" style="12" customWidth="1"/>
    <col min="5124" max="5124" width="7.33203125" style="12" customWidth="1"/>
    <col min="5125" max="5125" width="5.5546875" style="12" customWidth="1"/>
    <col min="5126" max="5126" width="9" style="12" customWidth="1"/>
    <col min="5127" max="5128" width="9.88671875" style="12" customWidth="1"/>
    <col min="5129" max="5129" width="11.109375" style="12" customWidth="1"/>
    <col min="5130" max="5130" width="2.88671875" style="12" customWidth="1"/>
    <col min="5131" max="5131" width="3.5546875" style="12" customWidth="1"/>
    <col min="5132" max="5376" width="9.109375" style="12"/>
    <col min="5377" max="5377" width="8.6640625" style="12" customWidth="1"/>
    <col min="5378" max="5378" width="9.88671875" style="12" customWidth="1"/>
    <col min="5379" max="5379" width="14.44140625" style="12" customWidth="1"/>
    <col min="5380" max="5380" width="7.33203125" style="12" customWidth="1"/>
    <col min="5381" max="5381" width="5.5546875" style="12" customWidth="1"/>
    <col min="5382" max="5382" width="9" style="12" customWidth="1"/>
    <col min="5383" max="5384" width="9.88671875" style="12" customWidth="1"/>
    <col min="5385" max="5385" width="11.109375" style="12" customWidth="1"/>
    <col min="5386" max="5386" width="2.88671875" style="12" customWidth="1"/>
    <col min="5387" max="5387" width="3.5546875" style="12" customWidth="1"/>
    <col min="5388" max="5632" width="9.109375" style="12"/>
    <col min="5633" max="5633" width="8.6640625" style="12" customWidth="1"/>
    <col min="5634" max="5634" width="9.88671875" style="12" customWidth="1"/>
    <col min="5635" max="5635" width="14.44140625" style="12" customWidth="1"/>
    <col min="5636" max="5636" width="7.33203125" style="12" customWidth="1"/>
    <col min="5637" max="5637" width="5.5546875" style="12" customWidth="1"/>
    <col min="5638" max="5638" width="9" style="12" customWidth="1"/>
    <col min="5639" max="5640" width="9.88671875" style="12" customWidth="1"/>
    <col min="5641" max="5641" width="11.109375" style="12" customWidth="1"/>
    <col min="5642" max="5642" width="2.88671875" style="12" customWidth="1"/>
    <col min="5643" max="5643" width="3.5546875" style="12" customWidth="1"/>
    <col min="5644" max="5888" width="9.109375" style="12"/>
    <col min="5889" max="5889" width="8.6640625" style="12" customWidth="1"/>
    <col min="5890" max="5890" width="9.88671875" style="12" customWidth="1"/>
    <col min="5891" max="5891" width="14.44140625" style="12" customWidth="1"/>
    <col min="5892" max="5892" width="7.33203125" style="12" customWidth="1"/>
    <col min="5893" max="5893" width="5.5546875" style="12" customWidth="1"/>
    <col min="5894" max="5894" width="9" style="12" customWidth="1"/>
    <col min="5895" max="5896" width="9.88671875" style="12" customWidth="1"/>
    <col min="5897" max="5897" width="11.109375" style="12" customWidth="1"/>
    <col min="5898" max="5898" width="2.88671875" style="12" customWidth="1"/>
    <col min="5899" max="5899" width="3.5546875" style="12" customWidth="1"/>
    <col min="5900" max="6144" width="9.109375" style="12"/>
    <col min="6145" max="6145" width="8.6640625" style="12" customWidth="1"/>
    <col min="6146" max="6146" width="9.88671875" style="12" customWidth="1"/>
    <col min="6147" max="6147" width="14.44140625" style="12" customWidth="1"/>
    <col min="6148" max="6148" width="7.33203125" style="12" customWidth="1"/>
    <col min="6149" max="6149" width="5.5546875" style="12" customWidth="1"/>
    <col min="6150" max="6150" width="9" style="12" customWidth="1"/>
    <col min="6151" max="6152" width="9.88671875" style="12" customWidth="1"/>
    <col min="6153" max="6153" width="11.109375" style="12" customWidth="1"/>
    <col min="6154" max="6154" width="2.88671875" style="12" customWidth="1"/>
    <col min="6155" max="6155" width="3.5546875" style="12" customWidth="1"/>
    <col min="6156" max="6400" width="9.109375" style="12"/>
    <col min="6401" max="6401" width="8.6640625" style="12" customWidth="1"/>
    <col min="6402" max="6402" width="9.88671875" style="12" customWidth="1"/>
    <col min="6403" max="6403" width="14.44140625" style="12" customWidth="1"/>
    <col min="6404" max="6404" width="7.33203125" style="12" customWidth="1"/>
    <col min="6405" max="6405" width="5.5546875" style="12" customWidth="1"/>
    <col min="6406" max="6406" width="9" style="12" customWidth="1"/>
    <col min="6407" max="6408" width="9.88671875" style="12" customWidth="1"/>
    <col min="6409" max="6409" width="11.109375" style="12" customWidth="1"/>
    <col min="6410" max="6410" width="2.88671875" style="12" customWidth="1"/>
    <col min="6411" max="6411" width="3.5546875" style="12" customWidth="1"/>
    <col min="6412" max="6656" width="9.109375" style="12"/>
    <col min="6657" max="6657" width="8.6640625" style="12" customWidth="1"/>
    <col min="6658" max="6658" width="9.88671875" style="12" customWidth="1"/>
    <col min="6659" max="6659" width="14.44140625" style="12" customWidth="1"/>
    <col min="6660" max="6660" width="7.33203125" style="12" customWidth="1"/>
    <col min="6661" max="6661" width="5.5546875" style="12" customWidth="1"/>
    <col min="6662" max="6662" width="9" style="12" customWidth="1"/>
    <col min="6663" max="6664" width="9.88671875" style="12" customWidth="1"/>
    <col min="6665" max="6665" width="11.109375" style="12" customWidth="1"/>
    <col min="6666" max="6666" width="2.88671875" style="12" customWidth="1"/>
    <col min="6667" max="6667" width="3.5546875" style="12" customWidth="1"/>
    <col min="6668" max="6912" width="9.109375" style="12"/>
    <col min="6913" max="6913" width="8.6640625" style="12" customWidth="1"/>
    <col min="6914" max="6914" width="9.88671875" style="12" customWidth="1"/>
    <col min="6915" max="6915" width="14.44140625" style="12" customWidth="1"/>
    <col min="6916" max="6916" width="7.33203125" style="12" customWidth="1"/>
    <col min="6917" max="6917" width="5.5546875" style="12" customWidth="1"/>
    <col min="6918" max="6918" width="9" style="12" customWidth="1"/>
    <col min="6919" max="6920" width="9.88671875" style="12" customWidth="1"/>
    <col min="6921" max="6921" width="11.109375" style="12" customWidth="1"/>
    <col min="6922" max="6922" width="2.88671875" style="12" customWidth="1"/>
    <col min="6923" max="6923" width="3.5546875" style="12" customWidth="1"/>
    <col min="6924" max="7168" width="9.109375" style="12"/>
    <col min="7169" max="7169" width="8.6640625" style="12" customWidth="1"/>
    <col min="7170" max="7170" width="9.88671875" style="12" customWidth="1"/>
    <col min="7171" max="7171" width="14.44140625" style="12" customWidth="1"/>
    <col min="7172" max="7172" width="7.33203125" style="12" customWidth="1"/>
    <col min="7173" max="7173" width="5.5546875" style="12" customWidth="1"/>
    <col min="7174" max="7174" width="9" style="12" customWidth="1"/>
    <col min="7175" max="7176" width="9.88671875" style="12" customWidth="1"/>
    <col min="7177" max="7177" width="11.109375" style="12" customWidth="1"/>
    <col min="7178" max="7178" width="2.88671875" style="12" customWidth="1"/>
    <col min="7179" max="7179" width="3.5546875" style="12" customWidth="1"/>
    <col min="7180" max="7424" width="9.109375" style="12"/>
    <col min="7425" max="7425" width="8.6640625" style="12" customWidth="1"/>
    <col min="7426" max="7426" width="9.88671875" style="12" customWidth="1"/>
    <col min="7427" max="7427" width="14.44140625" style="12" customWidth="1"/>
    <col min="7428" max="7428" width="7.33203125" style="12" customWidth="1"/>
    <col min="7429" max="7429" width="5.5546875" style="12" customWidth="1"/>
    <col min="7430" max="7430" width="9" style="12" customWidth="1"/>
    <col min="7431" max="7432" width="9.88671875" style="12" customWidth="1"/>
    <col min="7433" max="7433" width="11.109375" style="12" customWidth="1"/>
    <col min="7434" max="7434" width="2.88671875" style="12" customWidth="1"/>
    <col min="7435" max="7435" width="3.5546875" style="12" customWidth="1"/>
    <col min="7436" max="7680" width="9.109375" style="12"/>
    <col min="7681" max="7681" width="8.6640625" style="12" customWidth="1"/>
    <col min="7682" max="7682" width="9.88671875" style="12" customWidth="1"/>
    <col min="7683" max="7683" width="14.44140625" style="12" customWidth="1"/>
    <col min="7684" max="7684" width="7.33203125" style="12" customWidth="1"/>
    <col min="7685" max="7685" width="5.5546875" style="12" customWidth="1"/>
    <col min="7686" max="7686" width="9" style="12" customWidth="1"/>
    <col min="7687" max="7688" width="9.88671875" style="12" customWidth="1"/>
    <col min="7689" max="7689" width="11.109375" style="12" customWidth="1"/>
    <col min="7690" max="7690" width="2.88671875" style="12" customWidth="1"/>
    <col min="7691" max="7691" width="3.5546875" style="12" customWidth="1"/>
    <col min="7692" max="7936" width="9.109375" style="12"/>
    <col min="7937" max="7937" width="8.6640625" style="12" customWidth="1"/>
    <col min="7938" max="7938" width="9.88671875" style="12" customWidth="1"/>
    <col min="7939" max="7939" width="14.44140625" style="12" customWidth="1"/>
    <col min="7940" max="7940" width="7.33203125" style="12" customWidth="1"/>
    <col min="7941" max="7941" width="5.5546875" style="12" customWidth="1"/>
    <col min="7942" max="7942" width="9" style="12" customWidth="1"/>
    <col min="7943" max="7944" width="9.88671875" style="12" customWidth="1"/>
    <col min="7945" max="7945" width="11.109375" style="12" customWidth="1"/>
    <col min="7946" max="7946" width="2.88671875" style="12" customWidth="1"/>
    <col min="7947" max="7947" width="3.5546875" style="12" customWidth="1"/>
    <col min="7948" max="8192" width="9.109375" style="12"/>
    <col min="8193" max="8193" width="8.6640625" style="12" customWidth="1"/>
    <col min="8194" max="8194" width="9.88671875" style="12" customWidth="1"/>
    <col min="8195" max="8195" width="14.44140625" style="12" customWidth="1"/>
    <col min="8196" max="8196" width="7.33203125" style="12" customWidth="1"/>
    <col min="8197" max="8197" width="5.5546875" style="12" customWidth="1"/>
    <col min="8198" max="8198" width="9" style="12" customWidth="1"/>
    <col min="8199" max="8200" width="9.88671875" style="12" customWidth="1"/>
    <col min="8201" max="8201" width="11.109375" style="12" customWidth="1"/>
    <col min="8202" max="8202" width="2.88671875" style="12" customWidth="1"/>
    <col min="8203" max="8203" width="3.5546875" style="12" customWidth="1"/>
    <col min="8204" max="8448" width="9.109375" style="12"/>
    <col min="8449" max="8449" width="8.6640625" style="12" customWidth="1"/>
    <col min="8450" max="8450" width="9.88671875" style="12" customWidth="1"/>
    <col min="8451" max="8451" width="14.44140625" style="12" customWidth="1"/>
    <col min="8452" max="8452" width="7.33203125" style="12" customWidth="1"/>
    <col min="8453" max="8453" width="5.5546875" style="12" customWidth="1"/>
    <col min="8454" max="8454" width="9" style="12" customWidth="1"/>
    <col min="8455" max="8456" width="9.88671875" style="12" customWidth="1"/>
    <col min="8457" max="8457" width="11.109375" style="12" customWidth="1"/>
    <col min="8458" max="8458" width="2.88671875" style="12" customWidth="1"/>
    <col min="8459" max="8459" width="3.5546875" style="12" customWidth="1"/>
    <col min="8460" max="8704" width="9.109375" style="12"/>
    <col min="8705" max="8705" width="8.6640625" style="12" customWidth="1"/>
    <col min="8706" max="8706" width="9.88671875" style="12" customWidth="1"/>
    <col min="8707" max="8707" width="14.44140625" style="12" customWidth="1"/>
    <col min="8708" max="8708" width="7.33203125" style="12" customWidth="1"/>
    <col min="8709" max="8709" width="5.5546875" style="12" customWidth="1"/>
    <col min="8710" max="8710" width="9" style="12" customWidth="1"/>
    <col min="8711" max="8712" width="9.88671875" style="12" customWidth="1"/>
    <col min="8713" max="8713" width="11.109375" style="12" customWidth="1"/>
    <col min="8714" max="8714" width="2.88671875" style="12" customWidth="1"/>
    <col min="8715" max="8715" width="3.5546875" style="12" customWidth="1"/>
    <col min="8716" max="8960" width="9.109375" style="12"/>
    <col min="8961" max="8961" width="8.6640625" style="12" customWidth="1"/>
    <col min="8962" max="8962" width="9.88671875" style="12" customWidth="1"/>
    <col min="8963" max="8963" width="14.44140625" style="12" customWidth="1"/>
    <col min="8964" max="8964" width="7.33203125" style="12" customWidth="1"/>
    <col min="8965" max="8965" width="5.5546875" style="12" customWidth="1"/>
    <col min="8966" max="8966" width="9" style="12" customWidth="1"/>
    <col min="8967" max="8968" width="9.88671875" style="12" customWidth="1"/>
    <col min="8969" max="8969" width="11.109375" style="12" customWidth="1"/>
    <col min="8970" max="8970" width="2.88671875" style="12" customWidth="1"/>
    <col min="8971" max="8971" width="3.5546875" style="12" customWidth="1"/>
    <col min="8972" max="9216" width="9.109375" style="12"/>
    <col min="9217" max="9217" width="8.6640625" style="12" customWidth="1"/>
    <col min="9218" max="9218" width="9.88671875" style="12" customWidth="1"/>
    <col min="9219" max="9219" width="14.44140625" style="12" customWidth="1"/>
    <col min="9220" max="9220" width="7.33203125" style="12" customWidth="1"/>
    <col min="9221" max="9221" width="5.5546875" style="12" customWidth="1"/>
    <col min="9222" max="9222" width="9" style="12" customWidth="1"/>
    <col min="9223" max="9224" width="9.88671875" style="12" customWidth="1"/>
    <col min="9225" max="9225" width="11.109375" style="12" customWidth="1"/>
    <col min="9226" max="9226" width="2.88671875" style="12" customWidth="1"/>
    <col min="9227" max="9227" width="3.5546875" style="12" customWidth="1"/>
    <col min="9228" max="9472" width="9.109375" style="12"/>
    <col min="9473" max="9473" width="8.6640625" style="12" customWidth="1"/>
    <col min="9474" max="9474" width="9.88671875" style="12" customWidth="1"/>
    <col min="9475" max="9475" width="14.44140625" style="12" customWidth="1"/>
    <col min="9476" max="9476" width="7.33203125" style="12" customWidth="1"/>
    <col min="9477" max="9477" width="5.5546875" style="12" customWidth="1"/>
    <col min="9478" max="9478" width="9" style="12" customWidth="1"/>
    <col min="9479" max="9480" width="9.88671875" style="12" customWidth="1"/>
    <col min="9481" max="9481" width="11.109375" style="12" customWidth="1"/>
    <col min="9482" max="9482" width="2.88671875" style="12" customWidth="1"/>
    <col min="9483" max="9483" width="3.5546875" style="12" customWidth="1"/>
    <col min="9484" max="9728" width="9.109375" style="12"/>
    <col min="9729" max="9729" width="8.6640625" style="12" customWidth="1"/>
    <col min="9730" max="9730" width="9.88671875" style="12" customWidth="1"/>
    <col min="9731" max="9731" width="14.44140625" style="12" customWidth="1"/>
    <col min="9732" max="9732" width="7.33203125" style="12" customWidth="1"/>
    <col min="9733" max="9733" width="5.5546875" style="12" customWidth="1"/>
    <col min="9734" max="9734" width="9" style="12" customWidth="1"/>
    <col min="9735" max="9736" width="9.88671875" style="12" customWidth="1"/>
    <col min="9737" max="9737" width="11.109375" style="12" customWidth="1"/>
    <col min="9738" max="9738" width="2.88671875" style="12" customWidth="1"/>
    <col min="9739" max="9739" width="3.5546875" style="12" customWidth="1"/>
    <col min="9740" max="9984" width="9.109375" style="12"/>
    <col min="9985" max="9985" width="8.6640625" style="12" customWidth="1"/>
    <col min="9986" max="9986" width="9.88671875" style="12" customWidth="1"/>
    <col min="9987" max="9987" width="14.44140625" style="12" customWidth="1"/>
    <col min="9988" max="9988" width="7.33203125" style="12" customWidth="1"/>
    <col min="9989" max="9989" width="5.5546875" style="12" customWidth="1"/>
    <col min="9990" max="9990" width="9" style="12" customWidth="1"/>
    <col min="9991" max="9992" width="9.88671875" style="12" customWidth="1"/>
    <col min="9993" max="9993" width="11.109375" style="12" customWidth="1"/>
    <col min="9994" max="9994" width="2.88671875" style="12" customWidth="1"/>
    <col min="9995" max="9995" width="3.5546875" style="12" customWidth="1"/>
    <col min="9996" max="10240" width="9.109375" style="12"/>
    <col min="10241" max="10241" width="8.6640625" style="12" customWidth="1"/>
    <col min="10242" max="10242" width="9.88671875" style="12" customWidth="1"/>
    <col min="10243" max="10243" width="14.44140625" style="12" customWidth="1"/>
    <col min="10244" max="10244" width="7.33203125" style="12" customWidth="1"/>
    <col min="10245" max="10245" width="5.5546875" style="12" customWidth="1"/>
    <col min="10246" max="10246" width="9" style="12" customWidth="1"/>
    <col min="10247" max="10248" width="9.88671875" style="12" customWidth="1"/>
    <col min="10249" max="10249" width="11.109375" style="12" customWidth="1"/>
    <col min="10250" max="10250" width="2.88671875" style="12" customWidth="1"/>
    <col min="10251" max="10251" width="3.5546875" style="12" customWidth="1"/>
    <col min="10252" max="10496" width="9.109375" style="12"/>
    <col min="10497" max="10497" width="8.6640625" style="12" customWidth="1"/>
    <col min="10498" max="10498" width="9.88671875" style="12" customWidth="1"/>
    <col min="10499" max="10499" width="14.44140625" style="12" customWidth="1"/>
    <col min="10500" max="10500" width="7.33203125" style="12" customWidth="1"/>
    <col min="10501" max="10501" width="5.5546875" style="12" customWidth="1"/>
    <col min="10502" max="10502" width="9" style="12" customWidth="1"/>
    <col min="10503" max="10504" width="9.88671875" style="12" customWidth="1"/>
    <col min="10505" max="10505" width="11.109375" style="12" customWidth="1"/>
    <col min="10506" max="10506" width="2.88671875" style="12" customWidth="1"/>
    <col min="10507" max="10507" width="3.5546875" style="12" customWidth="1"/>
    <col min="10508" max="10752" width="9.109375" style="12"/>
    <col min="10753" max="10753" width="8.6640625" style="12" customWidth="1"/>
    <col min="10754" max="10754" width="9.88671875" style="12" customWidth="1"/>
    <col min="10755" max="10755" width="14.44140625" style="12" customWidth="1"/>
    <col min="10756" max="10756" width="7.33203125" style="12" customWidth="1"/>
    <col min="10757" max="10757" width="5.5546875" style="12" customWidth="1"/>
    <col min="10758" max="10758" width="9" style="12" customWidth="1"/>
    <col min="10759" max="10760" width="9.88671875" style="12" customWidth="1"/>
    <col min="10761" max="10761" width="11.109375" style="12" customWidth="1"/>
    <col min="10762" max="10762" width="2.88671875" style="12" customWidth="1"/>
    <col min="10763" max="10763" width="3.5546875" style="12" customWidth="1"/>
    <col min="10764" max="11008" width="9.109375" style="12"/>
    <col min="11009" max="11009" width="8.6640625" style="12" customWidth="1"/>
    <col min="11010" max="11010" width="9.88671875" style="12" customWidth="1"/>
    <col min="11011" max="11011" width="14.44140625" style="12" customWidth="1"/>
    <col min="11012" max="11012" width="7.33203125" style="12" customWidth="1"/>
    <col min="11013" max="11013" width="5.5546875" style="12" customWidth="1"/>
    <col min="11014" max="11014" width="9" style="12" customWidth="1"/>
    <col min="11015" max="11016" width="9.88671875" style="12" customWidth="1"/>
    <col min="11017" max="11017" width="11.109375" style="12" customWidth="1"/>
    <col min="11018" max="11018" width="2.88671875" style="12" customWidth="1"/>
    <col min="11019" max="11019" width="3.5546875" style="12" customWidth="1"/>
    <col min="11020" max="11264" width="9.109375" style="12"/>
    <col min="11265" max="11265" width="8.6640625" style="12" customWidth="1"/>
    <col min="11266" max="11266" width="9.88671875" style="12" customWidth="1"/>
    <col min="11267" max="11267" width="14.44140625" style="12" customWidth="1"/>
    <col min="11268" max="11268" width="7.33203125" style="12" customWidth="1"/>
    <col min="11269" max="11269" width="5.5546875" style="12" customWidth="1"/>
    <col min="11270" max="11270" width="9" style="12" customWidth="1"/>
    <col min="11271" max="11272" width="9.88671875" style="12" customWidth="1"/>
    <col min="11273" max="11273" width="11.109375" style="12" customWidth="1"/>
    <col min="11274" max="11274" width="2.88671875" style="12" customWidth="1"/>
    <col min="11275" max="11275" width="3.5546875" style="12" customWidth="1"/>
    <col min="11276" max="11520" width="9.109375" style="12"/>
    <col min="11521" max="11521" width="8.6640625" style="12" customWidth="1"/>
    <col min="11522" max="11522" width="9.88671875" style="12" customWidth="1"/>
    <col min="11523" max="11523" width="14.44140625" style="12" customWidth="1"/>
    <col min="11524" max="11524" width="7.33203125" style="12" customWidth="1"/>
    <col min="11525" max="11525" width="5.5546875" style="12" customWidth="1"/>
    <col min="11526" max="11526" width="9" style="12" customWidth="1"/>
    <col min="11527" max="11528" width="9.88671875" style="12" customWidth="1"/>
    <col min="11529" max="11529" width="11.109375" style="12" customWidth="1"/>
    <col min="11530" max="11530" width="2.88671875" style="12" customWidth="1"/>
    <col min="11531" max="11531" width="3.5546875" style="12" customWidth="1"/>
    <col min="11532" max="11776" width="9.109375" style="12"/>
    <col min="11777" max="11777" width="8.6640625" style="12" customWidth="1"/>
    <col min="11778" max="11778" width="9.88671875" style="12" customWidth="1"/>
    <col min="11779" max="11779" width="14.44140625" style="12" customWidth="1"/>
    <col min="11780" max="11780" width="7.33203125" style="12" customWidth="1"/>
    <col min="11781" max="11781" width="5.5546875" style="12" customWidth="1"/>
    <col min="11782" max="11782" width="9" style="12" customWidth="1"/>
    <col min="11783" max="11784" width="9.88671875" style="12" customWidth="1"/>
    <col min="11785" max="11785" width="11.109375" style="12" customWidth="1"/>
    <col min="11786" max="11786" width="2.88671875" style="12" customWidth="1"/>
    <col min="11787" max="11787" width="3.5546875" style="12" customWidth="1"/>
    <col min="11788" max="12032" width="9.109375" style="12"/>
    <col min="12033" max="12033" width="8.6640625" style="12" customWidth="1"/>
    <col min="12034" max="12034" width="9.88671875" style="12" customWidth="1"/>
    <col min="12035" max="12035" width="14.44140625" style="12" customWidth="1"/>
    <col min="12036" max="12036" width="7.33203125" style="12" customWidth="1"/>
    <col min="12037" max="12037" width="5.5546875" style="12" customWidth="1"/>
    <col min="12038" max="12038" width="9" style="12" customWidth="1"/>
    <col min="12039" max="12040" width="9.88671875" style="12" customWidth="1"/>
    <col min="12041" max="12041" width="11.109375" style="12" customWidth="1"/>
    <col min="12042" max="12042" width="2.88671875" style="12" customWidth="1"/>
    <col min="12043" max="12043" width="3.5546875" style="12" customWidth="1"/>
    <col min="12044" max="12288" width="9.109375" style="12"/>
    <col min="12289" max="12289" width="8.6640625" style="12" customWidth="1"/>
    <col min="12290" max="12290" width="9.88671875" style="12" customWidth="1"/>
    <col min="12291" max="12291" width="14.44140625" style="12" customWidth="1"/>
    <col min="12292" max="12292" width="7.33203125" style="12" customWidth="1"/>
    <col min="12293" max="12293" width="5.5546875" style="12" customWidth="1"/>
    <col min="12294" max="12294" width="9" style="12" customWidth="1"/>
    <col min="12295" max="12296" width="9.88671875" style="12" customWidth="1"/>
    <col min="12297" max="12297" width="11.109375" style="12" customWidth="1"/>
    <col min="12298" max="12298" width="2.88671875" style="12" customWidth="1"/>
    <col min="12299" max="12299" width="3.5546875" style="12" customWidth="1"/>
    <col min="12300" max="12544" width="9.109375" style="12"/>
    <col min="12545" max="12545" width="8.6640625" style="12" customWidth="1"/>
    <col min="12546" max="12546" width="9.88671875" style="12" customWidth="1"/>
    <col min="12547" max="12547" width="14.44140625" style="12" customWidth="1"/>
    <col min="12548" max="12548" width="7.33203125" style="12" customWidth="1"/>
    <col min="12549" max="12549" width="5.5546875" style="12" customWidth="1"/>
    <col min="12550" max="12550" width="9" style="12" customWidth="1"/>
    <col min="12551" max="12552" width="9.88671875" style="12" customWidth="1"/>
    <col min="12553" max="12553" width="11.109375" style="12" customWidth="1"/>
    <col min="12554" max="12554" width="2.88671875" style="12" customWidth="1"/>
    <col min="12555" max="12555" width="3.5546875" style="12" customWidth="1"/>
    <col min="12556" max="12800" width="9.109375" style="12"/>
    <col min="12801" max="12801" width="8.6640625" style="12" customWidth="1"/>
    <col min="12802" max="12802" width="9.88671875" style="12" customWidth="1"/>
    <col min="12803" max="12803" width="14.44140625" style="12" customWidth="1"/>
    <col min="12804" max="12804" width="7.33203125" style="12" customWidth="1"/>
    <col min="12805" max="12805" width="5.5546875" style="12" customWidth="1"/>
    <col min="12806" max="12806" width="9" style="12" customWidth="1"/>
    <col min="12807" max="12808" width="9.88671875" style="12" customWidth="1"/>
    <col min="12809" max="12809" width="11.109375" style="12" customWidth="1"/>
    <col min="12810" max="12810" width="2.88671875" style="12" customWidth="1"/>
    <col min="12811" max="12811" width="3.5546875" style="12" customWidth="1"/>
    <col min="12812" max="13056" width="9.109375" style="12"/>
    <col min="13057" max="13057" width="8.6640625" style="12" customWidth="1"/>
    <col min="13058" max="13058" width="9.88671875" style="12" customWidth="1"/>
    <col min="13059" max="13059" width="14.44140625" style="12" customWidth="1"/>
    <col min="13060" max="13060" width="7.33203125" style="12" customWidth="1"/>
    <col min="13061" max="13061" width="5.5546875" style="12" customWidth="1"/>
    <col min="13062" max="13062" width="9" style="12" customWidth="1"/>
    <col min="13063" max="13064" width="9.88671875" style="12" customWidth="1"/>
    <col min="13065" max="13065" width="11.109375" style="12" customWidth="1"/>
    <col min="13066" max="13066" width="2.88671875" style="12" customWidth="1"/>
    <col min="13067" max="13067" width="3.5546875" style="12" customWidth="1"/>
    <col min="13068" max="13312" width="9.109375" style="12"/>
    <col min="13313" max="13313" width="8.6640625" style="12" customWidth="1"/>
    <col min="13314" max="13314" width="9.88671875" style="12" customWidth="1"/>
    <col min="13315" max="13315" width="14.44140625" style="12" customWidth="1"/>
    <col min="13316" max="13316" width="7.33203125" style="12" customWidth="1"/>
    <col min="13317" max="13317" width="5.5546875" style="12" customWidth="1"/>
    <col min="13318" max="13318" width="9" style="12" customWidth="1"/>
    <col min="13319" max="13320" width="9.88671875" style="12" customWidth="1"/>
    <col min="13321" max="13321" width="11.109375" style="12" customWidth="1"/>
    <col min="13322" max="13322" width="2.88671875" style="12" customWidth="1"/>
    <col min="13323" max="13323" width="3.5546875" style="12" customWidth="1"/>
    <col min="13324" max="13568" width="9.109375" style="12"/>
    <col min="13569" max="13569" width="8.6640625" style="12" customWidth="1"/>
    <col min="13570" max="13570" width="9.88671875" style="12" customWidth="1"/>
    <col min="13571" max="13571" width="14.44140625" style="12" customWidth="1"/>
    <col min="13572" max="13572" width="7.33203125" style="12" customWidth="1"/>
    <col min="13573" max="13573" width="5.5546875" style="12" customWidth="1"/>
    <col min="13574" max="13574" width="9" style="12" customWidth="1"/>
    <col min="13575" max="13576" width="9.88671875" style="12" customWidth="1"/>
    <col min="13577" max="13577" width="11.109375" style="12" customWidth="1"/>
    <col min="13578" max="13578" width="2.88671875" style="12" customWidth="1"/>
    <col min="13579" max="13579" width="3.5546875" style="12" customWidth="1"/>
    <col min="13580" max="13824" width="9.109375" style="12"/>
    <col min="13825" max="13825" width="8.6640625" style="12" customWidth="1"/>
    <col min="13826" max="13826" width="9.88671875" style="12" customWidth="1"/>
    <col min="13827" max="13827" width="14.44140625" style="12" customWidth="1"/>
    <col min="13828" max="13828" width="7.33203125" style="12" customWidth="1"/>
    <col min="13829" max="13829" width="5.5546875" style="12" customWidth="1"/>
    <col min="13830" max="13830" width="9" style="12" customWidth="1"/>
    <col min="13831" max="13832" width="9.88671875" style="12" customWidth="1"/>
    <col min="13833" max="13833" width="11.109375" style="12" customWidth="1"/>
    <col min="13834" max="13834" width="2.88671875" style="12" customWidth="1"/>
    <col min="13835" max="13835" width="3.5546875" style="12" customWidth="1"/>
    <col min="13836" max="14080" width="9.109375" style="12"/>
    <col min="14081" max="14081" width="8.6640625" style="12" customWidth="1"/>
    <col min="14082" max="14082" width="9.88671875" style="12" customWidth="1"/>
    <col min="14083" max="14083" width="14.44140625" style="12" customWidth="1"/>
    <col min="14084" max="14084" width="7.33203125" style="12" customWidth="1"/>
    <col min="14085" max="14085" width="5.5546875" style="12" customWidth="1"/>
    <col min="14086" max="14086" width="9" style="12" customWidth="1"/>
    <col min="14087" max="14088" width="9.88671875" style="12" customWidth="1"/>
    <col min="14089" max="14089" width="11.109375" style="12" customWidth="1"/>
    <col min="14090" max="14090" width="2.88671875" style="12" customWidth="1"/>
    <col min="14091" max="14091" width="3.5546875" style="12" customWidth="1"/>
    <col min="14092" max="14336" width="9.109375" style="12"/>
    <col min="14337" max="14337" width="8.6640625" style="12" customWidth="1"/>
    <col min="14338" max="14338" width="9.88671875" style="12" customWidth="1"/>
    <col min="14339" max="14339" width="14.44140625" style="12" customWidth="1"/>
    <col min="14340" max="14340" width="7.33203125" style="12" customWidth="1"/>
    <col min="14341" max="14341" width="5.5546875" style="12" customWidth="1"/>
    <col min="14342" max="14342" width="9" style="12" customWidth="1"/>
    <col min="14343" max="14344" width="9.88671875" style="12" customWidth="1"/>
    <col min="14345" max="14345" width="11.109375" style="12" customWidth="1"/>
    <col min="14346" max="14346" width="2.88671875" style="12" customWidth="1"/>
    <col min="14347" max="14347" width="3.5546875" style="12" customWidth="1"/>
    <col min="14348" max="14592" width="9.109375" style="12"/>
    <col min="14593" max="14593" width="8.6640625" style="12" customWidth="1"/>
    <col min="14594" max="14594" width="9.88671875" style="12" customWidth="1"/>
    <col min="14595" max="14595" width="14.44140625" style="12" customWidth="1"/>
    <col min="14596" max="14596" width="7.33203125" style="12" customWidth="1"/>
    <col min="14597" max="14597" width="5.5546875" style="12" customWidth="1"/>
    <col min="14598" max="14598" width="9" style="12" customWidth="1"/>
    <col min="14599" max="14600" width="9.88671875" style="12" customWidth="1"/>
    <col min="14601" max="14601" width="11.109375" style="12" customWidth="1"/>
    <col min="14602" max="14602" width="2.88671875" style="12" customWidth="1"/>
    <col min="14603" max="14603" width="3.5546875" style="12" customWidth="1"/>
    <col min="14604" max="14848" width="9.109375" style="12"/>
    <col min="14849" max="14849" width="8.6640625" style="12" customWidth="1"/>
    <col min="14850" max="14850" width="9.88671875" style="12" customWidth="1"/>
    <col min="14851" max="14851" width="14.44140625" style="12" customWidth="1"/>
    <col min="14852" max="14852" width="7.33203125" style="12" customWidth="1"/>
    <col min="14853" max="14853" width="5.5546875" style="12" customWidth="1"/>
    <col min="14854" max="14854" width="9" style="12" customWidth="1"/>
    <col min="14855" max="14856" width="9.88671875" style="12" customWidth="1"/>
    <col min="14857" max="14857" width="11.109375" style="12" customWidth="1"/>
    <col min="14858" max="14858" width="2.88671875" style="12" customWidth="1"/>
    <col min="14859" max="14859" width="3.5546875" style="12" customWidth="1"/>
    <col min="14860" max="15104" width="9.109375" style="12"/>
    <col min="15105" max="15105" width="8.6640625" style="12" customWidth="1"/>
    <col min="15106" max="15106" width="9.88671875" style="12" customWidth="1"/>
    <col min="15107" max="15107" width="14.44140625" style="12" customWidth="1"/>
    <col min="15108" max="15108" width="7.33203125" style="12" customWidth="1"/>
    <col min="15109" max="15109" width="5.5546875" style="12" customWidth="1"/>
    <col min="15110" max="15110" width="9" style="12" customWidth="1"/>
    <col min="15111" max="15112" width="9.88671875" style="12" customWidth="1"/>
    <col min="15113" max="15113" width="11.109375" style="12" customWidth="1"/>
    <col min="15114" max="15114" width="2.88671875" style="12" customWidth="1"/>
    <col min="15115" max="15115" width="3.5546875" style="12" customWidth="1"/>
    <col min="15116" max="15360" width="9.109375" style="12"/>
    <col min="15361" max="15361" width="8.6640625" style="12" customWidth="1"/>
    <col min="15362" max="15362" width="9.88671875" style="12" customWidth="1"/>
    <col min="15363" max="15363" width="14.44140625" style="12" customWidth="1"/>
    <col min="15364" max="15364" width="7.33203125" style="12" customWidth="1"/>
    <col min="15365" max="15365" width="5.5546875" style="12" customWidth="1"/>
    <col min="15366" max="15366" width="9" style="12" customWidth="1"/>
    <col min="15367" max="15368" width="9.88671875" style="12" customWidth="1"/>
    <col min="15369" max="15369" width="11.109375" style="12" customWidth="1"/>
    <col min="15370" max="15370" width="2.88671875" style="12" customWidth="1"/>
    <col min="15371" max="15371" width="3.5546875" style="12" customWidth="1"/>
    <col min="15372" max="15616" width="9.109375" style="12"/>
    <col min="15617" max="15617" width="8.6640625" style="12" customWidth="1"/>
    <col min="15618" max="15618" width="9.88671875" style="12" customWidth="1"/>
    <col min="15619" max="15619" width="14.44140625" style="12" customWidth="1"/>
    <col min="15620" max="15620" width="7.33203125" style="12" customWidth="1"/>
    <col min="15621" max="15621" width="5.5546875" style="12" customWidth="1"/>
    <col min="15622" max="15622" width="9" style="12" customWidth="1"/>
    <col min="15623" max="15624" width="9.88671875" style="12" customWidth="1"/>
    <col min="15625" max="15625" width="11.109375" style="12" customWidth="1"/>
    <col min="15626" max="15626" width="2.88671875" style="12" customWidth="1"/>
    <col min="15627" max="15627" width="3.5546875" style="12" customWidth="1"/>
    <col min="15628" max="15872" width="9.109375" style="12"/>
    <col min="15873" max="15873" width="8.6640625" style="12" customWidth="1"/>
    <col min="15874" max="15874" width="9.88671875" style="12" customWidth="1"/>
    <col min="15875" max="15875" width="14.44140625" style="12" customWidth="1"/>
    <col min="15876" max="15876" width="7.33203125" style="12" customWidth="1"/>
    <col min="15877" max="15877" width="5.5546875" style="12" customWidth="1"/>
    <col min="15878" max="15878" width="9" style="12" customWidth="1"/>
    <col min="15879" max="15880" width="9.88671875" style="12" customWidth="1"/>
    <col min="15881" max="15881" width="11.109375" style="12" customWidth="1"/>
    <col min="15882" max="15882" width="2.88671875" style="12" customWidth="1"/>
    <col min="15883" max="15883" width="3.5546875" style="12" customWidth="1"/>
    <col min="15884" max="16128" width="9.109375" style="12"/>
    <col min="16129" max="16129" width="8.6640625" style="12" customWidth="1"/>
    <col min="16130" max="16130" width="9.88671875" style="12" customWidth="1"/>
    <col min="16131" max="16131" width="14.44140625" style="12" customWidth="1"/>
    <col min="16132" max="16132" width="7.33203125" style="12" customWidth="1"/>
    <col min="16133" max="16133" width="5.5546875" style="12" customWidth="1"/>
    <col min="16134" max="16134" width="9" style="12" customWidth="1"/>
    <col min="16135" max="16136" width="9.88671875" style="12" customWidth="1"/>
    <col min="16137" max="16137" width="11.109375" style="12" customWidth="1"/>
    <col min="16138" max="16138" width="2.88671875" style="12" customWidth="1"/>
    <col min="16139" max="16139" width="3.5546875" style="12" customWidth="1"/>
    <col min="16140" max="16384" width="9.109375" style="12"/>
  </cols>
  <sheetData>
    <row r="1" spans="1:15" ht="46.5" customHeight="1" x14ac:dyDescent="0.3">
      <c r="A1" s="123" t="s">
        <v>260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5" ht="16.5" customHeight="1" x14ac:dyDescent="0.3">
      <c r="A2" s="126" t="s">
        <v>0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5" x14ac:dyDescent="0.3">
      <c r="A3" s="57" t="s">
        <v>1</v>
      </c>
      <c r="B3" s="58"/>
      <c r="C3" s="58"/>
      <c r="D3" s="58"/>
      <c r="E3" s="59"/>
      <c r="F3" s="129" t="str">
        <f ca="1">TEXT(TODAY(),"DD/MM/YYYY")</f>
        <v>08/09/2025</v>
      </c>
      <c r="G3" s="130"/>
      <c r="H3" s="130"/>
      <c r="I3" s="130"/>
      <c r="J3" s="131"/>
    </row>
    <row r="4" spans="1:15" ht="15" customHeight="1" x14ac:dyDescent="0.3">
      <c r="A4" s="57" t="s">
        <v>2</v>
      </c>
      <c r="B4" s="58"/>
      <c r="C4" s="58"/>
      <c r="D4" s="58"/>
      <c r="E4" s="59"/>
      <c r="F4" s="95" t="s">
        <v>178</v>
      </c>
      <c r="G4" s="96"/>
      <c r="H4" s="96"/>
      <c r="I4" s="96"/>
      <c r="J4" s="97"/>
    </row>
    <row r="5" spans="1:15" x14ac:dyDescent="0.3">
      <c r="A5" s="135" t="s">
        <v>3</v>
      </c>
      <c r="B5" s="133"/>
      <c r="C5" s="133"/>
      <c r="D5" s="133"/>
      <c r="E5" s="134"/>
      <c r="F5" s="136">
        <v>45907</v>
      </c>
      <c r="G5" s="137"/>
      <c r="H5" s="137"/>
      <c r="I5" s="137"/>
      <c r="J5" s="138"/>
    </row>
    <row r="6" spans="1:15" ht="16.5" customHeight="1" x14ac:dyDescent="0.3">
      <c r="A6" s="57" t="s">
        <v>4</v>
      </c>
      <c r="B6" s="58"/>
      <c r="C6" s="58"/>
      <c r="D6" s="58"/>
      <c r="E6" s="59"/>
      <c r="F6" s="113" t="s">
        <v>179</v>
      </c>
      <c r="G6" s="114"/>
      <c r="H6" s="114"/>
      <c r="I6" s="114"/>
      <c r="J6" s="115"/>
    </row>
    <row r="7" spans="1:15" ht="15" customHeight="1" x14ac:dyDescent="0.3">
      <c r="A7" s="57" t="s">
        <v>5</v>
      </c>
      <c r="B7" s="58"/>
      <c r="C7" s="58"/>
      <c r="D7" s="58"/>
      <c r="E7" s="59"/>
      <c r="F7" s="113" t="str">
        <f>F6</f>
        <v>M/s.Shikhar Enterprises</v>
      </c>
      <c r="G7" s="114"/>
      <c r="H7" s="114"/>
      <c r="I7" s="114"/>
      <c r="J7" s="115"/>
    </row>
    <row r="8" spans="1:15" x14ac:dyDescent="0.3">
      <c r="A8" s="57" t="s">
        <v>6</v>
      </c>
      <c r="B8" s="58"/>
      <c r="C8" s="58"/>
      <c r="D8" s="58"/>
      <c r="E8" s="59"/>
      <c r="F8" s="116" t="s">
        <v>180</v>
      </c>
      <c r="G8" s="117"/>
      <c r="H8" s="117"/>
      <c r="I8" s="117"/>
      <c r="J8" s="118"/>
    </row>
    <row r="9" spans="1:15" x14ac:dyDescent="0.3">
      <c r="A9" s="57" t="s">
        <v>261</v>
      </c>
      <c r="B9" s="58"/>
      <c r="C9" s="58"/>
      <c r="D9" s="58"/>
      <c r="E9" s="59"/>
      <c r="F9" s="57">
        <v>2227660091</v>
      </c>
      <c r="G9" s="58"/>
      <c r="H9" s="58"/>
      <c r="I9" s="58"/>
      <c r="J9" s="59"/>
    </row>
    <row r="10" spans="1:15" x14ac:dyDescent="0.3">
      <c r="A10" s="57" t="s">
        <v>262</v>
      </c>
      <c r="B10" s="58"/>
      <c r="C10" s="58"/>
      <c r="D10" s="58"/>
      <c r="E10" s="59"/>
      <c r="F10" s="57" t="s">
        <v>35</v>
      </c>
      <c r="G10" s="58"/>
      <c r="H10" s="58"/>
      <c r="I10" s="58"/>
      <c r="J10" s="59"/>
      <c r="K10" s="57" t="s">
        <v>263</v>
      </c>
      <c r="L10" s="58"/>
      <c r="M10" s="58"/>
      <c r="N10" s="58"/>
      <c r="O10" s="59"/>
    </row>
    <row r="11" spans="1:15" x14ac:dyDescent="0.3">
      <c r="A11" s="57" t="s">
        <v>7</v>
      </c>
      <c r="B11" s="58"/>
      <c r="C11" s="58"/>
      <c r="D11" s="58"/>
      <c r="E11" s="59"/>
      <c r="F11" s="132" t="s">
        <v>268</v>
      </c>
      <c r="G11" s="133"/>
      <c r="H11" s="133"/>
      <c r="I11" s="133"/>
      <c r="J11" s="134"/>
    </row>
    <row r="12" spans="1:15" ht="16.5" customHeight="1" x14ac:dyDescent="0.3">
      <c r="A12" s="57" t="s">
        <v>8</v>
      </c>
      <c r="B12" s="58"/>
      <c r="C12" s="58"/>
      <c r="D12" s="58"/>
      <c r="E12" s="59"/>
      <c r="F12" s="132" t="s">
        <v>9</v>
      </c>
      <c r="G12" s="81"/>
      <c r="H12" s="81"/>
      <c r="I12" s="81"/>
      <c r="J12" s="82"/>
    </row>
    <row r="13" spans="1:15" x14ac:dyDescent="0.3">
      <c r="A13" s="57" t="s">
        <v>10</v>
      </c>
      <c r="B13" s="58"/>
      <c r="C13" s="58"/>
      <c r="D13" s="58"/>
      <c r="E13" s="59"/>
      <c r="F13" s="57" t="s">
        <v>181</v>
      </c>
      <c r="G13" s="58"/>
      <c r="H13" s="58"/>
      <c r="I13" s="58"/>
      <c r="J13" s="59"/>
    </row>
    <row r="14" spans="1:15" ht="31.5" customHeight="1" x14ac:dyDescent="0.3">
      <c r="A14" s="121" t="s">
        <v>11</v>
      </c>
      <c r="B14" s="121"/>
      <c r="C14" s="113" t="str">
        <f>CONCATENATE((IF(OR(F8="",F8="NA"),"",F8)),", ",(IF(OR(A15="",A15="NA"),"",A15)),".",(IF(OR(C15="",C15="NA"),"",C15)),", ",(IF(OR(C16="",C16="NA"),"",C16)),", ",(IF(OR(H16="",H16="NA"),"",H16)),", ",(IF(OR(C17="",C17="NA"),"",C17)),", ",(IF(OR(C18="",C18="NA"),"",C18)),", ",(IF(OR(H17="",H17="NA"),"",H17)),".")</f>
        <v>The Orbis, Survey No.31/2/2, 37/2/2 &amp; 37/3, Savroli - Kharpada Road, Chavane, Rasayani , Panvel, Raigad.</v>
      </c>
      <c r="D14" s="114"/>
      <c r="E14" s="114"/>
      <c r="F14" s="114"/>
      <c r="G14" s="114"/>
      <c r="H14" s="114"/>
      <c r="I14" s="114"/>
      <c r="J14" s="115"/>
    </row>
    <row r="15" spans="1:15" ht="15.75" customHeight="1" x14ac:dyDescent="0.3">
      <c r="A15" s="113" t="s">
        <v>182</v>
      </c>
      <c r="B15" s="115"/>
      <c r="C15" s="113" t="s">
        <v>183</v>
      </c>
      <c r="D15" s="114"/>
      <c r="E15" s="114"/>
      <c r="F15" s="114"/>
      <c r="G15" s="114"/>
      <c r="H15" s="114"/>
      <c r="I15" s="114"/>
      <c r="J15" s="115"/>
    </row>
    <row r="16" spans="1:15" ht="15.75" customHeight="1" x14ac:dyDescent="0.3">
      <c r="A16" s="113" t="s">
        <v>12</v>
      </c>
      <c r="B16" s="115"/>
      <c r="C16" s="119" t="s">
        <v>186</v>
      </c>
      <c r="D16" s="119"/>
      <c r="E16" s="119"/>
      <c r="F16" s="83" t="s">
        <v>138</v>
      </c>
      <c r="G16" s="85"/>
      <c r="H16" s="113" t="s">
        <v>184</v>
      </c>
      <c r="I16" s="114"/>
      <c r="J16" s="115"/>
    </row>
    <row r="17" spans="1:10" x14ac:dyDescent="0.3">
      <c r="A17" s="119" t="s">
        <v>14</v>
      </c>
      <c r="B17" s="119"/>
      <c r="C17" s="119" t="s">
        <v>187</v>
      </c>
      <c r="D17" s="119"/>
      <c r="E17" s="119"/>
      <c r="F17" s="83" t="s">
        <v>13</v>
      </c>
      <c r="G17" s="85"/>
      <c r="H17" s="122" t="s">
        <v>185</v>
      </c>
      <c r="I17" s="122"/>
      <c r="J17" s="122"/>
    </row>
    <row r="18" spans="1:10" x14ac:dyDescent="0.3">
      <c r="A18" s="119" t="s">
        <v>139</v>
      </c>
      <c r="B18" s="119"/>
      <c r="C18" s="113" t="s">
        <v>161</v>
      </c>
      <c r="D18" s="114"/>
      <c r="E18" s="115"/>
      <c r="F18" s="83" t="s">
        <v>15</v>
      </c>
      <c r="G18" s="85"/>
      <c r="H18" s="113">
        <v>410206</v>
      </c>
      <c r="I18" s="114"/>
      <c r="J18" s="115"/>
    </row>
    <row r="19" spans="1:10" ht="32.25" customHeight="1" x14ac:dyDescent="0.3">
      <c r="A19" s="119" t="s">
        <v>16</v>
      </c>
      <c r="B19" s="119"/>
      <c r="C19" s="120" t="s">
        <v>189</v>
      </c>
      <c r="D19" s="120"/>
      <c r="E19" s="120"/>
      <c r="F19" s="121" t="s">
        <v>17</v>
      </c>
      <c r="G19" s="121"/>
      <c r="H19" s="81" t="s">
        <v>267</v>
      </c>
      <c r="I19" s="81"/>
      <c r="J19" s="82"/>
    </row>
    <row r="20" spans="1:10" ht="15" customHeight="1" x14ac:dyDescent="0.3">
      <c r="A20" s="83" t="s">
        <v>153</v>
      </c>
      <c r="B20" s="84"/>
      <c r="C20" s="84"/>
      <c r="D20" s="84"/>
      <c r="E20" s="85"/>
      <c r="F20" s="89" t="s">
        <v>18</v>
      </c>
      <c r="G20" s="90"/>
      <c r="H20" s="90"/>
      <c r="I20" s="90"/>
      <c r="J20" s="91"/>
    </row>
    <row r="21" spans="1:10" ht="18.75" customHeight="1" x14ac:dyDescent="0.3">
      <c r="A21" s="86"/>
      <c r="B21" s="87"/>
      <c r="C21" s="87"/>
      <c r="D21" s="87"/>
      <c r="E21" s="88"/>
      <c r="F21" s="92"/>
      <c r="G21" s="93"/>
      <c r="H21" s="93"/>
      <c r="I21" s="93"/>
      <c r="J21" s="94"/>
    </row>
    <row r="22" spans="1:10" ht="15" customHeight="1" x14ac:dyDescent="0.3">
      <c r="A22" s="83" t="s">
        <v>19</v>
      </c>
      <c r="B22" s="84"/>
      <c r="C22" s="84"/>
      <c r="D22" s="84"/>
      <c r="E22" s="85"/>
      <c r="F22" s="83" t="s">
        <v>20</v>
      </c>
      <c r="G22" s="84"/>
      <c r="H22" s="84"/>
      <c r="I22" s="84"/>
      <c r="J22" s="85"/>
    </row>
    <row r="23" spans="1:10" x14ac:dyDescent="0.3">
      <c r="A23" s="86"/>
      <c r="B23" s="87"/>
      <c r="C23" s="87"/>
      <c r="D23" s="87"/>
      <c r="E23" s="88"/>
      <c r="F23" s="86"/>
      <c r="G23" s="87"/>
      <c r="H23" s="87"/>
      <c r="I23" s="87"/>
      <c r="J23" s="88"/>
    </row>
    <row r="24" spans="1:10" ht="15" customHeight="1" x14ac:dyDescent="0.3">
      <c r="A24" s="57" t="s">
        <v>21</v>
      </c>
      <c r="B24" s="58"/>
      <c r="C24" s="58"/>
      <c r="D24" s="58"/>
      <c r="E24" s="59"/>
      <c r="F24" s="95" t="s">
        <v>22</v>
      </c>
      <c r="G24" s="96"/>
      <c r="H24" s="96"/>
      <c r="I24" s="96"/>
      <c r="J24" s="97"/>
    </row>
    <row r="25" spans="1:10" x14ac:dyDescent="0.3">
      <c r="A25" s="57" t="s">
        <v>23</v>
      </c>
      <c r="B25" s="58"/>
      <c r="C25" s="58"/>
      <c r="D25" s="58"/>
      <c r="E25" s="59"/>
      <c r="F25" s="95" t="s">
        <v>24</v>
      </c>
      <c r="G25" s="96"/>
      <c r="H25" s="96"/>
      <c r="I25" s="96"/>
      <c r="J25" s="97"/>
    </row>
    <row r="26" spans="1:10" ht="15" customHeight="1" x14ac:dyDescent="0.3">
      <c r="A26" s="57" t="s">
        <v>25</v>
      </c>
      <c r="B26" s="58"/>
      <c r="C26" s="58"/>
      <c r="D26" s="58"/>
      <c r="E26" s="59"/>
      <c r="F26" s="95" t="s">
        <v>26</v>
      </c>
      <c r="G26" s="96"/>
      <c r="H26" s="96"/>
      <c r="I26" s="96"/>
      <c r="J26" s="97"/>
    </row>
    <row r="27" spans="1:10" x14ac:dyDescent="0.3">
      <c r="A27" s="57" t="s">
        <v>27</v>
      </c>
      <c r="B27" s="58"/>
      <c r="C27" s="58"/>
      <c r="D27" s="58"/>
      <c r="E27" s="59"/>
      <c r="F27" s="95" t="s">
        <v>28</v>
      </c>
      <c r="G27" s="96"/>
      <c r="H27" s="96"/>
      <c r="I27" s="96"/>
      <c r="J27" s="97"/>
    </row>
    <row r="28" spans="1:10" x14ac:dyDescent="0.3">
      <c r="A28" s="68" t="s">
        <v>29</v>
      </c>
      <c r="B28" s="69"/>
      <c r="C28" s="68" t="s">
        <v>30</v>
      </c>
      <c r="D28" s="69"/>
      <c r="E28" s="68" t="s">
        <v>31</v>
      </c>
      <c r="F28" s="69"/>
      <c r="G28" s="68" t="s">
        <v>33</v>
      </c>
      <c r="H28" s="69"/>
      <c r="I28" s="68" t="s">
        <v>32</v>
      </c>
      <c r="J28" s="69"/>
    </row>
    <row r="29" spans="1:10" x14ac:dyDescent="0.3">
      <c r="A29" s="108" t="s">
        <v>34</v>
      </c>
      <c r="B29" s="109"/>
      <c r="C29" s="108" t="s">
        <v>35</v>
      </c>
      <c r="D29" s="109"/>
      <c r="E29" s="108" t="s">
        <v>35</v>
      </c>
      <c r="F29" s="109"/>
      <c r="G29" s="108" t="s">
        <v>35</v>
      </c>
      <c r="H29" s="109"/>
      <c r="I29" s="108" t="s">
        <v>35</v>
      </c>
      <c r="J29" s="109"/>
    </row>
    <row r="30" spans="1:10" x14ac:dyDescent="0.3">
      <c r="A30" s="108" t="s">
        <v>36</v>
      </c>
      <c r="B30" s="109"/>
      <c r="C30" s="108" t="s">
        <v>12</v>
      </c>
      <c r="D30" s="109"/>
      <c r="E30" s="108" t="s">
        <v>188</v>
      </c>
      <c r="F30" s="109"/>
      <c r="G30" s="108" t="s">
        <v>188</v>
      </c>
      <c r="H30" s="109"/>
      <c r="I30" s="108" t="s">
        <v>188</v>
      </c>
      <c r="J30" s="109"/>
    </row>
    <row r="31" spans="1:10" x14ac:dyDescent="0.3">
      <c r="A31" s="57" t="s">
        <v>37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0" x14ac:dyDescent="0.3">
      <c r="A32" s="57" t="s">
        <v>38</v>
      </c>
      <c r="B32" s="58"/>
      <c r="C32" s="58"/>
      <c r="D32" s="58"/>
      <c r="E32" s="58"/>
      <c r="F32" s="58"/>
      <c r="G32" s="58"/>
      <c r="H32" s="58"/>
      <c r="I32" s="58"/>
      <c r="J32" s="59"/>
    </row>
    <row r="33" spans="1:10" x14ac:dyDescent="0.3">
      <c r="A33" s="116" t="s">
        <v>39</v>
      </c>
      <c r="B33" s="118"/>
      <c r="C33" s="57" t="s">
        <v>264</v>
      </c>
      <c r="D33" s="58"/>
      <c r="E33" s="58"/>
      <c r="F33" s="58"/>
      <c r="G33" s="58"/>
      <c r="H33" s="58"/>
      <c r="I33" s="58"/>
      <c r="J33" s="59"/>
    </row>
    <row r="34" spans="1:10" x14ac:dyDescent="0.3">
      <c r="A34" s="116" t="s">
        <v>258</v>
      </c>
      <c r="B34" s="118"/>
      <c r="C34" s="142" t="s">
        <v>259</v>
      </c>
      <c r="D34" s="58"/>
      <c r="E34" s="58"/>
      <c r="F34" s="58"/>
      <c r="G34" s="58"/>
      <c r="H34" s="58"/>
      <c r="I34" s="58"/>
      <c r="J34" s="59"/>
    </row>
    <row r="35" spans="1:10" x14ac:dyDescent="0.3">
      <c r="A35" s="116" t="s">
        <v>40</v>
      </c>
      <c r="B35" s="117"/>
      <c r="C35" s="117"/>
      <c r="D35" s="117"/>
      <c r="E35" s="117"/>
      <c r="F35" s="117"/>
      <c r="G35" s="117"/>
      <c r="H35" s="117"/>
      <c r="I35" s="117"/>
      <c r="J35" s="118"/>
    </row>
    <row r="36" spans="1:10" ht="15" customHeight="1" x14ac:dyDescent="0.3">
      <c r="A36" s="113" t="s">
        <v>41</v>
      </c>
      <c r="B36" s="114"/>
      <c r="C36" s="114"/>
      <c r="D36" s="114"/>
      <c r="E36" s="115"/>
      <c r="F36" s="139" t="s">
        <v>215</v>
      </c>
      <c r="G36" s="140"/>
      <c r="H36" s="140"/>
      <c r="I36" s="140"/>
      <c r="J36" s="141"/>
    </row>
    <row r="37" spans="1:10" ht="15" customHeight="1" x14ac:dyDescent="0.3">
      <c r="A37" s="86" t="s">
        <v>42</v>
      </c>
      <c r="B37" s="87"/>
      <c r="C37" s="87"/>
      <c r="D37" s="87"/>
      <c r="E37" s="87"/>
      <c r="F37" s="113" t="s">
        <v>43</v>
      </c>
      <c r="G37" s="114"/>
      <c r="H37" s="114"/>
      <c r="I37" s="114"/>
      <c r="J37" s="115"/>
    </row>
    <row r="38" spans="1:10" x14ac:dyDescent="0.3">
      <c r="A38" s="116" t="s">
        <v>44</v>
      </c>
      <c r="B38" s="117"/>
      <c r="C38" s="117"/>
      <c r="D38" s="117"/>
      <c r="E38" s="117"/>
      <c r="F38" s="117"/>
      <c r="G38" s="117"/>
      <c r="H38" s="117"/>
      <c r="I38" s="117"/>
      <c r="J38" s="118"/>
    </row>
    <row r="39" spans="1:10" x14ac:dyDescent="0.3">
      <c r="A39" s="57" t="s">
        <v>45</v>
      </c>
      <c r="B39" s="58"/>
      <c r="C39" s="58"/>
      <c r="D39" s="58"/>
      <c r="E39" s="59"/>
      <c r="F39" s="143">
        <v>9023.2669999999998</v>
      </c>
      <c r="G39" s="144"/>
      <c r="H39" s="144"/>
      <c r="I39" s="144"/>
      <c r="J39" s="145"/>
    </row>
    <row r="40" spans="1:10" x14ac:dyDescent="0.3">
      <c r="A40" s="57" t="s">
        <v>46</v>
      </c>
      <c r="B40" s="58"/>
      <c r="C40" s="58"/>
      <c r="D40" s="58"/>
      <c r="E40" s="59"/>
      <c r="F40" s="110">
        <v>1.2</v>
      </c>
      <c r="G40" s="111"/>
      <c r="H40" s="111"/>
      <c r="I40" s="111"/>
      <c r="J40" s="112"/>
    </row>
    <row r="41" spans="1:10" x14ac:dyDescent="0.3">
      <c r="A41" s="57" t="s">
        <v>47</v>
      </c>
      <c r="B41" s="58"/>
      <c r="C41" s="58"/>
      <c r="D41" s="58"/>
      <c r="E41" s="59"/>
      <c r="F41" s="110">
        <v>0</v>
      </c>
      <c r="G41" s="111"/>
      <c r="H41" s="111"/>
      <c r="I41" s="111"/>
      <c r="J41" s="112"/>
    </row>
    <row r="42" spans="1:10" x14ac:dyDescent="0.3">
      <c r="A42" s="57" t="s">
        <v>48</v>
      </c>
      <c r="B42" s="58"/>
      <c r="C42" s="58"/>
      <c r="D42" s="58"/>
      <c r="E42" s="59"/>
      <c r="F42" s="110">
        <f>F40+F41</f>
        <v>1.2</v>
      </c>
      <c r="G42" s="111"/>
      <c r="H42" s="111"/>
      <c r="I42" s="111"/>
      <c r="J42" s="112"/>
    </row>
    <row r="43" spans="1:10" x14ac:dyDescent="0.3">
      <c r="A43" s="57" t="s">
        <v>49</v>
      </c>
      <c r="B43" s="58"/>
      <c r="C43" s="58"/>
      <c r="D43" s="58"/>
      <c r="E43" s="59"/>
      <c r="F43" s="146">
        <f>F39*F42</f>
        <v>10827.920399999999</v>
      </c>
      <c r="G43" s="147"/>
      <c r="H43" s="147"/>
      <c r="I43" s="147"/>
      <c r="J43" s="148"/>
    </row>
    <row r="44" spans="1:10" x14ac:dyDescent="0.3">
      <c r="A44" s="57" t="s">
        <v>50</v>
      </c>
      <c r="B44" s="58"/>
      <c r="C44" s="58"/>
      <c r="D44" s="58"/>
      <c r="E44" s="59"/>
      <c r="F44" s="135" t="s">
        <v>217</v>
      </c>
      <c r="G44" s="133"/>
      <c r="H44" s="133"/>
      <c r="I44" s="133"/>
      <c r="J44" s="134"/>
    </row>
    <row r="45" spans="1:10" x14ac:dyDescent="0.3">
      <c r="A45" s="116" t="s">
        <v>51</v>
      </c>
      <c r="B45" s="117"/>
      <c r="C45" s="117"/>
      <c r="D45" s="117"/>
      <c r="E45" s="117"/>
      <c r="F45" s="117"/>
      <c r="G45" s="117"/>
      <c r="H45" s="117"/>
      <c r="I45" s="117"/>
      <c r="J45" s="118"/>
    </row>
    <row r="46" spans="1:10" x14ac:dyDescent="0.3">
      <c r="A46" s="113" t="s">
        <v>52</v>
      </c>
      <c r="B46" s="115"/>
      <c r="C46" s="162" t="s">
        <v>190</v>
      </c>
      <c r="D46" s="163"/>
      <c r="E46" s="163"/>
      <c r="F46" s="164"/>
      <c r="G46" s="19" t="s">
        <v>53</v>
      </c>
      <c r="H46" s="113" t="s">
        <v>191</v>
      </c>
      <c r="I46" s="114"/>
      <c r="J46" s="115"/>
    </row>
    <row r="47" spans="1:10" x14ac:dyDescent="0.3">
      <c r="A47" s="113" t="s">
        <v>54</v>
      </c>
      <c r="B47" s="115"/>
      <c r="C47" s="162" t="str">
        <f>C46</f>
        <v>MS/LNA-1/S.R/101/2017</v>
      </c>
      <c r="D47" s="163"/>
      <c r="E47" s="163"/>
      <c r="F47" s="164"/>
      <c r="G47" s="19" t="s">
        <v>53</v>
      </c>
      <c r="H47" s="113" t="str">
        <f>H46</f>
        <v>17/05/2019.</v>
      </c>
      <c r="I47" s="114"/>
      <c r="J47" s="115"/>
    </row>
    <row r="48" spans="1:10" ht="33" customHeight="1" x14ac:dyDescent="0.3">
      <c r="A48" s="113" t="s">
        <v>270</v>
      </c>
      <c r="B48" s="115"/>
      <c r="C48" s="162" t="s">
        <v>269</v>
      </c>
      <c r="D48" s="160"/>
      <c r="E48" s="160"/>
      <c r="F48" s="161"/>
      <c r="G48" s="13" t="s">
        <v>53</v>
      </c>
      <c r="H48" s="159" t="str">
        <f>H46</f>
        <v>17/05/2019.</v>
      </c>
      <c r="I48" s="160"/>
      <c r="J48" s="161"/>
    </row>
    <row r="49" spans="1:14" ht="15" customHeight="1" x14ac:dyDescent="0.3">
      <c r="A49" s="113" t="s">
        <v>55</v>
      </c>
      <c r="B49" s="115"/>
      <c r="C49" s="162" t="s">
        <v>148</v>
      </c>
      <c r="D49" s="160"/>
      <c r="E49" s="160"/>
      <c r="F49" s="161" t="s">
        <v>56</v>
      </c>
      <c r="G49" s="19" t="s">
        <v>53</v>
      </c>
      <c r="H49" s="113" t="s">
        <v>35</v>
      </c>
      <c r="I49" s="114" t="s">
        <v>35</v>
      </c>
      <c r="J49" s="115"/>
      <c r="N49" s="49"/>
    </row>
    <row r="50" spans="1:14" s="35" customFormat="1" ht="30.75" customHeight="1" x14ac:dyDescent="0.3">
      <c r="A50" s="157" t="s">
        <v>57</v>
      </c>
      <c r="B50" s="157"/>
      <c r="C50" s="56">
        <v>43602</v>
      </c>
      <c r="D50" s="158" t="s">
        <v>58</v>
      </c>
      <c r="E50" s="158"/>
      <c r="F50" s="158"/>
      <c r="G50" s="157" t="s">
        <v>251</v>
      </c>
      <c r="H50" s="157"/>
      <c r="I50" s="157"/>
      <c r="J50" s="157"/>
    </row>
    <row r="51" spans="1:14" x14ac:dyDescent="0.3">
      <c r="A51" s="149" t="s">
        <v>59</v>
      </c>
      <c r="B51" s="150"/>
      <c r="C51" s="150"/>
      <c r="D51" s="150"/>
      <c r="E51" s="150"/>
      <c r="F51" s="150"/>
      <c r="G51" s="150"/>
      <c r="H51" s="150"/>
      <c r="I51" s="150"/>
      <c r="J51" s="151"/>
    </row>
    <row r="52" spans="1:14" s="35" customFormat="1" x14ac:dyDescent="0.3">
      <c r="A52" s="135" t="s">
        <v>60</v>
      </c>
      <c r="B52" s="133"/>
      <c r="C52" s="134"/>
      <c r="D52" s="152">
        <f>F43</f>
        <v>10827.920399999999</v>
      </c>
      <c r="E52" s="153"/>
      <c r="F52" s="135" t="s">
        <v>61</v>
      </c>
      <c r="G52" s="134"/>
      <c r="H52" s="154" t="s">
        <v>248</v>
      </c>
      <c r="I52" s="155"/>
      <c r="J52" s="156"/>
    </row>
    <row r="53" spans="1:14" x14ac:dyDescent="0.3">
      <c r="A53" s="135" t="s">
        <v>62</v>
      </c>
      <c r="B53" s="133"/>
      <c r="C53" s="135" t="s">
        <v>246</v>
      </c>
      <c r="D53" s="133"/>
      <c r="E53" s="133"/>
      <c r="F53" s="133"/>
      <c r="G53" s="133"/>
      <c r="H53" s="133"/>
      <c r="I53" s="133"/>
      <c r="J53" s="134"/>
    </row>
    <row r="54" spans="1:14" x14ac:dyDescent="0.3">
      <c r="A54" s="57" t="s">
        <v>219</v>
      </c>
      <c r="B54" s="58"/>
      <c r="C54" s="58"/>
      <c r="D54" s="113" t="s">
        <v>63</v>
      </c>
      <c r="E54" s="114"/>
      <c r="F54" s="114"/>
      <c r="G54" s="114"/>
      <c r="H54" s="114"/>
      <c r="I54" s="114"/>
      <c r="J54" s="115"/>
    </row>
    <row r="55" spans="1:14" s="35" customFormat="1" ht="16.2" thickBot="1" x14ac:dyDescent="0.35">
      <c r="A55" s="135" t="s">
        <v>218</v>
      </c>
      <c r="B55" s="133"/>
      <c r="C55" s="133"/>
      <c r="D55" s="133"/>
      <c r="E55" s="133"/>
      <c r="F55" s="133"/>
      <c r="G55" s="133"/>
      <c r="H55" s="133"/>
      <c r="I55" s="133"/>
      <c r="J55" s="134"/>
    </row>
    <row r="56" spans="1:14" customFormat="1" ht="15.75" customHeight="1" x14ac:dyDescent="0.3">
      <c r="A56" s="203" t="s">
        <v>222</v>
      </c>
      <c r="B56" s="204"/>
      <c r="C56" s="205" t="s">
        <v>253</v>
      </c>
      <c r="D56" s="205"/>
      <c r="E56" s="205"/>
      <c r="F56" s="205"/>
      <c r="G56" s="205"/>
      <c r="H56" s="205"/>
      <c r="I56" s="205"/>
      <c r="J56" s="206"/>
      <c r="K56" s="38" t="str">
        <f ca="1">(IF(F60&gt;99%,"All work completed. Please provide OC.",IF(F60&gt;89.8%,"Plinth, RCC, Brick, Plaster, Flooring, Painting work Completed. Finishing work is in process.",IF(F60&lt;94%,(IF(C60=0,"Work not yet Started.",IF(D60=25%,"Piling work in process",IF(D60=50%,"Excavation work in process",IF(D60=100%,"Excavation work Completed. ","0")))&amp;(IF(C61=0%,"",IF(C61=L62,"Footing work is process",IF(C61=L63,"Footing work Completed",IF(C61=L64,"1st Basement Completed",IF(C61=L65,"1st &amp; 2nd Basement Completed",IF(C61=L66,"1st to 3rd Basement Completed",IF(C61=L67,"1st to 4th Basement Completed",IF(C61=L68,"Plinth work is process",IF(C61=L69,"Plinth work completed","0")))))))))))&amp;(IF(C62=(D57+G57+I57),", RCC Slab",IF(C62&gt;0,", RCC upto "&amp;C62&amp;" Slab",""))&amp;(IF(C63=I57,", Brickwork",IF(C63&gt;0,", Brickwork upto "&amp;C63&amp;" Floor",""))&amp;(IF(C64=I57,", Internal Plaster",IF(C64&gt;0,", Internal Plaster upto "&amp;C64&amp;" Floor",""))&amp;(IF(C65=I57,", External Plaster",IF(C65&gt;0,", External Plaster upto "&amp;C65&amp;" Floor",""))&amp;(IF(C66=I57,", Flooring",IF(C66&gt;0,", Flooring upto "&amp;C66&amp;" Floor",""))&amp;(IF(C67=I57,", Painting",IF(C67&gt;0,", Painting upto "&amp;C67&amp;" Floor",""))&amp;(IF(C68&gt;0,", Finishing upto "&amp;C68&amp;" Floor","")&amp;(IF(C62&gt;0.5," Completed",""))))))))))))))</f>
        <v>Excavation work Completed. Plinth work completed, RCC Slab, Brickwork upto 3 Floor Completed</v>
      </c>
      <c r="L56" s="38"/>
    </row>
    <row r="57" spans="1:14" customFormat="1" x14ac:dyDescent="0.3">
      <c r="A57" s="39" t="s">
        <v>134</v>
      </c>
      <c r="B57" s="44">
        <v>0</v>
      </c>
      <c r="C57" s="40" t="s">
        <v>136</v>
      </c>
      <c r="D57" s="40">
        <v>1</v>
      </c>
      <c r="E57" s="195" t="s">
        <v>135</v>
      </c>
      <c r="F57" s="195"/>
      <c r="G57" s="40">
        <v>0</v>
      </c>
      <c r="H57" s="40" t="s">
        <v>223</v>
      </c>
      <c r="I57" s="195">
        <f ca="1">--TRIM(RIGHT(SUBSTITUTE(LEFT(C56,_xlfn.AGGREGATE(16,6,FIND({0,1,2,3,4,5,6,7,8,9},C56,ROW(INDIRECT("1:"&amp;LEN(C56)))),1))," ",REPT(" ",LEN(C56))),LEN(C56)))</f>
        <v>7</v>
      </c>
      <c r="J57" s="196"/>
      <c r="K57" s="38"/>
      <c r="L57" s="38"/>
    </row>
    <row r="58" spans="1:14" customFormat="1" ht="33.75" customHeight="1" x14ac:dyDescent="0.3">
      <c r="A58" s="197" t="s">
        <v>224</v>
      </c>
      <c r="B58" s="198"/>
      <c r="C58" s="199" t="str">
        <f ca="1">K56</f>
        <v>Excavation work Completed. Plinth work completed, RCC Slab, Brickwork upto 3 Floor Completed</v>
      </c>
      <c r="D58" s="199"/>
      <c r="E58" s="199"/>
      <c r="F58" s="199"/>
      <c r="G58" s="199"/>
      <c r="H58" s="199"/>
      <c r="I58" s="199"/>
      <c r="J58" s="200"/>
      <c r="K58" s="38" t="s">
        <v>225</v>
      </c>
      <c r="L58" s="38"/>
    </row>
    <row r="59" spans="1:14" customFormat="1" ht="15.75" customHeight="1" x14ac:dyDescent="0.3">
      <c r="A59" s="173" t="s">
        <v>64</v>
      </c>
      <c r="B59" s="174"/>
      <c r="C59" s="45" t="s">
        <v>226</v>
      </c>
      <c r="D59" s="60" t="s">
        <v>227</v>
      </c>
      <c r="E59" s="60"/>
      <c r="F59" s="60" t="s">
        <v>228</v>
      </c>
      <c r="G59" s="60"/>
      <c r="H59" s="60" t="s">
        <v>229</v>
      </c>
      <c r="I59" s="60"/>
      <c r="J59" s="61"/>
      <c r="K59" s="41" t="s">
        <v>230</v>
      </c>
      <c r="L59" s="12">
        <f ca="1">I57*25%</f>
        <v>1.75</v>
      </c>
    </row>
    <row r="60" spans="1:14" customFormat="1" ht="15.75" customHeight="1" x14ac:dyDescent="0.3">
      <c r="A60" s="62" t="s">
        <v>231</v>
      </c>
      <c r="B60" s="63"/>
      <c r="C60" s="46">
        <f ca="1">L61</f>
        <v>7</v>
      </c>
      <c r="D60" s="64">
        <f ca="1">((100/I57)*C60)/100</f>
        <v>1</v>
      </c>
      <c r="E60" s="64"/>
      <c r="F60" s="64">
        <f ca="1">(((C61/I57*10)+(40/(D57+G57+I57)*C62)+(7.5/(I57)*C63)+(7.5/(I57)*C64)+(10/I57*C65)+(10/I57*C66)+(5/I57*C67)+(5/I57*C68)+(5/I57*C69))/100)</f>
        <v>0.53214285714285714</v>
      </c>
      <c r="G60" s="64"/>
      <c r="H60" s="64">
        <f ca="1">((((C60/I57)*20)+((C61/I57)*25)+(30/(I57+G57+D57)*C62)+(5/I57*C63)+(5/I57*C64)+(5/I57*C65)+(5/I57*C66)+(0/I57*C67)+(0/I57*C68)+(5/I57*C69))/100)</f>
        <v>0.77142857142857135</v>
      </c>
      <c r="I60" s="64"/>
      <c r="J60" s="66"/>
      <c r="K60" s="41" t="s">
        <v>142</v>
      </c>
      <c r="L60" s="41">
        <f ca="1">I57*50%</f>
        <v>3.5</v>
      </c>
    </row>
    <row r="61" spans="1:14" customFormat="1" x14ac:dyDescent="0.3">
      <c r="A61" s="62" t="s">
        <v>65</v>
      </c>
      <c r="B61" s="63"/>
      <c r="C61" s="47">
        <f ca="1">L69</f>
        <v>7</v>
      </c>
      <c r="D61" s="64">
        <f ca="1">((100/I57)*C61)/100</f>
        <v>1</v>
      </c>
      <c r="E61" s="64"/>
      <c r="F61" s="64"/>
      <c r="G61" s="64"/>
      <c r="H61" s="64"/>
      <c r="I61" s="64"/>
      <c r="J61" s="66"/>
      <c r="K61" s="41" t="s">
        <v>143</v>
      </c>
      <c r="L61" s="41">
        <f ca="1">I57</f>
        <v>7</v>
      </c>
    </row>
    <row r="62" spans="1:14" customFormat="1" ht="15.75" customHeight="1" x14ac:dyDescent="0.3">
      <c r="A62" s="62" t="s">
        <v>232</v>
      </c>
      <c r="B62" s="63"/>
      <c r="C62" s="47">
        <v>8</v>
      </c>
      <c r="D62" s="64">
        <f ca="1">((100/(D57+G57+I57))*C62)/100</f>
        <v>1</v>
      </c>
      <c r="E62" s="64"/>
      <c r="F62" s="64"/>
      <c r="G62" s="64"/>
      <c r="H62" s="64"/>
      <c r="I62" s="64"/>
      <c r="J62" s="66"/>
      <c r="K62" s="41" t="s">
        <v>144</v>
      </c>
      <c r="L62" s="42">
        <f ca="1">(IF(B57&gt;1,(I57/(B57+2)),I57/4))</f>
        <v>1.75</v>
      </c>
    </row>
    <row r="63" spans="1:14" customFormat="1" ht="15.75" customHeight="1" x14ac:dyDescent="0.3">
      <c r="A63" s="62" t="s">
        <v>233</v>
      </c>
      <c r="B63" s="63" t="s">
        <v>234</v>
      </c>
      <c r="C63" s="46">
        <v>3</v>
      </c>
      <c r="D63" s="64">
        <f ca="1">((100/I57)*C63)/100</f>
        <v>0.4285714285714286</v>
      </c>
      <c r="E63" s="64"/>
      <c r="F63" s="64"/>
      <c r="G63" s="64"/>
      <c r="H63" s="64"/>
      <c r="I63" s="64"/>
      <c r="J63" s="66"/>
      <c r="K63" s="41" t="s">
        <v>145</v>
      </c>
      <c r="L63" s="42">
        <f ca="1">(IF(B57&gt;1,(I57/(B57+2)+L62),I57/4+L62))</f>
        <v>3.5</v>
      </c>
    </row>
    <row r="64" spans="1:14" customFormat="1" ht="15.75" customHeight="1" x14ac:dyDescent="0.3">
      <c r="A64" s="62" t="s">
        <v>235</v>
      </c>
      <c r="B64" s="63" t="s">
        <v>234</v>
      </c>
      <c r="C64" s="46">
        <v>0</v>
      </c>
      <c r="D64" s="64">
        <f ca="1">((100/I57)*C64)/100</f>
        <v>0</v>
      </c>
      <c r="E64" s="64"/>
      <c r="F64" s="64"/>
      <c r="G64" s="64"/>
      <c r="H64" s="64"/>
      <c r="I64" s="64"/>
      <c r="J64" s="66"/>
      <c r="K64" s="41" t="s">
        <v>236</v>
      </c>
      <c r="L64" s="42">
        <f>(IF(B57&gt;1,(I57/(B57+2)+L63),0))</f>
        <v>0</v>
      </c>
    </row>
    <row r="65" spans="1:12" customFormat="1" ht="15.75" customHeight="1" x14ac:dyDescent="0.3">
      <c r="A65" s="62" t="s">
        <v>237</v>
      </c>
      <c r="B65" s="63" t="s">
        <v>238</v>
      </c>
      <c r="C65" s="46">
        <v>0</v>
      </c>
      <c r="D65" s="64">
        <f ca="1">((100/(I57))*C65)/100</f>
        <v>0</v>
      </c>
      <c r="E65" s="64"/>
      <c r="F65" s="64"/>
      <c r="G65" s="64"/>
      <c r="H65" s="64"/>
      <c r="I65" s="64"/>
      <c r="J65" s="66"/>
      <c r="K65" s="41" t="s">
        <v>239</v>
      </c>
      <c r="L65" s="42">
        <f>(IF(B57&gt;2,(I57/(B57+2)+L64),0))</f>
        <v>0</v>
      </c>
    </row>
    <row r="66" spans="1:12" customFormat="1" ht="15.75" customHeight="1" x14ac:dyDescent="0.3">
      <c r="A66" s="62" t="s">
        <v>240</v>
      </c>
      <c r="B66" s="63" t="s">
        <v>240</v>
      </c>
      <c r="C66" s="46">
        <v>0</v>
      </c>
      <c r="D66" s="64">
        <f ca="1">((100/I57)*C66)/100</f>
        <v>0</v>
      </c>
      <c r="E66" s="64"/>
      <c r="F66" s="64"/>
      <c r="G66" s="64"/>
      <c r="H66" s="64"/>
      <c r="I66" s="64"/>
      <c r="J66" s="66"/>
      <c r="K66" s="41" t="s">
        <v>241</v>
      </c>
      <c r="L66" s="43">
        <f>(IF(B57&gt;3,(I57/(B57+2)+L65),0))</f>
        <v>0</v>
      </c>
    </row>
    <row r="67" spans="1:12" customFormat="1" ht="15.75" customHeight="1" x14ac:dyDescent="0.3">
      <c r="A67" s="62" t="s">
        <v>242</v>
      </c>
      <c r="B67" s="63"/>
      <c r="C67" s="46">
        <v>0</v>
      </c>
      <c r="D67" s="64">
        <f ca="1">((100/I57)*C67)/100</f>
        <v>0</v>
      </c>
      <c r="E67" s="64"/>
      <c r="F67" s="64"/>
      <c r="G67" s="64"/>
      <c r="H67" s="64"/>
      <c r="I67" s="64"/>
      <c r="J67" s="66"/>
      <c r="K67" s="41" t="s">
        <v>243</v>
      </c>
      <c r="L67" s="42">
        <f>(IF(B57&gt;4,(I57/(B57+2)+L66),0))</f>
        <v>0</v>
      </c>
    </row>
    <row r="68" spans="1:12" customFormat="1" ht="15.75" customHeight="1" x14ac:dyDescent="0.3">
      <c r="A68" s="62" t="s">
        <v>244</v>
      </c>
      <c r="B68" s="63" t="s">
        <v>244</v>
      </c>
      <c r="C68" s="46">
        <v>0</v>
      </c>
      <c r="D68" s="64">
        <f ca="1">((100/(I57))*C68)/100</f>
        <v>0</v>
      </c>
      <c r="E68" s="64"/>
      <c r="F68" s="64"/>
      <c r="G68" s="64"/>
      <c r="H68" s="64"/>
      <c r="I68" s="64"/>
      <c r="J68" s="66"/>
      <c r="K68" s="41" t="s">
        <v>146</v>
      </c>
      <c r="L68" s="42">
        <f ca="1">(IF(B57=1,(I57/(B57+3)+L63),IF(B57=0,(I57/4+L63),IF(B57&gt;1,0))))</f>
        <v>5.25</v>
      </c>
    </row>
    <row r="69" spans="1:12" customFormat="1" ht="16.5" customHeight="1" thickBot="1" x14ac:dyDescent="0.35">
      <c r="A69" s="207" t="s">
        <v>245</v>
      </c>
      <c r="B69" s="208"/>
      <c r="C69" s="48">
        <v>0</v>
      </c>
      <c r="D69" s="65">
        <f ca="1">((100/(I57))*C69)/100</f>
        <v>0</v>
      </c>
      <c r="E69" s="65"/>
      <c r="F69" s="65"/>
      <c r="G69" s="65"/>
      <c r="H69" s="65"/>
      <c r="I69" s="65"/>
      <c r="J69" s="67"/>
      <c r="K69" s="41" t="s">
        <v>147</v>
      </c>
      <c r="L69" s="42">
        <f ca="1">(IF(B57&gt;1.5,(I57/(B57+2)+L63+MAX(0,L64-L63)+MAX(0,L65-L64)+MAX(0,L66-L65)+MAX(0,L67-L66)+MAX(0,L68-L67)),IF(B57=1,(I57/(B57+3)+L68),IF(B57=0,I57/4+L68))))</f>
        <v>7</v>
      </c>
    </row>
    <row r="70" spans="1:12" customFormat="1" ht="15.75" customHeight="1" x14ac:dyDescent="0.3">
      <c r="A70" s="203" t="s">
        <v>222</v>
      </c>
      <c r="B70" s="204"/>
      <c r="C70" s="205" t="s">
        <v>252</v>
      </c>
      <c r="D70" s="205"/>
      <c r="E70" s="205"/>
      <c r="F70" s="205"/>
      <c r="G70" s="205"/>
      <c r="H70" s="205"/>
      <c r="I70" s="205"/>
      <c r="J70" s="206"/>
      <c r="K70" s="38" t="str">
        <f ca="1">(IF(F74&gt;99%,"All work completed. Please provide OC.",IF(F74&gt;89.8%,"Plinth, RCC, Brick, Plaster, Flooring, Painting work Completed. Finishing work is in process.",IF(F74&lt;94%,(IF(C74=0,"Work not yet Started.",IF(D74=25%,"Piling work in process",IF(D74=50%,"Excavation work in process",IF(D74=100%,"Excavation work Completed. ","0")))&amp;(IF(C75=0%,"",IF(C75=L76,"Footing work is process",IF(C75=L77,"Footing work Completed",IF(C75=L78,"1st Basement Completed",IF(C75=L79,"1st &amp; 2nd Basement Completed",IF(C75=L80,"1st to 3rd Basement Completed",IF(C75=L81,"1st to 4th Basement Completed",IF(C75=L82,"Plinth work is process",IF(C75=L83,"Plinth work completed","0")))))))))))&amp;(IF(C76=(D71+G71+I71),", RCC Slab",IF(C76&gt;0,", RCC upto "&amp;C76&amp;" Slab",""))&amp;(IF(C77=I71,", Brickwork",IF(C77&gt;0,", Brickwork upto "&amp;C77&amp;" Floor",""))&amp;(IF(C78=I71,", Internal Plaster",IF(C78&gt;0,", Internal Plaster upto "&amp;C78&amp;" Floor",""))&amp;(IF(C79=I71,", External Plaster",IF(C79&gt;0,", External Plaster upto "&amp;C79&amp;" Floor",""))&amp;(IF(C80=I71,", Flooring",IF(C80&gt;0,", Flooring upto "&amp;C80&amp;" Floor",""))&amp;(IF(C81=I71,", Painting",IF(C81&gt;0,", Painting upto "&amp;C81&amp;" Floor",""))&amp;(IF(C82&gt;0,", Finishing upto "&amp;C82&amp;" Floor","")&amp;(IF(C76&gt;0.5," Completed",""))))))))))))))</f>
        <v>Work not yet Started.</v>
      </c>
      <c r="L70" s="38"/>
    </row>
    <row r="71" spans="1:12" customFormat="1" x14ac:dyDescent="0.3">
      <c r="A71" s="39" t="s">
        <v>134</v>
      </c>
      <c r="B71" s="44">
        <v>0</v>
      </c>
      <c r="C71" s="40" t="s">
        <v>136</v>
      </c>
      <c r="D71" s="40">
        <v>1</v>
      </c>
      <c r="E71" s="195" t="s">
        <v>135</v>
      </c>
      <c r="F71" s="195"/>
      <c r="G71" s="40">
        <v>0</v>
      </c>
      <c r="H71" s="40" t="s">
        <v>223</v>
      </c>
      <c r="I71" s="195">
        <f ca="1">--TRIM(RIGHT(SUBSTITUTE(LEFT(C70,_xlfn.AGGREGATE(16,6,FIND({0,1,2,3,4,5,6,7,8,9},C70,ROW(INDIRECT("1:"&amp;LEN(C70)))),1))," ",REPT(" ",LEN(C70))),LEN(C70)))</f>
        <v>7</v>
      </c>
      <c r="J71" s="196"/>
      <c r="K71" s="38"/>
      <c r="L71" s="38"/>
    </row>
    <row r="72" spans="1:12" customFormat="1" ht="15.75" customHeight="1" x14ac:dyDescent="0.3">
      <c r="A72" s="197" t="s">
        <v>224</v>
      </c>
      <c r="B72" s="198"/>
      <c r="C72" s="199" t="str">
        <f ca="1">K70</f>
        <v>Work not yet Started.</v>
      </c>
      <c r="D72" s="199"/>
      <c r="E72" s="199"/>
      <c r="F72" s="199"/>
      <c r="G72" s="199"/>
      <c r="H72" s="199"/>
      <c r="I72" s="199"/>
      <c r="J72" s="200"/>
      <c r="K72" s="38" t="s">
        <v>225</v>
      </c>
      <c r="L72" s="38"/>
    </row>
    <row r="73" spans="1:12" customFormat="1" ht="15.75" customHeight="1" x14ac:dyDescent="0.3">
      <c r="A73" s="173" t="s">
        <v>64</v>
      </c>
      <c r="B73" s="174"/>
      <c r="C73" s="45" t="s">
        <v>226</v>
      </c>
      <c r="D73" s="60" t="s">
        <v>227</v>
      </c>
      <c r="E73" s="60"/>
      <c r="F73" s="60" t="s">
        <v>228</v>
      </c>
      <c r="G73" s="60"/>
      <c r="H73" s="60" t="s">
        <v>229</v>
      </c>
      <c r="I73" s="60"/>
      <c r="J73" s="61"/>
      <c r="K73" s="41" t="s">
        <v>230</v>
      </c>
      <c r="L73" s="12">
        <f ca="1">I71*25%</f>
        <v>1.75</v>
      </c>
    </row>
    <row r="74" spans="1:12" customFormat="1" ht="15.75" customHeight="1" x14ac:dyDescent="0.3">
      <c r="A74" s="62" t="s">
        <v>231</v>
      </c>
      <c r="B74" s="63"/>
      <c r="C74" s="46">
        <v>0</v>
      </c>
      <c r="D74" s="64">
        <f ca="1">((100/I71)*C74)/100</f>
        <v>0</v>
      </c>
      <c r="E74" s="64"/>
      <c r="F74" s="64">
        <f ca="1">(((C75/I71*10)+(40/(D71+G71+I71)*C76)+(7.5/(I71)*C77)+(7.5/(I71)*C78)+(10/I71*C79)+(10/I71*C80)+(5/I71*C81)+(5/I71*C82)+(5/I71*C83))/100)</f>
        <v>0</v>
      </c>
      <c r="G74" s="64"/>
      <c r="H74" s="64">
        <f ca="1">((((C74/I71)*20)+((C75/I71)*25)+(30/(I71+G71+D71)*C76)+(5/I71*C77)+(5/I71*C78)+(5/I71*C79)+(5/I71*C80)+(0/I71*C81)+(0/I71*C82)+(5/I71*C83))/100)</f>
        <v>0</v>
      </c>
      <c r="I74" s="64"/>
      <c r="J74" s="66"/>
      <c r="K74" s="41" t="s">
        <v>142</v>
      </c>
      <c r="L74" s="41">
        <f ca="1">I71*50%</f>
        <v>3.5</v>
      </c>
    </row>
    <row r="75" spans="1:12" customFormat="1" x14ac:dyDescent="0.3">
      <c r="A75" s="62" t="s">
        <v>65</v>
      </c>
      <c r="B75" s="63"/>
      <c r="C75" s="47">
        <v>0</v>
      </c>
      <c r="D75" s="64">
        <f ca="1">((100/I71)*C75)/100</f>
        <v>0</v>
      </c>
      <c r="E75" s="64"/>
      <c r="F75" s="64"/>
      <c r="G75" s="64"/>
      <c r="H75" s="64"/>
      <c r="I75" s="64"/>
      <c r="J75" s="66"/>
      <c r="K75" s="41" t="s">
        <v>143</v>
      </c>
      <c r="L75" s="41">
        <f ca="1">I71</f>
        <v>7</v>
      </c>
    </row>
    <row r="76" spans="1:12" customFormat="1" ht="15.75" customHeight="1" x14ac:dyDescent="0.3">
      <c r="A76" s="62" t="s">
        <v>232</v>
      </c>
      <c r="B76" s="63"/>
      <c r="C76" s="47">
        <v>0</v>
      </c>
      <c r="D76" s="64">
        <f ca="1">((100/(D71+G71+I71))*C76)/100</f>
        <v>0</v>
      </c>
      <c r="E76" s="64"/>
      <c r="F76" s="64"/>
      <c r="G76" s="64"/>
      <c r="H76" s="64"/>
      <c r="I76" s="64"/>
      <c r="J76" s="66"/>
      <c r="K76" s="41" t="s">
        <v>144</v>
      </c>
      <c r="L76" s="42">
        <f ca="1">(IF(B71&gt;1,(I71/(B71+2)),I71/4))</f>
        <v>1.75</v>
      </c>
    </row>
    <row r="77" spans="1:12" customFormat="1" ht="15.75" customHeight="1" x14ac:dyDescent="0.3">
      <c r="A77" s="62" t="s">
        <v>233</v>
      </c>
      <c r="B77" s="63" t="s">
        <v>234</v>
      </c>
      <c r="C77" s="46">
        <v>0</v>
      </c>
      <c r="D77" s="64">
        <f ca="1">((100/I71)*C77)/100</f>
        <v>0</v>
      </c>
      <c r="E77" s="64"/>
      <c r="F77" s="64"/>
      <c r="G77" s="64"/>
      <c r="H77" s="64"/>
      <c r="I77" s="64"/>
      <c r="J77" s="66"/>
      <c r="K77" s="41" t="s">
        <v>145</v>
      </c>
      <c r="L77" s="42">
        <f ca="1">(IF(B71&gt;1,(I71/(B71+2)+L76),I71/4+L76))</f>
        <v>3.5</v>
      </c>
    </row>
    <row r="78" spans="1:12" customFormat="1" ht="15.75" customHeight="1" x14ac:dyDescent="0.3">
      <c r="A78" s="62" t="s">
        <v>235</v>
      </c>
      <c r="B78" s="63" t="s">
        <v>234</v>
      </c>
      <c r="C78" s="46">
        <v>0</v>
      </c>
      <c r="D78" s="64">
        <f ca="1">((100/I71)*C78)/100</f>
        <v>0</v>
      </c>
      <c r="E78" s="64"/>
      <c r="F78" s="64"/>
      <c r="G78" s="64"/>
      <c r="H78" s="64"/>
      <c r="I78" s="64"/>
      <c r="J78" s="66"/>
      <c r="K78" s="41" t="s">
        <v>236</v>
      </c>
      <c r="L78" s="42">
        <f>(IF(B71&gt;1,(I71/(B71+2)+L77),0))</f>
        <v>0</v>
      </c>
    </row>
    <row r="79" spans="1:12" customFormat="1" ht="15.75" customHeight="1" x14ac:dyDescent="0.3">
      <c r="A79" s="62" t="s">
        <v>237</v>
      </c>
      <c r="B79" s="63" t="s">
        <v>238</v>
      </c>
      <c r="C79" s="46">
        <v>0</v>
      </c>
      <c r="D79" s="64">
        <f ca="1">((100/(I71))*C79)/100</f>
        <v>0</v>
      </c>
      <c r="E79" s="64"/>
      <c r="F79" s="64"/>
      <c r="G79" s="64"/>
      <c r="H79" s="64"/>
      <c r="I79" s="64"/>
      <c r="J79" s="66"/>
      <c r="K79" s="41" t="s">
        <v>239</v>
      </c>
      <c r="L79" s="42">
        <f>(IF(B71&gt;2,(I71/(B71+2)+L78),0))</f>
        <v>0</v>
      </c>
    </row>
    <row r="80" spans="1:12" customFormat="1" ht="15.75" customHeight="1" x14ac:dyDescent="0.3">
      <c r="A80" s="62" t="s">
        <v>240</v>
      </c>
      <c r="B80" s="63" t="s">
        <v>240</v>
      </c>
      <c r="C80" s="46">
        <v>0</v>
      </c>
      <c r="D80" s="64">
        <f ca="1">((100/I71)*C80)/100</f>
        <v>0</v>
      </c>
      <c r="E80" s="64"/>
      <c r="F80" s="64"/>
      <c r="G80" s="64"/>
      <c r="H80" s="64"/>
      <c r="I80" s="64"/>
      <c r="J80" s="66"/>
      <c r="K80" s="41" t="s">
        <v>241</v>
      </c>
      <c r="L80" s="43">
        <f>(IF(B71&gt;3,(I71/(B71+2)+L79),0))</f>
        <v>0</v>
      </c>
    </row>
    <row r="81" spans="1:12" customFormat="1" ht="15.75" customHeight="1" x14ac:dyDescent="0.3">
      <c r="A81" s="62" t="s">
        <v>242</v>
      </c>
      <c r="B81" s="63"/>
      <c r="C81" s="46">
        <v>0</v>
      </c>
      <c r="D81" s="64">
        <f ca="1">((100/I71)*C81)/100</f>
        <v>0</v>
      </c>
      <c r="E81" s="64"/>
      <c r="F81" s="64"/>
      <c r="G81" s="64"/>
      <c r="H81" s="64"/>
      <c r="I81" s="64"/>
      <c r="J81" s="66"/>
      <c r="K81" s="41" t="s">
        <v>243</v>
      </c>
      <c r="L81" s="42">
        <f>(IF(B71&gt;4,(I71/(B71+2)+L80),0))</f>
        <v>0</v>
      </c>
    </row>
    <row r="82" spans="1:12" customFormat="1" ht="15.75" customHeight="1" x14ac:dyDescent="0.3">
      <c r="A82" s="62" t="s">
        <v>244</v>
      </c>
      <c r="B82" s="63" t="s">
        <v>244</v>
      </c>
      <c r="C82" s="46">
        <v>0</v>
      </c>
      <c r="D82" s="64">
        <f ca="1">((100/(I71))*C82)/100</f>
        <v>0</v>
      </c>
      <c r="E82" s="64"/>
      <c r="F82" s="64"/>
      <c r="G82" s="64"/>
      <c r="H82" s="64"/>
      <c r="I82" s="64"/>
      <c r="J82" s="66"/>
      <c r="K82" s="41" t="s">
        <v>146</v>
      </c>
      <c r="L82" s="42">
        <f ca="1">(IF(B71=1,(I71/(B71+3)+L77),IF(B71=0,(I71/4+L77),IF(B71&gt;1,0))))</f>
        <v>5.25</v>
      </c>
    </row>
    <row r="83" spans="1:12" customFormat="1" ht="16.5" customHeight="1" thickBot="1" x14ac:dyDescent="0.35">
      <c r="A83" s="207" t="s">
        <v>245</v>
      </c>
      <c r="B83" s="208"/>
      <c r="C83" s="48">
        <v>0</v>
      </c>
      <c r="D83" s="65">
        <f ca="1">((100/(I71))*C83)/100</f>
        <v>0</v>
      </c>
      <c r="E83" s="65"/>
      <c r="F83" s="65"/>
      <c r="G83" s="65"/>
      <c r="H83" s="65"/>
      <c r="I83" s="65"/>
      <c r="J83" s="67"/>
      <c r="K83" s="41" t="s">
        <v>147</v>
      </c>
      <c r="L83" s="42">
        <f ca="1">(IF(B71&gt;1.5,(I71/(B71+2)+L77+MAX(0,L78-L77)+MAX(0,L79-L78)+MAX(0,L80-L79)+MAX(0,L81-L80)+MAX(0,L82-L81)),IF(B71=1,(I71/(B71+3)+L82),IF(B71=0,I71/4+L82))))</f>
        <v>7</v>
      </c>
    </row>
    <row r="84" spans="1:12" customFormat="1" ht="15.75" customHeight="1" x14ac:dyDescent="0.3">
      <c r="A84" s="203" t="s">
        <v>222</v>
      </c>
      <c r="B84" s="204"/>
      <c r="C84" s="205" t="s">
        <v>247</v>
      </c>
      <c r="D84" s="205"/>
      <c r="E84" s="205"/>
      <c r="F84" s="205"/>
      <c r="G84" s="205"/>
      <c r="H84" s="205"/>
      <c r="I84" s="205"/>
      <c r="J84" s="206"/>
      <c r="K84" s="38" t="str">
        <f ca="1">(IF(F88&gt;99%,"All work completed. Please provide OC.",IF(F88&gt;89.8%,"Plinth, RCC, Brick, Plaster, Flooring, Painting work Completed. Finishing work is in process.",IF(F88&lt;94%,(IF(C88=0,"Work not yet Started.",IF(D88=25%,"Piling work in process",IF(D88=50%,"Excavation work in process",IF(D88=100%,"Excavation work Completed. ","0")))&amp;(IF(C89=0%,"",IF(C89=L90,"Footing work is process",IF(C89=L91,"Footing work Completed",IF(C89=L92,"1st Basement Completed",IF(C89=L93,"1st &amp; 2nd Basement Completed",IF(C89=L94,"1st to 3rd Basement Completed",IF(C89=L95,"1st to 4th Basement Completed",IF(C89=L96,"Plinth work is process",IF(C89=L97,"Plinth work completed","0")))))))))))&amp;(IF(C90=(D85+G85+I85),", RCC Slab",IF(C90&gt;0,", RCC upto "&amp;C90&amp;" Slab",""))&amp;(IF(C91=I85,", Brickwork",IF(C91&gt;0,", Brickwork upto "&amp;C91&amp;" Floor",""))&amp;(IF(C92=I85,", Internal Plaster",IF(C92&gt;0,", Internal Plaster upto "&amp;C92&amp;" Floor",""))&amp;(IF(C93=I85,", External Plaster",IF(C93&gt;0,", External Plaster upto "&amp;C93&amp;" Floor",""))&amp;(IF(C94=I85,", Flooring",IF(C94&gt;0,", Flooring upto "&amp;C94&amp;" Floor",""))&amp;(IF(C95=I85,", Painting",IF(C95&gt;0,", Painting upto "&amp;C95&amp;" Floor",""))&amp;(IF(C96&gt;0,", Finishing upto "&amp;C96&amp;" Floor","")&amp;(IF(C90&gt;0.5," Completed",""))))))))))))))</f>
        <v>Excavation work Completed. Plinth work completed, RCC Slab, Brickwork, Internal Plaster, External Plaster upto 6 Floor, Flooring upto 4 Floor Completed</v>
      </c>
      <c r="L84" s="38"/>
    </row>
    <row r="85" spans="1:12" customFormat="1" x14ac:dyDescent="0.3">
      <c r="A85" s="39" t="s">
        <v>134</v>
      </c>
      <c r="B85" s="44">
        <v>0</v>
      </c>
      <c r="C85" s="40" t="s">
        <v>136</v>
      </c>
      <c r="D85" s="40">
        <v>1</v>
      </c>
      <c r="E85" s="195" t="s">
        <v>135</v>
      </c>
      <c r="F85" s="195"/>
      <c r="G85" s="40">
        <v>0</v>
      </c>
      <c r="H85" s="40" t="s">
        <v>223</v>
      </c>
      <c r="I85" s="195">
        <f ca="1">--TRIM(RIGHT(SUBSTITUTE(LEFT(C84,_xlfn.AGGREGATE(16,6,FIND({0,1,2,3,4,5,6,7,8,9},C84,ROW(INDIRECT("1:"&amp;LEN(C84)))),1))," ",REPT(" ",LEN(C84))),LEN(C84)))</f>
        <v>7</v>
      </c>
      <c r="J85" s="196"/>
      <c r="K85" s="38"/>
      <c r="L85" s="38"/>
    </row>
    <row r="86" spans="1:12" customFormat="1" ht="30.75" customHeight="1" x14ac:dyDescent="0.3">
      <c r="A86" s="197" t="s">
        <v>224</v>
      </c>
      <c r="B86" s="198"/>
      <c r="C86" s="199" t="str">
        <f ca="1">K84</f>
        <v>Excavation work Completed. Plinth work completed, RCC Slab, Brickwork, Internal Plaster, External Plaster upto 6 Floor, Flooring upto 4 Floor Completed</v>
      </c>
      <c r="D86" s="199"/>
      <c r="E86" s="199"/>
      <c r="F86" s="199"/>
      <c r="G86" s="199"/>
      <c r="H86" s="199"/>
      <c r="I86" s="199"/>
      <c r="J86" s="200"/>
      <c r="K86" s="38" t="s">
        <v>225</v>
      </c>
      <c r="L86" s="38"/>
    </row>
    <row r="87" spans="1:12" customFormat="1" ht="15.75" customHeight="1" x14ac:dyDescent="0.3">
      <c r="A87" s="173" t="s">
        <v>64</v>
      </c>
      <c r="B87" s="174"/>
      <c r="C87" s="45" t="s">
        <v>226</v>
      </c>
      <c r="D87" s="60" t="s">
        <v>227</v>
      </c>
      <c r="E87" s="60"/>
      <c r="F87" s="60" t="s">
        <v>228</v>
      </c>
      <c r="G87" s="60"/>
      <c r="H87" s="60" t="s">
        <v>229</v>
      </c>
      <c r="I87" s="60"/>
      <c r="J87" s="61"/>
      <c r="K87" s="41" t="s">
        <v>230</v>
      </c>
      <c r="L87" s="12">
        <f ca="1">I85*25%</f>
        <v>1.75</v>
      </c>
    </row>
    <row r="88" spans="1:12" customFormat="1" ht="15.75" customHeight="1" x14ac:dyDescent="0.3">
      <c r="A88" s="62" t="s">
        <v>231</v>
      </c>
      <c r="B88" s="63"/>
      <c r="C88" s="46">
        <v>7</v>
      </c>
      <c r="D88" s="64">
        <f ca="1">((100/I85)*C88)/100</f>
        <v>1</v>
      </c>
      <c r="E88" s="64"/>
      <c r="F88" s="64">
        <f ca="1">(((C89/I85*10)+(40/(D85+G85+I85)*C90)+(7.5/(I85)*C91)+(7.5/(I85)*C92)+(10/I85*C93)+(10/I85*C94)+(5/I85*C95)+(5/I85*C96)+(5/I85*C97))/100)</f>
        <v>0.79285714285714282</v>
      </c>
      <c r="G88" s="64"/>
      <c r="H88" s="64">
        <f ca="1">((((C88/I85)*20)+((C89/I85)*25)+(30/(I85+G85+D85)*C90)+(5/I85*C91)+(5/I85*C92)+(5/I85*C93)+(5/I85*C94)+(0/I85*C95)+(0/I85*C96)+(5/I85*C97))/100)</f>
        <v>0.92142857142857149</v>
      </c>
      <c r="I88" s="64"/>
      <c r="J88" s="66"/>
      <c r="K88" s="41" t="s">
        <v>142</v>
      </c>
      <c r="L88" s="41">
        <f ca="1">I85*50%</f>
        <v>3.5</v>
      </c>
    </row>
    <row r="89" spans="1:12" customFormat="1" x14ac:dyDescent="0.3">
      <c r="A89" s="62" t="s">
        <v>65</v>
      </c>
      <c r="B89" s="63"/>
      <c r="C89" s="47">
        <f ca="1">L97</f>
        <v>7</v>
      </c>
      <c r="D89" s="64">
        <f ca="1">((100/I85)*C89)/100</f>
        <v>1</v>
      </c>
      <c r="E89" s="64"/>
      <c r="F89" s="64"/>
      <c r="G89" s="64"/>
      <c r="H89" s="64"/>
      <c r="I89" s="64"/>
      <c r="J89" s="66"/>
      <c r="K89" s="41" t="s">
        <v>143</v>
      </c>
      <c r="L89" s="41">
        <f ca="1">I85</f>
        <v>7</v>
      </c>
    </row>
    <row r="90" spans="1:12" customFormat="1" ht="15.75" customHeight="1" x14ac:dyDescent="0.3">
      <c r="A90" s="62" t="s">
        <v>232</v>
      </c>
      <c r="B90" s="63"/>
      <c r="C90" s="47">
        <v>8</v>
      </c>
      <c r="D90" s="64">
        <f ca="1">((100/(D85+G85+I85))*C90)/100</f>
        <v>1</v>
      </c>
      <c r="E90" s="64"/>
      <c r="F90" s="64"/>
      <c r="G90" s="64"/>
      <c r="H90" s="64"/>
      <c r="I90" s="64"/>
      <c r="J90" s="66"/>
      <c r="K90" s="41" t="s">
        <v>144</v>
      </c>
      <c r="L90" s="42">
        <f ca="1">(IF(B85&gt;1,(I85/(B85+2)),I85/4))</f>
        <v>1.75</v>
      </c>
    </row>
    <row r="91" spans="1:12" customFormat="1" ht="15.75" customHeight="1" x14ac:dyDescent="0.3">
      <c r="A91" s="62" t="s">
        <v>233</v>
      </c>
      <c r="B91" s="63" t="s">
        <v>234</v>
      </c>
      <c r="C91" s="46">
        <v>7</v>
      </c>
      <c r="D91" s="64">
        <f ca="1">((100/I85)*C91)/100</f>
        <v>1</v>
      </c>
      <c r="E91" s="64"/>
      <c r="F91" s="64"/>
      <c r="G91" s="64"/>
      <c r="H91" s="64"/>
      <c r="I91" s="64"/>
      <c r="J91" s="66"/>
      <c r="K91" s="41" t="s">
        <v>145</v>
      </c>
      <c r="L91" s="42">
        <f ca="1">(IF(B85&gt;1,(I85/(B85+2)+L90),I85/4+L90))</f>
        <v>3.5</v>
      </c>
    </row>
    <row r="92" spans="1:12" customFormat="1" ht="15.75" customHeight="1" x14ac:dyDescent="0.3">
      <c r="A92" s="62" t="s">
        <v>235</v>
      </c>
      <c r="B92" s="63" t="s">
        <v>234</v>
      </c>
      <c r="C92" s="46">
        <v>7</v>
      </c>
      <c r="D92" s="64">
        <f ca="1">((100/I85)*C92)/100</f>
        <v>1</v>
      </c>
      <c r="E92" s="64"/>
      <c r="F92" s="64"/>
      <c r="G92" s="64"/>
      <c r="H92" s="64"/>
      <c r="I92" s="64"/>
      <c r="J92" s="66"/>
      <c r="K92" s="41" t="s">
        <v>236</v>
      </c>
      <c r="L92" s="42">
        <f>(IF(B85&gt;1,(I85/(B85+2)+L91),0))</f>
        <v>0</v>
      </c>
    </row>
    <row r="93" spans="1:12" customFormat="1" ht="15.75" customHeight="1" x14ac:dyDescent="0.3">
      <c r="A93" s="62" t="s">
        <v>237</v>
      </c>
      <c r="B93" s="63" t="s">
        <v>238</v>
      </c>
      <c r="C93" s="46">
        <v>6</v>
      </c>
      <c r="D93" s="64">
        <f ca="1">((100/(I85))*C93)/100</f>
        <v>0.85714285714285721</v>
      </c>
      <c r="E93" s="64"/>
      <c r="F93" s="64"/>
      <c r="G93" s="64"/>
      <c r="H93" s="64"/>
      <c r="I93" s="64"/>
      <c r="J93" s="66"/>
      <c r="K93" s="41" t="s">
        <v>239</v>
      </c>
      <c r="L93" s="42">
        <f>(IF(B85&gt;2,(I85/(B85+2)+L92),0))</f>
        <v>0</v>
      </c>
    </row>
    <row r="94" spans="1:12" customFormat="1" ht="15.75" customHeight="1" x14ac:dyDescent="0.3">
      <c r="A94" s="62" t="s">
        <v>240</v>
      </c>
      <c r="B94" s="63" t="s">
        <v>240</v>
      </c>
      <c r="C94" s="46">
        <v>4</v>
      </c>
      <c r="D94" s="64">
        <f ca="1">((100/I85)*C94)/100</f>
        <v>0.57142857142857151</v>
      </c>
      <c r="E94" s="64"/>
      <c r="F94" s="64"/>
      <c r="G94" s="64"/>
      <c r="H94" s="64"/>
      <c r="I94" s="64"/>
      <c r="J94" s="66"/>
      <c r="K94" s="41" t="s">
        <v>241</v>
      </c>
      <c r="L94" s="43">
        <f>(IF(B85&gt;3,(I85/(B85+2)+L93),0))</f>
        <v>0</v>
      </c>
    </row>
    <row r="95" spans="1:12" customFormat="1" ht="15.75" customHeight="1" x14ac:dyDescent="0.3">
      <c r="A95" s="62" t="s">
        <v>242</v>
      </c>
      <c r="B95" s="63"/>
      <c r="C95" s="46">
        <v>0</v>
      </c>
      <c r="D95" s="64">
        <f ca="1">((100/I85)*C95)/100</f>
        <v>0</v>
      </c>
      <c r="E95" s="64"/>
      <c r="F95" s="64"/>
      <c r="G95" s="64"/>
      <c r="H95" s="64"/>
      <c r="I95" s="64"/>
      <c r="J95" s="66"/>
      <c r="K95" s="41" t="s">
        <v>243</v>
      </c>
      <c r="L95" s="42">
        <f>(IF(B85&gt;4,(I85/(B85+2)+L94),0))</f>
        <v>0</v>
      </c>
    </row>
    <row r="96" spans="1:12" customFormat="1" ht="15.75" customHeight="1" x14ac:dyDescent="0.3">
      <c r="A96" s="62" t="s">
        <v>244</v>
      </c>
      <c r="B96" s="63" t="s">
        <v>244</v>
      </c>
      <c r="C96" s="46">
        <v>0</v>
      </c>
      <c r="D96" s="64">
        <f ca="1">((100/(I85))*C96)/100</f>
        <v>0</v>
      </c>
      <c r="E96" s="64"/>
      <c r="F96" s="64"/>
      <c r="G96" s="64"/>
      <c r="H96" s="64"/>
      <c r="I96" s="64"/>
      <c r="J96" s="66"/>
      <c r="K96" s="41" t="s">
        <v>146</v>
      </c>
      <c r="L96" s="42">
        <f ca="1">(IF(B85=1,(I85/(B85+3)+L91),IF(B85=0,(I85/4+L91),IF(B85&gt;1,0))))</f>
        <v>5.25</v>
      </c>
    </row>
    <row r="97" spans="1:12" customFormat="1" ht="16.5" customHeight="1" thickBot="1" x14ac:dyDescent="0.35">
      <c r="A97" s="207" t="s">
        <v>245</v>
      </c>
      <c r="B97" s="208"/>
      <c r="C97" s="48">
        <v>0</v>
      </c>
      <c r="D97" s="65">
        <f ca="1">((100/(I85))*C97)/100</f>
        <v>0</v>
      </c>
      <c r="E97" s="65"/>
      <c r="F97" s="65"/>
      <c r="G97" s="65"/>
      <c r="H97" s="65"/>
      <c r="I97" s="65"/>
      <c r="J97" s="67"/>
      <c r="K97" s="41" t="s">
        <v>147</v>
      </c>
      <c r="L97" s="42">
        <f ca="1">(IF(B85&gt;1.5,(I85/(B85+2)+L91+MAX(0,L92-L91)+MAX(0,L93-L92)+MAX(0,L94-L93)+MAX(0,L95-L94)+MAX(0,L96-L95)),IF(B85=1,(I85/(B85+3)+L96),IF(B85=0,I85/4+L96))))</f>
        <v>7</v>
      </c>
    </row>
    <row r="98" spans="1:12" customFormat="1" x14ac:dyDescent="0.3">
      <c r="A98" s="203" t="s">
        <v>222</v>
      </c>
      <c r="B98" s="204"/>
      <c r="C98" s="205" t="s">
        <v>266</v>
      </c>
      <c r="D98" s="205"/>
      <c r="E98" s="205"/>
      <c r="F98" s="205"/>
      <c r="G98" s="205"/>
      <c r="H98" s="205"/>
      <c r="I98" s="205"/>
      <c r="J98" s="206"/>
      <c r="K98" s="38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","0")))&amp;(IF(C105=0%,"",IF(C105=L106,"Footing work is process",IF(C105=L107,"Footing work Completed",IF(C105=L108,"1st Basement Completed",IF(C105=L109,"1st &amp; 2nd Basement Completed",IF(C105=L110,"1st to 3rd Basement Completed",IF(C105=L111,"1st to 4th Basement Completed",IF(C105=L112,"Plinth work is process",IF(C105=L113,"Plinth work completed","0")))))))))))&amp;(IF(C106=(D99+G99+I99),", RCC Slab",IF(C106&gt;0,", RCC upto "&amp;C106&amp;" Slab",""))&amp;(IF(C107=I99,", Brickwork",IF(C107&gt;0,", Brickwork upto "&amp;C107&amp;" Floor",""))&amp;(IF(C108=I99,", Internal Plaster",IF(C108&gt;0,", Internal Plaster upto "&amp;C108&amp;" Floor",""))&amp;(IF(C109=I99,", External Plaster",IF(C109&gt;0,", External Plaster upto "&amp;C109&amp;" Floor",""))&amp;(IF(C110=I99,", Flooring",IF(C110&gt;0,", Flooring upto "&amp;C110&amp;" Floor",""))&amp;(IF(C111=I99,", Painting",IF(C111&gt;0,", Painting upto "&amp;C111&amp;" Floor",""))&amp;(IF(C112&gt;0,", Finishing upto "&amp;C112&amp;" Floor","")&amp;(IF(C106&gt;0.5," Completed",""))))))))))))))</f>
        <v>All work completed. Please provide OC.</v>
      </c>
      <c r="L98" s="38"/>
    </row>
    <row r="99" spans="1:12" customFormat="1" x14ac:dyDescent="0.3">
      <c r="A99" s="39" t="s">
        <v>134</v>
      </c>
      <c r="B99" s="44">
        <v>0</v>
      </c>
      <c r="C99" s="40" t="s">
        <v>136</v>
      </c>
      <c r="D99" s="40">
        <v>1</v>
      </c>
      <c r="E99" s="195" t="s">
        <v>135</v>
      </c>
      <c r="F99" s="195"/>
      <c r="G99" s="40">
        <v>0</v>
      </c>
      <c r="H99" s="40" t="s">
        <v>223</v>
      </c>
      <c r="I99" s="195">
        <f ca="1">--TRIM(RIGHT(SUBSTITUTE(LEFT(C98,_xlfn.AGGREGATE(16,6,FIND({0,1,2,3,4,5,6,7,8,9},C98,ROW(INDIRECT("1:"&amp;LEN(C98)))),1))," ",REPT(" ",LEN(C98))),LEN(C98)))</f>
        <v>7</v>
      </c>
      <c r="J99" s="196"/>
      <c r="K99" s="38"/>
      <c r="L99" s="38"/>
    </row>
    <row r="100" spans="1:12" customFormat="1" x14ac:dyDescent="0.3">
      <c r="A100" s="197" t="s">
        <v>224</v>
      </c>
      <c r="B100" s="198"/>
      <c r="C100" s="199" t="str">
        <f ca="1">K98</f>
        <v>All work completed. Please provide OC.</v>
      </c>
      <c r="D100" s="199"/>
      <c r="E100" s="199"/>
      <c r="F100" s="199"/>
      <c r="G100" s="199"/>
      <c r="H100" s="199"/>
      <c r="I100" s="199"/>
      <c r="J100" s="200"/>
      <c r="K100" s="38" t="s">
        <v>225</v>
      </c>
      <c r="L100" s="38"/>
    </row>
    <row r="101" spans="1:12" s="54" customFormat="1" x14ac:dyDescent="0.3">
      <c r="A101" s="223" t="s">
        <v>228</v>
      </c>
      <c r="B101" s="224"/>
      <c r="C101" s="227">
        <v>1</v>
      </c>
      <c r="D101" s="228"/>
      <c r="E101" s="229"/>
      <c r="F101" s="233" t="s">
        <v>229</v>
      </c>
      <c r="G101" s="229"/>
      <c r="H101" s="227">
        <v>1</v>
      </c>
      <c r="I101" s="228"/>
      <c r="J101" s="234"/>
      <c r="K101" s="53"/>
      <c r="L101" s="53"/>
    </row>
    <row r="102" spans="1:12" s="54" customFormat="1" ht="16.2" thickBot="1" x14ac:dyDescent="0.35">
      <c r="A102" s="225"/>
      <c r="B102" s="226"/>
      <c r="C102" s="230"/>
      <c r="D102" s="231"/>
      <c r="E102" s="232"/>
      <c r="F102" s="230"/>
      <c r="G102" s="232"/>
      <c r="H102" s="230"/>
      <c r="I102" s="231"/>
      <c r="J102" s="235"/>
      <c r="K102" s="53"/>
      <c r="L102" s="53"/>
    </row>
    <row r="103" spans="1:12" customFormat="1" ht="15.75" hidden="1" customHeight="1" x14ac:dyDescent="0.3">
      <c r="A103" s="236" t="s">
        <v>64</v>
      </c>
      <c r="B103" s="237"/>
      <c r="C103" s="55" t="s">
        <v>226</v>
      </c>
      <c r="D103" s="238" t="s">
        <v>227</v>
      </c>
      <c r="E103" s="238"/>
      <c r="F103" s="238" t="s">
        <v>228</v>
      </c>
      <c r="G103" s="238"/>
      <c r="H103" s="238" t="s">
        <v>229</v>
      </c>
      <c r="I103" s="238"/>
      <c r="J103" s="239"/>
      <c r="K103" s="41" t="s">
        <v>230</v>
      </c>
      <c r="L103" s="12">
        <f ca="1">I99*25%</f>
        <v>1.75</v>
      </c>
    </row>
    <row r="104" spans="1:12" customFormat="1" ht="15.75" hidden="1" customHeight="1" x14ac:dyDescent="0.3">
      <c r="A104" s="62" t="s">
        <v>231</v>
      </c>
      <c r="B104" s="63"/>
      <c r="C104" s="46">
        <v>7</v>
      </c>
      <c r="D104" s="64">
        <f ca="1">((100/I99)*C104)/100</f>
        <v>1</v>
      </c>
      <c r="E104" s="64"/>
      <c r="F104" s="64">
        <f ca="1">(((C105/I99*10)+(40/(D99+G99+I99)*C106)+(7.5/(I99)*C107)+(7.5/(I99)*C108)+(10/I99*C109)+(10/I99*C110)+(5/I99*C111)+(5/I99*C112)+(5/I99*C113))/100)</f>
        <v>1</v>
      </c>
      <c r="G104" s="64"/>
      <c r="H104" s="64">
        <f ca="1">((((C104/I99)*20)+((C105/I99)*25)+(30/(I99+G99+D99)*C106)+(5/I99*C107)+(5/I99*C108)+(5/I99*C109)+(5/I99*C110)+(0/I99*C111)+(0/I99*C112)+(5/I99*C113))/100)</f>
        <v>1</v>
      </c>
      <c r="I104" s="64"/>
      <c r="J104" s="66"/>
      <c r="K104" s="41" t="s">
        <v>142</v>
      </c>
      <c r="L104" s="41">
        <f ca="1">I99*50%</f>
        <v>3.5</v>
      </c>
    </row>
    <row r="105" spans="1:12" customFormat="1" hidden="1" x14ac:dyDescent="0.3">
      <c r="A105" s="62" t="s">
        <v>65</v>
      </c>
      <c r="B105" s="63"/>
      <c r="C105" s="47">
        <v>7</v>
      </c>
      <c r="D105" s="64">
        <f ca="1">((100/I99)*C105)/100</f>
        <v>1</v>
      </c>
      <c r="E105" s="64"/>
      <c r="F105" s="64"/>
      <c r="G105" s="64"/>
      <c r="H105" s="64"/>
      <c r="I105" s="64"/>
      <c r="J105" s="66"/>
      <c r="K105" s="41" t="s">
        <v>143</v>
      </c>
      <c r="L105" s="41">
        <f ca="1">I99</f>
        <v>7</v>
      </c>
    </row>
    <row r="106" spans="1:12" customFormat="1" ht="15.75" hidden="1" customHeight="1" x14ac:dyDescent="0.3">
      <c r="A106" s="62" t="s">
        <v>232</v>
      </c>
      <c r="B106" s="63"/>
      <c r="C106" s="47">
        <v>8</v>
      </c>
      <c r="D106" s="64">
        <f ca="1">((100/(D99+G99+I99))*C106)/100</f>
        <v>1</v>
      </c>
      <c r="E106" s="64"/>
      <c r="F106" s="64"/>
      <c r="G106" s="64"/>
      <c r="H106" s="64"/>
      <c r="I106" s="64"/>
      <c r="J106" s="66"/>
      <c r="K106" s="41" t="s">
        <v>144</v>
      </c>
      <c r="L106" s="42">
        <f ca="1">(IF(B99&gt;1,(I99/(B99+2)),I99/4))</f>
        <v>1.75</v>
      </c>
    </row>
    <row r="107" spans="1:12" customFormat="1" ht="15.75" hidden="1" customHeight="1" x14ac:dyDescent="0.3">
      <c r="A107" s="62" t="s">
        <v>233</v>
      </c>
      <c r="B107" s="63" t="s">
        <v>234</v>
      </c>
      <c r="C107" s="46">
        <v>7</v>
      </c>
      <c r="D107" s="64">
        <f ca="1">((100/I99)*C107)/100</f>
        <v>1</v>
      </c>
      <c r="E107" s="64"/>
      <c r="F107" s="64"/>
      <c r="G107" s="64"/>
      <c r="H107" s="64"/>
      <c r="I107" s="64"/>
      <c r="J107" s="66"/>
      <c r="K107" s="41" t="s">
        <v>145</v>
      </c>
      <c r="L107" s="42">
        <f ca="1">(IF(B99&gt;1,(I99/(B99+2)+L106),I99/4+L106))</f>
        <v>3.5</v>
      </c>
    </row>
    <row r="108" spans="1:12" customFormat="1" ht="15.75" hidden="1" customHeight="1" x14ac:dyDescent="0.3">
      <c r="A108" s="62" t="s">
        <v>235</v>
      </c>
      <c r="B108" s="63" t="s">
        <v>234</v>
      </c>
      <c r="C108" s="46">
        <v>7</v>
      </c>
      <c r="D108" s="64">
        <f ca="1">((100/I99)*C108)/100</f>
        <v>1</v>
      </c>
      <c r="E108" s="64"/>
      <c r="F108" s="64"/>
      <c r="G108" s="64"/>
      <c r="H108" s="64"/>
      <c r="I108" s="64"/>
      <c r="J108" s="66"/>
      <c r="K108" s="41" t="s">
        <v>236</v>
      </c>
      <c r="L108" s="42">
        <f>(IF(B99&gt;1,(I99/(B99+2)+L107),0))</f>
        <v>0</v>
      </c>
    </row>
    <row r="109" spans="1:12" customFormat="1" ht="15.75" hidden="1" customHeight="1" x14ac:dyDescent="0.3">
      <c r="A109" s="62" t="s">
        <v>237</v>
      </c>
      <c r="B109" s="63" t="s">
        <v>238</v>
      </c>
      <c r="C109" s="46">
        <v>7</v>
      </c>
      <c r="D109" s="64">
        <f ca="1">((100/(I99))*C109)/100</f>
        <v>1</v>
      </c>
      <c r="E109" s="64"/>
      <c r="F109" s="64"/>
      <c r="G109" s="64"/>
      <c r="H109" s="64"/>
      <c r="I109" s="64"/>
      <c r="J109" s="66"/>
      <c r="K109" s="41" t="s">
        <v>239</v>
      </c>
      <c r="L109" s="42">
        <f>(IF(B99&gt;2,(I99/(B99+2)+L108),0))</f>
        <v>0</v>
      </c>
    </row>
    <row r="110" spans="1:12" customFormat="1" ht="15.75" hidden="1" customHeight="1" x14ac:dyDescent="0.3">
      <c r="A110" s="62" t="s">
        <v>240</v>
      </c>
      <c r="B110" s="63" t="s">
        <v>240</v>
      </c>
      <c r="C110" s="46">
        <v>7</v>
      </c>
      <c r="D110" s="64">
        <f ca="1">((100/I99)*C110)/100</f>
        <v>1</v>
      </c>
      <c r="E110" s="64"/>
      <c r="F110" s="64"/>
      <c r="G110" s="64"/>
      <c r="H110" s="64"/>
      <c r="I110" s="64"/>
      <c r="J110" s="66"/>
      <c r="K110" s="41" t="s">
        <v>241</v>
      </c>
      <c r="L110" s="43">
        <f>(IF(B99&gt;3,(I99/(B99+2)+L109),0))</f>
        <v>0</v>
      </c>
    </row>
    <row r="111" spans="1:12" customFormat="1" ht="15.75" hidden="1" customHeight="1" x14ac:dyDescent="0.3">
      <c r="A111" s="62" t="s">
        <v>242</v>
      </c>
      <c r="B111" s="63"/>
      <c r="C111" s="46">
        <v>7</v>
      </c>
      <c r="D111" s="64">
        <f ca="1">((100/I99)*C111)/100</f>
        <v>1</v>
      </c>
      <c r="E111" s="64"/>
      <c r="F111" s="64"/>
      <c r="G111" s="64"/>
      <c r="H111" s="64"/>
      <c r="I111" s="64"/>
      <c r="J111" s="66"/>
      <c r="K111" s="41" t="s">
        <v>243</v>
      </c>
      <c r="L111" s="42">
        <f>(IF(B99&gt;4,(I99/(B99+2)+L110),0))</f>
        <v>0</v>
      </c>
    </row>
    <row r="112" spans="1:12" customFormat="1" ht="15.75" hidden="1" customHeight="1" x14ac:dyDescent="0.3">
      <c r="A112" s="62" t="s">
        <v>244</v>
      </c>
      <c r="B112" s="63" t="s">
        <v>244</v>
      </c>
      <c r="C112" s="46">
        <v>7</v>
      </c>
      <c r="D112" s="64">
        <f ca="1">((100/(I99))*C112)/100</f>
        <v>1</v>
      </c>
      <c r="E112" s="64"/>
      <c r="F112" s="64"/>
      <c r="G112" s="64"/>
      <c r="H112" s="64"/>
      <c r="I112" s="64"/>
      <c r="J112" s="66"/>
      <c r="K112" s="41" t="s">
        <v>146</v>
      </c>
      <c r="L112" s="42">
        <f ca="1">(IF(B99=1,(I99/(B99+3)+L107),IF(B99=0,(I99/4+L107),IF(B99&gt;1,0))))</f>
        <v>5.25</v>
      </c>
    </row>
    <row r="113" spans="1:14" customFormat="1" ht="16.5" hidden="1" customHeight="1" thickBot="1" x14ac:dyDescent="0.35">
      <c r="A113" s="207" t="s">
        <v>245</v>
      </c>
      <c r="B113" s="208"/>
      <c r="C113" s="48">
        <v>7</v>
      </c>
      <c r="D113" s="65">
        <f ca="1">((100/(I99))*C113)/100</f>
        <v>1</v>
      </c>
      <c r="E113" s="65"/>
      <c r="F113" s="65"/>
      <c r="G113" s="65"/>
      <c r="H113" s="65"/>
      <c r="I113" s="65"/>
      <c r="J113" s="67"/>
      <c r="K113" s="41" t="s">
        <v>147</v>
      </c>
      <c r="L113" s="42">
        <f ca="1">(IF(B99&gt;1.5,(I99/(B99+2)+L107+MAX(0,L108-L107)+MAX(0,L109-L108)+MAX(0,L110-L109)+MAX(0,L111-L110)+MAX(0,L112-L111)),IF(B99=1,(I99/(B99+3)+L112),IF(B99=0,I99/4+L112))))</f>
        <v>7</v>
      </c>
    </row>
    <row r="114" spans="1:14" s="35" customFormat="1" x14ac:dyDescent="0.3">
      <c r="A114" s="135" t="s">
        <v>250</v>
      </c>
      <c r="B114" s="133"/>
      <c r="C114" s="133"/>
      <c r="D114" s="133"/>
      <c r="E114" s="133"/>
      <c r="F114" s="133"/>
      <c r="G114" s="133"/>
      <c r="H114" s="133"/>
      <c r="I114" s="133"/>
      <c r="J114" s="134"/>
    </row>
    <row r="115" spans="1:14" s="35" customFormat="1" x14ac:dyDescent="0.3">
      <c r="A115" s="135" t="s">
        <v>70</v>
      </c>
      <c r="B115" s="133"/>
      <c r="C115" s="133"/>
      <c r="D115" s="133"/>
      <c r="E115" s="133"/>
      <c r="F115" s="133"/>
      <c r="G115" s="133"/>
      <c r="H115" s="133"/>
      <c r="I115" s="133"/>
      <c r="J115" s="134"/>
    </row>
    <row r="116" spans="1:14" s="35" customFormat="1" ht="15" customHeight="1" x14ac:dyDescent="0.3">
      <c r="A116" s="168" t="s">
        <v>140</v>
      </c>
      <c r="B116" s="169"/>
      <c r="C116" s="170" t="s">
        <v>141</v>
      </c>
      <c r="D116" s="171"/>
      <c r="E116" s="171"/>
      <c r="F116" s="171"/>
      <c r="G116" s="171"/>
      <c r="H116" s="171"/>
      <c r="I116" s="171"/>
      <c r="J116" s="172"/>
    </row>
    <row r="117" spans="1:14" x14ac:dyDescent="0.3">
      <c r="A117" s="116" t="s">
        <v>71</v>
      </c>
      <c r="B117" s="117"/>
      <c r="C117" s="117"/>
      <c r="D117" s="117"/>
      <c r="E117" s="117"/>
      <c r="F117" s="117"/>
      <c r="G117" s="117"/>
      <c r="H117" s="117"/>
      <c r="I117" s="117"/>
      <c r="J117" s="118"/>
    </row>
    <row r="118" spans="1:14" x14ac:dyDescent="0.3">
      <c r="A118" s="57" t="s">
        <v>149</v>
      </c>
      <c r="B118" s="58"/>
      <c r="C118" s="58"/>
      <c r="D118" s="58"/>
      <c r="E118" s="58"/>
      <c r="F118" s="59"/>
      <c r="G118" s="159">
        <v>4100</v>
      </c>
      <c r="H118" s="160"/>
      <c r="I118" s="160"/>
      <c r="J118" s="161"/>
      <c r="K118" s="50" t="s">
        <v>257</v>
      </c>
      <c r="L118" s="50" t="s">
        <v>254</v>
      </c>
      <c r="M118" s="50" t="s">
        <v>255</v>
      </c>
      <c r="N118" s="51">
        <v>44886</v>
      </c>
    </row>
    <row r="119" spans="1:14" s="35" customFormat="1" x14ac:dyDescent="0.3">
      <c r="A119" s="135" t="s">
        <v>150</v>
      </c>
      <c r="B119" s="133"/>
      <c r="C119" s="133"/>
      <c r="D119" s="133"/>
      <c r="E119" s="133"/>
      <c r="F119" s="134"/>
      <c r="G119" s="165" t="s">
        <v>216</v>
      </c>
      <c r="H119" s="166"/>
      <c r="I119" s="166"/>
      <c r="J119" s="167"/>
    </row>
    <row r="120" spans="1:14" x14ac:dyDescent="0.3">
      <c r="A120" s="57" t="s">
        <v>214</v>
      </c>
      <c r="B120" s="58"/>
      <c r="C120" s="58"/>
      <c r="D120" s="58"/>
      <c r="E120" s="58"/>
      <c r="F120" s="59"/>
      <c r="G120" s="162" t="s">
        <v>158</v>
      </c>
      <c r="H120" s="163"/>
      <c r="I120" s="163"/>
      <c r="J120" s="164"/>
    </row>
    <row r="121" spans="1:14" x14ac:dyDescent="0.3">
      <c r="A121" s="57" t="s">
        <v>72</v>
      </c>
      <c r="B121" s="58"/>
      <c r="C121" s="58"/>
      <c r="D121" s="58"/>
      <c r="E121" s="58"/>
      <c r="F121" s="59"/>
      <c r="G121" s="162" t="s">
        <v>256</v>
      </c>
      <c r="H121" s="163"/>
      <c r="I121" s="163"/>
      <c r="J121" s="164"/>
    </row>
    <row r="122" spans="1:14" x14ac:dyDescent="0.3">
      <c r="A122" s="57" t="s">
        <v>213</v>
      </c>
      <c r="B122" s="58"/>
      <c r="C122" s="58"/>
      <c r="D122" s="58"/>
      <c r="E122" s="58"/>
      <c r="F122" s="59"/>
      <c r="G122" s="162" t="s">
        <v>249</v>
      </c>
      <c r="H122" s="163"/>
      <c r="I122" s="163"/>
      <c r="J122" s="164"/>
    </row>
    <row r="123" spans="1:14" s="14" customFormat="1" ht="14.4" customHeight="1" x14ac:dyDescent="0.3">
      <c r="A123" s="116" t="s">
        <v>73</v>
      </c>
      <c r="B123" s="117"/>
      <c r="C123" s="117"/>
      <c r="D123" s="117"/>
      <c r="E123" s="117"/>
      <c r="F123" s="118"/>
      <c r="G123" s="159">
        <f>G118*0.8</f>
        <v>3280</v>
      </c>
      <c r="H123" s="160"/>
      <c r="I123" s="160"/>
      <c r="J123" s="161"/>
    </row>
    <row r="124" spans="1:14" s="1" customFormat="1" ht="15.75" customHeight="1" x14ac:dyDescent="0.3">
      <c r="A124" s="189" t="s">
        <v>151</v>
      </c>
      <c r="B124" s="190"/>
      <c r="C124" s="190"/>
      <c r="D124" s="190"/>
      <c r="E124" s="190"/>
      <c r="F124" s="190"/>
      <c r="G124" s="190"/>
      <c r="H124" s="190"/>
      <c r="I124" s="190"/>
      <c r="J124" s="191"/>
    </row>
    <row r="125" spans="1:14" s="1" customFormat="1" ht="15.75" customHeight="1" x14ac:dyDescent="0.3">
      <c r="A125" s="175" t="s">
        <v>74</v>
      </c>
      <c r="B125" s="176"/>
      <c r="C125" s="10" t="s">
        <v>176</v>
      </c>
      <c r="D125" s="177" t="s">
        <v>75</v>
      </c>
      <c r="E125" s="178"/>
      <c r="F125" s="179"/>
      <c r="G125" s="175" t="s">
        <v>76</v>
      </c>
      <c r="H125" s="180"/>
      <c r="I125" s="180"/>
      <c r="J125" s="176"/>
      <c r="L125" s="52"/>
      <c r="M125" s="52"/>
    </row>
    <row r="126" spans="1:14" s="1" customFormat="1" x14ac:dyDescent="0.3">
      <c r="A126" s="181" t="s">
        <v>77</v>
      </c>
      <c r="B126" s="182"/>
      <c r="C126" s="36">
        <f>COUNT(D142:E148)</f>
        <v>7</v>
      </c>
      <c r="D126" s="183">
        <f>SUM(D142:D148)</f>
        <v>1933.2682199999999</v>
      </c>
      <c r="E126" s="184"/>
      <c r="F126" s="185"/>
      <c r="G126" s="186">
        <f>SUM(G142:G148)</f>
        <v>4200</v>
      </c>
      <c r="H126" s="187"/>
      <c r="I126" s="187"/>
      <c r="J126" s="188"/>
    </row>
    <row r="127" spans="1:14" s="1" customFormat="1" x14ac:dyDescent="0.3">
      <c r="A127" s="181" t="s">
        <v>78</v>
      </c>
      <c r="B127" s="182"/>
      <c r="C127" s="36">
        <v>7</v>
      </c>
      <c r="D127" s="183">
        <f>SUM(D187:D193)</f>
        <v>1934</v>
      </c>
      <c r="E127" s="184"/>
      <c r="F127" s="185"/>
      <c r="G127" s="186">
        <f>SUM(G187:G193)</f>
        <v>4200</v>
      </c>
      <c r="H127" s="187"/>
      <c r="I127" s="187"/>
      <c r="J127" s="188"/>
    </row>
    <row r="128" spans="1:14" s="1" customFormat="1" x14ac:dyDescent="0.3">
      <c r="A128" s="189" t="s">
        <v>80</v>
      </c>
      <c r="B128" s="190"/>
      <c r="C128" s="10">
        <f>SUM(C126:C127)</f>
        <v>14</v>
      </c>
      <c r="D128" s="192">
        <f>SUM(D126:F127)</f>
        <v>3867.2682199999999</v>
      </c>
      <c r="E128" s="193"/>
      <c r="F128" s="194"/>
      <c r="G128" s="175">
        <f>SUM(G126:J127)</f>
        <v>8400</v>
      </c>
      <c r="H128" s="180"/>
      <c r="I128" s="180"/>
      <c r="J128" s="176"/>
    </row>
    <row r="129" spans="1:10" s="1" customFormat="1" x14ac:dyDescent="0.3">
      <c r="A129" s="189" t="s">
        <v>133</v>
      </c>
      <c r="B129" s="190"/>
      <c r="C129" s="190"/>
      <c r="D129" s="190"/>
      <c r="E129" s="190"/>
      <c r="F129" s="190"/>
      <c r="G129" s="190"/>
      <c r="H129" s="190"/>
      <c r="I129" s="190"/>
      <c r="J129" s="191"/>
    </row>
    <row r="130" spans="1:10" s="1" customFormat="1" x14ac:dyDescent="0.3">
      <c r="A130" s="175" t="s">
        <v>74</v>
      </c>
      <c r="B130" s="176"/>
      <c r="C130" s="10" t="s">
        <v>176</v>
      </c>
      <c r="D130" s="177" t="s">
        <v>75</v>
      </c>
      <c r="E130" s="178"/>
      <c r="F130" s="179"/>
      <c r="G130" s="175" t="s">
        <v>76</v>
      </c>
      <c r="H130" s="180"/>
      <c r="I130" s="180"/>
      <c r="J130" s="176"/>
    </row>
    <row r="131" spans="1:10" s="1" customFormat="1" x14ac:dyDescent="0.3">
      <c r="A131" s="181" t="s">
        <v>77</v>
      </c>
      <c r="B131" s="182"/>
      <c r="C131" s="11">
        <f>COUNT(D150:E157)+COUNT(D159:E166)*3+COUNT(D168:E175)*2+COUNT(D177:E184)</f>
        <v>56</v>
      </c>
      <c r="D131" s="183">
        <f>SUM(D150:E157)+SUM(D159:E166)*3+SUM(D168:E175)*2+SUM(D177:E184)</f>
        <v>24872.471675999997</v>
      </c>
      <c r="E131" s="184"/>
      <c r="F131" s="185"/>
      <c r="G131" s="186">
        <f>SUM(G150:G157)+SUM(G159:G166)*3+SUM(G168:G175)*2+SUM(G177:G184)</f>
        <v>40255.088257799995</v>
      </c>
      <c r="H131" s="187"/>
      <c r="I131" s="187"/>
      <c r="J131" s="188"/>
    </row>
    <row r="132" spans="1:10" s="1" customFormat="1" x14ac:dyDescent="0.3">
      <c r="A132" s="181" t="s">
        <v>78</v>
      </c>
      <c r="B132" s="182"/>
      <c r="C132" s="11">
        <f>COUNT(D195:E202)+COUNT(D204:E211)*3+COUNT(D213:E220)*2+COUNT(D222:E229)</f>
        <v>56</v>
      </c>
      <c r="D132" s="183">
        <f>SUM(D195:E202)+SUM(D204:E211)*3+SUM(D213:E220)*2+SUM(D222:E229)</f>
        <v>25975.469519999999</v>
      </c>
      <c r="E132" s="184"/>
      <c r="F132" s="185"/>
      <c r="G132" s="186">
        <f>SUM(G195:G202)+SUM(G204:G211)*3+SUM(G213:G220)*2+SUM(G222:G229)</f>
        <v>42000.428339999991</v>
      </c>
      <c r="H132" s="187"/>
      <c r="I132" s="187"/>
      <c r="J132" s="188"/>
    </row>
    <row r="133" spans="1:10" s="1" customFormat="1" x14ac:dyDescent="0.3">
      <c r="A133" s="181" t="s">
        <v>79</v>
      </c>
      <c r="B133" s="182"/>
      <c r="C133" s="11">
        <f>COUNT(D233:E244)*3+COUNT(D246:E257)*3+COUNT(D259:E268)</f>
        <v>82</v>
      </c>
      <c r="D133" s="183">
        <f>SUM(D233:E244)*3+SUM(D246:E257)*3+SUM(D259:E268)</f>
        <v>34954.712207999997</v>
      </c>
      <c r="E133" s="184"/>
      <c r="F133" s="185"/>
      <c r="G133" s="186">
        <f>SUM(G233:G244)*3+SUM(G246:G257)*3+SUM(G259:G268)</f>
        <v>55536.326258400004</v>
      </c>
      <c r="H133" s="187"/>
      <c r="I133" s="187"/>
      <c r="J133" s="188"/>
    </row>
    <row r="134" spans="1:10" s="1" customFormat="1" x14ac:dyDescent="0.3">
      <c r="A134" s="181" t="s">
        <v>211</v>
      </c>
      <c r="B134" s="182"/>
      <c r="C134" s="11">
        <f>COUNT(D272:E287)*3+COUNT(D289:E304)*3+COUNT(D306:E319)</f>
        <v>110</v>
      </c>
      <c r="D134" s="183">
        <f>SUM(D272:E287)*3+SUM(D289:E304)*3+SUM(D306:E319)</f>
        <v>39335.520275999996</v>
      </c>
      <c r="E134" s="184"/>
      <c r="F134" s="185"/>
      <c r="G134" s="186">
        <f>SUM(G272:G287)*3+SUM(G289:G303)*3+SUM(G306:G319)</f>
        <v>61490</v>
      </c>
      <c r="H134" s="187"/>
      <c r="I134" s="187"/>
      <c r="J134" s="188"/>
    </row>
    <row r="135" spans="1:10" s="1" customFormat="1" x14ac:dyDescent="0.3">
      <c r="A135" s="181" t="s">
        <v>212</v>
      </c>
      <c r="B135" s="182"/>
      <c r="C135" s="11">
        <f>COUNT(D323:E327)*3+COUNT(D329:E333)*3+COUNT(D335:E339)</f>
        <v>35</v>
      </c>
      <c r="D135" s="183">
        <f>SUM(D323:E327)*3+SUM(D329:E333)*3+SUM(D335:E339)</f>
        <v>19420.441092000001</v>
      </c>
      <c r="E135" s="184"/>
      <c r="F135" s="185"/>
      <c r="G135" s="186">
        <f>SUM(G323:G327)*3+SUM(G329:G333)*3+SUM(G335:G339)</f>
        <v>30850</v>
      </c>
      <c r="H135" s="187"/>
      <c r="I135" s="187"/>
      <c r="J135" s="188"/>
    </row>
    <row r="136" spans="1:10" s="1" customFormat="1" x14ac:dyDescent="0.3">
      <c r="A136" s="189" t="s">
        <v>80</v>
      </c>
      <c r="B136" s="190"/>
      <c r="C136" s="10">
        <f>SUM(C131:C135)</f>
        <v>339</v>
      </c>
      <c r="D136" s="192">
        <f>SUM(D131:F135)</f>
        <v>144558.614772</v>
      </c>
      <c r="E136" s="193"/>
      <c r="F136" s="194"/>
      <c r="G136" s="175">
        <f>SUM(G131:J135)</f>
        <v>230131.8428562</v>
      </c>
      <c r="H136" s="180"/>
      <c r="I136" s="180"/>
      <c r="J136" s="176"/>
    </row>
    <row r="137" spans="1:10" s="14" customFormat="1" x14ac:dyDescent="0.3">
      <c r="A137" s="126" t="s">
        <v>81</v>
      </c>
      <c r="B137" s="127"/>
      <c r="C137" s="127"/>
      <c r="D137" s="127"/>
      <c r="E137" s="127"/>
      <c r="F137" s="127"/>
      <c r="G137" s="127"/>
      <c r="H137" s="127"/>
      <c r="I137" s="127"/>
      <c r="J137" s="128"/>
    </row>
    <row r="138" spans="1:10" x14ac:dyDescent="0.3">
      <c r="A138" s="126" t="s">
        <v>82</v>
      </c>
      <c r="B138" s="127"/>
      <c r="C138" s="127"/>
      <c r="D138" s="127"/>
      <c r="E138" s="127"/>
      <c r="F138" s="127"/>
      <c r="G138" s="127"/>
      <c r="H138" s="127"/>
      <c r="I138" s="127"/>
      <c r="J138" s="128"/>
    </row>
    <row r="139" spans="1:10" ht="41.4" x14ac:dyDescent="0.3">
      <c r="A139" s="201" t="s">
        <v>152</v>
      </c>
      <c r="B139" s="202"/>
      <c r="C139" s="2" t="s">
        <v>83</v>
      </c>
      <c r="D139" s="201" t="s">
        <v>84</v>
      </c>
      <c r="E139" s="202"/>
      <c r="F139" s="15" t="s">
        <v>85</v>
      </c>
      <c r="G139" s="2" t="s">
        <v>86</v>
      </c>
      <c r="H139" s="2" t="s">
        <v>87</v>
      </c>
      <c r="I139" s="201" t="s">
        <v>88</v>
      </c>
      <c r="J139" s="202"/>
    </row>
    <row r="140" spans="1:10" s="3" customFormat="1" x14ac:dyDescent="0.3">
      <c r="A140" s="78" t="s">
        <v>194</v>
      </c>
      <c r="B140" s="79"/>
      <c r="C140" s="79"/>
      <c r="D140" s="79"/>
      <c r="E140" s="79"/>
      <c r="F140" s="79"/>
      <c r="G140" s="79"/>
      <c r="H140" s="79"/>
      <c r="I140" s="79"/>
      <c r="J140" s="80"/>
    </row>
    <row r="141" spans="1:10" s="3" customFormat="1" x14ac:dyDescent="0.3">
      <c r="A141" s="78" t="s">
        <v>192</v>
      </c>
      <c r="B141" s="79"/>
      <c r="C141" s="79"/>
      <c r="D141" s="79"/>
      <c r="E141" s="79"/>
      <c r="F141" s="79"/>
      <c r="G141" s="79"/>
      <c r="H141" s="79"/>
      <c r="I141" s="79"/>
      <c r="J141" s="80"/>
    </row>
    <row r="142" spans="1:10" s="3" customFormat="1" ht="15.6" customHeight="1" x14ac:dyDescent="0.3">
      <c r="A142" s="70">
        <v>1</v>
      </c>
      <c r="B142" s="71"/>
      <c r="C142" s="4" t="s">
        <v>193</v>
      </c>
      <c r="D142" s="70">
        <f>(26.32+3.484)*10.764</f>
        <v>320.81025599999998</v>
      </c>
      <c r="E142" s="71"/>
      <c r="F142" s="4">
        <v>0</v>
      </c>
      <c r="G142" s="4">
        <v>685</v>
      </c>
      <c r="H142" s="4" t="s">
        <v>89</v>
      </c>
      <c r="I142" s="72" t="s">
        <v>196</v>
      </c>
      <c r="J142" s="73"/>
    </row>
    <row r="143" spans="1:10" s="3" customFormat="1" x14ac:dyDescent="0.3">
      <c r="A143" s="70">
        <v>2</v>
      </c>
      <c r="B143" s="71"/>
      <c r="C143" s="4" t="s">
        <v>193</v>
      </c>
      <c r="D143" s="70">
        <f>(24.959+3.231)*10.764</f>
        <v>303.43715999999995</v>
      </c>
      <c r="E143" s="71"/>
      <c r="F143" s="4">
        <v>0</v>
      </c>
      <c r="G143" s="4">
        <v>650</v>
      </c>
      <c r="H143" s="4" t="s">
        <v>89</v>
      </c>
      <c r="I143" s="74"/>
      <c r="J143" s="75"/>
    </row>
    <row r="144" spans="1:10" s="3" customFormat="1" x14ac:dyDescent="0.3">
      <c r="A144" s="70">
        <v>3</v>
      </c>
      <c r="B144" s="71"/>
      <c r="C144" s="4" t="s">
        <v>193</v>
      </c>
      <c r="D144" s="70">
        <f>(15.177+3.569)*10.764</f>
        <v>201.78194399999998</v>
      </c>
      <c r="E144" s="71"/>
      <c r="F144" s="4">
        <v>0</v>
      </c>
      <c r="G144" s="4">
        <v>450</v>
      </c>
      <c r="H144" s="4" t="s">
        <v>89</v>
      </c>
      <c r="I144" s="74"/>
      <c r="J144" s="75"/>
    </row>
    <row r="145" spans="1:12" s="3" customFormat="1" x14ac:dyDescent="0.3">
      <c r="A145" s="70">
        <v>4</v>
      </c>
      <c r="B145" s="71"/>
      <c r="C145" s="4" t="s">
        <v>193</v>
      </c>
      <c r="D145" s="70">
        <f>(18.162+4.215)*10.764</f>
        <v>240.86602799999997</v>
      </c>
      <c r="E145" s="71"/>
      <c r="F145" s="4">
        <v>0</v>
      </c>
      <c r="G145" s="4">
        <v>540</v>
      </c>
      <c r="H145" s="4" t="s">
        <v>89</v>
      </c>
      <c r="I145" s="74"/>
      <c r="J145" s="75"/>
    </row>
    <row r="146" spans="1:12" s="3" customFormat="1" x14ac:dyDescent="0.3">
      <c r="A146" s="70">
        <v>5</v>
      </c>
      <c r="B146" s="71"/>
      <c r="C146" s="4" t="s">
        <v>193</v>
      </c>
      <c r="D146" s="70">
        <f>(20.209+3.541)*10.764</f>
        <v>255.64499999999998</v>
      </c>
      <c r="E146" s="71"/>
      <c r="F146" s="4">
        <v>0</v>
      </c>
      <c r="G146" s="4">
        <v>560</v>
      </c>
      <c r="H146" s="4" t="s">
        <v>89</v>
      </c>
      <c r="I146" s="74"/>
      <c r="J146" s="75"/>
    </row>
    <row r="147" spans="1:12" s="3" customFormat="1" ht="15.6" customHeight="1" x14ac:dyDescent="0.3">
      <c r="A147" s="70">
        <v>6</v>
      </c>
      <c r="B147" s="71"/>
      <c r="C147" s="4" t="s">
        <v>193</v>
      </c>
      <c r="D147" s="70">
        <f>(24.959+3.203)*10.764</f>
        <v>303.13576799999998</v>
      </c>
      <c r="E147" s="71"/>
      <c r="F147" s="4">
        <v>0</v>
      </c>
      <c r="G147" s="4">
        <v>650</v>
      </c>
      <c r="H147" s="4" t="s">
        <v>89</v>
      </c>
      <c r="I147" s="74"/>
      <c r="J147" s="75"/>
    </row>
    <row r="148" spans="1:12" s="3" customFormat="1" x14ac:dyDescent="0.3">
      <c r="A148" s="70">
        <v>7</v>
      </c>
      <c r="B148" s="71"/>
      <c r="C148" s="4" t="s">
        <v>193</v>
      </c>
      <c r="D148" s="70">
        <f>(25.12+3.456)*10.764</f>
        <v>307.59206399999999</v>
      </c>
      <c r="E148" s="71"/>
      <c r="F148" s="4">
        <v>0</v>
      </c>
      <c r="G148" s="4">
        <v>665</v>
      </c>
      <c r="H148" s="4" t="s">
        <v>89</v>
      </c>
      <c r="I148" s="76"/>
      <c r="J148" s="77"/>
    </row>
    <row r="149" spans="1:12" s="3" customFormat="1" x14ac:dyDescent="0.3">
      <c r="A149" s="78" t="s">
        <v>199</v>
      </c>
      <c r="B149" s="79"/>
      <c r="C149" s="79"/>
      <c r="D149" s="79"/>
      <c r="E149" s="79"/>
      <c r="F149" s="79"/>
      <c r="G149" s="79"/>
      <c r="H149" s="79"/>
      <c r="I149" s="79"/>
      <c r="J149" s="80"/>
    </row>
    <row r="150" spans="1:12" s="3" customFormat="1" x14ac:dyDescent="0.3">
      <c r="A150" s="70">
        <v>1</v>
      </c>
      <c r="B150" s="71"/>
      <c r="C150" s="4" t="s">
        <v>200</v>
      </c>
      <c r="D150" s="70">
        <f>(26.945+3.185+4.012)*10.764</f>
        <v>367.50448799999992</v>
      </c>
      <c r="E150" s="71"/>
      <c r="F150" s="4">
        <f>4.14*10.764</f>
        <v>44.562959999999997</v>
      </c>
      <c r="G150" s="4">
        <f>D150*1.55+F150</f>
        <v>614.1949163999999</v>
      </c>
      <c r="H150" s="4" t="s">
        <v>89</v>
      </c>
      <c r="I150" s="72" t="str">
        <f>A149</f>
        <v>1st Floor</v>
      </c>
      <c r="J150" s="73"/>
    </row>
    <row r="151" spans="1:12" s="3" customFormat="1" x14ac:dyDescent="0.3">
      <c r="A151" s="70">
        <v>2</v>
      </c>
      <c r="B151" s="71"/>
      <c r="C151" s="4" t="s">
        <v>201</v>
      </c>
      <c r="D151" s="70">
        <f>(34.907+8.25+6.187)*10.764</f>
        <v>531.13881599999991</v>
      </c>
      <c r="E151" s="71"/>
      <c r="F151" s="4">
        <f>4.94*10.764</f>
        <v>53.174160000000001</v>
      </c>
      <c r="G151" s="4">
        <f t="shared" ref="G151:G184" si="0">D151*1.55+F151</f>
        <v>876.43932479999989</v>
      </c>
      <c r="H151" s="4" t="s">
        <v>89</v>
      </c>
      <c r="I151" s="74"/>
      <c r="J151" s="75"/>
    </row>
    <row r="152" spans="1:12" s="3" customFormat="1" x14ac:dyDescent="0.3">
      <c r="A152" s="70">
        <v>3</v>
      </c>
      <c r="B152" s="71"/>
      <c r="C152" s="4" t="s">
        <v>200</v>
      </c>
      <c r="D152" s="70">
        <f>(27.597+2.64+3.937)*10.764</f>
        <v>367.84893599999998</v>
      </c>
      <c r="E152" s="71"/>
      <c r="F152" s="4">
        <f>4.2*10.764</f>
        <v>45.208799999999997</v>
      </c>
      <c r="G152" s="4">
        <f t="shared" si="0"/>
        <v>615.37465079999993</v>
      </c>
      <c r="H152" s="4" t="s">
        <v>89</v>
      </c>
      <c r="I152" s="74"/>
      <c r="J152" s="75"/>
    </row>
    <row r="153" spans="1:12" s="3" customFormat="1" x14ac:dyDescent="0.3">
      <c r="A153" s="70">
        <v>4</v>
      </c>
      <c r="B153" s="71"/>
      <c r="C153" s="4" t="s">
        <v>200</v>
      </c>
      <c r="D153" s="70">
        <f>(27.597+2.64+3.881)*10.764</f>
        <v>367.246152</v>
      </c>
      <c r="E153" s="71"/>
      <c r="F153" s="4">
        <f>4.2*10.764</f>
        <v>45.208799999999997</v>
      </c>
      <c r="G153" s="4">
        <f t="shared" si="0"/>
        <v>614.44033560000003</v>
      </c>
      <c r="H153" s="4" t="s">
        <v>89</v>
      </c>
      <c r="I153" s="74"/>
      <c r="J153" s="75"/>
    </row>
    <row r="154" spans="1:12" s="3" customFormat="1" x14ac:dyDescent="0.3">
      <c r="A154" s="70">
        <v>5</v>
      </c>
      <c r="B154" s="71"/>
      <c r="C154" s="4" t="s">
        <v>200</v>
      </c>
      <c r="D154" s="70">
        <f>(27.597+2.64+3.881)*10.764</f>
        <v>367.246152</v>
      </c>
      <c r="E154" s="71"/>
      <c r="F154" s="4">
        <f>5.415*10.764</f>
        <v>58.287059999999997</v>
      </c>
      <c r="G154" s="4">
        <f t="shared" si="0"/>
        <v>627.51859560000003</v>
      </c>
      <c r="H154" s="4" t="s">
        <v>89</v>
      </c>
      <c r="I154" s="74"/>
      <c r="J154" s="75"/>
    </row>
    <row r="155" spans="1:12" s="3" customFormat="1" x14ac:dyDescent="0.3">
      <c r="A155" s="70">
        <v>6</v>
      </c>
      <c r="B155" s="71"/>
      <c r="C155" s="4" t="s">
        <v>201</v>
      </c>
      <c r="D155" s="70">
        <f>(39.742+11.34+6.3)*10.764</f>
        <v>617.6598479999999</v>
      </c>
      <c r="E155" s="71"/>
      <c r="F155" s="4">
        <f>7.48*10.764</f>
        <v>80.514719999999997</v>
      </c>
      <c r="G155" s="4">
        <f t="shared" si="0"/>
        <v>1037.8874843999997</v>
      </c>
      <c r="H155" s="4" t="s">
        <v>89</v>
      </c>
      <c r="I155" s="74"/>
      <c r="J155" s="75"/>
    </row>
    <row r="156" spans="1:12" s="3" customFormat="1" x14ac:dyDescent="0.3">
      <c r="A156" s="70">
        <v>7</v>
      </c>
      <c r="B156" s="71"/>
      <c r="C156" s="4" t="s">
        <v>201</v>
      </c>
      <c r="D156" s="70">
        <f>(39.742+11.238+6.243)*10.764</f>
        <v>615.94837199999995</v>
      </c>
      <c r="E156" s="71"/>
      <c r="F156" s="4">
        <f>7.48*10.764</f>
        <v>80.514719999999997</v>
      </c>
      <c r="G156" s="4">
        <f t="shared" si="0"/>
        <v>1035.2346966</v>
      </c>
      <c r="H156" s="4" t="s">
        <v>89</v>
      </c>
      <c r="I156" s="74"/>
      <c r="J156" s="75"/>
    </row>
    <row r="157" spans="1:12" s="3" customFormat="1" x14ac:dyDescent="0.3">
      <c r="A157" s="70">
        <v>8</v>
      </c>
      <c r="B157" s="71"/>
      <c r="C157" s="4" t="s">
        <v>200</v>
      </c>
      <c r="D157" s="70">
        <f>(26.944+3.185+3.956)*10.764</f>
        <v>366.89094</v>
      </c>
      <c r="E157" s="71"/>
      <c r="F157" s="4">
        <f>4.14*10.764</f>
        <v>44.562959999999997</v>
      </c>
      <c r="G157" s="4">
        <f t="shared" si="0"/>
        <v>613.24391700000001</v>
      </c>
      <c r="H157" s="4" t="s">
        <v>89</v>
      </c>
      <c r="I157" s="76"/>
      <c r="J157" s="77"/>
    </row>
    <row r="158" spans="1:12" s="3" customFormat="1" x14ac:dyDescent="0.3">
      <c r="A158" s="78" t="s">
        <v>202</v>
      </c>
      <c r="B158" s="79"/>
      <c r="C158" s="79"/>
      <c r="D158" s="79"/>
      <c r="E158" s="79"/>
      <c r="F158" s="79"/>
      <c r="G158" s="79"/>
      <c r="H158" s="79"/>
      <c r="I158" s="79"/>
      <c r="J158" s="80"/>
    </row>
    <row r="159" spans="1:12" s="3" customFormat="1" x14ac:dyDescent="0.3">
      <c r="A159" s="70">
        <v>1</v>
      </c>
      <c r="B159" s="71"/>
      <c r="C159" s="4" t="s">
        <v>200</v>
      </c>
      <c r="D159" s="70">
        <f>(26.945+3.185+5.362)*10.764</f>
        <v>382.03588799999994</v>
      </c>
      <c r="E159" s="71"/>
      <c r="F159" s="4">
        <v>0</v>
      </c>
      <c r="G159" s="4">
        <f t="shared" si="0"/>
        <v>592.15562639999996</v>
      </c>
      <c r="H159" s="4" t="s">
        <v>89</v>
      </c>
      <c r="I159" s="72" t="str">
        <f>A158</f>
        <v>2nd, 4th &amp; 6th Floor</v>
      </c>
      <c r="J159" s="73"/>
      <c r="L159" s="3">
        <f>G159/D159</f>
        <v>1.55</v>
      </c>
    </row>
    <row r="160" spans="1:12" s="3" customFormat="1" x14ac:dyDescent="0.3">
      <c r="A160" s="70">
        <v>2</v>
      </c>
      <c r="B160" s="71"/>
      <c r="C160" s="4" t="s">
        <v>201</v>
      </c>
      <c r="D160" s="70">
        <f>(34.907+8.25+7.65)*10.764</f>
        <v>546.88654799999995</v>
      </c>
      <c r="E160" s="71"/>
      <c r="F160" s="4">
        <v>0</v>
      </c>
      <c r="G160" s="4">
        <f t="shared" si="0"/>
        <v>847.67414939999992</v>
      </c>
      <c r="H160" s="4" t="s">
        <v>89</v>
      </c>
      <c r="I160" s="74"/>
      <c r="J160" s="75"/>
    </row>
    <row r="161" spans="1:10" s="3" customFormat="1" x14ac:dyDescent="0.3">
      <c r="A161" s="70">
        <v>3</v>
      </c>
      <c r="B161" s="71"/>
      <c r="C161" s="4" t="s">
        <v>200</v>
      </c>
      <c r="D161" s="70">
        <f>(27.597+2.64+5.306)*10.764</f>
        <v>382.58485199999996</v>
      </c>
      <c r="E161" s="71"/>
      <c r="F161" s="4">
        <v>0</v>
      </c>
      <c r="G161" s="4">
        <f t="shared" si="0"/>
        <v>593.00652059999993</v>
      </c>
      <c r="H161" s="4" t="s">
        <v>89</v>
      </c>
      <c r="I161" s="74"/>
      <c r="J161" s="75"/>
    </row>
    <row r="162" spans="1:10" s="3" customFormat="1" x14ac:dyDescent="0.3">
      <c r="A162" s="70">
        <v>4</v>
      </c>
      <c r="B162" s="71"/>
      <c r="C162" s="4" t="s">
        <v>200</v>
      </c>
      <c r="D162" s="70">
        <f>(27.597+2.64+5.25)*10.764</f>
        <v>381.98206799999997</v>
      </c>
      <c r="E162" s="71"/>
      <c r="F162" s="4">
        <v>0</v>
      </c>
      <c r="G162" s="4">
        <f t="shared" si="0"/>
        <v>592.07220539999992</v>
      </c>
      <c r="H162" s="4" t="s">
        <v>89</v>
      </c>
      <c r="I162" s="74"/>
      <c r="J162" s="75"/>
    </row>
    <row r="163" spans="1:10" s="3" customFormat="1" x14ac:dyDescent="0.3">
      <c r="A163" s="70">
        <v>5</v>
      </c>
      <c r="B163" s="71"/>
      <c r="C163" s="4" t="s">
        <v>200</v>
      </c>
      <c r="D163" s="70">
        <f>(27.597+2.64+5.306)*10.764</f>
        <v>382.58485199999996</v>
      </c>
      <c r="E163" s="71"/>
      <c r="F163" s="4">
        <v>0</v>
      </c>
      <c r="G163" s="4">
        <f t="shared" si="0"/>
        <v>593.00652059999993</v>
      </c>
      <c r="H163" s="4" t="s">
        <v>89</v>
      </c>
      <c r="I163" s="74"/>
      <c r="J163" s="75"/>
    </row>
    <row r="164" spans="1:10" s="3" customFormat="1" x14ac:dyDescent="0.3">
      <c r="A164" s="70">
        <v>6</v>
      </c>
      <c r="B164" s="71"/>
      <c r="C164" s="4" t="s">
        <v>201</v>
      </c>
      <c r="D164" s="70">
        <f>(39.742+11.34+8.268)*10.764</f>
        <v>638.84339999999986</v>
      </c>
      <c r="E164" s="71"/>
      <c r="F164" s="4">
        <v>0</v>
      </c>
      <c r="G164" s="4">
        <f t="shared" si="0"/>
        <v>990.20726999999977</v>
      </c>
      <c r="H164" s="4" t="s">
        <v>89</v>
      </c>
      <c r="I164" s="74"/>
      <c r="J164" s="75"/>
    </row>
    <row r="165" spans="1:10" s="3" customFormat="1" x14ac:dyDescent="0.3">
      <c r="A165" s="70">
        <v>7</v>
      </c>
      <c r="B165" s="71"/>
      <c r="C165" s="4" t="s">
        <v>201</v>
      </c>
      <c r="D165" s="70">
        <f>(39.742+11.238+8.212)*10.764</f>
        <v>637.14268799999991</v>
      </c>
      <c r="E165" s="71"/>
      <c r="F165" s="4">
        <v>0</v>
      </c>
      <c r="G165" s="4">
        <f t="shared" si="0"/>
        <v>987.57116639999992</v>
      </c>
      <c r="H165" s="4" t="s">
        <v>89</v>
      </c>
      <c r="I165" s="74"/>
      <c r="J165" s="75"/>
    </row>
    <row r="166" spans="1:10" s="3" customFormat="1" x14ac:dyDescent="0.3">
      <c r="A166" s="70">
        <v>8</v>
      </c>
      <c r="B166" s="71"/>
      <c r="C166" s="4" t="s">
        <v>200</v>
      </c>
      <c r="D166" s="70">
        <f>(26.944+3.185+5.306)*10.764</f>
        <v>381.42233999999991</v>
      </c>
      <c r="E166" s="71"/>
      <c r="F166" s="4">
        <v>0</v>
      </c>
      <c r="G166" s="4">
        <f t="shared" si="0"/>
        <v>591.20462699999985</v>
      </c>
      <c r="H166" s="4" t="s">
        <v>89</v>
      </c>
      <c r="I166" s="76"/>
      <c r="J166" s="77"/>
    </row>
    <row r="167" spans="1:10" s="3" customFormat="1" x14ac:dyDescent="0.3">
      <c r="A167" s="78" t="s">
        <v>203</v>
      </c>
      <c r="B167" s="79"/>
      <c r="C167" s="79"/>
      <c r="D167" s="79"/>
      <c r="E167" s="79"/>
      <c r="F167" s="79"/>
      <c r="G167" s="79"/>
      <c r="H167" s="79"/>
      <c r="I167" s="79"/>
      <c r="J167" s="80"/>
    </row>
    <row r="168" spans="1:10" s="3" customFormat="1" x14ac:dyDescent="0.3">
      <c r="A168" s="70">
        <v>1</v>
      </c>
      <c r="B168" s="71"/>
      <c r="C168" s="4" t="s">
        <v>200</v>
      </c>
      <c r="D168" s="70">
        <f>(26.945+3.185+4.012)*10.764</f>
        <v>367.50448799999992</v>
      </c>
      <c r="E168" s="71"/>
      <c r="F168" s="4">
        <f>4.14*10.764</f>
        <v>44.562959999999997</v>
      </c>
      <c r="G168" s="4">
        <f t="shared" si="0"/>
        <v>614.1949163999999</v>
      </c>
      <c r="H168" s="4" t="s">
        <v>89</v>
      </c>
      <c r="I168" s="72" t="str">
        <f>A167</f>
        <v>3rd &amp; 5th Floor</v>
      </c>
      <c r="J168" s="73"/>
    </row>
    <row r="169" spans="1:10" s="3" customFormat="1" x14ac:dyDescent="0.3">
      <c r="A169" s="70">
        <v>2</v>
      </c>
      <c r="B169" s="71"/>
      <c r="C169" s="4" t="s">
        <v>201</v>
      </c>
      <c r="D169" s="70">
        <f>(34.907+8.25+6.187)*10.764</f>
        <v>531.13881599999991</v>
      </c>
      <c r="E169" s="71"/>
      <c r="F169" s="4">
        <f>4.29*10.764</f>
        <v>46.17756</v>
      </c>
      <c r="G169" s="4">
        <f t="shared" si="0"/>
        <v>869.44272479999984</v>
      </c>
      <c r="H169" s="4" t="s">
        <v>89</v>
      </c>
      <c r="I169" s="74"/>
      <c r="J169" s="75"/>
    </row>
    <row r="170" spans="1:10" s="3" customFormat="1" x14ac:dyDescent="0.3">
      <c r="A170" s="70">
        <v>3</v>
      </c>
      <c r="B170" s="71"/>
      <c r="C170" s="4" t="s">
        <v>200</v>
      </c>
      <c r="D170" s="70">
        <f>(27.597+2.64+3.937)*10.764</f>
        <v>367.84893599999998</v>
      </c>
      <c r="E170" s="71"/>
      <c r="F170" s="4">
        <f>3.762*10.764</f>
        <v>40.494167999999995</v>
      </c>
      <c r="G170" s="4">
        <f t="shared" si="0"/>
        <v>610.66001879999988</v>
      </c>
      <c r="H170" s="4" t="s">
        <v>89</v>
      </c>
      <c r="I170" s="74"/>
      <c r="J170" s="75"/>
    </row>
    <row r="171" spans="1:10" s="3" customFormat="1" x14ac:dyDescent="0.3">
      <c r="A171" s="70">
        <v>4</v>
      </c>
      <c r="B171" s="71"/>
      <c r="C171" s="4" t="s">
        <v>200</v>
      </c>
      <c r="D171" s="70">
        <f>(27.597+2.64+3.881)*10.764</f>
        <v>367.246152</v>
      </c>
      <c r="E171" s="71"/>
      <c r="F171" s="4">
        <f t="shared" ref="F171:F172" si="1">3.762*10.764</f>
        <v>40.494167999999995</v>
      </c>
      <c r="G171" s="4">
        <f t="shared" si="0"/>
        <v>609.72570359999997</v>
      </c>
      <c r="H171" s="4" t="s">
        <v>89</v>
      </c>
      <c r="I171" s="74"/>
      <c r="J171" s="75"/>
    </row>
    <row r="172" spans="1:10" s="3" customFormat="1" x14ac:dyDescent="0.3">
      <c r="A172" s="70">
        <v>5</v>
      </c>
      <c r="B172" s="71"/>
      <c r="C172" s="4" t="s">
        <v>200</v>
      </c>
      <c r="D172" s="70">
        <f>(27.597+2.64+3.881)*10.764</f>
        <v>367.246152</v>
      </c>
      <c r="E172" s="71"/>
      <c r="F172" s="4">
        <f t="shared" si="1"/>
        <v>40.494167999999995</v>
      </c>
      <c r="G172" s="4">
        <f t="shared" si="0"/>
        <v>609.72570359999997</v>
      </c>
      <c r="H172" s="4" t="s">
        <v>89</v>
      </c>
      <c r="I172" s="74"/>
      <c r="J172" s="75"/>
    </row>
    <row r="173" spans="1:10" s="3" customFormat="1" x14ac:dyDescent="0.3">
      <c r="A173" s="70">
        <v>6</v>
      </c>
      <c r="B173" s="71"/>
      <c r="C173" s="4" t="s">
        <v>201</v>
      </c>
      <c r="D173" s="70">
        <f>(39.742+11.34+6.3)*10.764</f>
        <v>617.6598479999999</v>
      </c>
      <c r="E173" s="71"/>
      <c r="F173" s="4">
        <f>6.885*10.764</f>
        <v>74.110139999999987</v>
      </c>
      <c r="G173" s="4">
        <f t="shared" si="0"/>
        <v>1031.4829043999998</v>
      </c>
      <c r="H173" s="4" t="s">
        <v>89</v>
      </c>
      <c r="I173" s="74"/>
      <c r="J173" s="75"/>
    </row>
    <row r="174" spans="1:10" s="3" customFormat="1" x14ac:dyDescent="0.3">
      <c r="A174" s="70">
        <v>7</v>
      </c>
      <c r="B174" s="71"/>
      <c r="C174" s="4" t="s">
        <v>201</v>
      </c>
      <c r="D174" s="70">
        <f>(39.742+11.238+6.243)*10.764</f>
        <v>615.94837199999995</v>
      </c>
      <c r="E174" s="71"/>
      <c r="F174" s="4">
        <f>6.885*10.764</f>
        <v>74.110139999999987</v>
      </c>
      <c r="G174" s="4">
        <f t="shared" si="0"/>
        <v>1028.8301165999999</v>
      </c>
      <c r="H174" s="4" t="s">
        <v>89</v>
      </c>
      <c r="I174" s="74"/>
      <c r="J174" s="75"/>
    </row>
    <row r="175" spans="1:10" s="3" customFormat="1" x14ac:dyDescent="0.3">
      <c r="A175" s="70">
        <v>8</v>
      </c>
      <c r="B175" s="71"/>
      <c r="C175" s="4" t="s">
        <v>200</v>
      </c>
      <c r="D175" s="70">
        <f>(26.944+3.185+3.956)*10.764</f>
        <v>366.89094</v>
      </c>
      <c r="E175" s="71"/>
      <c r="F175" s="4">
        <f>4.14*10.764</f>
        <v>44.562959999999997</v>
      </c>
      <c r="G175" s="4">
        <f t="shared" si="0"/>
        <v>613.24391700000001</v>
      </c>
      <c r="H175" s="4" t="s">
        <v>89</v>
      </c>
      <c r="I175" s="76"/>
      <c r="J175" s="77"/>
    </row>
    <row r="176" spans="1:10" s="3" customFormat="1" x14ac:dyDescent="0.3">
      <c r="A176" s="78" t="s">
        <v>204</v>
      </c>
      <c r="B176" s="79"/>
      <c r="C176" s="79"/>
      <c r="D176" s="79"/>
      <c r="E176" s="79"/>
      <c r="F176" s="79"/>
      <c r="G176" s="79"/>
      <c r="H176" s="79"/>
      <c r="I176" s="79"/>
      <c r="J176" s="80"/>
    </row>
    <row r="177" spans="1:10" s="3" customFormat="1" x14ac:dyDescent="0.3">
      <c r="A177" s="70">
        <v>1</v>
      </c>
      <c r="B177" s="71"/>
      <c r="C177" s="4" t="s">
        <v>205</v>
      </c>
      <c r="D177" s="70">
        <f>(18.937+3.25+1.859)*10.764</f>
        <v>258.83114399999999</v>
      </c>
      <c r="E177" s="71"/>
      <c r="F177" s="4">
        <f>4.14*10.764</f>
        <v>44.562959999999997</v>
      </c>
      <c r="G177" s="4">
        <f t="shared" si="0"/>
        <v>445.7512332</v>
      </c>
      <c r="H177" s="4" t="s">
        <v>89</v>
      </c>
      <c r="I177" s="72" t="str">
        <f>A176</f>
        <v>7th Floor</v>
      </c>
      <c r="J177" s="73"/>
    </row>
    <row r="178" spans="1:10" s="3" customFormat="1" x14ac:dyDescent="0.3">
      <c r="A178" s="70">
        <v>2</v>
      </c>
      <c r="B178" s="71"/>
      <c r="C178" s="4" t="s">
        <v>200</v>
      </c>
      <c r="D178" s="70">
        <f>(25.205+5.4+4.05)*10.764</f>
        <v>373.02641999999992</v>
      </c>
      <c r="E178" s="71"/>
      <c r="F178" s="4">
        <f>4.935*10.764</f>
        <v>53.120339999999992</v>
      </c>
      <c r="G178" s="4">
        <f t="shared" si="0"/>
        <v>631.31129099999987</v>
      </c>
      <c r="H178" s="4" t="s">
        <v>89</v>
      </c>
      <c r="I178" s="74"/>
      <c r="J178" s="75"/>
    </row>
    <row r="179" spans="1:10" s="3" customFormat="1" x14ac:dyDescent="0.3">
      <c r="A179" s="70">
        <v>3</v>
      </c>
      <c r="B179" s="71"/>
      <c r="C179" s="4" t="s">
        <v>205</v>
      </c>
      <c r="D179" s="70">
        <f>(19.477+2.88+1.65)*10.764</f>
        <v>258.41134799999998</v>
      </c>
      <c r="E179" s="71"/>
      <c r="F179" s="4">
        <f>4.198*10.764</f>
        <v>45.187272</v>
      </c>
      <c r="G179" s="4">
        <f t="shared" si="0"/>
        <v>445.72486140000001</v>
      </c>
      <c r="H179" s="4" t="s">
        <v>89</v>
      </c>
      <c r="I179" s="74"/>
      <c r="J179" s="75"/>
    </row>
    <row r="180" spans="1:10" s="3" customFormat="1" x14ac:dyDescent="0.3">
      <c r="A180" s="70">
        <v>4</v>
      </c>
      <c r="B180" s="71"/>
      <c r="C180" s="4" t="s">
        <v>205</v>
      </c>
      <c r="D180" s="70">
        <f>(19.282+2.88+1.65)*10.764</f>
        <v>256.31236799999994</v>
      </c>
      <c r="E180" s="71"/>
      <c r="F180" s="4">
        <f>4.198*10.764</f>
        <v>45.187272</v>
      </c>
      <c r="G180" s="4">
        <f t="shared" si="0"/>
        <v>442.47144239999994</v>
      </c>
      <c r="H180" s="4" t="s">
        <v>89</v>
      </c>
      <c r="I180" s="74"/>
      <c r="J180" s="75"/>
    </row>
    <row r="181" spans="1:10" s="3" customFormat="1" x14ac:dyDescent="0.3">
      <c r="A181" s="70">
        <v>5</v>
      </c>
      <c r="B181" s="71"/>
      <c r="C181" s="4" t="s">
        <v>205</v>
      </c>
      <c r="D181" s="70">
        <f>(19.282+2.88+1.65)*10.764</f>
        <v>256.31236799999994</v>
      </c>
      <c r="E181" s="71"/>
      <c r="F181" s="4">
        <f>4.37*10.764</f>
        <v>47.038679999999999</v>
      </c>
      <c r="G181" s="4">
        <f t="shared" si="0"/>
        <v>444.32285039999994</v>
      </c>
      <c r="H181" s="4" t="s">
        <v>89</v>
      </c>
      <c r="I181" s="74"/>
      <c r="J181" s="75"/>
    </row>
    <row r="182" spans="1:10" s="3" customFormat="1" x14ac:dyDescent="0.3">
      <c r="A182" s="70">
        <v>6</v>
      </c>
      <c r="B182" s="71"/>
      <c r="C182" s="4" t="s">
        <v>201</v>
      </c>
      <c r="D182" s="70">
        <f>(39.742+11.34+6.3)*10.764</f>
        <v>617.6598479999999</v>
      </c>
      <c r="E182" s="71"/>
      <c r="F182" s="4">
        <f>7.481*10.764</f>
        <v>80.525483999999992</v>
      </c>
      <c r="G182" s="4">
        <f t="shared" si="0"/>
        <v>1037.8982483999998</v>
      </c>
      <c r="H182" s="4" t="s">
        <v>89</v>
      </c>
      <c r="I182" s="74"/>
      <c r="J182" s="75"/>
    </row>
    <row r="183" spans="1:10" s="3" customFormat="1" x14ac:dyDescent="0.3">
      <c r="A183" s="70">
        <v>7</v>
      </c>
      <c r="B183" s="71"/>
      <c r="C183" s="4" t="s">
        <v>201</v>
      </c>
      <c r="D183" s="70">
        <f>(39.742+11.238+6.243)*10.764</f>
        <v>615.94837199999995</v>
      </c>
      <c r="E183" s="71"/>
      <c r="F183" s="4">
        <f>7.481*10.764</f>
        <v>80.525483999999992</v>
      </c>
      <c r="G183" s="4">
        <f t="shared" si="0"/>
        <v>1035.2454605999999</v>
      </c>
      <c r="H183" s="4" t="s">
        <v>89</v>
      </c>
      <c r="I183" s="74"/>
      <c r="J183" s="75"/>
    </row>
    <row r="184" spans="1:10" s="3" customFormat="1" x14ac:dyDescent="0.3">
      <c r="A184" s="70">
        <v>8</v>
      </c>
      <c r="B184" s="71"/>
      <c r="C184" s="4" t="s">
        <v>205</v>
      </c>
      <c r="D184" s="70">
        <f>(21.467)*10.764</f>
        <v>231.07078799999996</v>
      </c>
      <c r="E184" s="71"/>
      <c r="F184" s="4">
        <f>4.14*10.764</f>
        <v>44.562959999999997</v>
      </c>
      <c r="G184" s="4">
        <f t="shared" si="0"/>
        <v>402.72268139999994</v>
      </c>
      <c r="H184" s="4" t="s">
        <v>89</v>
      </c>
      <c r="I184" s="76"/>
      <c r="J184" s="77"/>
    </row>
    <row r="185" spans="1:10" s="3" customFormat="1" x14ac:dyDescent="0.3">
      <c r="A185" s="78" t="s">
        <v>195</v>
      </c>
      <c r="B185" s="79"/>
      <c r="C185" s="79"/>
      <c r="D185" s="79"/>
      <c r="E185" s="79"/>
      <c r="F185" s="79"/>
      <c r="G185" s="79"/>
      <c r="H185" s="79"/>
      <c r="I185" s="79"/>
      <c r="J185" s="80"/>
    </row>
    <row r="186" spans="1:10" s="3" customFormat="1" x14ac:dyDescent="0.3">
      <c r="A186" s="78" t="s">
        <v>192</v>
      </c>
      <c r="B186" s="79"/>
      <c r="C186" s="79"/>
      <c r="D186" s="79"/>
      <c r="E186" s="79"/>
      <c r="F186" s="79"/>
      <c r="G186" s="79"/>
      <c r="H186" s="79"/>
      <c r="I186" s="79"/>
      <c r="J186" s="80"/>
    </row>
    <row r="187" spans="1:10" s="3" customFormat="1" ht="15.6" customHeight="1" x14ac:dyDescent="0.3">
      <c r="A187" s="70">
        <v>8</v>
      </c>
      <c r="B187" s="71"/>
      <c r="C187" s="4" t="s">
        <v>193</v>
      </c>
      <c r="D187" s="70">
        <v>308</v>
      </c>
      <c r="E187" s="71"/>
      <c r="F187" s="4">
        <v>0</v>
      </c>
      <c r="G187" s="4">
        <v>665</v>
      </c>
      <c r="H187" s="4" t="s">
        <v>89</v>
      </c>
      <c r="I187" s="72" t="s">
        <v>197</v>
      </c>
      <c r="J187" s="73"/>
    </row>
    <row r="188" spans="1:10" s="3" customFormat="1" x14ac:dyDescent="0.3">
      <c r="A188" s="70">
        <v>9</v>
      </c>
      <c r="B188" s="71"/>
      <c r="C188" s="4" t="s">
        <v>193</v>
      </c>
      <c r="D188" s="70">
        <v>303</v>
      </c>
      <c r="E188" s="71">
        <v>303</v>
      </c>
      <c r="F188" s="4">
        <v>0</v>
      </c>
      <c r="G188" s="4">
        <v>650</v>
      </c>
      <c r="H188" s="4" t="s">
        <v>89</v>
      </c>
      <c r="I188" s="74"/>
      <c r="J188" s="75"/>
    </row>
    <row r="189" spans="1:10" s="3" customFormat="1" x14ac:dyDescent="0.3">
      <c r="A189" s="70">
        <v>10</v>
      </c>
      <c r="B189" s="71"/>
      <c r="C189" s="4" t="s">
        <v>193</v>
      </c>
      <c r="D189" s="70">
        <v>256</v>
      </c>
      <c r="E189" s="71">
        <v>256</v>
      </c>
      <c r="F189" s="4">
        <v>0</v>
      </c>
      <c r="G189" s="4">
        <v>560</v>
      </c>
      <c r="H189" s="4" t="s">
        <v>89</v>
      </c>
      <c r="I189" s="74"/>
      <c r="J189" s="75"/>
    </row>
    <row r="190" spans="1:10" s="3" customFormat="1" x14ac:dyDescent="0.3">
      <c r="A190" s="70">
        <v>11</v>
      </c>
      <c r="B190" s="71"/>
      <c r="C190" s="4" t="s">
        <v>193</v>
      </c>
      <c r="D190" s="70">
        <v>241</v>
      </c>
      <c r="E190" s="71">
        <v>241</v>
      </c>
      <c r="F190" s="4">
        <v>0</v>
      </c>
      <c r="G190" s="4">
        <v>540</v>
      </c>
      <c r="H190" s="4" t="s">
        <v>89</v>
      </c>
      <c r="I190" s="74"/>
      <c r="J190" s="75"/>
    </row>
    <row r="191" spans="1:10" s="3" customFormat="1" ht="15.6" customHeight="1" x14ac:dyDescent="0.3">
      <c r="A191" s="70">
        <v>12</v>
      </c>
      <c r="B191" s="71"/>
      <c r="C191" s="4" t="s">
        <v>193</v>
      </c>
      <c r="D191" s="70">
        <v>202</v>
      </c>
      <c r="E191" s="71">
        <v>202</v>
      </c>
      <c r="F191" s="4">
        <v>0</v>
      </c>
      <c r="G191" s="4">
        <v>450</v>
      </c>
      <c r="H191" s="4" t="s">
        <v>89</v>
      </c>
      <c r="I191" s="74"/>
      <c r="J191" s="75"/>
    </row>
    <row r="192" spans="1:10" s="3" customFormat="1" x14ac:dyDescent="0.3">
      <c r="A192" s="70">
        <v>13</v>
      </c>
      <c r="B192" s="71"/>
      <c r="C192" s="4" t="s">
        <v>193</v>
      </c>
      <c r="D192" s="70">
        <v>303</v>
      </c>
      <c r="E192" s="71">
        <v>303</v>
      </c>
      <c r="F192" s="4">
        <v>0</v>
      </c>
      <c r="G192" s="4">
        <v>650</v>
      </c>
      <c r="H192" s="4" t="s">
        <v>89</v>
      </c>
      <c r="I192" s="74"/>
      <c r="J192" s="75"/>
    </row>
    <row r="193" spans="1:10" s="3" customFormat="1" x14ac:dyDescent="0.3">
      <c r="A193" s="70">
        <v>14</v>
      </c>
      <c r="B193" s="71"/>
      <c r="C193" s="4" t="s">
        <v>193</v>
      </c>
      <c r="D193" s="70">
        <v>321</v>
      </c>
      <c r="E193" s="71">
        <v>321</v>
      </c>
      <c r="F193" s="4">
        <v>0</v>
      </c>
      <c r="G193" s="4">
        <v>685</v>
      </c>
      <c r="H193" s="4" t="s">
        <v>89</v>
      </c>
      <c r="I193" s="76"/>
      <c r="J193" s="77"/>
    </row>
    <row r="194" spans="1:10" s="3" customFormat="1" x14ac:dyDescent="0.3">
      <c r="A194" s="78" t="s">
        <v>199</v>
      </c>
      <c r="B194" s="79"/>
      <c r="C194" s="79"/>
      <c r="D194" s="79"/>
      <c r="E194" s="79"/>
      <c r="F194" s="79"/>
      <c r="G194" s="79"/>
      <c r="H194" s="79"/>
      <c r="I194" s="79"/>
      <c r="J194" s="80"/>
    </row>
    <row r="195" spans="1:10" s="3" customFormat="1" x14ac:dyDescent="0.3">
      <c r="A195" s="70">
        <v>1</v>
      </c>
      <c r="B195" s="71"/>
      <c r="C195" s="4" t="s">
        <v>200</v>
      </c>
      <c r="D195" s="70">
        <f>(26.944+3.185+3.956)*10.764</f>
        <v>366.89094</v>
      </c>
      <c r="E195" s="71"/>
      <c r="F195" s="4">
        <f>4.41*10.764</f>
        <v>47.469239999999999</v>
      </c>
      <c r="G195" s="4">
        <f t="shared" ref="G195:G202" si="2">D195*1.55+F195</f>
        <v>616.15019700000005</v>
      </c>
      <c r="H195" s="4" t="s">
        <v>89</v>
      </c>
      <c r="I195" s="72" t="str">
        <f>A194</f>
        <v>1st Floor</v>
      </c>
      <c r="J195" s="73"/>
    </row>
    <row r="196" spans="1:10" s="3" customFormat="1" x14ac:dyDescent="0.3">
      <c r="A196" s="70">
        <v>2</v>
      </c>
      <c r="B196" s="71"/>
      <c r="C196" s="4" t="s">
        <v>201</v>
      </c>
      <c r="D196" s="70">
        <f>(39.742+11.238+6.243)*10.764</f>
        <v>615.94837199999995</v>
      </c>
      <c r="E196" s="71"/>
      <c r="F196" s="4">
        <f>7.8*10.764</f>
        <v>83.959199999999996</v>
      </c>
      <c r="G196" s="4">
        <f t="shared" si="2"/>
        <v>1038.6791765999999</v>
      </c>
      <c r="H196" s="4" t="s">
        <v>89</v>
      </c>
      <c r="I196" s="74"/>
      <c r="J196" s="75"/>
    </row>
    <row r="197" spans="1:10" s="3" customFormat="1" x14ac:dyDescent="0.3">
      <c r="A197" s="70">
        <v>3</v>
      </c>
      <c r="B197" s="71"/>
      <c r="C197" s="4" t="s">
        <v>201</v>
      </c>
      <c r="D197" s="70">
        <f>(39.742+11.34+6.3)*10.764</f>
        <v>617.6598479999999</v>
      </c>
      <c r="E197" s="71"/>
      <c r="F197" s="4">
        <f>7.8*10.764</f>
        <v>83.959199999999996</v>
      </c>
      <c r="G197" s="4">
        <f t="shared" si="2"/>
        <v>1041.3319643999998</v>
      </c>
      <c r="H197" s="4" t="s">
        <v>89</v>
      </c>
      <c r="I197" s="74"/>
      <c r="J197" s="75"/>
    </row>
    <row r="198" spans="1:10" s="3" customFormat="1" x14ac:dyDescent="0.3">
      <c r="A198" s="70">
        <v>4</v>
      </c>
      <c r="B198" s="71"/>
      <c r="C198" s="4" t="s">
        <v>200</v>
      </c>
      <c r="D198" s="70">
        <f>(27.597+2.64+3.881)*10.764</f>
        <v>367.246152</v>
      </c>
      <c r="E198" s="71"/>
      <c r="F198" s="4">
        <f>5.41*10.764</f>
        <v>58.233239999999995</v>
      </c>
      <c r="G198" s="4">
        <f t="shared" si="2"/>
        <v>627.46477560000005</v>
      </c>
      <c r="H198" s="4" t="s">
        <v>89</v>
      </c>
      <c r="I198" s="74"/>
      <c r="J198" s="75"/>
    </row>
    <row r="199" spans="1:10" s="3" customFormat="1" x14ac:dyDescent="0.3">
      <c r="A199" s="70">
        <v>5</v>
      </c>
      <c r="B199" s="71"/>
      <c r="C199" s="4" t="s">
        <v>200</v>
      </c>
      <c r="D199" s="70">
        <f>(27.597+2.64+3.881)*10.764</f>
        <v>367.246152</v>
      </c>
      <c r="E199" s="71"/>
      <c r="F199" s="4">
        <f>4.37*10.764</f>
        <v>47.038679999999999</v>
      </c>
      <c r="G199" s="4">
        <f t="shared" si="2"/>
        <v>616.27021560000003</v>
      </c>
      <c r="H199" s="4" t="s">
        <v>89</v>
      </c>
      <c r="I199" s="74"/>
      <c r="J199" s="75"/>
    </row>
    <row r="200" spans="1:10" s="3" customFormat="1" x14ac:dyDescent="0.3">
      <c r="A200" s="70">
        <v>6</v>
      </c>
      <c r="B200" s="71"/>
      <c r="C200" s="4" t="s">
        <v>201</v>
      </c>
      <c r="D200" s="70">
        <f>(34.907+8.25+6.187)*10.764</f>
        <v>531.13881599999991</v>
      </c>
      <c r="E200" s="71"/>
      <c r="F200" s="4">
        <f>4.76*10.764</f>
        <v>51.236639999999994</v>
      </c>
      <c r="G200" s="4">
        <f t="shared" si="2"/>
        <v>874.50180479999983</v>
      </c>
      <c r="H200" s="4" t="s">
        <v>89</v>
      </c>
      <c r="I200" s="74"/>
      <c r="J200" s="75"/>
    </row>
    <row r="201" spans="1:10" s="3" customFormat="1" x14ac:dyDescent="0.3">
      <c r="A201" s="70">
        <v>7</v>
      </c>
      <c r="B201" s="71"/>
      <c r="C201" s="4" t="s">
        <v>201</v>
      </c>
      <c r="D201" s="70">
        <f>(34.907+8.25+6.187)*10.764</f>
        <v>531.13881599999991</v>
      </c>
      <c r="E201" s="71"/>
      <c r="F201" s="4">
        <f>4.76*10.764</f>
        <v>51.236639999999994</v>
      </c>
      <c r="G201" s="4">
        <f t="shared" si="2"/>
        <v>874.50180479999983</v>
      </c>
      <c r="H201" s="4" t="s">
        <v>89</v>
      </c>
      <c r="I201" s="74"/>
      <c r="J201" s="75"/>
    </row>
    <row r="202" spans="1:10" s="3" customFormat="1" x14ac:dyDescent="0.3">
      <c r="A202" s="70">
        <v>8</v>
      </c>
      <c r="B202" s="71"/>
      <c r="C202" s="4" t="s">
        <v>200</v>
      </c>
      <c r="D202" s="70">
        <f>(26.945+3.185+4.012)*10.764</f>
        <v>367.50448799999992</v>
      </c>
      <c r="E202" s="71"/>
      <c r="F202" s="4">
        <f>4.012*10.764</f>
        <v>43.18516799999999</v>
      </c>
      <c r="G202" s="4">
        <f t="shared" si="2"/>
        <v>612.8171243999999</v>
      </c>
      <c r="H202" s="4" t="s">
        <v>89</v>
      </c>
      <c r="I202" s="76"/>
      <c r="J202" s="77"/>
    </row>
    <row r="203" spans="1:10" s="3" customFormat="1" x14ac:dyDescent="0.3">
      <c r="A203" s="78" t="s">
        <v>202</v>
      </c>
      <c r="B203" s="79"/>
      <c r="C203" s="79"/>
      <c r="D203" s="79"/>
      <c r="E203" s="79"/>
      <c r="F203" s="79"/>
      <c r="G203" s="79"/>
      <c r="H203" s="79"/>
      <c r="I203" s="79"/>
      <c r="J203" s="80"/>
    </row>
    <row r="204" spans="1:10" s="3" customFormat="1" x14ac:dyDescent="0.3">
      <c r="A204" s="70">
        <v>1</v>
      </c>
      <c r="B204" s="71"/>
      <c r="C204" s="4" t="s">
        <v>200</v>
      </c>
      <c r="D204" s="70">
        <f>(26.944+3.185+5.306)*10.764</f>
        <v>381.42233999999991</v>
      </c>
      <c r="E204" s="71"/>
      <c r="F204" s="4">
        <v>0</v>
      </c>
      <c r="G204" s="4">
        <f t="shared" ref="G204:G211" si="3">D204*1.55+F204</f>
        <v>591.20462699999985</v>
      </c>
      <c r="H204" s="4" t="s">
        <v>89</v>
      </c>
      <c r="I204" s="72" t="str">
        <f>A203</f>
        <v>2nd, 4th &amp; 6th Floor</v>
      </c>
      <c r="J204" s="73"/>
    </row>
    <row r="205" spans="1:10" s="3" customFormat="1" x14ac:dyDescent="0.3">
      <c r="A205" s="70">
        <v>2</v>
      </c>
      <c r="B205" s="71"/>
      <c r="C205" s="4" t="s">
        <v>201</v>
      </c>
      <c r="D205" s="70">
        <f>(39.742+11.238+8.212)*10.764</f>
        <v>637.14268799999991</v>
      </c>
      <c r="E205" s="71"/>
      <c r="F205" s="4">
        <v>0</v>
      </c>
      <c r="G205" s="4">
        <f t="shared" si="3"/>
        <v>987.57116639999992</v>
      </c>
      <c r="H205" s="4" t="s">
        <v>89</v>
      </c>
      <c r="I205" s="74"/>
      <c r="J205" s="75"/>
    </row>
    <row r="206" spans="1:10" s="3" customFormat="1" x14ac:dyDescent="0.3">
      <c r="A206" s="70">
        <v>3</v>
      </c>
      <c r="B206" s="71"/>
      <c r="C206" s="4" t="s">
        <v>201</v>
      </c>
      <c r="D206" s="70">
        <f>(39.742+11.34+8.268)*10.764</f>
        <v>638.84339999999986</v>
      </c>
      <c r="E206" s="71"/>
      <c r="F206" s="4">
        <v>0</v>
      </c>
      <c r="G206" s="4">
        <f t="shared" si="3"/>
        <v>990.20726999999977</v>
      </c>
      <c r="H206" s="4" t="s">
        <v>89</v>
      </c>
      <c r="I206" s="74"/>
      <c r="J206" s="75"/>
    </row>
    <row r="207" spans="1:10" s="3" customFormat="1" x14ac:dyDescent="0.3">
      <c r="A207" s="70">
        <v>4</v>
      </c>
      <c r="B207" s="71"/>
      <c r="C207" s="4" t="s">
        <v>200</v>
      </c>
      <c r="D207" s="70">
        <f>(27.597+2.64+5.306)*10.764</f>
        <v>382.58485199999996</v>
      </c>
      <c r="E207" s="71"/>
      <c r="F207" s="4">
        <v>0</v>
      </c>
      <c r="G207" s="4">
        <f t="shared" si="3"/>
        <v>593.00652059999993</v>
      </c>
      <c r="H207" s="4" t="s">
        <v>89</v>
      </c>
      <c r="I207" s="74"/>
      <c r="J207" s="75"/>
    </row>
    <row r="208" spans="1:10" s="3" customFormat="1" x14ac:dyDescent="0.3">
      <c r="A208" s="70">
        <v>5</v>
      </c>
      <c r="B208" s="71"/>
      <c r="C208" s="4" t="s">
        <v>200</v>
      </c>
      <c r="D208" s="70">
        <f>(27.597+2.64+5.306)*10.764</f>
        <v>382.58485199999996</v>
      </c>
      <c r="E208" s="71"/>
      <c r="F208" s="4">
        <v>0</v>
      </c>
      <c r="G208" s="4">
        <f t="shared" si="3"/>
        <v>593.00652059999993</v>
      </c>
      <c r="H208" s="4" t="s">
        <v>89</v>
      </c>
      <c r="I208" s="74"/>
      <c r="J208" s="75"/>
    </row>
    <row r="209" spans="1:10" s="3" customFormat="1" x14ac:dyDescent="0.3">
      <c r="A209" s="70">
        <v>6</v>
      </c>
      <c r="B209" s="71"/>
      <c r="C209" s="4" t="s">
        <v>201</v>
      </c>
      <c r="D209" s="70">
        <f>(34.907+8.25+7.706)*10.764</f>
        <v>547.48933199999999</v>
      </c>
      <c r="E209" s="71"/>
      <c r="F209" s="4">
        <v>0</v>
      </c>
      <c r="G209" s="4">
        <f t="shared" si="3"/>
        <v>848.60846460000005</v>
      </c>
      <c r="H209" s="4" t="s">
        <v>89</v>
      </c>
      <c r="I209" s="74"/>
      <c r="J209" s="75"/>
    </row>
    <row r="210" spans="1:10" s="3" customFormat="1" x14ac:dyDescent="0.3">
      <c r="A210" s="70">
        <v>7</v>
      </c>
      <c r="B210" s="71"/>
      <c r="C210" s="4" t="s">
        <v>201</v>
      </c>
      <c r="D210" s="70">
        <f>(34.907+8.25+7.706)*10.764</f>
        <v>547.48933199999999</v>
      </c>
      <c r="E210" s="71"/>
      <c r="F210" s="4">
        <v>0</v>
      </c>
      <c r="G210" s="4">
        <f t="shared" si="3"/>
        <v>848.60846460000005</v>
      </c>
      <c r="H210" s="4" t="s">
        <v>89</v>
      </c>
      <c r="I210" s="74"/>
      <c r="J210" s="75"/>
    </row>
    <row r="211" spans="1:10" s="3" customFormat="1" x14ac:dyDescent="0.3">
      <c r="A211" s="70">
        <v>8</v>
      </c>
      <c r="B211" s="71"/>
      <c r="C211" s="4" t="s">
        <v>200</v>
      </c>
      <c r="D211" s="70">
        <f>(26.945+3.185+5.362)*10.764</f>
        <v>382.03588799999994</v>
      </c>
      <c r="E211" s="71"/>
      <c r="F211" s="4">
        <v>0</v>
      </c>
      <c r="G211" s="4">
        <f t="shared" si="3"/>
        <v>592.15562639999996</v>
      </c>
      <c r="H211" s="4" t="s">
        <v>89</v>
      </c>
      <c r="I211" s="76"/>
      <c r="J211" s="77"/>
    </row>
    <row r="212" spans="1:10" s="3" customFormat="1" x14ac:dyDescent="0.3">
      <c r="A212" s="78" t="s">
        <v>203</v>
      </c>
      <c r="B212" s="79"/>
      <c r="C212" s="79"/>
      <c r="D212" s="79"/>
      <c r="E212" s="79"/>
      <c r="F212" s="79"/>
      <c r="G212" s="79"/>
      <c r="H212" s="79"/>
      <c r="I212" s="79"/>
      <c r="J212" s="80"/>
    </row>
    <row r="213" spans="1:10" s="3" customFormat="1" x14ac:dyDescent="0.3">
      <c r="A213" s="70">
        <v>1</v>
      </c>
      <c r="B213" s="71"/>
      <c r="C213" s="4" t="s">
        <v>200</v>
      </c>
      <c r="D213" s="70">
        <f>(26.944+3.185+3.956)*10.764</f>
        <v>366.89094</v>
      </c>
      <c r="E213" s="71"/>
      <c r="F213" s="4">
        <f>4.414*10.764</f>
        <v>47.512295999999992</v>
      </c>
      <c r="G213" s="4">
        <f t="shared" ref="G213:G220" si="4">D213*1.55+F213</f>
        <v>616.19325300000003</v>
      </c>
      <c r="H213" s="4" t="s">
        <v>89</v>
      </c>
      <c r="I213" s="72" t="str">
        <f>A212</f>
        <v>3rd &amp; 5th Floor</v>
      </c>
      <c r="J213" s="73"/>
    </row>
    <row r="214" spans="1:10" s="3" customFormat="1" x14ac:dyDescent="0.3">
      <c r="A214" s="70">
        <v>2</v>
      </c>
      <c r="B214" s="71"/>
      <c r="C214" s="4" t="s">
        <v>201</v>
      </c>
      <c r="D214" s="70">
        <f>(39.742+11.238+6.243)*10.764</f>
        <v>615.94837199999995</v>
      </c>
      <c r="E214" s="71"/>
      <c r="F214" s="4">
        <f>6.885*10.764</f>
        <v>74.110139999999987</v>
      </c>
      <c r="G214" s="4">
        <f t="shared" si="4"/>
        <v>1028.8301165999999</v>
      </c>
      <c r="H214" s="4" t="s">
        <v>89</v>
      </c>
      <c r="I214" s="74"/>
      <c r="J214" s="75"/>
    </row>
    <row r="215" spans="1:10" s="3" customFormat="1" x14ac:dyDescent="0.3">
      <c r="A215" s="70">
        <v>3</v>
      </c>
      <c r="B215" s="71"/>
      <c r="C215" s="4" t="s">
        <v>201</v>
      </c>
      <c r="D215" s="70">
        <f>(39.742+11.34+6.3)*10.764</f>
        <v>617.6598479999999</v>
      </c>
      <c r="E215" s="71"/>
      <c r="F215" s="4">
        <f>6.885*10.764</f>
        <v>74.110139999999987</v>
      </c>
      <c r="G215" s="4">
        <f t="shared" si="4"/>
        <v>1031.4829043999998</v>
      </c>
      <c r="H215" s="4" t="s">
        <v>89</v>
      </c>
      <c r="I215" s="74"/>
      <c r="J215" s="75"/>
    </row>
    <row r="216" spans="1:10" s="3" customFormat="1" x14ac:dyDescent="0.3">
      <c r="A216" s="70">
        <v>4</v>
      </c>
      <c r="B216" s="71"/>
      <c r="C216" s="4" t="s">
        <v>200</v>
      </c>
      <c r="D216" s="70">
        <f>(27.597+2.64+3.881)*10.764</f>
        <v>367.246152</v>
      </c>
      <c r="E216" s="71"/>
      <c r="F216" s="4">
        <f>3.762*10.764</f>
        <v>40.494167999999995</v>
      </c>
      <c r="G216" s="4">
        <f t="shared" si="4"/>
        <v>609.72570359999997</v>
      </c>
      <c r="H216" s="4" t="s">
        <v>89</v>
      </c>
      <c r="I216" s="74"/>
      <c r="J216" s="75"/>
    </row>
    <row r="217" spans="1:10" s="3" customFormat="1" x14ac:dyDescent="0.3">
      <c r="A217" s="70">
        <v>5</v>
      </c>
      <c r="B217" s="71"/>
      <c r="C217" s="4" t="s">
        <v>200</v>
      </c>
      <c r="D217" s="70">
        <f>(27.597+2.64+3.881)*10.764</f>
        <v>367.246152</v>
      </c>
      <c r="E217" s="71"/>
      <c r="F217" s="4">
        <f>3.762*10.764</f>
        <v>40.494167999999995</v>
      </c>
      <c r="G217" s="4">
        <f t="shared" si="4"/>
        <v>609.72570359999997</v>
      </c>
      <c r="H217" s="4" t="s">
        <v>89</v>
      </c>
      <c r="I217" s="74"/>
      <c r="J217" s="75"/>
    </row>
    <row r="218" spans="1:10" s="3" customFormat="1" x14ac:dyDescent="0.3">
      <c r="A218" s="70">
        <v>6</v>
      </c>
      <c r="B218" s="71"/>
      <c r="C218" s="4" t="s">
        <v>201</v>
      </c>
      <c r="D218" s="70">
        <f>(34.907+8.25+6.187)*10.764</f>
        <v>531.13881599999991</v>
      </c>
      <c r="E218" s="71"/>
      <c r="F218" s="4">
        <f>4.29*10.764</f>
        <v>46.17756</v>
      </c>
      <c r="G218" s="4">
        <f t="shared" si="4"/>
        <v>869.44272479999984</v>
      </c>
      <c r="H218" s="4" t="s">
        <v>89</v>
      </c>
      <c r="I218" s="74"/>
      <c r="J218" s="75"/>
    </row>
    <row r="219" spans="1:10" s="3" customFormat="1" x14ac:dyDescent="0.3">
      <c r="A219" s="70">
        <v>7</v>
      </c>
      <c r="B219" s="71"/>
      <c r="C219" s="4" t="s">
        <v>201</v>
      </c>
      <c r="D219" s="70">
        <f>(34.907+8.25+6.187)*10.764</f>
        <v>531.13881599999991</v>
      </c>
      <c r="E219" s="71"/>
      <c r="F219" s="4">
        <f>4.29*10.764</f>
        <v>46.17756</v>
      </c>
      <c r="G219" s="4">
        <f t="shared" si="4"/>
        <v>869.44272479999984</v>
      </c>
      <c r="H219" s="4" t="s">
        <v>89</v>
      </c>
      <c r="I219" s="74"/>
      <c r="J219" s="75"/>
    </row>
    <row r="220" spans="1:10" s="3" customFormat="1" x14ac:dyDescent="0.3">
      <c r="A220" s="70">
        <v>8</v>
      </c>
      <c r="B220" s="71"/>
      <c r="C220" s="4" t="s">
        <v>200</v>
      </c>
      <c r="D220" s="70">
        <f>(26.945+3.185+4.012)*10.764</f>
        <v>367.50448799999992</v>
      </c>
      <c r="E220" s="71"/>
      <c r="F220" s="4">
        <f>4.14*10.764</f>
        <v>44.562959999999997</v>
      </c>
      <c r="G220" s="4">
        <f t="shared" si="4"/>
        <v>614.1949163999999</v>
      </c>
      <c r="H220" s="4" t="s">
        <v>89</v>
      </c>
      <c r="I220" s="76"/>
      <c r="J220" s="77"/>
    </row>
    <row r="221" spans="1:10" s="3" customFormat="1" x14ac:dyDescent="0.3">
      <c r="A221" s="78" t="s">
        <v>204</v>
      </c>
      <c r="B221" s="79"/>
      <c r="C221" s="79"/>
      <c r="D221" s="79"/>
      <c r="E221" s="79"/>
      <c r="F221" s="79"/>
      <c r="G221" s="79"/>
      <c r="H221" s="79"/>
      <c r="I221" s="79"/>
      <c r="J221" s="80"/>
    </row>
    <row r="222" spans="1:10" s="3" customFormat="1" x14ac:dyDescent="0.3">
      <c r="A222" s="70">
        <v>1</v>
      </c>
      <c r="B222" s="71"/>
      <c r="C222" s="4" t="s">
        <v>205</v>
      </c>
      <c r="D222" s="70">
        <f>21.467*10.764</f>
        <v>231.07078799999996</v>
      </c>
      <c r="E222" s="71"/>
      <c r="F222" s="4">
        <f>4.14*10.764</f>
        <v>44.562959999999997</v>
      </c>
      <c r="G222" s="4">
        <f t="shared" ref="G222:G229" si="5">D222*1.55+F222</f>
        <v>402.72268139999994</v>
      </c>
      <c r="H222" s="4" t="s">
        <v>89</v>
      </c>
      <c r="I222" s="72" t="str">
        <f>A221</f>
        <v>7th Floor</v>
      </c>
      <c r="J222" s="73"/>
    </row>
    <row r="223" spans="1:10" s="3" customFormat="1" x14ac:dyDescent="0.3">
      <c r="A223" s="70">
        <v>2</v>
      </c>
      <c r="B223" s="71"/>
      <c r="C223" s="4" t="s">
        <v>201</v>
      </c>
      <c r="D223" s="70">
        <f>(39.742+11.238+6.243)*10.764</f>
        <v>615.94837199999995</v>
      </c>
      <c r="E223" s="71"/>
      <c r="F223" s="4">
        <f>7.481*10.764</f>
        <v>80.525483999999992</v>
      </c>
      <c r="G223" s="4">
        <f t="shared" si="5"/>
        <v>1035.2454605999999</v>
      </c>
      <c r="H223" s="4" t="s">
        <v>89</v>
      </c>
      <c r="I223" s="74"/>
      <c r="J223" s="75"/>
    </row>
    <row r="224" spans="1:10" s="3" customFormat="1" x14ac:dyDescent="0.3">
      <c r="A224" s="70">
        <v>3</v>
      </c>
      <c r="B224" s="71"/>
      <c r="C224" s="4" t="s">
        <v>201</v>
      </c>
      <c r="D224" s="70">
        <f>(39.742+11.34+6.3)*10.764</f>
        <v>617.6598479999999</v>
      </c>
      <c r="E224" s="71"/>
      <c r="F224" s="4">
        <f>7.481*10.764</f>
        <v>80.525483999999992</v>
      </c>
      <c r="G224" s="4">
        <f t="shared" si="5"/>
        <v>1037.8982483999998</v>
      </c>
      <c r="H224" s="4" t="s">
        <v>89</v>
      </c>
      <c r="I224" s="74"/>
      <c r="J224" s="75"/>
    </row>
    <row r="225" spans="1:10" s="3" customFormat="1" x14ac:dyDescent="0.3">
      <c r="A225" s="70">
        <v>4</v>
      </c>
      <c r="B225" s="71"/>
      <c r="C225" s="4" t="s">
        <v>205</v>
      </c>
      <c r="D225" s="70">
        <f>(19.282+2.88+1.65)*10.764</f>
        <v>256.31236799999994</v>
      </c>
      <c r="E225" s="71"/>
      <c r="F225" s="4">
        <f>4.37*10.764</f>
        <v>47.038679999999999</v>
      </c>
      <c r="G225" s="4">
        <f t="shared" si="5"/>
        <v>444.32285039999994</v>
      </c>
      <c r="H225" s="4" t="s">
        <v>89</v>
      </c>
      <c r="I225" s="74"/>
      <c r="J225" s="75"/>
    </row>
    <row r="226" spans="1:10" s="3" customFormat="1" x14ac:dyDescent="0.3">
      <c r="A226" s="70">
        <v>5</v>
      </c>
      <c r="B226" s="71"/>
      <c r="C226" s="4" t="s">
        <v>205</v>
      </c>
      <c r="D226" s="70">
        <f>(19.282+2.88+1.65)*10.764</f>
        <v>256.31236799999994</v>
      </c>
      <c r="E226" s="71"/>
      <c r="F226" s="4">
        <f>4.198*10.764</f>
        <v>45.187272</v>
      </c>
      <c r="G226" s="4">
        <f t="shared" si="5"/>
        <v>442.47144239999994</v>
      </c>
      <c r="H226" s="4" t="s">
        <v>89</v>
      </c>
      <c r="I226" s="74"/>
      <c r="J226" s="75"/>
    </row>
    <row r="227" spans="1:10" s="3" customFormat="1" x14ac:dyDescent="0.3">
      <c r="A227" s="70">
        <v>6</v>
      </c>
      <c r="B227" s="71"/>
      <c r="C227" s="4" t="s">
        <v>200</v>
      </c>
      <c r="D227" s="70">
        <f>(25.208+5.4+4.05)*10.764</f>
        <v>373.0587119999999</v>
      </c>
      <c r="E227" s="71"/>
      <c r="F227" s="4">
        <f>4.759*10.764</f>
        <v>51.225876</v>
      </c>
      <c r="G227" s="4">
        <f t="shared" si="5"/>
        <v>629.46687959999986</v>
      </c>
      <c r="H227" s="4" t="s">
        <v>89</v>
      </c>
      <c r="I227" s="74"/>
      <c r="J227" s="75"/>
    </row>
    <row r="228" spans="1:10" s="3" customFormat="1" x14ac:dyDescent="0.3">
      <c r="A228" s="70">
        <v>7</v>
      </c>
      <c r="B228" s="71"/>
      <c r="C228" s="4" t="s">
        <v>200</v>
      </c>
      <c r="D228" s="70">
        <f>(25.208+5.4+4.05)*10.764</f>
        <v>373.0587119999999</v>
      </c>
      <c r="E228" s="71"/>
      <c r="F228" s="4">
        <f>4.759*10.764</f>
        <v>51.225876</v>
      </c>
      <c r="G228" s="4">
        <f t="shared" si="5"/>
        <v>629.46687959999986</v>
      </c>
      <c r="H228" s="4" t="s">
        <v>89</v>
      </c>
      <c r="I228" s="74"/>
      <c r="J228" s="75"/>
    </row>
    <row r="229" spans="1:10" s="3" customFormat="1" x14ac:dyDescent="0.3">
      <c r="A229" s="70">
        <v>8</v>
      </c>
      <c r="B229" s="71"/>
      <c r="C229" s="4" t="s">
        <v>205</v>
      </c>
      <c r="D229" s="70">
        <f>(18.948+3.25+1.859)*10.764</f>
        <v>258.94954799999999</v>
      </c>
      <c r="E229" s="71"/>
      <c r="F229" s="4">
        <f>4.14*10.764</f>
        <v>44.562959999999997</v>
      </c>
      <c r="G229" s="4">
        <f t="shared" si="5"/>
        <v>445.93475939999996</v>
      </c>
      <c r="H229" s="4" t="s">
        <v>89</v>
      </c>
      <c r="I229" s="76"/>
      <c r="J229" s="77"/>
    </row>
    <row r="230" spans="1:10" s="3" customFormat="1" x14ac:dyDescent="0.3">
      <c r="A230" s="78" t="s">
        <v>206</v>
      </c>
      <c r="B230" s="79"/>
      <c r="C230" s="79"/>
      <c r="D230" s="79"/>
      <c r="E230" s="79"/>
      <c r="F230" s="79"/>
      <c r="G230" s="79"/>
      <c r="H230" s="79"/>
      <c r="I230" s="79"/>
      <c r="J230" s="80"/>
    </row>
    <row r="231" spans="1:10" s="3" customFormat="1" x14ac:dyDescent="0.3">
      <c r="A231" s="78" t="s">
        <v>207</v>
      </c>
      <c r="B231" s="79"/>
      <c r="C231" s="79"/>
      <c r="D231" s="79"/>
      <c r="E231" s="79"/>
      <c r="F231" s="79"/>
      <c r="G231" s="79"/>
      <c r="H231" s="79"/>
      <c r="I231" s="79"/>
      <c r="J231" s="80"/>
    </row>
    <row r="232" spans="1:10" s="3" customFormat="1" x14ac:dyDescent="0.3">
      <c r="A232" s="78" t="s">
        <v>208</v>
      </c>
      <c r="B232" s="79"/>
      <c r="C232" s="79"/>
      <c r="D232" s="79"/>
      <c r="E232" s="79"/>
      <c r="F232" s="79"/>
      <c r="G232" s="79"/>
      <c r="H232" s="79"/>
      <c r="I232" s="79"/>
      <c r="J232" s="80"/>
    </row>
    <row r="233" spans="1:10" s="3" customFormat="1" ht="15.6" customHeight="1" x14ac:dyDescent="0.3">
      <c r="A233" s="70">
        <v>1</v>
      </c>
      <c r="B233" s="71"/>
      <c r="C233" s="4" t="s">
        <v>205</v>
      </c>
      <c r="D233" s="70">
        <f>(16.53+5.618+4.01)*10.764</f>
        <v>281.56471199999999</v>
      </c>
      <c r="E233" s="71"/>
      <c r="F233" s="4">
        <v>0</v>
      </c>
      <c r="G233" s="4">
        <f t="shared" ref="G233:G244" si="6">D233*1.55+F233</f>
        <v>436.42530360000001</v>
      </c>
      <c r="H233" s="4" t="s">
        <v>89</v>
      </c>
      <c r="I233" s="72" t="str">
        <f>A232</f>
        <v>1st, 3rd &amp; 5th Floor</v>
      </c>
      <c r="J233" s="73"/>
    </row>
    <row r="234" spans="1:10" s="3" customFormat="1" x14ac:dyDescent="0.3">
      <c r="A234" s="70">
        <v>2</v>
      </c>
      <c r="B234" s="71"/>
      <c r="C234" s="4" t="s">
        <v>201</v>
      </c>
      <c r="D234" s="70">
        <f>(34.91+8.25+6.19)*10.764</f>
        <v>531.20339999999987</v>
      </c>
      <c r="E234" s="71"/>
      <c r="F234" s="4">
        <f>4.935*10.764</f>
        <v>53.120339999999992</v>
      </c>
      <c r="G234" s="4">
        <f t="shared" si="6"/>
        <v>876.48560999999972</v>
      </c>
      <c r="H234" s="4" t="s">
        <v>89</v>
      </c>
      <c r="I234" s="74"/>
      <c r="J234" s="75"/>
    </row>
    <row r="235" spans="1:10" s="3" customFormat="1" ht="15.6" customHeight="1" x14ac:dyDescent="0.3">
      <c r="A235" s="70">
        <v>3</v>
      </c>
      <c r="B235" s="71"/>
      <c r="C235" s="4" t="s">
        <v>200</v>
      </c>
      <c r="D235" s="70">
        <f>(26.94+3.185+4.01)*10.764</f>
        <v>367.42913999999996</v>
      </c>
      <c r="E235" s="71"/>
      <c r="F235" s="4">
        <f>3.968*10.764</f>
        <v>42.711551999999998</v>
      </c>
      <c r="G235" s="4">
        <f t="shared" si="6"/>
        <v>612.22671899999989</v>
      </c>
      <c r="H235" s="4" t="s">
        <v>89</v>
      </c>
      <c r="I235" s="74"/>
      <c r="J235" s="75"/>
    </row>
    <row r="236" spans="1:10" s="3" customFormat="1" x14ac:dyDescent="0.3">
      <c r="A236" s="70">
        <v>4</v>
      </c>
      <c r="B236" s="71"/>
      <c r="C236" s="4" t="s">
        <v>200</v>
      </c>
      <c r="D236" s="70">
        <f>(27.79+2.99+4.01)*10.764</f>
        <v>374.47955999999999</v>
      </c>
      <c r="E236" s="71"/>
      <c r="F236" s="4">
        <f>4.198*10.764</f>
        <v>45.187272</v>
      </c>
      <c r="G236" s="4">
        <f t="shared" si="6"/>
        <v>625.63058999999998</v>
      </c>
      <c r="H236" s="4" t="s">
        <v>89</v>
      </c>
      <c r="I236" s="74"/>
      <c r="J236" s="75"/>
    </row>
    <row r="237" spans="1:10" s="3" customFormat="1" x14ac:dyDescent="0.3">
      <c r="A237" s="70">
        <v>5</v>
      </c>
      <c r="B237" s="71"/>
      <c r="C237" s="4" t="s">
        <v>200</v>
      </c>
      <c r="D237" s="70">
        <f>(29.63+3.746+6.02)*10.764</f>
        <v>424.05854399999998</v>
      </c>
      <c r="E237" s="71"/>
      <c r="F237" s="4">
        <f>0</f>
        <v>0</v>
      </c>
      <c r="G237" s="4">
        <f t="shared" si="6"/>
        <v>657.29074319999995</v>
      </c>
      <c r="H237" s="4" t="s">
        <v>89</v>
      </c>
      <c r="I237" s="74"/>
      <c r="J237" s="75"/>
    </row>
    <row r="238" spans="1:10" s="3" customFormat="1" x14ac:dyDescent="0.3">
      <c r="A238" s="70">
        <v>6</v>
      </c>
      <c r="B238" s="71"/>
      <c r="C238" s="4" t="s">
        <v>200</v>
      </c>
      <c r="D238" s="70">
        <f>(30.16+6.94+6.11)*10.764</f>
        <v>465.11243999999999</v>
      </c>
      <c r="E238" s="71"/>
      <c r="F238" s="4">
        <v>0</v>
      </c>
      <c r="G238" s="4">
        <f t="shared" si="6"/>
        <v>720.92428200000006</v>
      </c>
      <c r="H238" s="4" t="s">
        <v>89</v>
      </c>
      <c r="I238" s="74"/>
      <c r="J238" s="75"/>
    </row>
    <row r="239" spans="1:10" s="3" customFormat="1" x14ac:dyDescent="0.3">
      <c r="A239" s="70">
        <v>7</v>
      </c>
      <c r="B239" s="71"/>
      <c r="C239" s="4" t="s">
        <v>200</v>
      </c>
      <c r="D239" s="70">
        <f>(30.16+7.043+6.17)*10.764</f>
        <v>466.86697200000003</v>
      </c>
      <c r="E239" s="71"/>
      <c r="F239" s="4">
        <v>0</v>
      </c>
      <c r="G239" s="4">
        <f t="shared" si="6"/>
        <v>723.64380660000006</v>
      </c>
      <c r="H239" s="4" t="s">
        <v>89</v>
      </c>
      <c r="I239" s="74"/>
      <c r="J239" s="75"/>
    </row>
    <row r="240" spans="1:10" s="3" customFormat="1" x14ac:dyDescent="0.3">
      <c r="A240" s="70">
        <v>8</v>
      </c>
      <c r="B240" s="71"/>
      <c r="C240" s="4" t="s">
        <v>201</v>
      </c>
      <c r="D240" s="70">
        <f>(34.78+8.25+6.19)*10.764</f>
        <v>529.80408</v>
      </c>
      <c r="E240" s="71"/>
      <c r="F240" s="4">
        <f>4.68*10.764</f>
        <v>50.375519999999995</v>
      </c>
      <c r="G240" s="4">
        <f t="shared" si="6"/>
        <v>871.57184400000006</v>
      </c>
      <c r="H240" s="4" t="s">
        <v>89</v>
      </c>
      <c r="I240" s="74"/>
      <c r="J240" s="75"/>
    </row>
    <row r="241" spans="1:10" s="3" customFormat="1" x14ac:dyDescent="0.3">
      <c r="A241" s="70">
        <v>9</v>
      </c>
      <c r="B241" s="71"/>
      <c r="C241" s="4" t="s">
        <v>200</v>
      </c>
      <c r="D241" s="70">
        <f>(33.24+4.2)*10.764</f>
        <v>403.00416000000001</v>
      </c>
      <c r="E241" s="71"/>
      <c r="F241" s="4">
        <f>4.054*10.764</f>
        <v>43.637256000000001</v>
      </c>
      <c r="G241" s="4">
        <f t="shared" si="6"/>
        <v>668.29370400000005</v>
      </c>
      <c r="H241" s="4" t="s">
        <v>89</v>
      </c>
      <c r="I241" s="74"/>
      <c r="J241" s="75"/>
    </row>
    <row r="242" spans="1:10" s="3" customFormat="1" x14ac:dyDescent="0.3">
      <c r="A242" s="70">
        <v>10</v>
      </c>
      <c r="B242" s="71"/>
      <c r="C242" s="4" t="s">
        <v>201</v>
      </c>
      <c r="D242" s="70">
        <f>(34.91+8.25+6.19)*10.764</f>
        <v>531.20339999999987</v>
      </c>
      <c r="E242" s="71"/>
      <c r="F242" s="4">
        <f>4.759*10.764</f>
        <v>51.225876</v>
      </c>
      <c r="G242" s="4">
        <f t="shared" si="6"/>
        <v>874.59114599999975</v>
      </c>
      <c r="H242" s="4" t="s">
        <v>89</v>
      </c>
      <c r="I242" s="74"/>
      <c r="J242" s="75"/>
    </row>
    <row r="243" spans="1:10" s="3" customFormat="1" x14ac:dyDescent="0.3">
      <c r="A243" s="70">
        <v>11</v>
      </c>
      <c r="B243" s="71"/>
      <c r="C243" s="4" t="s">
        <v>201</v>
      </c>
      <c r="D243" s="70">
        <f>(34.91+8.25+6.19)*10.764</f>
        <v>531.20339999999987</v>
      </c>
      <c r="E243" s="71"/>
      <c r="F243" s="4">
        <f>4.935*10.764</f>
        <v>53.120339999999992</v>
      </c>
      <c r="G243" s="4">
        <f t="shared" si="6"/>
        <v>876.48560999999972</v>
      </c>
      <c r="H243" s="4" t="s">
        <v>89</v>
      </c>
      <c r="I243" s="74"/>
      <c r="J243" s="75"/>
    </row>
    <row r="244" spans="1:10" s="3" customFormat="1" x14ac:dyDescent="0.3">
      <c r="A244" s="70">
        <v>12</v>
      </c>
      <c r="B244" s="71"/>
      <c r="C244" s="4" t="s">
        <v>205</v>
      </c>
      <c r="D244" s="70">
        <f>(16.53+5.618+4.01)*10.764</f>
        <v>281.56471199999999</v>
      </c>
      <c r="E244" s="71"/>
      <c r="F244" s="4">
        <v>0</v>
      </c>
      <c r="G244" s="4">
        <f t="shared" si="6"/>
        <v>436.42530360000001</v>
      </c>
      <c r="H244" s="4" t="s">
        <v>89</v>
      </c>
      <c r="I244" s="76"/>
      <c r="J244" s="77"/>
    </row>
    <row r="245" spans="1:10" s="3" customFormat="1" x14ac:dyDescent="0.3">
      <c r="A245" s="78" t="s">
        <v>202</v>
      </c>
      <c r="B245" s="79"/>
      <c r="C245" s="79"/>
      <c r="D245" s="79"/>
      <c r="E245" s="79"/>
      <c r="F245" s="79"/>
      <c r="G245" s="79"/>
      <c r="H245" s="79"/>
      <c r="I245" s="79"/>
      <c r="J245" s="80"/>
    </row>
    <row r="246" spans="1:10" s="3" customFormat="1" x14ac:dyDescent="0.3">
      <c r="A246" s="70">
        <v>1</v>
      </c>
      <c r="B246" s="71"/>
      <c r="C246" s="4" t="s">
        <v>205</v>
      </c>
      <c r="D246" s="70">
        <f>(16.53+5.618+4.01)*10.764</f>
        <v>281.56471199999999</v>
      </c>
      <c r="E246" s="71"/>
      <c r="F246" s="4">
        <v>0</v>
      </c>
      <c r="G246" s="4">
        <f t="shared" ref="G246:G257" si="7">D246*1.55+F246</f>
        <v>436.42530360000001</v>
      </c>
      <c r="H246" s="4" t="s">
        <v>89</v>
      </c>
      <c r="I246" s="72" t="str">
        <f>A245</f>
        <v>2nd, 4th &amp; 6th Floor</v>
      </c>
      <c r="J246" s="73"/>
    </row>
    <row r="247" spans="1:10" s="3" customFormat="1" x14ac:dyDescent="0.3">
      <c r="A247" s="70">
        <v>2</v>
      </c>
      <c r="B247" s="71"/>
      <c r="C247" s="4" t="s">
        <v>201</v>
      </c>
      <c r="D247" s="70">
        <f>(34.91+8.25+7.65)*10.764</f>
        <v>546.91883999999993</v>
      </c>
      <c r="E247" s="71"/>
      <c r="F247" s="4">
        <v>0</v>
      </c>
      <c r="G247" s="4">
        <f t="shared" si="7"/>
        <v>847.72420199999988</v>
      </c>
      <c r="H247" s="4" t="s">
        <v>89</v>
      </c>
      <c r="I247" s="74"/>
      <c r="J247" s="75"/>
    </row>
    <row r="248" spans="1:10" s="3" customFormat="1" x14ac:dyDescent="0.3">
      <c r="A248" s="70">
        <v>3</v>
      </c>
      <c r="B248" s="71"/>
      <c r="C248" s="4" t="s">
        <v>200</v>
      </c>
      <c r="D248" s="70">
        <f>(26.94+3.185+5.31)*10.764</f>
        <v>381.42234000000002</v>
      </c>
      <c r="E248" s="71"/>
      <c r="F248" s="4">
        <v>0</v>
      </c>
      <c r="G248" s="4">
        <f t="shared" si="7"/>
        <v>591.20462700000007</v>
      </c>
      <c r="H248" s="4" t="s">
        <v>89</v>
      </c>
      <c r="I248" s="74"/>
      <c r="J248" s="75"/>
    </row>
    <row r="249" spans="1:10" s="3" customFormat="1" x14ac:dyDescent="0.3">
      <c r="A249" s="70">
        <v>4</v>
      </c>
      <c r="B249" s="71"/>
      <c r="C249" s="4" t="s">
        <v>200</v>
      </c>
      <c r="D249" s="70">
        <f>(27.79+2.99+5.38)*10.764</f>
        <v>389.22624000000002</v>
      </c>
      <c r="E249" s="71"/>
      <c r="F249" s="4">
        <v>0</v>
      </c>
      <c r="G249" s="4">
        <f t="shared" si="7"/>
        <v>603.30067200000008</v>
      </c>
      <c r="H249" s="4" t="s">
        <v>89</v>
      </c>
      <c r="I249" s="74"/>
      <c r="J249" s="75"/>
    </row>
    <row r="250" spans="1:10" s="3" customFormat="1" x14ac:dyDescent="0.3">
      <c r="A250" s="70">
        <v>5</v>
      </c>
      <c r="B250" s="71"/>
      <c r="C250" s="4" t="s">
        <v>200</v>
      </c>
      <c r="D250" s="70">
        <f>(29.63+3.746+6.02)*10.764</f>
        <v>424.05854399999998</v>
      </c>
      <c r="E250" s="71"/>
      <c r="F250" s="4">
        <v>0</v>
      </c>
      <c r="G250" s="4">
        <f t="shared" si="7"/>
        <v>657.29074319999995</v>
      </c>
      <c r="H250" s="4" t="s">
        <v>89</v>
      </c>
      <c r="I250" s="74"/>
      <c r="J250" s="75"/>
    </row>
    <row r="251" spans="1:10" s="3" customFormat="1" x14ac:dyDescent="0.3">
      <c r="A251" s="70">
        <v>6</v>
      </c>
      <c r="B251" s="71"/>
      <c r="C251" s="4" t="s">
        <v>200</v>
      </c>
      <c r="D251" s="70">
        <f>(30.16+6.94+6.11)*10.764</f>
        <v>465.11243999999999</v>
      </c>
      <c r="E251" s="71"/>
      <c r="F251" s="4">
        <v>0</v>
      </c>
      <c r="G251" s="4">
        <f t="shared" si="7"/>
        <v>720.92428200000006</v>
      </c>
      <c r="H251" s="4" t="s">
        <v>89</v>
      </c>
      <c r="I251" s="74"/>
      <c r="J251" s="75"/>
    </row>
    <row r="252" spans="1:10" s="3" customFormat="1" x14ac:dyDescent="0.3">
      <c r="A252" s="70">
        <v>7</v>
      </c>
      <c r="B252" s="71"/>
      <c r="C252" s="4" t="s">
        <v>200</v>
      </c>
      <c r="D252" s="70">
        <f>(30.16+7.043+6.17)*10.764</f>
        <v>466.86697200000003</v>
      </c>
      <c r="E252" s="71"/>
      <c r="F252" s="4">
        <v>0</v>
      </c>
      <c r="G252" s="4">
        <f t="shared" si="7"/>
        <v>723.64380660000006</v>
      </c>
      <c r="H252" s="4" t="s">
        <v>89</v>
      </c>
      <c r="I252" s="74"/>
      <c r="J252" s="75"/>
    </row>
    <row r="253" spans="1:10" s="3" customFormat="1" x14ac:dyDescent="0.3">
      <c r="A253" s="70">
        <v>8</v>
      </c>
      <c r="B253" s="71"/>
      <c r="C253" s="4" t="s">
        <v>201</v>
      </c>
      <c r="D253" s="70">
        <f>(34.78+8.25+7.85)*10.764</f>
        <v>547.67232000000001</v>
      </c>
      <c r="E253" s="71"/>
      <c r="F253" s="4">
        <v>0</v>
      </c>
      <c r="G253" s="4">
        <f t="shared" si="7"/>
        <v>848.89209600000004</v>
      </c>
      <c r="H253" s="4" t="s">
        <v>89</v>
      </c>
      <c r="I253" s="74"/>
      <c r="J253" s="75"/>
    </row>
    <row r="254" spans="1:10" s="3" customFormat="1" x14ac:dyDescent="0.3">
      <c r="A254" s="70">
        <v>9</v>
      </c>
      <c r="B254" s="71"/>
      <c r="C254" s="4" t="s">
        <v>200</v>
      </c>
      <c r="D254" s="70">
        <f>(33.24+5.5)*10.764</f>
        <v>416.99736000000001</v>
      </c>
      <c r="E254" s="71"/>
      <c r="F254" s="4">
        <v>0</v>
      </c>
      <c r="G254" s="4">
        <f t="shared" si="7"/>
        <v>646.34590800000001</v>
      </c>
      <c r="H254" s="4" t="s">
        <v>89</v>
      </c>
      <c r="I254" s="74"/>
      <c r="J254" s="75"/>
    </row>
    <row r="255" spans="1:10" s="3" customFormat="1" x14ac:dyDescent="0.3">
      <c r="A255" s="70">
        <v>10</v>
      </c>
      <c r="B255" s="71"/>
      <c r="C255" s="4" t="s">
        <v>201</v>
      </c>
      <c r="D255" s="70">
        <f>(34.91+8.25+7.71)*10.764</f>
        <v>547.56467999999995</v>
      </c>
      <c r="E255" s="71"/>
      <c r="F255" s="4">
        <v>0</v>
      </c>
      <c r="G255" s="4">
        <f t="shared" si="7"/>
        <v>848.72525399999995</v>
      </c>
      <c r="H255" s="4" t="s">
        <v>89</v>
      </c>
      <c r="I255" s="74"/>
      <c r="J255" s="75"/>
    </row>
    <row r="256" spans="1:10" s="3" customFormat="1" x14ac:dyDescent="0.3">
      <c r="A256" s="70">
        <v>11</v>
      </c>
      <c r="B256" s="71"/>
      <c r="C256" s="4" t="s">
        <v>201</v>
      </c>
      <c r="D256" s="70">
        <f>(34.91+8.25+7.76)*10.764</f>
        <v>548.10287999999991</v>
      </c>
      <c r="E256" s="71"/>
      <c r="F256" s="4">
        <v>0</v>
      </c>
      <c r="G256" s="4">
        <f t="shared" si="7"/>
        <v>849.55946399999993</v>
      </c>
      <c r="H256" s="4" t="s">
        <v>89</v>
      </c>
      <c r="I256" s="74"/>
      <c r="J256" s="75"/>
    </row>
    <row r="257" spans="1:12" s="3" customFormat="1" x14ac:dyDescent="0.3">
      <c r="A257" s="70">
        <v>12</v>
      </c>
      <c r="B257" s="71"/>
      <c r="C257" s="4" t="s">
        <v>205</v>
      </c>
      <c r="D257" s="70">
        <f>(16.53+5.618+4.01)*10.764</f>
        <v>281.56471199999999</v>
      </c>
      <c r="E257" s="71"/>
      <c r="F257" s="4">
        <v>0</v>
      </c>
      <c r="G257" s="4">
        <f t="shared" si="7"/>
        <v>436.42530360000001</v>
      </c>
      <c r="H257" s="4" t="s">
        <v>89</v>
      </c>
      <c r="I257" s="76"/>
      <c r="J257" s="77"/>
    </row>
    <row r="258" spans="1:12" s="3" customFormat="1" x14ac:dyDescent="0.3">
      <c r="A258" s="78" t="s">
        <v>204</v>
      </c>
      <c r="B258" s="79"/>
      <c r="C258" s="79"/>
      <c r="D258" s="79"/>
      <c r="E258" s="79"/>
      <c r="F258" s="79"/>
      <c r="G258" s="79"/>
      <c r="H258" s="79"/>
      <c r="I258" s="79"/>
      <c r="J258" s="80"/>
    </row>
    <row r="259" spans="1:12" s="3" customFormat="1" x14ac:dyDescent="0.3">
      <c r="A259" s="70">
        <v>1</v>
      </c>
      <c r="B259" s="71"/>
      <c r="C259" s="4" t="s">
        <v>201</v>
      </c>
      <c r="D259" s="70">
        <f>(34.907+8.25+6.19)*10.764</f>
        <v>531.17110799999989</v>
      </c>
      <c r="E259" s="71"/>
      <c r="F259" s="4">
        <f>4.935*10.764</f>
        <v>53.120339999999992</v>
      </c>
      <c r="G259" s="4">
        <f t="shared" ref="G259:G268" si="8">D259*1.55+F259</f>
        <v>876.43555739999977</v>
      </c>
      <c r="H259" s="4" t="s">
        <v>89</v>
      </c>
      <c r="I259" s="72" t="str">
        <f>A258</f>
        <v>7th Floor</v>
      </c>
      <c r="J259" s="73"/>
    </row>
    <row r="260" spans="1:12" s="3" customFormat="1" x14ac:dyDescent="0.3">
      <c r="A260" s="70">
        <v>2</v>
      </c>
      <c r="B260" s="71"/>
      <c r="C260" s="4" t="s">
        <v>205</v>
      </c>
      <c r="D260" s="70">
        <f>(18.937+3.26+1.875)*10.764</f>
        <v>259.11100800000003</v>
      </c>
      <c r="E260" s="71"/>
      <c r="F260" s="4">
        <f>3.967*10.764</f>
        <v>42.700787999999996</v>
      </c>
      <c r="G260" s="4">
        <f t="shared" si="8"/>
        <v>444.32285040000005</v>
      </c>
      <c r="H260" s="4" t="s">
        <v>89</v>
      </c>
      <c r="I260" s="74"/>
      <c r="J260" s="75"/>
    </row>
    <row r="261" spans="1:12" s="3" customFormat="1" x14ac:dyDescent="0.3">
      <c r="A261" s="70">
        <v>3</v>
      </c>
      <c r="B261" s="71"/>
      <c r="C261" s="4" t="s">
        <v>205</v>
      </c>
      <c r="D261" s="70">
        <f>(19.887+3.28+1.875)*10.764</f>
        <v>269.55208800000003</v>
      </c>
      <c r="E261" s="71"/>
      <c r="F261" s="4">
        <f>4.197*10.764</f>
        <v>45.176507999999998</v>
      </c>
      <c r="G261" s="4">
        <f t="shared" si="8"/>
        <v>462.98224440000007</v>
      </c>
      <c r="H261" s="4" t="s">
        <v>89</v>
      </c>
      <c r="I261" s="74"/>
      <c r="J261" s="75"/>
    </row>
    <row r="262" spans="1:12" s="3" customFormat="1" x14ac:dyDescent="0.3">
      <c r="A262" s="70">
        <v>4</v>
      </c>
      <c r="B262" s="71"/>
      <c r="C262" s="4" t="s">
        <v>205</v>
      </c>
      <c r="D262" s="70">
        <f>(20.467+3.746+3.881)*10.764</f>
        <v>302.40381599999995</v>
      </c>
      <c r="E262" s="71"/>
      <c r="F262" s="4">
        <f>0</f>
        <v>0</v>
      </c>
      <c r="G262" s="4">
        <f t="shared" si="8"/>
        <v>468.72591479999994</v>
      </c>
      <c r="H262" s="4" t="s">
        <v>89</v>
      </c>
      <c r="I262" s="74"/>
      <c r="J262" s="75"/>
    </row>
    <row r="263" spans="1:12" s="3" customFormat="1" x14ac:dyDescent="0.3">
      <c r="A263" s="70">
        <v>5</v>
      </c>
      <c r="B263" s="71"/>
      <c r="C263" s="4" t="s">
        <v>205</v>
      </c>
      <c r="D263" s="70">
        <f>(20.277+4.016+4.031)*10.764</f>
        <v>304.87953599999997</v>
      </c>
      <c r="E263" s="71"/>
      <c r="F263" s="4">
        <v>0</v>
      </c>
      <c r="G263" s="4">
        <f t="shared" si="8"/>
        <v>472.56328079999997</v>
      </c>
      <c r="H263" s="4" t="s">
        <v>89</v>
      </c>
      <c r="I263" s="74"/>
      <c r="J263" s="75"/>
    </row>
    <row r="264" spans="1:12" s="3" customFormat="1" x14ac:dyDescent="0.3">
      <c r="A264" s="70">
        <v>6</v>
      </c>
      <c r="B264" s="71"/>
      <c r="C264" s="4" t="s">
        <v>205</v>
      </c>
      <c r="D264" s="70">
        <f>(20.277+4.117+4.087)*10.764</f>
        <v>306.56948399999999</v>
      </c>
      <c r="E264" s="71"/>
      <c r="F264" s="4">
        <v>0</v>
      </c>
      <c r="G264" s="4">
        <f t="shared" si="8"/>
        <v>475.1827002</v>
      </c>
      <c r="H264" s="4" t="s">
        <v>89</v>
      </c>
      <c r="I264" s="74"/>
      <c r="J264" s="75"/>
    </row>
    <row r="265" spans="1:12" s="3" customFormat="1" x14ac:dyDescent="0.3">
      <c r="A265" s="70">
        <v>7</v>
      </c>
      <c r="B265" s="71"/>
      <c r="C265" s="4" t="s">
        <v>200</v>
      </c>
      <c r="D265" s="70">
        <f>(25.207+5.4+4.05)*10.764</f>
        <v>373.04794799999996</v>
      </c>
      <c r="E265" s="71"/>
      <c r="F265" s="4">
        <f>4.582*10.764</f>
        <v>49.320647999999998</v>
      </c>
      <c r="G265" s="4">
        <f t="shared" si="8"/>
        <v>627.54496740000002</v>
      </c>
      <c r="H265" s="4" t="s">
        <v>89</v>
      </c>
      <c r="I265" s="74"/>
      <c r="J265" s="75"/>
    </row>
    <row r="266" spans="1:12" s="3" customFormat="1" x14ac:dyDescent="0.3">
      <c r="A266" s="70">
        <v>8</v>
      </c>
      <c r="B266" s="71"/>
      <c r="C266" s="4" t="s">
        <v>205</v>
      </c>
      <c r="D266" s="70">
        <f>(20.432)*10.764</f>
        <v>219.93004799999997</v>
      </c>
      <c r="E266" s="71"/>
      <c r="F266" s="4">
        <f>4.063*10.764</f>
        <v>43.734131999999995</v>
      </c>
      <c r="G266" s="4">
        <f t="shared" si="8"/>
        <v>384.62570639999996</v>
      </c>
      <c r="H266" s="4" t="s">
        <v>89</v>
      </c>
      <c r="I266" s="74"/>
      <c r="J266" s="75"/>
    </row>
    <row r="267" spans="1:12" s="3" customFormat="1" x14ac:dyDescent="0.3">
      <c r="A267" s="70">
        <v>9</v>
      </c>
      <c r="B267" s="71"/>
      <c r="C267" s="4" t="s">
        <v>200</v>
      </c>
      <c r="D267" s="70">
        <f>(28.008+5.4+4.048)*10.764</f>
        <v>403.17638399999998</v>
      </c>
      <c r="E267" s="71"/>
      <c r="F267" s="4">
        <f>4.758*10.764</f>
        <v>51.215111999999998</v>
      </c>
      <c r="G267" s="4">
        <f t="shared" si="8"/>
        <v>676.13850719999994</v>
      </c>
      <c r="H267" s="4" t="s">
        <v>89</v>
      </c>
      <c r="I267" s="74"/>
      <c r="J267" s="75"/>
    </row>
    <row r="268" spans="1:12" s="3" customFormat="1" x14ac:dyDescent="0.3">
      <c r="A268" s="70">
        <v>10</v>
      </c>
      <c r="B268" s="71"/>
      <c r="C268" s="4" t="s">
        <v>201</v>
      </c>
      <c r="D268" s="70">
        <f>(34.907+8.25+6.19)*10.764</f>
        <v>531.17110799999989</v>
      </c>
      <c r="E268" s="71"/>
      <c r="F268" s="4">
        <f>4.935*10.764</f>
        <v>53.120339999999992</v>
      </c>
      <c r="G268" s="4">
        <f t="shared" si="8"/>
        <v>876.43555739999977</v>
      </c>
      <c r="H268" s="4" t="s">
        <v>89</v>
      </c>
      <c r="I268" s="76"/>
      <c r="J268" s="77"/>
    </row>
    <row r="269" spans="1:12" s="3" customFormat="1" x14ac:dyDescent="0.3">
      <c r="A269" s="78" t="s">
        <v>209</v>
      </c>
      <c r="B269" s="79"/>
      <c r="C269" s="79"/>
      <c r="D269" s="79"/>
      <c r="E269" s="79"/>
      <c r="F269" s="79"/>
      <c r="G269" s="79"/>
      <c r="H269" s="79"/>
      <c r="I269" s="79"/>
      <c r="J269" s="80"/>
    </row>
    <row r="270" spans="1:12" s="3" customFormat="1" x14ac:dyDescent="0.3">
      <c r="A270" s="78" t="s">
        <v>207</v>
      </c>
      <c r="B270" s="79"/>
      <c r="C270" s="79"/>
      <c r="D270" s="79"/>
      <c r="E270" s="79"/>
      <c r="F270" s="79"/>
      <c r="G270" s="79"/>
      <c r="H270" s="79"/>
      <c r="I270" s="79"/>
      <c r="J270" s="80"/>
    </row>
    <row r="271" spans="1:12" s="3" customFormat="1" x14ac:dyDescent="0.3">
      <c r="A271" s="78" t="s">
        <v>208</v>
      </c>
      <c r="B271" s="79"/>
      <c r="C271" s="79"/>
      <c r="D271" s="79"/>
      <c r="E271" s="79"/>
      <c r="F271" s="79"/>
      <c r="G271" s="79"/>
      <c r="H271" s="79"/>
      <c r="I271" s="79"/>
      <c r="J271" s="80"/>
    </row>
    <row r="272" spans="1:12" s="3" customFormat="1" ht="15.6" customHeight="1" x14ac:dyDescent="0.3">
      <c r="A272" s="70">
        <v>1</v>
      </c>
      <c r="B272" s="71"/>
      <c r="C272" s="4" t="s">
        <v>205</v>
      </c>
      <c r="D272" s="70">
        <f>(16.586+6.69+4.2)*10.764</f>
        <v>295.75166399999995</v>
      </c>
      <c r="E272" s="71"/>
      <c r="F272" s="4">
        <f>4.2*10.764</f>
        <v>45.208799999999997</v>
      </c>
      <c r="G272" s="4">
        <v>430</v>
      </c>
      <c r="H272" s="4" t="s">
        <v>89</v>
      </c>
      <c r="I272" s="72" t="str">
        <f>A271</f>
        <v>1st, 3rd &amp; 5th Floor</v>
      </c>
      <c r="J272" s="73"/>
      <c r="L272" s="3">
        <f>(G272-F272)/D272</f>
        <v>1.3010618259784332</v>
      </c>
    </row>
    <row r="273" spans="1:12" s="3" customFormat="1" x14ac:dyDescent="0.3">
      <c r="A273" s="70">
        <v>2</v>
      </c>
      <c r="B273" s="71"/>
      <c r="C273" s="4" t="s">
        <v>205</v>
      </c>
      <c r="D273" s="70">
        <f>(16.575+6.825+4.275)*10.764</f>
        <v>297.89369999999997</v>
      </c>
      <c r="E273" s="71"/>
      <c r="F273" s="4">
        <f>4.275*10.764</f>
        <v>46.016100000000002</v>
      </c>
      <c r="G273" s="4">
        <v>430</v>
      </c>
      <c r="H273" s="4" t="s">
        <v>89</v>
      </c>
      <c r="I273" s="74"/>
      <c r="J273" s="75"/>
      <c r="L273" s="3">
        <f t="shared" ref="L273:L319" si="9">(G273-F273)/D273</f>
        <v>1.2889963768955168</v>
      </c>
    </row>
    <row r="274" spans="1:12" s="3" customFormat="1" x14ac:dyDescent="0.3">
      <c r="A274" s="70">
        <v>3</v>
      </c>
      <c r="B274" s="71"/>
      <c r="C274" s="4" t="s">
        <v>200</v>
      </c>
      <c r="D274" s="70">
        <f>(26.945+3.185+4.012)*10.764</f>
        <v>367.50448799999992</v>
      </c>
      <c r="E274" s="71"/>
      <c r="F274" s="4">
        <f>4.012*10.764</f>
        <v>43.18516799999999</v>
      </c>
      <c r="G274" s="4">
        <v>605</v>
      </c>
      <c r="H274" s="4" t="s">
        <v>89</v>
      </c>
      <c r="I274" s="74"/>
      <c r="J274" s="75"/>
      <c r="L274" s="3">
        <f t="shared" si="9"/>
        <v>1.5287291729618282</v>
      </c>
    </row>
    <row r="275" spans="1:12" s="3" customFormat="1" x14ac:dyDescent="0.3">
      <c r="A275" s="70">
        <v>4</v>
      </c>
      <c r="B275" s="71"/>
      <c r="C275" s="4" t="s">
        <v>200</v>
      </c>
      <c r="D275" s="70">
        <f>(27.597+2.64+3.937)*10.764</f>
        <v>367.84893599999998</v>
      </c>
      <c r="E275" s="71"/>
      <c r="F275" s="4">
        <f>3.937*10.764</f>
        <v>42.377867999999992</v>
      </c>
      <c r="G275" s="4">
        <v>605</v>
      </c>
      <c r="H275" s="4" t="s">
        <v>89</v>
      </c>
      <c r="I275" s="74"/>
      <c r="J275" s="75"/>
      <c r="L275" s="3">
        <f t="shared" si="9"/>
        <v>1.5294923457383605</v>
      </c>
    </row>
    <row r="276" spans="1:12" s="3" customFormat="1" x14ac:dyDescent="0.3">
      <c r="A276" s="70">
        <v>5</v>
      </c>
      <c r="B276" s="71"/>
      <c r="C276" s="4" t="s">
        <v>200</v>
      </c>
      <c r="D276" s="70">
        <f>(27.402+2.64+3.881)*10.764</f>
        <v>365.14717200000001</v>
      </c>
      <c r="E276" s="71"/>
      <c r="F276" s="4">
        <f>3.881*10.764</f>
        <v>41.775083999999993</v>
      </c>
      <c r="G276" s="4">
        <v>605</v>
      </c>
      <c r="H276" s="4" t="s">
        <v>89</v>
      </c>
      <c r="I276" s="74"/>
      <c r="J276" s="75"/>
      <c r="L276" s="3">
        <f t="shared" si="9"/>
        <v>1.5424600248581413</v>
      </c>
    </row>
    <row r="277" spans="1:12" s="3" customFormat="1" x14ac:dyDescent="0.3">
      <c r="A277" s="70">
        <v>6</v>
      </c>
      <c r="B277" s="71"/>
      <c r="C277" s="4" t="s">
        <v>200</v>
      </c>
      <c r="D277" s="70">
        <f>(27.402+2.64+3.881)*10.764</f>
        <v>365.14717200000001</v>
      </c>
      <c r="E277" s="71"/>
      <c r="F277" s="4">
        <f>3.881*10.764</f>
        <v>41.775083999999993</v>
      </c>
      <c r="G277" s="4">
        <v>605</v>
      </c>
      <c r="H277" s="4" t="s">
        <v>89</v>
      </c>
      <c r="I277" s="74"/>
      <c r="J277" s="75"/>
      <c r="L277" s="3">
        <f t="shared" si="9"/>
        <v>1.5424600248581413</v>
      </c>
    </row>
    <row r="278" spans="1:12" s="3" customFormat="1" x14ac:dyDescent="0.3">
      <c r="A278" s="70">
        <v>7</v>
      </c>
      <c r="B278" s="71"/>
      <c r="C278" s="4" t="s">
        <v>200</v>
      </c>
      <c r="D278" s="70">
        <f>(29.868+1.016+6.169)*10.764</f>
        <v>398.83849199999997</v>
      </c>
      <c r="E278" s="71"/>
      <c r="F278" s="4">
        <f>6.169*10.764</f>
        <v>66.403115999999997</v>
      </c>
      <c r="G278" s="4">
        <v>675</v>
      </c>
      <c r="H278" s="4" t="s">
        <v>89</v>
      </c>
      <c r="I278" s="74"/>
      <c r="J278" s="75"/>
      <c r="L278" s="3">
        <f t="shared" si="9"/>
        <v>1.5259231398357611</v>
      </c>
    </row>
    <row r="279" spans="1:12" s="3" customFormat="1" ht="15.6" customHeight="1" x14ac:dyDescent="0.3">
      <c r="A279" s="70">
        <v>8</v>
      </c>
      <c r="B279" s="71"/>
      <c r="C279" s="4" t="s">
        <v>200</v>
      </c>
      <c r="D279" s="70">
        <f>(29.868+7.239+6.113)*10.764</f>
        <v>465.22007999999994</v>
      </c>
      <c r="E279" s="71"/>
      <c r="F279" s="4">
        <f>6.113*10.764</f>
        <v>65.800331999999997</v>
      </c>
      <c r="G279" s="4">
        <v>675</v>
      </c>
      <c r="H279" s="4" t="s">
        <v>89</v>
      </c>
      <c r="I279" s="74"/>
      <c r="J279" s="75"/>
      <c r="L279" s="3">
        <f t="shared" si="9"/>
        <v>1.3094870453571137</v>
      </c>
    </row>
    <row r="280" spans="1:12" s="3" customFormat="1" x14ac:dyDescent="0.3">
      <c r="A280" s="70">
        <v>9</v>
      </c>
      <c r="B280" s="71"/>
      <c r="C280" s="4" t="s">
        <v>200</v>
      </c>
      <c r="D280" s="70">
        <f>(29.868+7.239+6.113)*10.764</f>
        <v>465.22007999999994</v>
      </c>
      <c r="E280" s="71"/>
      <c r="F280" s="4">
        <f>6.113*10.764</f>
        <v>65.800331999999997</v>
      </c>
      <c r="G280" s="4">
        <v>675</v>
      </c>
      <c r="H280" s="4" t="s">
        <v>89</v>
      </c>
      <c r="I280" s="74"/>
      <c r="J280" s="75"/>
      <c r="L280" s="3">
        <f t="shared" si="9"/>
        <v>1.3094870453571137</v>
      </c>
    </row>
    <row r="281" spans="1:12" s="3" customFormat="1" x14ac:dyDescent="0.3">
      <c r="A281" s="70">
        <v>10</v>
      </c>
      <c r="B281" s="71"/>
      <c r="C281" s="4" t="s">
        <v>200</v>
      </c>
      <c r="D281" s="70">
        <f>(29.868+1.016+6.169)*10.764</f>
        <v>398.83849199999997</v>
      </c>
      <c r="E281" s="71"/>
      <c r="F281" s="4">
        <f>6.169*10.764</f>
        <v>66.403115999999997</v>
      </c>
      <c r="G281" s="4">
        <v>675</v>
      </c>
      <c r="H281" s="4" t="s">
        <v>89</v>
      </c>
      <c r="I281" s="74"/>
      <c r="J281" s="75"/>
      <c r="L281" s="3">
        <f t="shared" si="9"/>
        <v>1.5259231398357611</v>
      </c>
    </row>
    <row r="282" spans="1:12" s="3" customFormat="1" x14ac:dyDescent="0.3">
      <c r="A282" s="70">
        <v>11</v>
      </c>
      <c r="B282" s="71"/>
      <c r="C282" s="4" t="s">
        <v>200</v>
      </c>
      <c r="D282" s="70">
        <f>(27.402+2.64+3.881)*10.764</f>
        <v>365.14717200000001</v>
      </c>
      <c r="E282" s="71"/>
      <c r="F282" s="4">
        <f>3.881*10.764</f>
        <v>41.775083999999993</v>
      </c>
      <c r="G282" s="4">
        <v>605</v>
      </c>
      <c r="H282" s="4" t="s">
        <v>89</v>
      </c>
      <c r="I282" s="74"/>
      <c r="J282" s="75"/>
      <c r="L282" s="3">
        <f t="shared" si="9"/>
        <v>1.5424600248581413</v>
      </c>
    </row>
    <row r="283" spans="1:12" s="3" customFormat="1" x14ac:dyDescent="0.3">
      <c r="A283" s="70">
        <v>12</v>
      </c>
      <c r="B283" s="71"/>
      <c r="C283" s="4" t="s">
        <v>200</v>
      </c>
      <c r="D283" s="70">
        <f>(27.402+2.64+3.881)*10.764</f>
        <v>365.14717200000001</v>
      </c>
      <c r="E283" s="71"/>
      <c r="F283" s="4">
        <f>3.881*10.764</f>
        <v>41.775083999999993</v>
      </c>
      <c r="G283" s="4">
        <v>605</v>
      </c>
      <c r="H283" s="4" t="s">
        <v>89</v>
      </c>
      <c r="I283" s="74"/>
      <c r="J283" s="75"/>
      <c r="L283" s="3">
        <f t="shared" si="9"/>
        <v>1.5424600248581413</v>
      </c>
    </row>
    <row r="284" spans="1:12" s="3" customFormat="1" x14ac:dyDescent="0.3">
      <c r="A284" s="70">
        <v>13</v>
      </c>
      <c r="B284" s="71"/>
      <c r="C284" s="4" t="s">
        <v>200</v>
      </c>
      <c r="D284" s="70">
        <f>(27.597+2.64+3.937)*10.764</f>
        <v>367.84893599999998</v>
      </c>
      <c r="E284" s="71"/>
      <c r="F284" s="4">
        <f>3.937*10.764</f>
        <v>42.377867999999992</v>
      </c>
      <c r="G284" s="4">
        <v>605</v>
      </c>
      <c r="H284" s="4" t="s">
        <v>89</v>
      </c>
      <c r="I284" s="74"/>
      <c r="J284" s="75"/>
      <c r="L284" s="3">
        <f t="shared" si="9"/>
        <v>1.5294923457383605</v>
      </c>
    </row>
    <row r="285" spans="1:12" s="3" customFormat="1" x14ac:dyDescent="0.3">
      <c r="A285" s="70">
        <v>14</v>
      </c>
      <c r="B285" s="71"/>
      <c r="C285" s="4" t="s">
        <v>200</v>
      </c>
      <c r="D285" s="70">
        <f>(26.945+3.185+4.012)*10.764</f>
        <v>367.50448799999992</v>
      </c>
      <c r="E285" s="71"/>
      <c r="F285" s="4">
        <f>4.012*10.764</f>
        <v>43.18516799999999</v>
      </c>
      <c r="G285" s="4">
        <v>605</v>
      </c>
      <c r="H285" s="4" t="s">
        <v>89</v>
      </c>
      <c r="I285" s="74"/>
      <c r="J285" s="75"/>
      <c r="L285" s="3">
        <f t="shared" si="9"/>
        <v>1.5287291729618282</v>
      </c>
    </row>
    <row r="286" spans="1:12" s="3" customFormat="1" x14ac:dyDescent="0.3">
      <c r="A286" s="70">
        <v>15</v>
      </c>
      <c r="B286" s="71"/>
      <c r="C286" s="4" t="s">
        <v>205</v>
      </c>
      <c r="D286" s="70">
        <f>(16.575+6.825+4.275)*10.764</f>
        <v>297.89369999999997</v>
      </c>
      <c r="E286" s="71"/>
      <c r="F286" s="4">
        <f>4.275*10.764</f>
        <v>46.016100000000002</v>
      </c>
      <c r="G286" s="4">
        <v>430</v>
      </c>
      <c r="H286" s="4" t="s">
        <v>89</v>
      </c>
      <c r="I286" s="74"/>
      <c r="J286" s="75"/>
      <c r="L286" s="3">
        <f t="shared" si="9"/>
        <v>1.2889963768955168</v>
      </c>
    </row>
    <row r="287" spans="1:12" s="3" customFormat="1" x14ac:dyDescent="0.3">
      <c r="A287" s="70">
        <v>16</v>
      </c>
      <c r="B287" s="71"/>
      <c r="C287" s="4" t="s">
        <v>205</v>
      </c>
      <c r="D287" s="70">
        <f>(16.586+6.69+4.2)*10.764</f>
        <v>295.75166399999995</v>
      </c>
      <c r="E287" s="71"/>
      <c r="F287" s="4">
        <f>4.2*10.764</f>
        <v>45.208799999999997</v>
      </c>
      <c r="G287" s="4">
        <v>430</v>
      </c>
      <c r="H287" s="4" t="s">
        <v>89</v>
      </c>
      <c r="I287" s="76"/>
      <c r="J287" s="77"/>
      <c r="L287" s="3">
        <f t="shared" si="9"/>
        <v>1.3010618259784332</v>
      </c>
    </row>
    <row r="288" spans="1:12" s="3" customFormat="1" x14ac:dyDescent="0.3">
      <c r="A288" s="78" t="s">
        <v>202</v>
      </c>
      <c r="B288" s="79"/>
      <c r="C288" s="79"/>
      <c r="D288" s="79"/>
      <c r="E288" s="79"/>
      <c r="F288" s="79"/>
      <c r="G288" s="79"/>
      <c r="H288" s="79"/>
      <c r="I288" s="79"/>
      <c r="J288" s="80"/>
    </row>
    <row r="289" spans="1:12" s="3" customFormat="1" x14ac:dyDescent="0.3">
      <c r="A289" s="70">
        <v>1</v>
      </c>
      <c r="B289" s="71"/>
      <c r="C289" s="4" t="s">
        <v>205</v>
      </c>
      <c r="D289" s="70">
        <f>(16.586+6.69+4.2)*10.764</f>
        <v>295.75166399999995</v>
      </c>
      <c r="E289" s="71"/>
      <c r="F289" s="4">
        <v>0</v>
      </c>
      <c r="G289" s="4">
        <v>430</v>
      </c>
      <c r="H289" s="4" t="s">
        <v>89</v>
      </c>
      <c r="I289" s="72" t="str">
        <f>A288</f>
        <v>2nd, 4th &amp; 6th Floor</v>
      </c>
      <c r="J289" s="73"/>
      <c r="L289" s="3">
        <f t="shared" si="9"/>
        <v>1.4539225043886823</v>
      </c>
    </row>
    <row r="290" spans="1:12" s="3" customFormat="1" x14ac:dyDescent="0.3">
      <c r="A290" s="70">
        <v>2</v>
      </c>
      <c r="B290" s="71"/>
      <c r="C290" s="4" t="s">
        <v>205</v>
      </c>
      <c r="D290" s="70">
        <f>(16.575+6.825+4.275)*10.764</f>
        <v>297.89369999999997</v>
      </c>
      <c r="E290" s="71"/>
      <c r="F290" s="4">
        <v>0</v>
      </c>
      <c r="G290" s="4">
        <v>430</v>
      </c>
      <c r="H290" s="4" t="s">
        <v>89</v>
      </c>
      <c r="I290" s="74"/>
      <c r="J290" s="75"/>
      <c r="L290" s="3">
        <f t="shared" si="9"/>
        <v>1.443467921610964</v>
      </c>
    </row>
    <row r="291" spans="1:12" s="3" customFormat="1" x14ac:dyDescent="0.3">
      <c r="A291" s="70">
        <v>3</v>
      </c>
      <c r="B291" s="71"/>
      <c r="C291" s="4" t="s">
        <v>200</v>
      </c>
      <c r="D291" s="70">
        <f>(26.945+3.185+5.25)*10.764</f>
        <v>380.83031999999992</v>
      </c>
      <c r="E291" s="71"/>
      <c r="F291" s="4">
        <v>0</v>
      </c>
      <c r="G291" s="4">
        <v>560</v>
      </c>
      <c r="H291" s="4" t="s">
        <v>89</v>
      </c>
      <c r="I291" s="74"/>
      <c r="J291" s="75"/>
      <c r="L291" s="3">
        <f t="shared" si="9"/>
        <v>1.4704711536623454</v>
      </c>
    </row>
    <row r="292" spans="1:12" s="3" customFormat="1" x14ac:dyDescent="0.3">
      <c r="A292" s="70">
        <v>4</v>
      </c>
      <c r="B292" s="71"/>
      <c r="C292" s="4" t="s">
        <v>200</v>
      </c>
      <c r="D292" s="70">
        <f>(27.597+2.64+5.306)*10.764</f>
        <v>382.58485199999996</v>
      </c>
      <c r="E292" s="71"/>
      <c r="F292" s="4">
        <v>0</v>
      </c>
      <c r="G292" s="4">
        <v>560</v>
      </c>
      <c r="H292" s="4" t="s">
        <v>89</v>
      </c>
      <c r="I292" s="74"/>
      <c r="J292" s="75"/>
      <c r="L292" s="3">
        <f t="shared" si="9"/>
        <v>1.4637275811432284</v>
      </c>
    </row>
    <row r="293" spans="1:12" s="3" customFormat="1" x14ac:dyDescent="0.3">
      <c r="A293" s="70">
        <v>5</v>
      </c>
      <c r="B293" s="71"/>
      <c r="C293" s="4" t="s">
        <v>200</v>
      </c>
      <c r="D293" s="70">
        <f>(27.402+2.64+5.25)*10.764</f>
        <v>379.88308799999999</v>
      </c>
      <c r="E293" s="71"/>
      <c r="F293" s="4">
        <v>0</v>
      </c>
      <c r="G293" s="4">
        <v>560</v>
      </c>
      <c r="H293" s="4" t="s">
        <v>89</v>
      </c>
      <c r="I293" s="74"/>
      <c r="J293" s="75"/>
      <c r="L293" s="3">
        <f t="shared" si="9"/>
        <v>1.4741377484011609</v>
      </c>
    </row>
    <row r="294" spans="1:12" s="3" customFormat="1" x14ac:dyDescent="0.3">
      <c r="A294" s="70">
        <v>6</v>
      </c>
      <c r="B294" s="71"/>
      <c r="C294" s="4" t="s">
        <v>200</v>
      </c>
      <c r="D294" s="70">
        <f>(27.402+2.64+5.306)*10.764</f>
        <v>380.48587199999997</v>
      </c>
      <c r="E294" s="71"/>
      <c r="F294" s="4">
        <v>0</v>
      </c>
      <c r="G294" s="4">
        <v>560</v>
      </c>
      <c r="H294" s="4" t="s">
        <v>89</v>
      </c>
      <c r="I294" s="74"/>
      <c r="J294" s="75"/>
      <c r="L294" s="3">
        <f t="shared" si="9"/>
        <v>1.4718023485508025</v>
      </c>
    </row>
    <row r="295" spans="1:12" s="3" customFormat="1" x14ac:dyDescent="0.3">
      <c r="A295" s="70">
        <v>7</v>
      </c>
      <c r="B295" s="71"/>
      <c r="C295" s="4" t="s">
        <v>200</v>
      </c>
      <c r="D295" s="70">
        <f>(29.868+1.016+6.169)*10.764</f>
        <v>398.83849199999997</v>
      </c>
      <c r="E295" s="71"/>
      <c r="F295" s="4">
        <v>0</v>
      </c>
      <c r="G295" s="4">
        <v>675</v>
      </c>
      <c r="H295" s="4" t="s">
        <v>89</v>
      </c>
      <c r="I295" s="74"/>
      <c r="J295" s="75"/>
      <c r="L295" s="3">
        <f t="shared" si="9"/>
        <v>1.6924143821103406</v>
      </c>
    </row>
    <row r="296" spans="1:12" s="3" customFormat="1" x14ac:dyDescent="0.3">
      <c r="A296" s="70">
        <v>8</v>
      </c>
      <c r="B296" s="71"/>
      <c r="C296" s="4" t="s">
        <v>200</v>
      </c>
      <c r="D296" s="70">
        <f>(29.868+7.239+6.113)*10.764</f>
        <v>465.22007999999994</v>
      </c>
      <c r="E296" s="71"/>
      <c r="F296" s="4">
        <v>0</v>
      </c>
      <c r="G296" s="4">
        <v>675</v>
      </c>
      <c r="H296" s="4" t="s">
        <v>89</v>
      </c>
      <c r="I296" s="74"/>
      <c r="J296" s="75"/>
      <c r="L296" s="3">
        <f t="shared" si="9"/>
        <v>1.4509261938994553</v>
      </c>
    </row>
    <row r="297" spans="1:12" s="3" customFormat="1" x14ac:dyDescent="0.3">
      <c r="A297" s="70">
        <v>9</v>
      </c>
      <c r="B297" s="71"/>
      <c r="C297" s="4" t="s">
        <v>200</v>
      </c>
      <c r="D297" s="70">
        <f>(29.868+7.239+6.113)*10.764</f>
        <v>465.22007999999994</v>
      </c>
      <c r="E297" s="71"/>
      <c r="F297" s="4">
        <v>0</v>
      </c>
      <c r="G297" s="4">
        <v>675</v>
      </c>
      <c r="H297" s="4" t="s">
        <v>89</v>
      </c>
      <c r="I297" s="74"/>
      <c r="J297" s="75"/>
      <c r="L297" s="3">
        <f t="shared" si="9"/>
        <v>1.4509261938994553</v>
      </c>
    </row>
    <row r="298" spans="1:12" s="3" customFormat="1" x14ac:dyDescent="0.3">
      <c r="A298" s="70">
        <v>10</v>
      </c>
      <c r="B298" s="71"/>
      <c r="C298" s="4" t="s">
        <v>200</v>
      </c>
      <c r="D298" s="70">
        <f>(29.868+1.016+6.169)*10.764</f>
        <v>398.83849199999997</v>
      </c>
      <c r="E298" s="71"/>
      <c r="F298" s="4">
        <v>0</v>
      </c>
      <c r="G298" s="4">
        <v>675</v>
      </c>
      <c r="H298" s="4" t="s">
        <v>89</v>
      </c>
      <c r="I298" s="74"/>
      <c r="J298" s="75"/>
      <c r="L298" s="3">
        <f t="shared" si="9"/>
        <v>1.6924143821103406</v>
      </c>
    </row>
    <row r="299" spans="1:12" s="3" customFormat="1" x14ac:dyDescent="0.3">
      <c r="A299" s="70">
        <v>11</v>
      </c>
      <c r="B299" s="71"/>
      <c r="C299" s="4" t="s">
        <v>200</v>
      </c>
      <c r="D299" s="70">
        <f>(27.402+2.64+5.306)*10.764</f>
        <v>380.48587199999997</v>
      </c>
      <c r="E299" s="71"/>
      <c r="F299" s="4">
        <v>0</v>
      </c>
      <c r="G299" s="4">
        <v>560</v>
      </c>
      <c r="H299" s="4" t="s">
        <v>89</v>
      </c>
      <c r="I299" s="74"/>
      <c r="J299" s="75"/>
      <c r="L299" s="3">
        <f t="shared" si="9"/>
        <v>1.4718023485508025</v>
      </c>
    </row>
    <row r="300" spans="1:12" s="3" customFormat="1" x14ac:dyDescent="0.3">
      <c r="A300" s="70">
        <v>12</v>
      </c>
      <c r="B300" s="71"/>
      <c r="C300" s="4" t="s">
        <v>200</v>
      </c>
      <c r="D300" s="70">
        <f>(27.402+2.64+5.25)*10.764</f>
        <v>379.88308799999999</v>
      </c>
      <c r="E300" s="71"/>
      <c r="F300" s="4">
        <v>0</v>
      </c>
      <c r="G300" s="4">
        <v>560</v>
      </c>
      <c r="H300" s="4" t="s">
        <v>89</v>
      </c>
      <c r="I300" s="74"/>
      <c r="J300" s="75"/>
      <c r="L300" s="3">
        <f t="shared" si="9"/>
        <v>1.4741377484011609</v>
      </c>
    </row>
    <row r="301" spans="1:12" s="3" customFormat="1" x14ac:dyDescent="0.3">
      <c r="A301" s="70">
        <v>13</v>
      </c>
      <c r="B301" s="71"/>
      <c r="C301" s="4" t="s">
        <v>200</v>
      </c>
      <c r="D301" s="70">
        <f>(27.597+2.64+5.306)*10.764</f>
        <v>382.58485199999996</v>
      </c>
      <c r="E301" s="71"/>
      <c r="F301" s="4">
        <v>0</v>
      </c>
      <c r="G301" s="4">
        <v>560</v>
      </c>
      <c r="H301" s="4" t="s">
        <v>89</v>
      </c>
      <c r="I301" s="74"/>
      <c r="J301" s="75"/>
      <c r="L301" s="3">
        <f t="shared" si="9"/>
        <v>1.4637275811432284</v>
      </c>
    </row>
    <row r="302" spans="1:12" s="3" customFormat="1" x14ac:dyDescent="0.3">
      <c r="A302" s="70">
        <v>14</v>
      </c>
      <c r="B302" s="71"/>
      <c r="C302" s="4" t="s">
        <v>200</v>
      </c>
      <c r="D302" s="70">
        <f>(26.945+3.185+5.25)*10.764</f>
        <v>380.83031999999992</v>
      </c>
      <c r="E302" s="71"/>
      <c r="F302" s="4">
        <v>0</v>
      </c>
      <c r="G302" s="4">
        <v>560</v>
      </c>
      <c r="H302" s="4" t="s">
        <v>89</v>
      </c>
      <c r="I302" s="74"/>
      <c r="J302" s="75"/>
      <c r="L302" s="3">
        <f t="shared" si="9"/>
        <v>1.4704711536623454</v>
      </c>
    </row>
    <row r="303" spans="1:12" s="3" customFormat="1" x14ac:dyDescent="0.3">
      <c r="A303" s="70">
        <v>15</v>
      </c>
      <c r="B303" s="71"/>
      <c r="C303" s="4" t="s">
        <v>205</v>
      </c>
      <c r="D303" s="70">
        <f>(16.575+6.825+4.275)*10.764</f>
        <v>297.89369999999997</v>
      </c>
      <c r="E303" s="71"/>
      <c r="F303" s="4">
        <v>0</v>
      </c>
      <c r="G303" s="4">
        <v>430</v>
      </c>
      <c r="H303" s="4" t="s">
        <v>89</v>
      </c>
      <c r="I303" s="74"/>
      <c r="J303" s="75"/>
      <c r="L303" s="3">
        <f t="shared" si="9"/>
        <v>1.443467921610964</v>
      </c>
    </row>
    <row r="304" spans="1:12" s="3" customFormat="1" x14ac:dyDescent="0.3">
      <c r="A304" s="70">
        <v>16</v>
      </c>
      <c r="B304" s="71"/>
      <c r="C304" s="4" t="s">
        <v>205</v>
      </c>
      <c r="D304" s="70">
        <f>(16.586+6.69+4.2)*10.764</f>
        <v>295.75166399999995</v>
      </c>
      <c r="E304" s="71"/>
      <c r="F304" s="4">
        <v>0</v>
      </c>
      <c r="G304" s="4">
        <v>430</v>
      </c>
      <c r="H304" s="4" t="s">
        <v>89</v>
      </c>
      <c r="I304" s="76"/>
      <c r="J304" s="77"/>
      <c r="L304" s="3">
        <f t="shared" si="9"/>
        <v>1.4539225043886823</v>
      </c>
    </row>
    <row r="305" spans="1:12" s="3" customFormat="1" x14ac:dyDescent="0.3">
      <c r="A305" s="78" t="s">
        <v>204</v>
      </c>
      <c r="B305" s="79"/>
      <c r="C305" s="79"/>
      <c r="D305" s="79"/>
      <c r="E305" s="79"/>
      <c r="F305" s="79"/>
      <c r="G305" s="79"/>
      <c r="H305" s="79"/>
      <c r="I305" s="79"/>
      <c r="J305" s="80"/>
    </row>
    <row r="306" spans="1:12" s="3" customFormat="1" x14ac:dyDescent="0.3">
      <c r="A306" s="70">
        <v>1</v>
      </c>
      <c r="B306" s="71"/>
      <c r="C306" s="4" t="s">
        <v>205</v>
      </c>
      <c r="D306" s="70">
        <f>(16.58+6.74+4.24)*10.764</f>
        <v>296.65584000000001</v>
      </c>
      <c r="E306" s="71"/>
      <c r="F306" s="4">
        <f>4.24*10.764</f>
        <v>45.639359999999996</v>
      </c>
      <c r="G306" s="4">
        <v>560</v>
      </c>
      <c r="H306" s="4" t="s">
        <v>89</v>
      </c>
      <c r="I306" s="72" t="str">
        <f>A305</f>
        <v>7th Floor</v>
      </c>
      <c r="J306" s="73"/>
      <c r="L306" s="3">
        <f t="shared" si="9"/>
        <v>1.7338631863778577</v>
      </c>
    </row>
    <row r="307" spans="1:12" s="3" customFormat="1" x14ac:dyDescent="0.3">
      <c r="A307" s="70">
        <v>2</v>
      </c>
      <c r="B307" s="71"/>
      <c r="C307" s="4" t="s">
        <v>205</v>
      </c>
      <c r="D307" s="70">
        <f>(18.93+3.25+4.01)*10.764</f>
        <v>281.90915999999999</v>
      </c>
      <c r="E307" s="71"/>
      <c r="F307" s="4">
        <f>4.01*10.764</f>
        <v>43.163639999999994</v>
      </c>
      <c r="G307" s="4">
        <v>700</v>
      </c>
      <c r="H307" s="4" t="s">
        <v>89</v>
      </c>
      <c r="I307" s="74"/>
      <c r="J307" s="75"/>
      <c r="L307" s="3">
        <f t="shared" si="9"/>
        <v>2.3299574941090953</v>
      </c>
    </row>
    <row r="308" spans="1:12" s="3" customFormat="1" x14ac:dyDescent="0.3">
      <c r="A308" s="70">
        <v>3</v>
      </c>
      <c r="B308" s="71"/>
      <c r="C308" s="4" t="s">
        <v>205</v>
      </c>
      <c r="D308" s="70">
        <f>(19.477+2.88+1.8)*10.764</f>
        <v>260.02594799999997</v>
      </c>
      <c r="E308" s="71"/>
      <c r="F308" s="4">
        <f>1.8*10.764</f>
        <v>19.3752</v>
      </c>
      <c r="G308" s="4">
        <v>560</v>
      </c>
      <c r="H308" s="4" t="s">
        <v>89</v>
      </c>
      <c r="I308" s="74"/>
      <c r="J308" s="75"/>
      <c r="L308" s="3">
        <f t="shared" si="9"/>
        <v>2.0791186578041052</v>
      </c>
    </row>
    <row r="309" spans="1:12" s="3" customFormat="1" x14ac:dyDescent="0.3">
      <c r="A309" s="70">
        <v>4</v>
      </c>
      <c r="B309" s="71"/>
      <c r="C309" s="4" t="s">
        <v>205</v>
      </c>
      <c r="D309" s="70">
        <f>(19.28+2.88+1.8)*10.764</f>
        <v>257.90544</v>
      </c>
      <c r="E309" s="71"/>
      <c r="F309" s="4">
        <f>1.8*10.764</f>
        <v>19.3752</v>
      </c>
      <c r="G309" s="4">
        <v>560</v>
      </c>
      <c r="H309" s="4" t="s">
        <v>89</v>
      </c>
      <c r="I309" s="74"/>
      <c r="J309" s="75"/>
      <c r="L309" s="3">
        <f t="shared" si="9"/>
        <v>2.0962132477701907</v>
      </c>
    </row>
    <row r="310" spans="1:12" s="3" customFormat="1" x14ac:dyDescent="0.3">
      <c r="A310" s="70">
        <v>5</v>
      </c>
      <c r="B310" s="71"/>
      <c r="C310" s="4" t="s">
        <v>205</v>
      </c>
      <c r="D310" s="70">
        <f>(19.28+2.88+1.8)*10.764</f>
        <v>257.90544</v>
      </c>
      <c r="E310" s="71"/>
      <c r="F310" s="4">
        <f>1.8*10.764</f>
        <v>19.3752</v>
      </c>
      <c r="G310" s="4">
        <v>560</v>
      </c>
      <c r="H310" s="4" t="s">
        <v>89</v>
      </c>
      <c r="I310" s="74"/>
      <c r="J310" s="75"/>
      <c r="L310" s="3">
        <f t="shared" si="9"/>
        <v>2.0962132477701907</v>
      </c>
    </row>
    <row r="311" spans="1:12" s="3" customFormat="1" x14ac:dyDescent="0.3">
      <c r="A311" s="70">
        <v>6</v>
      </c>
      <c r="B311" s="71"/>
      <c r="C311" s="4" t="s">
        <v>205</v>
      </c>
      <c r="D311" s="70">
        <f>(19.372+4.31+4.03)*10.764</f>
        <v>298.291968</v>
      </c>
      <c r="E311" s="71"/>
      <c r="F311" s="4">
        <f>4.03*10.764</f>
        <v>43.378920000000001</v>
      </c>
      <c r="G311" s="4">
        <v>605</v>
      </c>
      <c r="H311" s="4" t="s">
        <v>89</v>
      </c>
      <c r="I311" s="74"/>
      <c r="J311" s="75"/>
      <c r="L311" s="3">
        <f t="shared" si="9"/>
        <v>1.8827898175253583</v>
      </c>
    </row>
    <row r="312" spans="1:12" s="3" customFormat="1" x14ac:dyDescent="0.3">
      <c r="A312" s="70">
        <v>7</v>
      </c>
      <c r="B312" s="71"/>
      <c r="C312" s="4" t="s">
        <v>205</v>
      </c>
      <c r="D312" s="70">
        <f>(19.58+4.31+4.03)*10.764</f>
        <v>300.53087999999997</v>
      </c>
      <c r="E312" s="71"/>
      <c r="F312" s="4">
        <f>4.03*10.764</f>
        <v>43.378920000000001</v>
      </c>
      <c r="G312" s="4">
        <v>605</v>
      </c>
      <c r="H312" s="4" t="s">
        <v>89</v>
      </c>
      <c r="I312" s="74"/>
      <c r="J312" s="75"/>
      <c r="L312" s="3">
        <f t="shared" si="9"/>
        <v>1.868763303125456</v>
      </c>
    </row>
    <row r="313" spans="1:12" s="3" customFormat="1" x14ac:dyDescent="0.3">
      <c r="A313" s="70">
        <v>8</v>
      </c>
      <c r="B313" s="71"/>
      <c r="C313" s="4" t="s">
        <v>205</v>
      </c>
      <c r="D313" s="70">
        <f>(19.58+4.31+4.03)*10.764</f>
        <v>300.53087999999997</v>
      </c>
      <c r="E313" s="71"/>
      <c r="F313" s="4">
        <f>4.03*10.764</f>
        <v>43.378920000000001</v>
      </c>
      <c r="G313" s="4">
        <v>605</v>
      </c>
      <c r="H313" s="4" t="s">
        <v>89</v>
      </c>
      <c r="I313" s="74"/>
      <c r="J313" s="75"/>
      <c r="L313" s="3">
        <f t="shared" si="9"/>
        <v>1.868763303125456</v>
      </c>
    </row>
    <row r="314" spans="1:12" s="3" customFormat="1" x14ac:dyDescent="0.3">
      <c r="A314" s="70">
        <v>9</v>
      </c>
      <c r="B314" s="71"/>
      <c r="C314" s="4" t="s">
        <v>205</v>
      </c>
      <c r="D314" s="70">
        <f>(19.372+4.31+4.03)*10.764</f>
        <v>298.291968</v>
      </c>
      <c r="E314" s="71"/>
      <c r="F314" s="4">
        <f>4.03*10.764</f>
        <v>43.378920000000001</v>
      </c>
      <c r="G314" s="4">
        <v>605</v>
      </c>
      <c r="H314" s="4" t="s">
        <v>89</v>
      </c>
      <c r="I314" s="74"/>
      <c r="J314" s="75"/>
      <c r="L314" s="3">
        <f t="shared" si="9"/>
        <v>1.8827898175253583</v>
      </c>
    </row>
    <row r="315" spans="1:12" s="3" customFormat="1" x14ac:dyDescent="0.3">
      <c r="A315" s="70">
        <v>10</v>
      </c>
      <c r="B315" s="71"/>
      <c r="C315" s="4" t="s">
        <v>205</v>
      </c>
      <c r="D315" s="70">
        <f>(19.28+2.88+1.8)*10.764</f>
        <v>257.90544</v>
      </c>
      <c r="E315" s="71"/>
      <c r="F315" s="4">
        <f>1.8*10.764</f>
        <v>19.3752</v>
      </c>
      <c r="G315" s="4">
        <v>560</v>
      </c>
      <c r="H315" s="4" t="s">
        <v>89</v>
      </c>
      <c r="I315" s="74"/>
      <c r="J315" s="75"/>
      <c r="L315" s="3">
        <f t="shared" si="9"/>
        <v>2.0962132477701907</v>
      </c>
    </row>
    <row r="316" spans="1:12" s="3" customFormat="1" x14ac:dyDescent="0.3">
      <c r="A316" s="70">
        <v>11</v>
      </c>
      <c r="B316" s="71"/>
      <c r="C316" s="4" t="s">
        <v>205</v>
      </c>
      <c r="D316" s="70">
        <f>(19.28+2.88+1.8)*10.764</f>
        <v>257.90544</v>
      </c>
      <c r="E316" s="71"/>
      <c r="F316" s="4">
        <f>1.8*10.764</f>
        <v>19.3752</v>
      </c>
      <c r="G316" s="4">
        <v>560</v>
      </c>
      <c r="H316" s="4" t="s">
        <v>89</v>
      </c>
      <c r="I316" s="74"/>
      <c r="J316" s="75"/>
      <c r="L316" s="3">
        <f t="shared" si="9"/>
        <v>2.0962132477701907</v>
      </c>
    </row>
    <row r="317" spans="1:12" s="3" customFormat="1" x14ac:dyDescent="0.3">
      <c r="A317" s="70">
        <v>12</v>
      </c>
      <c r="B317" s="71"/>
      <c r="C317" s="4" t="s">
        <v>205</v>
      </c>
      <c r="D317" s="70">
        <f>(19.48+2.88+1.8)*10.764</f>
        <v>260.05824000000001</v>
      </c>
      <c r="E317" s="71"/>
      <c r="F317" s="4">
        <f>1.8*10.764</f>
        <v>19.3752</v>
      </c>
      <c r="G317" s="4">
        <v>560</v>
      </c>
      <c r="H317" s="4" t="s">
        <v>89</v>
      </c>
      <c r="I317" s="74"/>
      <c r="J317" s="75"/>
      <c r="L317" s="3">
        <f t="shared" si="9"/>
        <v>2.0788604890965963</v>
      </c>
    </row>
    <row r="318" spans="1:12" s="3" customFormat="1" x14ac:dyDescent="0.3">
      <c r="A318" s="70">
        <v>13</v>
      </c>
      <c r="B318" s="71"/>
      <c r="C318" s="4" t="s">
        <v>205</v>
      </c>
      <c r="D318" s="70">
        <f>(18.93+3.25+4.01)*10.764</f>
        <v>281.90915999999999</v>
      </c>
      <c r="E318" s="71"/>
      <c r="F318" s="4">
        <f>4.03*10.764</f>
        <v>43.378920000000001</v>
      </c>
      <c r="G318" s="4">
        <v>700</v>
      </c>
      <c r="H318" s="4" t="s">
        <v>89</v>
      </c>
      <c r="I318" s="74"/>
      <c r="J318" s="75"/>
      <c r="L318" s="3">
        <f t="shared" si="9"/>
        <v>2.3291938438609092</v>
      </c>
    </row>
    <row r="319" spans="1:12" s="3" customFormat="1" x14ac:dyDescent="0.3">
      <c r="A319" s="70">
        <v>14</v>
      </c>
      <c r="B319" s="71"/>
      <c r="C319" s="4" t="s">
        <v>205</v>
      </c>
      <c r="D319" s="70">
        <f>(16.58+6.74+4.24)*10.764</f>
        <v>296.65584000000001</v>
      </c>
      <c r="E319" s="71"/>
      <c r="F319" s="4">
        <f>4.24*10.764</f>
        <v>45.639359999999996</v>
      </c>
      <c r="G319" s="4">
        <v>560</v>
      </c>
      <c r="H319" s="4" t="s">
        <v>89</v>
      </c>
      <c r="I319" s="76"/>
      <c r="J319" s="77"/>
      <c r="L319" s="3">
        <f t="shared" si="9"/>
        <v>1.7338631863778577</v>
      </c>
    </row>
    <row r="320" spans="1:12" s="3" customFormat="1" x14ac:dyDescent="0.3">
      <c r="A320" s="78" t="s">
        <v>210</v>
      </c>
      <c r="B320" s="79"/>
      <c r="C320" s="79"/>
      <c r="D320" s="79"/>
      <c r="E320" s="79"/>
      <c r="F320" s="79"/>
      <c r="G320" s="79"/>
      <c r="H320" s="79"/>
      <c r="I320" s="79"/>
      <c r="J320" s="80"/>
    </row>
    <row r="321" spans="1:12" s="3" customFormat="1" x14ac:dyDescent="0.3">
      <c r="A321" s="78" t="s">
        <v>207</v>
      </c>
      <c r="B321" s="79"/>
      <c r="C321" s="79"/>
      <c r="D321" s="79"/>
      <c r="E321" s="79"/>
      <c r="F321" s="79"/>
      <c r="G321" s="79"/>
      <c r="H321" s="79"/>
      <c r="I321" s="79"/>
      <c r="J321" s="80"/>
    </row>
    <row r="322" spans="1:12" s="3" customFormat="1" x14ac:dyDescent="0.3">
      <c r="A322" s="78" t="s">
        <v>208</v>
      </c>
      <c r="B322" s="79"/>
      <c r="C322" s="79"/>
      <c r="D322" s="79"/>
      <c r="E322" s="79"/>
      <c r="F322" s="79"/>
      <c r="G322" s="79"/>
      <c r="H322" s="79"/>
      <c r="I322" s="79"/>
      <c r="J322" s="80"/>
    </row>
    <row r="323" spans="1:12" s="3" customFormat="1" x14ac:dyDescent="0.3">
      <c r="A323" s="70">
        <v>1</v>
      </c>
      <c r="B323" s="71"/>
      <c r="C323" s="4" t="s">
        <v>201</v>
      </c>
      <c r="D323" s="70">
        <f>(41.42+7.685+7.61)*10.764</f>
        <v>610.48026000000004</v>
      </c>
      <c r="E323" s="71"/>
      <c r="F323" s="4">
        <f>5.56*10.764</f>
        <v>59.847839999999991</v>
      </c>
      <c r="G323" s="4">
        <v>965</v>
      </c>
      <c r="H323" s="4" t="s">
        <v>89</v>
      </c>
      <c r="I323" s="72" t="str">
        <f>A322</f>
        <v>1st, 3rd &amp; 5th Floor</v>
      </c>
      <c r="J323" s="73"/>
      <c r="L323" s="3">
        <f t="shared" ref="L323:L327" si="10">(G323-F323)/D323</f>
        <v>1.4826886622017883</v>
      </c>
    </row>
    <row r="324" spans="1:12" s="3" customFormat="1" x14ac:dyDescent="0.3">
      <c r="A324" s="70">
        <v>2</v>
      </c>
      <c r="B324" s="71"/>
      <c r="C324" s="4" t="s">
        <v>201</v>
      </c>
      <c r="D324" s="70">
        <f>(41.122+9.24+6.3)*10.764</f>
        <v>609.90976799999999</v>
      </c>
      <c r="E324" s="71"/>
      <c r="F324" s="4">
        <f>6.27*10.764</f>
        <v>67.490279999999984</v>
      </c>
      <c r="G324" s="4">
        <v>985</v>
      </c>
      <c r="H324" s="4" t="s">
        <v>89</v>
      </c>
      <c r="I324" s="74"/>
      <c r="J324" s="75"/>
      <c r="L324" s="3">
        <f t="shared" si="10"/>
        <v>1.5043368185570689</v>
      </c>
    </row>
    <row r="325" spans="1:12" s="3" customFormat="1" x14ac:dyDescent="0.3">
      <c r="A325" s="70">
        <v>3</v>
      </c>
      <c r="B325" s="71"/>
      <c r="C325" s="4" t="s">
        <v>201</v>
      </c>
      <c r="D325" s="70">
        <f>(41.825+8.23+6.3)*10.764</f>
        <v>606.60522000000003</v>
      </c>
      <c r="E325" s="71"/>
      <c r="F325" s="4">
        <f>6.698*10.764</f>
        <v>72.097272000000004</v>
      </c>
      <c r="G325" s="4">
        <v>985</v>
      </c>
      <c r="H325" s="4" t="s">
        <v>89</v>
      </c>
      <c r="I325" s="74"/>
      <c r="J325" s="75"/>
      <c r="L325" s="3">
        <f t="shared" si="10"/>
        <v>1.5049371451172147</v>
      </c>
    </row>
    <row r="326" spans="1:12" s="3" customFormat="1" x14ac:dyDescent="0.3">
      <c r="A326" s="70">
        <v>4</v>
      </c>
      <c r="B326" s="71"/>
      <c r="C326" s="4" t="s">
        <v>201</v>
      </c>
      <c r="D326" s="70">
        <f>(37.29+5.45+6.19)*10.764</f>
        <v>526.68251999999995</v>
      </c>
      <c r="E326" s="71"/>
      <c r="F326" s="4">
        <f>4.76*10.764</f>
        <v>51.236639999999994</v>
      </c>
      <c r="G326" s="4">
        <v>840</v>
      </c>
      <c r="H326" s="4" t="s">
        <v>89</v>
      </c>
      <c r="I326" s="74"/>
      <c r="J326" s="75"/>
      <c r="L326" s="3">
        <f t="shared" si="10"/>
        <v>1.4976068695046119</v>
      </c>
    </row>
    <row r="327" spans="1:12" s="3" customFormat="1" x14ac:dyDescent="0.3">
      <c r="A327" s="70">
        <v>5</v>
      </c>
      <c r="B327" s="71"/>
      <c r="C327" s="4" t="s">
        <v>201</v>
      </c>
      <c r="D327" s="70">
        <f>(37.29+5.45+6.19)*10.764</f>
        <v>526.68251999999995</v>
      </c>
      <c r="E327" s="71"/>
      <c r="F327" s="4">
        <f>4.76*10.764</f>
        <v>51.236639999999994</v>
      </c>
      <c r="G327" s="4">
        <v>840</v>
      </c>
      <c r="H327" s="4" t="s">
        <v>89</v>
      </c>
      <c r="I327" s="76"/>
      <c r="J327" s="77"/>
      <c r="L327" s="3">
        <f t="shared" si="10"/>
        <v>1.4976068695046119</v>
      </c>
    </row>
    <row r="328" spans="1:12" s="3" customFormat="1" x14ac:dyDescent="0.3">
      <c r="A328" s="78" t="s">
        <v>202</v>
      </c>
      <c r="B328" s="79"/>
      <c r="C328" s="79"/>
      <c r="D328" s="79"/>
      <c r="E328" s="79"/>
      <c r="F328" s="79"/>
      <c r="G328" s="79"/>
      <c r="H328" s="79"/>
      <c r="I328" s="79"/>
      <c r="J328" s="80"/>
    </row>
    <row r="329" spans="1:12" s="3" customFormat="1" x14ac:dyDescent="0.3">
      <c r="A329" s="70">
        <v>1</v>
      </c>
      <c r="B329" s="71"/>
      <c r="C329" s="4" t="s">
        <v>201</v>
      </c>
      <c r="D329" s="70">
        <f>(41.42+7.685+7.612)*10.764</f>
        <v>610.50178800000003</v>
      </c>
      <c r="E329" s="71"/>
      <c r="F329" s="4">
        <v>0</v>
      </c>
      <c r="G329" s="4">
        <v>890</v>
      </c>
      <c r="H329" s="4" t="s">
        <v>89</v>
      </c>
      <c r="I329" s="72" t="str">
        <f>A328</f>
        <v>2nd, 4th &amp; 6th Floor</v>
      </c>
      <c r="J329" s="73"/>
      <c r="L329" s="3">
        <f t="shared" ref="L329:L339" si="11">(G329-F329)/D329</f>
        <v>1.4578171882438451</v>
      </c>
    </row>
    <row r="330" spans="1:12" s="3" customFormat="1" x14ac:dyDescent="0.3">
      <c r="A330" s="70">
        <v>2</v>
      </c>
      <c r="B330" s="71"/>
      <c r="C330" s="4" t="s">
        <v>201</v>
      </c>
      <c r="D330" s="70">
        <f>(41.122+9.24+7.95)*10.764</f>
        <v>627.67036800000005</v>
      </c>
      <c r="E330" s="71"/>
      <c r="F330" s="4">
        <v>0</v>
      </c>
      <c r="G330" s="4">
        <v>910</v>
      </c>
      <c r="H330" s="4" t="s">
        <v>89</v>
      </c>
      <c r="I330" s="74"/>
      <c r="J330" s="75"/>
      <c r="L330" s="3">
        <f t="shared" si="11"/>
        <v>1.4498055769298319</v>
      </c>
    </row>
    <row r="331" spans="1:12" s="3" customFormat="1" x14ac:dyDescent="0.3">
      <c r="A331" s="70">
        <v>3</v>
      </c>
      <c r="B331" s="71"/>
      <c r="C331" s="4" t="s">
        <v>201</v>
      </c>
      <c r="D331" s="70">
        <f>(41.825+8.23+8.062)*10.764</f>
        <v>625.57138799999996</v>
      </c>
      <c r="E331" s="71"/>
      <c r="F331" s="4">
        <v>0</v>
      </c>
      <c r="G331" s="4">
        <v>910</v>
      </c>
      <c r="H331" s="4" t="s">
        <v>89</v>
      </c>
      <c r="I331" s="74"/>
      <c r="J331" s="75"/>
      <c r="L331" s="3">
        <f t="shared" si="11"/>
        <v>1.454670110328</v>
      </c>
    </row>
    <row r="332" spans="1:12" s="3" customFormat="1" x14ac:dyDescent="0.3">
      <c r="A332" s="70">
        <v>4</v>
      </c>
      <c r="B332" s="71"/>
      <c r="C332" s="4" t="s">
        <v>201</v>
      </c>
      <c r="D332" s="70">
        <f>(37.29+5.42+7.706)*10.764</f>
        <v>542.67782399999999</v>
      </c>
      <c r="E332" s="71"/>
      <c r="F332" s="4">
        <v>0</v>
      </c>
      <c r="G332" s="4">
        <v>790</v>
      </c>
      <c r="H332" s="4" t="s">
        <v>89</v>
      </c>
      <c r="I332" s="74"/>
      <c r="J332" s="75"/>
      <c r="L332" s="3">
        <f t="shared" si="11"/>
        <v>1.4557440253906524</v>
      </c>
    </row>
    <row r="333" spans="1:12" s="3" customFormat="1" x14ac:dyDescent="0.3">
      <c r="A333" s="70">
        <v>5</v>
      </c>
      <c r="B333" s="71"/>
      <c r="C333" s="4" t="s">
        <v>201</v>
      </c>
      <c r="D333" s="70">
        <f>(37.29+5.42+7.706)*10.764</f>
        <v>542.67782399999999</v>
      </c>
      <c r="E333" s="71"/>
      <c r="F333" s="4">
        <v>0</v>
      </c>
      <c r="G333" s="4">
        <v>790</v>
      </c>
      <c r="H333" s="4" t="s">
        <v>89</v>
      </c>
      <c r="I333" s="76"/>
      <c r="J333" s="77"/>
      <c r="L333" s="3">
        <f t="shared" si="11"/>
        <v>1.4557440253906524</v>
      </c>
    </row>
    <row r="334" spans="1:12" s="3" customFormat="1" x14ac:dyDescent="0.3">
      <c r="A334" s="78" t="s">
        <v>204</v>
      </c>
      <c r="B334" s="79"/>
      <c r="C334" s="79"/>
      <c r="D334" s="79"/>
      <c r="E334" s="79"/>
      <c r="F334" s="79"/>
      <c r="G334" s="79"/>
      <c r="H334" s="79"/>
      <c r="I334" s="79"/>
      <c r="J334" s="80"/>
      <c r="L334" s="3" t="e">
        <f t="shared" si="11"/>
        <v>#DIV/0!</v>
      </c>
    </row>
    <row r="335" spans="1:12" s="3" customFormat="1" x14ac:dyDescent="0.3">
      <c r="A335" s="70">
        <v>1</v>
      </c>
      <c r="B335" s="71"/>
      <c r="C335" s="4" t="s">
        <v>200</v>
      </c>
      <c r="D335" s="70">
        <f>(30.52+3.185+4.012)*10.764</f>
        <v>405.98578799999996</v>
      </c>
      <c r="E335" s="71"/>
      <c r="F335" s="4">
        <f>5.557*10.764</f>
        <v>59.815548</v>
      </c>
      <c r="G335" s="4">
        <v>865</v>
      </c>
      <c r="H335" s="4" t="s">
        <v>89</v>
      </c>
      <c r="I335" s="72" t="str">
        <f>A334</f>
        <v>7th Floor</v>
      </c>
      <c r="J335" s="73"/>
      <c r="L335" s="3">
        <f t="shared" si="11"/>
        <v>1.9832823606130765</v>
      </c>
    </row>
    <row r="336" spans="1:12" s="3" customFormat="1" x14ac:dyDescent="0.3">
      <c r="A336" s="70">
        <v>2</v>
      </c>
      <c r="B336" s="71"/>
      <c r="C336" s="4" t="s">
        <v>200</v>
      </c>
      <c r="D336" s="70">
        <f>(29.502+5.83+3.975)*10.764</f>
        <v>423.100548</v>
      </c>
      <c r="E336" s="71"/>
      <c r="F336" s="4">
        <f>6.27*10.764</f>
        <v>67.490279999999984</v>
      </c>
      <c r="G336" s="4">
        <v>885</v>
      </c>
      <c r="H336" s="4" t="s">
        <v>89</v>
      </c>
      <c r="I336" s="74"/>
      <c r="J336" s="75"/>
      <c r="L336" s="3">
        <f t="shared" si="11"/>
        <v>1.9321878070458089</v>
      </c>
    </row>
    <row r="337" spans="1:12" s="3" customFormat="1" x14ac:dyDescent="0.3">
      <c r="A337" s="70">
        <v>3</v>
      </c>
      <c r="B337" s="71"/>
      <c r="C337" s="4" t="s">
        <v>200</v>
      </c>
      <c r="D337" s="70">
        <f>(29.975+3.43+4.01)*10.764</f>
        <v>402.73505999999998</v>
      </c>
      <c r="E337" s="71"/>
      <c r="F337" s="4">
        <f>6.696*10.764</f>
        <v>72.075743999999986</v>
      </c>
      <c r="G337" s="4">
        <v>885</v>
      </c>
      <c r="H337" s="4" t="s">
        <v>89</v>
      </c>
      <c r="I337" s="74"/>
      <c r="J337" s="75"/>
      <c r="L337" s="3">
        <f t="shared" si="11"/>
        <v>2.0185087834170683</v>
      </c>
    </row>
    <row r="338" spans="1:12" s="3" customFormat="1" x14ac:dyDescent="0.3">
      <c r="A338" s="70">
        <v>4</v>
      </c>
      <c r="B338" s="71"/>
      <c r="C338" s="4" t="s">
        <v>200</v>
      </c>
      <c r="D338" s="70">
        <f>(26.067+2.45+4.05)*10.764</f>
        <v>350.55118799999997</v>
      </c>
      <c r="E338" s="71"/>
      <c r="F338" s="4">
        <f>4.758*10.764</f>
        <v>51.215111999999998</v>
      </c>
      <c r="G338" s="4">
        <v>750</v>
      </c>
      <c r="H338" s="4" t="s">
        <v>89</v>
      </c>
      <c r="I338" s="74"/>
      <c r="J338" s="75"/>
      <c r="L338" s="3">
        <f t="shared" si="11"/>
        <v>1.9933890168416719</v>
      </c>
    </row>
    <row r="339" spans="1:12" s="3" customFormat="1" x14ac:dyDescent="0.3">
      <c r="A339" s="70">
        <v>5</v>
      </c>
      <c r="B339" s="71"/>
      <c r="C339" s="4" t="s">
        <v>200</v>
      </c>
      <c r="D339" s="70">
        <f>(25.987+2.45+4.05)*10.764</f>
        <v>349.69006799999994</v>
      </c>
      <c r="E339" s="71"/>
      <c r="F339" s="4">
        <f>4.758*10.764</f>
        <v>51.215111999999998</v>
      </c>
      <c r="G339" s="4">
        <v>750</v>
      </c>
      <c r="H339" s="4" t="s">
        <v>89</v>
      </c>
      <c r="I339" s="76"/>
      <c r="J339" s="77"/>
      <c r="L339" s="3">
        <f t="shared" si="11"/>
        <v>1.9982977840823324</v>
      </c>
    </row>
    <row r="340" spans="1:12" s="1" customFormat="1" x14ac:dyDescent="0.3">
      <c r="A340" s="215" t="s">
        <v>98</v>
      </c>
      <c r="B340" s="215"/>
      <c r="C340" s="215"/>
      <c r="D340" s="215"/>
      <c r="E340" s="215"/>
      <c r="F340" s="215"/>
      <c r="G340" s="215"/>
      <c r="H340" s="215"/>
      <c r="I340" s="215"/>
      <c r="J340" s="215"/>
    </row>
    <row r="341" spans="1:12" s="37" customFormat="1" ht="162" customHeight="1" x14ac:dyDescent="0.3">
      <c r="A341" s="216" t="s">
        <v>271</v>
      </c>
      <c r="B341" s="216"/>
      <c r="C341" s="216"/>
      <c r="D341" s="216"/>
      <c r="E341" s="216"/>
      <c r="F341" s="216"/>
      <c r="G341" s="216"/>
      <c r="H341" s="216"/>
      <c r="I341" s="216"/>
      <c r="J341" s="216"/>
    </row>
    <row r="342" spans="1:12" x14ac:dyDescent="0.3">
      <c r="A342" s="217" t="s">
        <v>90</v>
      </c>
      <c r="B342" s="218"/>
      <c r="C342" s="218"/>
      <c r="D342" s="218"/>
      <c r="E342" s="218"/>
      <c r="F342" s="218"/>
      <c r="G342" s="218"/>
      <c r="H342" s="218"/>
      <c r="I342" s="218"/>
      <c r="J342" s="219"/>
    </row>
    <row r="343" spans="1:12" x14ac:dyDescent="0.3">
      <c r="A343" s="209" t="s">
        <v>91</v>
      </c>
      <c r="B343" s="210"/>
      <c r="C343" s="210"/>
      <c r="D343" s="210"/>
      <c r="E343" s="210"/>
      <c r="F343" s="210"/>
      <c r="G343" s="210"/>
      <c r="H343" s="210"/>
      <c r="I343" s="210"/>
      <c r="J343" s="211"/>
    </row>
    <row r="344" spans="1:12" ht="15.75" customHeight="1" x14ac:dyDescent="0.3">
      <c r="A344" s="220" t="s">
        <v>92</v>
      </c>
      <c r="B344" s="221"/>
      <c r="C344" s="221"/>
      <c r="D344" s="221"/>
      <c r="E344" s="221"/>
      <c r="F344" s="221"/>
      <c r="G344" s="221"/>
      <c r="H344" s="221"/>
      <c r="I344" s="221"/>
      <c r="J344" s="222"/>
    </row>
    <row r="345" spans="1:12" x14ac:dyDescent="0.3">
      <c r="A345" s="209" t="s">
        <v>93</v>
      </c>
      <c r="B345" s="210"/>
      <c r="C345" s="210"/>
      <c r="D345" s="210"/>
      <c r="E345" s="210"/>
      <c r="F345" s="210"/>
      <c r="G345" s="210"/>
      <c r="H345" s="210"/>
      <c r="I345" s="210"/>
      <c r="J345" s="211"/>
    </row>
    <row r="346" spans="1:12" x14ac:dyDescent="0.3">
      <c r="A346" s="209" t="s">
        <v>94</v>
      </c>
      <c r="B346" s="210"/>
      <c r="C346" s="210"/>
      <c r="D346" s="210"/>
      <c r="E346" s="210"/>
      <c r="F346" s="210"/>
      <c r="G346" s="210"/>
      <c r="H346" s="210"/>
      <c r="I346" s="210"/>
      <c r="J346" s="211"/>
    </row>
    <row r="347" spans="1:12" x14ac:dyDescent="0.3">
      <c r="A347" s="212" t="s">
        <v>95</v>
      </c>
      <c r="B347" s="213"/>
      <c r="C347" s="213"/>
      <c r="D347" s="213"/>
      <c r="E347" s="213"/>
      <c r="F347" s="213"/>
      <c r="G347" s="213"/>
      <c r="H347" s="213"/>
      <c r="I347" s="213"/>
      <c r="J347" s="214"/>
    </row>
    <row r="348" spans="1:12" s="35" customFormat="1" x14ac:dyDescent="0.3">
      <c r="A348" s="107" t="s">
        <v>174</v>
      </c>
      <c r="B348" s="107"/>
      <c r="C348" s="107" t="s">
        <v>265</v>
      </c>
      <c r="D348" s="107"/>
      <c r="E348" s="107" t="s">
        <v>175</v>
      </c>
      <c r="F348" s="107"/>
      <c r="G348" s="107"/>
      <c r="H348" s="107" t="s">
        <v>272</v>
      </c>
      <c r="I348" s="107"/>
      <c r="J348" s="107"/>
    </row>
    <row r="349" spans="1:12" x14ac:dyDescent="0.3">
      <c r="A349" s="98" t="s">
        <v>177</v>
      </c>
      <c r="B349" s="99"/>
      <c r="C349" s="99"/>
      <c r="D349" s="99"/>
      <c r="E349" s="99"/>
      <c r="F349" s="99"/>
      <c r="G349" s="99"/>
      <c r="H349" s="99"/>
      <c r="I349" s="99"/>
      <c r="J349" s="100"/>
    </row>
    <row r="350" spans="1:12" x14ac:dyDescent="0.3">
      <c r="A350" s="101"/>
      <c r="B350" s="102"/>
      <c r="C350" s="102"/>
      <c r="D350" s="102"/>
      <c r="E350" s="102"/>
      <c r="F350" s="102"/>
      <c r="G350" s="102"/>
      <c r="H350" s="102"/>
      <c r="I350" s="102"/>
      <c r="J350" s="103"/>
    </row>
    <row r="351" spans="1:12" x14ac:dyDescent="0.3">
      <c r="A351" s="101"/>
      <c r="B351" s="102"/>
      <c r="C351" s="102"/>
      <c r="D351" s="102"/>
      <c r="E351" s="102"/>
      <c r="F351" s="102"/>
      <c r="G351" s="102"/>
      <c r="H351" s="102"/>
      <c r="I351" s="102"/>
      <c r="J351" s="103"/>
    </row>
    <row r="352" spans="1:12" x14ac:dyDescent="0.3">
      <c r="A352" s="104"/>
      <c r="B352" s="105"/>
      <c r="C352" s="105"/>
      <c r="D352" s="105"/>
      <c r="E352" s="105"/>
      <c r="F352" s="105"/>
      <c r="G352" s="105"/>
      <c r="H352" s="105"/>
      <c r="I352" s="105"/>
      <c r="J352" s="106"/>
    </row>
    <row r="353" spans="1:10" x14ac:dyDescent="0.3">
      <c r="A353" s="16" t="s">
        <v>96</v>
      </c>
      <c r="B353" s="17"/>
      <c r="C353" s="17"/>
      <c r="D353" s="16" t="str">
        <f>F8</f>
        <v>The Orbis</v>
      </c>
      <c r="G353" s="17"/>
      <c r="H353" s="17"/>
      <c r="I353" s="17"/>
      <c r="J353" s="17"/>
    </row>
    <row r="354" spans="1:10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</row>
    <row r="356" spans="1:10" ht="15" customHeight="1" x14ac:dyDescent="0.3"/>
    <row r="395" spans="1:1" x14ac:dyDescent="0.3">
      <c r="A395" s="18" t="s">
        <v>97</v>
      </c>
    </row>
  </sheetData>
  <mergeCells count="716">
    <mergeCell ref="A112:B112"/>
    <mergeCell ref="D112:E112"/>
    <mergeCell ref="A113:B113"/>
    <mergeCell ref="D113:E113"/>
    <mergeCell ref="A100:B100"/>
    <mergeCell ref="C100:J100"/>
    <mergeCell ref="A103:B103"/>
    <mergeCell ref="D103:E103"/>
    <mergeCell ref="F103:G103"/>
    <mergeCell ref="H103:J103"/>
    <mergeCell ref="A104:B104"/>
    <mergeCell ref="D104:E104"/>
    <mergeCell ref="F104:G113"/>
    <mergeCell ref="H104:J113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A111:B111"/>
    <mergeCell ref="D109:E109"/>
    <mergeCell ref="A110:B110"/>
    <mergeCell ref="D110:E110"/>
    <mergeCell ref="D111:E111"/>
    <mergeCell ref="A95:B95"/>
    <mergeCell ref="D95:E95"/>
    <mergeCell ref="A96:B96"/>
    <mergeCell ref="D96:E96"/>
    <mergeCell ref="A97:B97"/>
    <mergeCell ref="D97:E97"/>
    <mergeCell ref="A98:B98"/>
    <mergeCell ref="C98:J98"/>
    <mergeCell ref="E99:F99"/>
    <mergeCell ref="I99:J99"/>
    <mergeCell ref="A101:B102"/>
    <mergeCell ref="C101:E102"/>
    <mergeCell ref="F101:G102"/>
    <mergeCell ref="H101:J102"/>
    <mergeCell ref="A83:B83"/>
    <mergeCell ref="D83:E83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D316:E316"/>
    <mergeCell ref="A319:B319"/>
    <mergeCell ref="D319:E319"/>
    <mergeCell ref="D260:E260"/>
    <mergeCell ref="D309:E309"/>
    <mergeCell ref="A310:B310"/>
    <mergeCell ref="D310:E310"/>
    <mergeCell ref="G121:J121"/>
    <mergeCell ref="A121:F121"/>
    <mergeCell ref="A134:B134"/>
    <mergeCell ref="D134:F134"/>
    <mergeCell ref="G134:J134"/>
    <mergeCell ref="A269:J269"/>
    <mergeCell ref="A270:J270"/>
    <mergeCell ref="A271:J271"/>
    <mergeCell ref="A167:J167"/>
    <mergeCell ref="I168:J175"/>
    <mergeCell ref="A169:B169"/>
    <mergeCell ref="D169:E169"/>
    <mergeCell ref="A170:B170"/>
    <mergeCell ref="D170:E170"/>
    <mergeCell ref="A171:B171"/>
    <mergeCell ref="D171:E171"/>
    <mergeCell ref="D259:E259"/>
    <mergeCell ref="A260:B260"/>
    <mergeCell ref="A328:J328"/>
    <mergeCell ref="I323:J327"/>
    <mergeCell ref="A327:B327"/>
    <mergeCell ref="D327:E327"/>
    <mergeCell ref="A324:B324"/>
    <mergeCell ref="D324:E324"/>
    <mergeCell ref="A325:B325"/>
    <mergeCell ref="D325:E325"/>
    <mergeCell ref="A326:B326"/>
    <mergeCell ref="D326:E326"/>
    <mergeCell ref="A323:B323"/>
    <mergeCell ref="D323:E323"/>
    <mergeCell ref="D307:E307"/>
    <mergeCell ref="A302:B302"/>
    <mergeCell ref="D302:E302"/>
    <mergeCell ref="A303:B303"/>
    <mergeCell ref="D303:E303"/>
    <mergeCell ref="A320:J320"/>
    <mergeCell ref="A321:J321"/>
    <mergeCell ref="A322:J322"/>
    <mergeCell ref="A317:B317"/>
    <mergeCell ref="A288:J288"/>
    <mergeCell ref="D317:E317"/>
    <mergeCell ref="I329:J333"/>
    <mergeCell ref="A334:J334"/>
    <mergeCell ref="I335:J339"/>
    <mergeCell ref="A339:B339"/>
    <mergeCell ref="D339:E339"/>
    <mergeCell ref="A336:B336"/>
    <mergeCell ref="D336:E336"/>
    <mergeCell ref="A337:B337"/>
    <mergeCell ref="D337:E337"/>
    <mergeCell ref="A338:B338"/>
    <mergeCell ref="D338:E338"/>
    <mergeCell ref="A333:B333"/>
    <mergeCell ref="D333:E333"/>
    <mergeCell ref="A335:B335"/>
    <mergeCell ref="D335:E335"/>
    <mergeCell ref="A330:B330"/>
    <mergeCell ref="D330:E330"/>
    <mergeCell ref="A331:B331"/>
    <mergeCell ref="D331:E331"/>
    <mergeCell ref="A332:B332"/>
    <mergeCell ref="D332:E332"/>
    <mergeCell ref="A329:B329"/>
    <mergeCell ref="D329:E329"/>
    <mergeCell ref="A304:B304"/>
    <mergeCell ref="D304:E304"/>
    <mergeCell ref="A305:J305"/>
    <mergeCell ref="I306:J319"/>
    <mergeCell ref="A311:B311"/>
    <mergeCell ref="D311:E311"/>
    <mergeCell ref="A312:B312"/>
    <mergeCell ref="D312:E312"/>
    <mergeCell ref="A313:B313"/>
    <mergeCell ref="D313:E313"/>
    <mergeCell ref="A308:B308"/>
    <mergeCell ref="D308:E308"/>
    <mergeCell ref="A309:B309"/>
    <mergeCell ref="I289:J304"/>
    <mergeCell ref="A306:B306"/>
    <mergeCell ref="D306:E306"/>
    <mergeCell ref="A307:B307"/>
    <mergeCell ref="A318:B318"/>
    <mergeCell ref="D318:E318"/>
    <mergeCell ref="A314:B314"/>
    <mergeCell ref="D314:E314"/>
    <mergeCell ref="A315:B315"/>
    <mergeCell ref="D315:E315"/>
    <mergeCell ref="A316:B316"/>
    <mergeCell ref="D297:E297"/>
    <mergeCell ref="A298:B298"/>
    <mergeCell ref="D298:E298"/>
    <mergeCell ref="A293:B293"/>
    <mergeCell ref="D293:E293"/>
    <mergeCell ref="A294:B294"/>
    <mergeCell ref="D294:E294"/>
    <mergeCell ref="A295:B295"/>
    <mergeCell ref="D295:E295"/>
    <mergeCell ref="A281:B281"/>
    <mergeCell ref="D281:E281"/>
    <mergeCell ref="A344:J344"/>
    <mergeCell ref="A257:B257"/>
    <mergeCell ref="D257:E257"/>
    <mergeCell ref="A255:B255"/>
    <mergeCell ref="D255:E255"/>
    <mergeCell ref="A256:B256"/>
    <mergeCell ref="D256:E256"/>
    <mergeCell ref="A258:J258"/>
    <mergeCell ref="A259:B259"/>
    <mergeCell ref="D265:E265"/>
    <mergeCell ref="A299:B299"/>
    <mergeCell ref="D299:E299"/>
    <mergeCell ref="A300:B300"/>
    <mergeCell ref="D300:E300"/>
    <mergeCell ref="A301:B301"/>
    <mergeCell ref="D301:E301"/>
    <mergeCell ref="A266:B266"/>
    <mergeCell ref="A289:B289"/>
    <mergeCell ref="D289:E289"/>
    <mergeCell ref="A296:B296"/>
    <mergeCell ref="D296:E296"/>
    <mergeCell ref="A297:B297"/>
    <mergeCell ref="A287:B287"/>
    <mergeCell ref="D287:E287"/>
    <mergeCell ref="A265:B265"/>
    <mergeCell ref="A347:J347"/>
    <mergeCell ref="A277:B277"/>
    <mergeCell ref="D277:E277"/>
    <mergeCell ref="A340:J340"/>
    <mergeCell ref="A341:J341"/>
    <mergeCell ref="A342:J342"/>
    <mergeCell ref="A343:J343"/>
    <mergeCell ref="A276:B276"/>
    <mergeCell ref="D276:E276"/>
    <mergeCell ref="A278:B278"/>
    <mergeCell ref="D278:E278"/>
    <mergeCell ref="A279:B279"/>
    <mergeCell ref="D279:E279"/>
    <mergeCell ref="A280:B280"/>
    <mergeCell ref="D280:E280"/>
    <mergeCell ref="A284:B284"/>
    <mergeCell ref="D284:E284"/>
    <mergeCell ref="A285:B285"/>
    <mergeCell ref="D285:E285"/>
    <mergeCell ref="A286:B286"/>
    <mergeCell ref="D286:E286"/>
    <mergeCell ref="I246:J257"/>
    <mergeCell ref="A253:B253"/>
    <mergeCell ref="D253:E253"/>
    <mergeCell ref="A345:J345"/>
    <mergeCell ref="A346:J346"/>
    <mergeCell ref="D266:E266"/>
    <mergeCell ref="A263:B263"/>
    <mergeCell ref="D263:E263"/>
    <mergeCell ref="A264:B264"/>
    <mergeCell ref="D264:E264"/>
    <mergeCell ref="A261:B261"/>
    <mergeCell ref="D261:E261"/>
    <mergeCell ref="A262:B262"/>
    <mergeCell ref="D262:E262"/>
    <mergeCell ref="A282:B282"/>
    <mergeCell ref="D282:E282"/>
    <mergeCell ref="A283:B283"/>
    <mergeCell ref="D283:E283"/>
    <mergeCell ref="A290:B290"/>
    <mergeCell ref="D290:E290"/>
    <mergeCell ref="A291:B291"/>
    <mergeCell ref="D291:E291"/>
    <mergeCell ref="A292:B292"/>
    <mergeCell ref="D292:E292"/>
    <mergeCell ref="A244:B244"/>
    <mergeCell ref="D244:E244"/>
    <mergeCell ref="A245:J245"/>
    <mergeCell ref="A241:B241"/>
    <mergeCell ref="D241:E241"/>
    <mergeCell ref="A242:B242"/>
    <mergeCell ref="D242:E242"/>
    <mergeCell ref="I233:J244"/>
    <mergeCell ref="D233:E233"/>
    <mergeCell ref="A234:B234"/>
    <mergeCell ref="D234:E234"/>
    <mergeCell ref="A239:B239"/>
    <mergeCell ref="D239:E239"/>
    <mergeCell ref="A240:B240"/>
    <mergeCell ref="D240:E240"/>
    <mergeCell ref="A237:B237"/>
    <mergeCell ref="D237:E237"/>
    <mergeCell ref="A238:B238"/>
    <mergeCell ref="D238:E238"/>
    <mergeCell ref="A235:B235"/>
    <mergeCell ref="D235:E235"/>
    <mergeCell ref="A236:B236"/>
    <mergeCell ref="A60:B60"/>
    <mergeCell ref="D60:E60"/>
    <mergeCell ref="F60:G69"/>
    <mergeCell ref="H60:J69"/>
    <mergeCell ref="A61:B61"/>
    <mergeCell ref="D61:E61"/>
    <mergeCell ref="A62:B62"/>
    <mergeCell ref="A243:B243"/>
    <mergeCell ref="D243:E243"/>
    <mergeCell ref="A67:B67"/>
    <mergeCell ref="D67:E67"/>
    <mergeCell ref="A68:B68"/>
    <mergeCell ref="D68:E68"/>
    <mergeCell ref="A69:B69"/>
    <mergeCell ref="D69:E69"/>
    <mergeCell ref="A84:B84"/>
    <mergeCell ref="C84:J84"/>
    <mergeCell ref="A70:B70"/>
    <mergeCell ref="C70:J70"/>
    <mergeCell ref="E71:F71"/>
    <mergeCell ref="I71:J71"/>
    <mergeCell ref="A72:B72"/>
    <mergeCell ref="C72:J72"/>
    <mergeCell ref="A73:B73"/>
    <mergeCell ref="A56:B56"/>
    <mergeCell ref="C56:J56"/>
    <mergeCell ref="E57:F57"/>
    <mergeCell ref="I57:J57"/>
    <mergeCell ref="A58:B58"/>
    <mergeCell ref="C58:J58"/>
    <mergeCell ref="A59:B59"/>
    <mergeCell ref="D59:E59"/>
    <mergeCell ref="F59:G59"/>
    <mergeCell ref="H59:J59"/>
    <mergeCell ref="D275:E275"/>
    <mergeCell ref="A273:B273"/>
    <mergeCell ref="D273:E273"/>
    <mergeCell ref="A274:B274"/>
    <mergeCell ref="D274:E274"/>
    <mergeCell ref="A272:B272"/>
    <mergeCell ref="D272:E272"/>
    <mergeCell ref="A267:B267"/>
    <mergeCell ref="D267:E267"/>
    <mergeCell ref="A268:B268"/>
    <mergeCell ref="D268:E268"/>
    <mergeCell ref="A275:B275"/>
    <mergeCell ref="A254:B254"/>
    <mergeCell ref="D248:E248"/>
    <mergeCell ref="A246:B246"/>
    <mergeCell ref="D246:E246"/>
    <mergeCell ref="D254:E254"/>
    <mergeCell ref="A251:B251"/>
    <mergeCell ref="D251:E251"/>
    <mergeCell ref="A252:B252"/>
    <mergeCell ref="D252:E252"/>
    <mergeCell ref="A249:B249"/>
    <mergeCell ref="D249:E249"/>
    <mergeCell ref="A250:B250"/>
    <mergeCell ref="D250:E250"/>
    <mergeCell ref="A247:B247"/>
    <mergeCell ref="D247:E247"/>
    <mergeCell ref="A248:B248"/>
    <mergeCell ref="A231:J231"/>
    <mergeCell ref="A232:J232"/>
    <mergeCell ref="A229:B229"/>
    <mergeCell ref="D229:E229"/>
    <mergeCell ref="A230:J230"/>
    <mergeCell ref="A226:B226"/>
    <mergeCell ref="D226:E226"/>
    <mergeCell ref="A233:B233"/>
    <mergeCell ref="D236:E236"/>
    <mergeCell ref="A228:B228"/>
    <mergeCell ref="D228:E228"/>
    <mergeCell ref="A213:B213"/>
    <mergeCell ref="D213:E213"/>
    <mergeCell ref="A214:B214"/>
    <mergeCell ref="D214:E214"/>
    <mergeCell ref="A211:B211"/>
    <mergeCell ref="D211:E211"/>
    <mergeCell ref="A212:J212"/>
    <mergeCell ref="A199:B199"/>
    <mergeCell ref="D199:E199"/>
    <mergeCell ref="I204:J211"/>
    <mergeCell ref="A209:B209"/>
    <mergeCell ref="D209:E209"/>
    <mergeCell ref="A210:B210"/>
    <mergeCell ref="I213:J220"/>
    <mergeCell ref="A217:B217"/>
    <mergeCell ref="D217:E217"/>
    <mergeCell ref="A218:B218"/>
    <mergeCell ref="D218:E218"/>
    <mergeCell ref="A215:B215"/>
    <mergeCell ref="D215:E215"/>
    <mergeCell ref="A219:B219"/>
    <mergeCell ref="D219:E219"/>
    <mergeCell ref="A220:B220"/>
    <mergeCell ref="D220:E220"/>
    <mergeCell ref="A221:J221"/>
    <mergeCell ref="A227:B227"/>
    <mergeCell ref="D227:E227"/>
    <mergeCell ref="A216:B216"/>
    <mergeCell ref="D216:E216"/>
    <mergeCell ref="A225:B225"/>
    <mergeCell ref="D225:E225"/>
    <mergeCell ref="A223:B223"/>
    <mergeCell ref="D223:E223"/>
    <mergeCell ref="A224:B224"/>
    <mergeCell ref="D224:E224"/>
    <mergeCell ref="A222:B222"/>
    <mergeCell ref="D222:E222"/>
    <mergeCell ref="A197:B197"/>
    <mergeCell ref="D197:E197"/>
    <mergeCell ref="A198:B198"/>
    <mergeCell ref="A202:B202"/>
    <mergeCell ref="D210:E210"/>
    <mergeCell ref="A207:B207"/>
    <mergeCell ref="D207:E207"/>
    <mergeCell ref="A208:B208"/>
    <mergeCell ref="D208:E208"/>
    <mergeCell ref="A205:B205"/>
    <mergeCell ref="D205:E205"/>
    <mergeCell ref="A206:B206"/>
    <mergeCell ref="D206:E206"/>
    <mergeCell ref="D202:E202"/>
    <mergeCell ref="D198:E198"/>
    <mergeCell ref="D172:E172"/>
    <mergeCell ref="A174:B174"/>
    <mergeCell ref="A172:B172"/>
    <mergeCell ref="A183:B183"/>
    <mergeCell ref="A182:B182"/>
    <mergeCell ref="D182:E182"/>
    <mergeCell ref="A175:B175"/>
    <mergeCell ref="D175:E175"/>
    <mergeCell ref="A204:B204"/>
    <mergeCell ref="D204:E204"/>
    <mergeCell ref="A200:B200"/>
    <mergeCell ref="D200:E200"/>
    <mergeCell ref="A195:B195"/>
    <mergeCell ref="D195:E195"/>
    <mergeCell ref="A196:B196"/>
    <mergeCell ref="D196:E196"/>
    <mergeCell ref="D193:E193"/>
    <mergeCell ref="A194:J194"/>
    <mergeCell ref="I187:J193"/>
    <mergeCell ref="D187:E187"/>
    <mergeCell ref="D181:E181"/>
    <mergeCell ref="D174:E174"/>
    <mergeCell ref="A176:J176"/>
    <mergeCell ref="I195:J202"/>
    <mergeCell ref="A156:B156"/>
    <mergeCell ref="D156:E156"/>
    <mergeCell ref="I150:J157"/>
    <mergeCell ref="D183:E183"/>
    <mergeCell ref="A184:B184"/>
    <mergeCell ref="D184:E184"/>
    <mergeCell ref="A153:B153"/>
    <mergeCell ref="D153:E153"/>
    <mergeCell ref="A154:B154"/>
    <mergeCell ref="D154:E154"/>
    <mergeCell ref="A151:B151"/>
    <mergeCell ref="D151:E151"/>
    <mergeCell ref="A152:B152"/>
    <mergeCell ref="D152:E152"/>
    <mergeCell ref="A150:B150"/>
    <mergeCell ref="D150:E150"/>
    <mergeCell ref="A173:B173"/>
    <mergeCell ref="D173:E173"/>
    <mergeCell ref="D178:E178"/>
    <mergeCell ref="A179:B179"/>
    <mergeCell ref="D179:E179"/>
    <mergeCell ref="A180:B180"/>
    <mergeCell ref="D180:E180"/>
    <mergeCell ref="A181:B181"/>
    <mergeCell ref="D157:E157"/>
    <mergeCell ref="A168:B168"/>
    <mergeCell ref="D168:E168"/>
    <mergeCell ref="A155:B155"/>
    <mergeCell ref="D155:E155"/>
    <mergeCell ref="A147:B147"/>
    <mergeCell ref="D147:E147"/>
    <mergeCell ref="A148:B148"/>
    <mergeCell ref="D148:E148"/>
    <mergeCell ref="D166:E166"/>
    <mergeCell ref="A163:B163"/>
    <mergeCell ref="D163:E163"/>
    <mergeCell ref="A164:B164"/>
    <mergeCell ref="D164:E164"/>
    <mergeCell ref="A149:J149"/>
    <mergeCell ref="A157:B157"/>
    <mergeCell ref="A158:J158"/>
    <mergeCell ref="A165:B165"/>
    <mergeCell ref="D165:E165"/>
    <mergeCell ref="A166:B166"/>
    <mergeCell ref="I159:J166"/>
    <mergeCell ref="A162:B162"/>
    <mergeCell ref="D162:E162"/>
    <mergeCell ref="A159:B159"/>
    <mergeCell ref="A137:J137"/>
    <mergeCell ref="A138:J138"/>
    <mergeCell ref="A135:B135"/>
    <mergeCell ref="A139:B139"/>
    <mergeCell ref="D139:E139"/>
    <mergeCell ref="I139:J139"/>
    <mergeCell ref="A146:B146"/>
    <mergeCell ref="D146:E146"/>
    <mergeCell ref="A145:B145"/>
    <mergeCell ref="D145:E145"/>
    <mergeCell ref="A143:B143"/>
    <mergeCell ref="D143:E143"/>
    <mergeCell ref="A144:B144"/>
    <mergeCell ref="D144:E144"/>
    <mergeCell ref="A141:J141"/>
    <mergeCell ref="A142:B142"/>
    <mergeCell ref="D142:E142"/>
    <mergeCell ref="A140:J140"/>
    <mergeCell ref="G130:J130"/>
    <mergeCell ref="D131:F131"/>
    <mergeCell ref="G131:J131"/>
    <mergeCell ref="A133:B133"/>
    <mergeCell ref="D133:F133"/>
    <mergeCell ref="G133:J133"/>
    <mergeCell ref="A127:B127"/>
    <mergeCell ref="D127:F127"/>
    <mergeCell ref="A136:B136"/>
    <mergeCell ref="D136:F136"/>
    <mergeCell ref="G136:J136"/>
    <mergeCell ref="A132:B132"/>
    <mergeCell ref="D132:F132"/>
    <mergeCell ref="G132:J132"/>
    <mergeCell ref="D135:F135"/>
    <mergeCell ref="G135:J135"/>
    <mergeCell ref="A131:B131"/>
    <mergeCell ref="A130:B130"/>
    <mergeCell ref="D130:F130"/>
    <mergeCell ref="A124:J124"/>
    <mergeCell ref="A122:F122"/>
    <mergeCell ref="G122:J122"/>
    <mergeCell ref="A123:F123"/>
    <mergeCell ref="G123:J123"/>
    <mergeCell ref="A120:F120"/>
    <mergeCell ref="G120:J120"/>
    <mergeCell ref="D73:E73"/>
    <mergeCell ref="F73:G73"/>
    <mergeCell ref="H73:J73"/>
    <mergeCell ref="A74:B74"/>
    <mergeCell ref="D74:E74"/>
    <mergeCell ref="F74:G83"/>
    <mergeCell ref="H74:J83"/>
    <mergeCell ref="A80:B80"/>
    <mergeCell ref="D80:E80"/>
    <mergeCell ref="E85:F85"/>
    <mergeCell ref="I85:J85"/>
    <mergeCell ref="A86:B86"/>
    <mergeCell ref="C86:J86"/>
    <mergeCell ref="A81:B81"/>
    <mergeCell ref="D81:E81"/>
    <mergeCell ref="A82:B82"/>
    <mergeCell ref="D82:E82"/>
    <mergeCell ref="A125:B125"/>
    <mergeCell ref="D125:F125"/>
    <mergeCell ref="G125:J125"/>
    <mergeCell ref="A126:B126"/>
    <mergeCell ref="D126:F126"/>
    <mergeCell ref="G126:J126"/>
    <mergeCell ref="A129:J129"/>
    <mergeCell ref="A128:B128"/>
    <mergeCell ref="D128:F128"/>
    <mergeCell ref="G128:J128"/>
    <mergeCell ref="G127:J127"/>
    <mergeCell ref="A55:J55"/>
    <mergeCell ref="A53:B53"/>
    <mergeCell ref="A54:C54"/>
    <mergeCell ref="D54:J54"/>
    <mergeCell ref="C53:J53"/>
    <mergeCell ref="A119:F119"/>
    <mergeCell ref="G119:J119"/>
    <mergeCell ref="A114:J114"/>
    <mergeCell ref="A117:J117"/>
    <mergeCell ref="A118:F118"/>
    <mergeCell ref="G118:J118"/>
    <mergeCell ref="A115:J115"/>
    <mergeCell ref="A116:B116"/>
    <mergeCell ref="C116:J116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87:B87"/>
    <mergeCell ref="F43:J43"/>
    <mergeCell ref="A51:J51"/>
    <mergeCell ref="A52:C52"/>
    <mergeCell ref="D52:E52"/>
    <mergeCell ref="F52:G52"/>
    <mergeCell ref="H52:J52"/>
    <mergeCell ref="A44:E44"/>
    <mergeCell ref="F44:J44"/>
    <mergeCell ref="A45:J45"/>
    <mergeCell ref="A50:B50"/>
    <mergeCell ref="D50:F50"/>
    <mergeCell ref="G50:J50"/>
    <mergeCell ref="H48:J48"/>
    <mergeCell ref="H49:J49"/>
    <mergeCell ref="A49:B49"/>
    <mergeCell ref="C49:F49"/>
    <mergeCell ref="H46:J46"/>
    <mergeCell ref="H47:J47"/>
    <mergeCell ref="A47:B47"/>
    <mergeCell ref="C47:F47"/>
    <mergeCell ref="A48:B48"/>
    <mergeCell ref="C48:F48"/>
    <mergeCell ref="A46:B46"/>
    <mergeCell ref="C46:F46"/>
    <mergeCell ref="F36:J36"/>
    <mergeCell ref="A41:E41"/>
    <mergeCell ref="F41:J41"/>
    <mergeCell ref="A42:E42"/>
    <mergeCell ref="F42:J42"/>
    <mergeCell ref="A30:B30"/>
    <mergeCell ref="C30:D30"/>
    <mergeCell ref="E30:F30"/>
    <mergeCell ref="G30:H30"/>
    <mergeCell ref="I30:J30"/>
    <mergeCell ref="A32:J32"/>
    <mergeCell ref="A33:B33"/>
    <mergeCell ref="A31:J31"/>
    <mergeCell ref="A34:B34"/>
    <mergeCell ref="C34:J34"/>
    <mergeCell ref="A39:E39"/>
    <mergeCell ref="F39:J39"/>
    <mergeCell ref="C33:J33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A12:E12"/>
    <mergeCell ref="F12:J12"/>
    <mergeCell ref="A13:E13"/>
    <mergeCell ref="F13:J13"/>
    <mergeCell ref="A14:B14"/>
    <mergeCell ref="C14:J14"/>
    <mergeCell ref="C15:J15"/>
    <mergeCell ref="A10:E10"/>
    <mergeCell ref="F10:J10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18:B18"/>
    <mergeCell ref="C18:E18"/>
    <mergeCell ref="A16:B16"/>
    <mergeCell ref="C16:E16"/>
    <mergeCell ref="F16:G16"/>
    <mergeCell ref="H16:J16"/>
    <mergeCell ref="A25:E25"/>
    <mergeCell ref="A26:E26"/>
    <mergeCell ref="F26:J26"/>
    <mergeCell ref="F18:G18"/>
    <mergeCell ref="H18:J18"/>
    <mergeCell ref="A19:B19"/>
    <mergeCell ref="C19:E19"/>
    <mergeCell ref="F19:G19"/>
    <mergeCell ref="A17:B17"/>
    <mergeCell ref="C17:E17"/>
    <mergeCell ref="F17:G17"/>
    <mergeCell ref="H17:J17"/>
    <mergeCell ref="I272:J287"/>
    <mergeCell ref="I142:J148"/>
    <mergeCell ref="A349:J352"/>
    <mergeCell ref="A348:B348"/>
    <mergeCell ref="E348:G348"/>
    <mergeCell ref="C348:D348"/>
    <mergeCell ref="H348:J348"/>
    <mergeCell ref="A29:B29"/>
    <mergeCell ref="C29:D29"/>
    <mergeCell ref="E29:F29"/>
    <mergeCell ref="G29:H29"/>
    <mergeCell ref="I29:J29"/>
    <mergeCell ref="A40:E40"/>
    <mergeCell ref="F40:J40"/>
    <mergeCell ref="A36:E36"/>
    <mergeCell ref="I259:J268"/>
    <mergeCell ref="A203:J203"/>
    <mergeCell ref="A161:B161"/>
    <mergeCell ref="D161:E161"/>
    <mergeCell ref="A43:E43"/>
    <mergeCell ref="A35:J35"/>
    <mergeCell ref="A37:E37"/>
    <mergeCell ref="F37:J37"/>
    <mergeCell ref="A38:J38"/>
    <mergeCell ref="I28:J28"/>
    <mergeCell ref="H19:J19"/>
    <mergeCell ref="A20:E21"/>
    <mergeCell ref="F20:J21"/>
    <mergeCell ref="A22:E23"/>
    <mergeCell ref="F22:J23"/>
    <mergeCell ref="F25:J25"/>
    <mergeCell ref="A27:E27"/>
    <mergeCell ref="F27:J27"/>
    <mergeCell ref="A24:E24"/>
    <mergeCell ref="F24:J24"/>
    <mergeCell ref="D159:E159"/>
    <mergeCell ref="A160:B160"/>
    <mergeCell ref="D160:E160"/>
    <mergeCell ref="A201:B201"/>
    <mergeCell ref="D201:E201"/>
    <mergeCell ref="I177:J184"/>
    <mergeCell ref="I222:J229"/>
    <mergeCell ref="A193:B193"/>
    <mergeCell ref="A191:B191"/>
    <mergeCell ref="D191:E191"/>
    <mergeCell ref="A192:B192"/>
    <mergeCell ref="D192:E192"/>
    <mergeCell ref="A189:B189"/>
    <mergeCell ref="D189:E189"/>
    <mergeCell ref="A190:B190"/>
    <mergeCell ref="D190:E190"/>
    <mergeCell ref="A187:B187"/>
    <mergeCell ref="A188:B188"/>
    <mergeCell ref="D188:E188"/>
    <mergeCell ref="A185:J185"/>
    <mergeCell ref="A186:J186"/>
    <mergeCell ref="A177:B177"/>
    <mergeCell ref="D177:E177"/>
    <mergeCell ref="A178:B178"/>
    <mergeCell ref="K10:O10"/>
    <mergeCell ref="D87:E87"/>
    <mergeCell ref="F87:G87"/>
    <mergeCell ref="H87:J87"/>
    <mergeCell ref="A88:B88"/>
    <mergeCell ref="D88:E88"/>
    <mergeCell ref="F88:G97"/>
    <mergeCell ref="H88:J97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28:B28"/>
    <mergeCell ref="C28:D28"/>
    <mergeCell ref="E28:F28"/>
    <mergeCell ref="G28:H28"/>
  </mergeCells>
  <hyperlinks>
    <hyperlink ref="C34" r:id="rId1" xr:uid="{00000000-0004-0000-0000-000000000000}"/>
  </hyperlinks>
  <pageMargins left="0.43307086614173229" right="0.43307086614173229" top="0.78740157480314965" bottom="0.78740157480314965" header="0.19685039370078741" footer="0.19685039370078741"/>
  <pageSetup scale="98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2" manualBreakCount="2">
    <brk id="352" max="16383" man="1"/>
    <brk id="3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workbookViewId="0">
      <selection activeCell="C7" sqref="C7"/>
    </sheetView>
  </sheetViews>
  <sheetFormatPr defaultRowHeight="13.8" x14ac:dyDescent="0.25"/>
  <cols>
    <col min="1" max="1" width="20.5546875" style="20" customWidth="1"/>
    <col min="2" max="2" width="11.6640625" style="20" customWidth="1"/>
    <col min="3" max="4" width="9.109375" style="20"/>
    <col min="5" max="5" width="10.109375" style="20" customWidth="1"/>
    <col min="6" max="6" width="10.6640625" style="20" customWidth="1"/>
    <col min="7" max="7" width="9.109375" style="20"/>
    <col min="8" max="8" width="10.44140625" style="20" customWidth="1"/>
    <col min="9" max="9" width="15.44140625" style="20" customWidth="1"/>
    <col min="10" max="258" width="9.109375" style="20"/>
    <col min="259" max="259" width="11.6640625" style="20" customWidth="1"/>
    <col min="260" max="260" width="9.109375" style="20"/>
    <col min="261" max="261" width="14.6640625" style="20" customWidth="1"/>
    <col min="262" max="262" width="10.6640625" style="20" customWidth="1"/>
    <col min="263" max="514" width="9.109375" style="20"/>
    <col min="515" max="515" width="11.6640625" style="20" customWidth="1"/>
    <col min="516" max="516" width="9.109375" style="20"/>
    <col min="517" max="517" width="14.6640625" style="20" customWidth="1"/>
    <col min="518" max="518" width="10.6640625" style="20" customWidth="1"/>
    <col min="519" max="770" width="9.109375" style="20"/>
    <col min="771" max="771" width="11.6640625" style="20" customWidth="1"/>
    <col min="772" max="772" width="9.109375" style="20"/>
    <col min="773" max="773" width="14.6640625" style="20" customWidth="1"/>
    <col min="774" max="774" width="10.6640625" style="20" customWidth="1"/>
    <col min="775" max="1026" width="9.109375" style="20"/>
    <col min="1027" max="1027" width="11.6640625" style="20" customWidth="1"/>
    <col min="1028" max="1028" width="9.109375" style="20"/>
    <col min="1029" max="1029" width="14.6640625" style="20" customWidth="1"/>
    <col min="1030" max="1030" width="10.6640625" style="20" customWidth="1"/>
    <col min="1031" max="1282" width="9.109375" style="20"/>
    <col min="1283" max="1283" width="11.6640625" style="20" customWidth="1"/>
    <col min="1284" max="1284" width="9.109375" style="20"/>
    <col min="1285" max="1285" width="14.6640625" style="20" customWidth="1"/>
    <col min="1286" max="1286" width="10.6640625" style="20" customWidth="1"/>
    <col min="1287" max="1538" width="9.109375" style="20"/>
    <col min="1539" max="1539" width="11.6640625" style="20" customWidth="1"/>
    <col min="1540" max="1540" width="9.109375" style="20"/>
    <col min="1541" max="1541" width="14.6640625" style="20" customWidth="1"/>
    <col min="1542" max="1542" width="10.6640625" style="20" customWidth="1"/>
    <col min="1543" max="1794" width="9.109375" style="20"/>
    <col min="1795" max="1795" width="11.6640625" style="20" customWidth="1"/>
    <col min="1796" max="1796" width="9.109375" style="20"/>
    <col min="1797" max="1797" width="14.6640625" style="20" customWidth="1"/>
    <col min="1798" max="1798" width="10.6640625" style="20" customWidth="1"/>
    <col min="1799" max="2050" width="9.109375" style="20"/>
    <col min="2051" max="2051" width="11.6640625" style="20" customWidth="1"/>
    <col min="2052" max="2052" width="9.109375" style="20"/>
    <col min="2053" max="2053" width="14.6640625" style="20" customWidth="1"/>
    <col min="2054" max="2054" width="10.6640625" style="20" customWidth="1"/>
    <col min="2055" max="2306" width="9.109375" style="20"/>
    <col min="2307" max="2307" width="11.6640625" style="20" customWidth="1"/>
    <col min="2308" max="2308" width="9.109375" style="20"/>
    <col min="2309" max="2309" width="14.6640625" style="20" customWidth="1"/>
    <col min="2310" max="2310" width="10.6640625" style="20" customWidth="1"/>
    <col min="2311" max="2562" width="9.109375" style="20"/>
    <col min="2563" max="2563" width="11.6640625" style="20" customWidth="1"/>
    <col min="2564" max="2564" width="9.109375" style="20"/>
    <col min="2565" max="2565" width="14.6640625" style="20" customWidth="1"/>
    <col min="2566" max="2566" width="10.6640625" style="20" customWidth="1"/>
    <col min="2567" max="2818" width="9.109375" style="20"/>
    <col min="2819" max="2819" width="11.6640625" style="20" customWidth="1"/>
    <col min="2820" max="2820" width="9.109375" style="20"/>
    <col min="2821" max="2821" width="14.6640625" style="20" customWidth="1"/>
    <col min="2822" max="2822" width="10.6640625" style="20" customWidth="1"/>
    <col min="2823" max="3074" width="9.109375" style="20"/>
    <col min="3075" max="3075" width="11.6640625" style="20" customWidth="1"/>
    <col min="3076" max="3076" width="9.109375" style="20"/>
    <col min="3077" max="3077" width="14.6640625" style="20" customWidth="1"/>
    <col min="3078" max="3078" width="10.6640625" style="20" customWidth="1"/>
    <col min="3079" max="3330" width="9.109375" style="20"/>
    <col min="3331" max="3331" width="11.6640625" style="20" customWidth="1"/>
    <col min="3332" max="3332" width="9.109375" style="20"/>
    <col min="3333" max="3333" width="14.6640625" style="20" customWidth="1"/>
    <col min="3334" max="3334" width="10.6640625" style="20" customWidth="1"/>
    <col min="3335" max="3586" width="9.109375" style="20"/>
    <col min="3587" max="3587" width="11.6640625" style="20" customWidth="1"/>
    <col min="3588" max="3588" width="9.109375" style="20"/>
    <col min="3589" max="3589" width="14.6640625" style="20" customWidth="1"/>
    <col min="3590" max="3590" width="10.6640625" style="20" customWidth="1"/>
    <col min="3591" max="3842" width="9.109375" style="20"/>
    <col min="3843" max="3843" width="11.6640625" style="20" customWidth="1"/>
    <col min="3844" max="3844" width="9.109375" style="20"/>
    <col min="3845" max="3845" width="14.6640625" style="20" customWidth="1"/>
    <col min="3846" max="3846" width="10.6640625" style="20" customWidth="1"/>
    <col min="3847" max="4098" width="9.109375" style="20"/>
    <col min="4099" max="4099" width="11.6640625" style="20" customWidth="1"/>
    <col min="4100" max="4100" width="9.109375" style="20"/>
    <col min="4101" max="4101" width="14.6640625" style="20" customWidth="1"/>
    <col min="4102" max="4102" width="10.6640625" style="20" customWidth="1"/>
    <col min="4103" max="4354" width="9.109375" style="20"/>
    <col min="4355" max="4355" width="11.6640625" style="20" customWidth="1"/>
    <col min="4356" max="4356" width="9.109375" style="20"/>
    <col min="4357" max="4357" width="14.6640625" style="20" customWidth="1"/>
    <col min="4358" max="4358" width="10.6640625" style="20" customWidth="1"/>
    <col min="4359" max="4610" width="9.109375" style="20"/>
    <col min="4611" max="4611" width="11.6640625" style="20" customWidth="1"/>
    <col min="4612" max="4612" width="9.109375" style="20"/>
    <col min="4613" max="4613" width="14.6640625" style="20" customWidth="1"/>
    <col min="4614" max="4614" width="10.6640625" style="20" customWidth="1"/>
    <col min="4615" max="4866" width="9.109375" style="20"/>
    <col min="4867" max="4867" width="11.6640625" style="20" customWidth="1"/>
    <col min="4868" max="4868" width="9.109375" style="20"/>
    <col min="4869" max="4869" width="14.6640625" style="20" customWidth="1"/>
    <col min="4870" max="4870" width="10.6640625" style="20" customWidth="1"/>
    <col min="4871" max="5122" width="9.109375" style="20"/>
    <col min="5123" max="5123" width="11.6640625" style="20" customWidth="1"/>
    <col min="5124" max="5124" width="9.109375" style="20"/>
    <col min="5125" max="5125" width="14.6640625" style="20" customWidth="1"/>
    <col min="5126" max="5126" width="10.6640625" style="20" customWidth="1"/>
    <col min="5127" max="5378" width="9.109375" style="20"/>
    <col min="5379" max="5379" width="11.6640625" style="20" customWidth="1"/>
    <col min="5380" max="5380" width="9.109375" style="20"/>
    <col min="5381" max="5381" width="14.6640625" style="20" customWidth="1"/>
    <col min="5382" max="5382" width="10.6640625" style="20" customWidth="1"/>
    <col min="5383" max="5634" width="9.109375" style="20"/>
    <col min="5635" max="5635" width="11.6640625" style="20" customWidth="1"/>
    <col min="5636" max="5636" width="9.109375" style="20"/>
    <col min="5637" max="5637" width="14.6640625" style="20" customWidth="1"/>
    <col min="5638" max="5638" width="10.6640625" style="20" customWidth="1"/>
    <col min="5639" max="5890" width="9.109375" style="20"/>
    <col min="5891" max="5891" width="11.6640625" style="20" customWidth="1"/>
    <col min="5892" max="5892" width="9.109375" style="20"/>
    <col min="5893" max="5893" width="14.6640625" style="20" customWidth="1"/>
    <col min="5894" max="5894" width="10.6640625" style="20" customWidth="1"/>
    <col min="5895" max="6146" width="9.109375" style="20"/>
    <col min="6147" max="6147" width="11.6640625" style="20" customWidth="1"/>
    <col min="6148" max="6148" width="9.109375" style="20"/>
    <col min="6149" max="6149" width="14.6640625" style="20" customWidth="1"/>
    <col min="6150" max="6150" width="10.6640625" style="20" customWidth="1"/>
    <col min="6151" max="6402" width="9.109375" style="20"/>
    <col min="6403" max="6403" width="11.6640625" style="20" customWidth="1"/>
    <col min="6404" max="6404" width="9.109375" style="20"/>
    <col min="6405" max="6405" width="14.6640625" style="20" customWidth="1"/>
    <col min="6406" max="6406" width="10.6640625" style="20" customWidth="1"/>
    <col min="6407" max="6658" width="9.109375" style="20"/>
    <col min="6659" max="6659" width="11.6640625" style="20" customWidth="1"/>
    <col min="6660" max="6660" width="9.109375" style="20"/>
    <col min="6661" max="6661" width="14.6640625" style="20" customWidth="1"/>
    <col min="6662" max="6662" width="10.6640625" style="20" customWidth="1"/>
    <col min="6663" max="6914" width="9.109375" style="20"/>
    <col min="6915" max="6915" width="11.6640625" style="20" customWidth="1"/>
    <col min="6916" max="6916" width="9.109375" style="20"/>
    <col min="6917" max="6917" width="14.6640625" style="20" customWidth="1"/>
    <col min="6918" max="6918" width="10.6640625" style="20" customWidth="1"/>
    <col min="6919" max="7170" width="9.109375" style="20"/>
    <col min="7171" max="7171" width="11.6640625" style="20" customWidth="1"/>
    <col min="7172" max="7172" width="9.109375" style="20"/>
    <col min="7173" max="7173" width="14.6640625" style="20" customWidth="1"/>
    <col min="7174" max="7174" width="10.6640625" style="20" customWidth="1"/>
    <col min="7175" max="7426" width="9.109375" style="20"/>
    <col min="7427" max="7427" width="11.6640625" style="20" customWidth="1"/>
    <col min="7428" max="7428" width="9.109375" style="20"/>
    <col min="7429" max="7429" width="14.6640625" style="20" customWidth="1"/>
    <col min="7430" max="7430" width="10.6640625" style="20" customWidth="1"/>
    <col min="7431" max="7682" width="9.109375" style="20"/>
    <col min="7683" max="7683" width="11.6640625" style="20" customWidth="1"/>
    <col min="7684" max="7684" width="9.109375" style="20"/>
    <col min="7685" max="7685" width="14.6640625" style="20" customWidth="1"/>
    <col min="7686" max="7686" width="10.6640625" style="20" customWidth="1"/>
    <col min="7687" max="7938" width="9.109375" style="20"/>
    <col min="7939" max="7939" width="11.6640625" style="20" customWidth="1"/>
    <col min="7940" max="7940" width="9.109375" style="20"/>
    <col min="7941" max="7941" width="14.6640625" style="20" customWidth="1"/>
    <col min="7942" max="7942" width="10.6640625" style="20" customWidth="1"/>
    <col min="7943" max="8194" width="9.109375" style="20"/>
    <col min="8195" max="8195" width="11.6640625" style="20" customWidth="1"/>
    <col min="8196" max="8196" width="9.109375" style="20"/>
    <col min="8197" max="8197" width="14.6640625" style="20" customWidth="1"/>
    <col min="8198" max="8198" width="10.6640625" style="20" customWidth="1"/>
    <col min="8199" max="8450" width="9.109375" style="20"/>
    <col min="8451" max="8451" width="11.6640625" style="20" customWidth="1"/>
    <col min="8452" max="8452" width="9.109375" style="20"/>
    <col min="8453" max="8453" width="14.6640625" style="20" customWidth="1"/>
    <col min="8454" max="8454" width="10.6640625" style="20" customWidth="1"/>
    <col min="8455" max="8706" width="9.109375" style="20"/>
    <col min="8707" max="8707" width="11.6640625" style="20" customWidth="1"/>
    <col min="8708" max="8708" width="9.109375" style="20"/>
    <col min="8709" max="8709" width="14.6640625" style="20" customWidth="1"/>
    <col min="8710" max="8710" width="10.6640625" style="20" customWidth="1"/>
    <col min="8711" max="8962" width="9.109375" style="20"/>
    <col min="8963" max="8963" width="11.6640625" style="20" customWidth="1"/>
    <col min="8964" max="8964" width="9.109375" style="20"/>
    <col min="8965" max="8965" width="14.6640625" style="20" customWidth="1"/>
    <col min="8966" max="8966" width="10.6640625" style="20" customWidth="1"/>
    <col min="8967" max="9218" width="9.109375" style="20"/>
    <col min="9219" max="9219" width="11.6640625" style="20" customWidth="1"/>
    <col min="9220" max="9220" width="9.109375" style="20"/>
    <col min="9221" max="9221" width="14.6640625" style="20" customWidth="1"/>
    <col min="9222" max="9222" width="10.6640625" style="20" customWidth="1"/>
    <col min="9223" max="9474" width="9.109375" style="20"/>
    <col min="9475" max="9475" width="11.6640625" style="20" customWidth="1"/>
    <col min="9476" max="9476" width="9.109375" style="20"/>
    <col min="9477" max="9477" width="14.6640625" style="20" customWidth="1"/>
    <col min="9478" max="9478" width="10.6640625" style="20" customWidth="1"/>
    <col min="9479" max="9730" width="9.109375" style="20"/>
    <col min="9731" max="9731" width="11.6640625" style="20" customWidth="1"/>
    <col min="9732" max="9732" width="9.109375" style="20"/>
    <col min="9733" max="9733" width="14.6640625" style="20" customWidth="1"/>
    <col min="9734" max="9734" width="10.6640625" style="20" customWidth="1"/>
    <col min="9735" max="9986" width="9.109375" style="20"/>
    <col min="9987" max="9987" width="11.6640625" style="20" customWidth="1"/>
    <col min="9988" max="9988" width="9.109375" style="20"/>
    <col min="9989" max="9989" width="14.6640625" style="20" customWidth="1"/>
    <col min="9990" max="9990" width="10.6640625" style="20" customWidth="1"/>
    <col min="9991" max="10242" width="9.109375" style="20"/>
    <col min="10243" max="10243" width="11.6640625" style="20" customWidth="1"/>
    <col min="10244" max="10244" width="9.109375" style="20"/>
    <col min="10245" max="10245" width="14.6640625" style="20" customWidth="1"/>
    <col min="10246" max="10246" width="10.6640625" style="20" customWidth="1"/>
    <col min="10247" max="10498" width="9.109375" style="20"/>
    <col min="10499" max="10499" width="11.6640625" style="20" customWidth="1"/>
    <col min="10500" max="10500" width="9.109375" style="20"/>
    <col min="10501" max="10501" width="14.6640625" style="20" customWidth="1"/>
    <col min="10502" max="10502" width="10.6640625" style="20" customWidth="1"/>
    <col min="10503" max="10754" width="9.109375" style="20"/>
    <col min="10755" max="10755" width="11.6640625" style="20" customWidth="1"/>
    <col min="10756" max="10756" width="9.109375" style="20"/>
    <col min="10757" max="10757" width="14.6640625" style="20" customWidth="1"/>
    <col min="10758" max="10758" width="10.6640625" style="20" customWidth="1"/>
    <col min="10759" max="11010" width="9.109375" style="20"/>
    <col min="11011" max="11011" width="11.6640625" style="20" customWidth="1"/>
    <col min="11012" max="11012" width="9.109375" style="20"/>
    <col min="11013" max="11013" width="14.6640625" style="20" customWidth="1"/>
    <col min="11014" max="11014" width="10.6640625" style="20" customWidth="1"/>
    <col min="11015" max="11266" width="9.109375" style="20"/>
    <col min="11267" max="11267" width="11.6640625" style="20" customWidth="1"/>
    <col min="11268" max="11268" width="9.109375" style="20"/>
    <col min="11269" max="11269" width="14.6640625" style="20" customWidth="1"/>
    <col min="11270" max="11270" width="10.6640625" style="20" customWidth="1"/>
    <col min="11271" max="11522" width="9.109375" style="20"/>
    <col min="11523" max="11523" width="11.6640625" style="20" customWidth="1"/>
    <col min="11524" max="11524" width="9.109375" style="20"/>
    <col min="11525" max="11525" width="14.6640625" style="20" customWidth="1"/>
    <col min="11526" max="11526" width="10.6640625" style="20" customWidth="1"/>
    <col min="11527" max="11778" width="9.109375" style="20"/>
    <col min="11779" max="11779" width="11.6640625" style="20" customWidth="1"/>
    <col min="11780" max="11780" width="9.109375" style="20"/>
    <col min="11781" max="11781" width="14.6640625" style="20" customWidth="1"/>
    <col min="11782" max="11782" width="10.6640625" style="20" customWidth="1"/>
    <col min="11783" max="12034" width="9.109375" style="20"/>
    <col min="12035" max="12035" width="11.6640625" style="20" customWidth="1"/>
    <col min="12036" max="12036" width="9.109375" style="20"/>
    <col min="12037" max="12037" width="14.6640625" style="20" customWidth="1"/>
    <col min="12038" max="12038" width="10.6640625" style="20" customWidth="1"/>
    <col min="12039" max="12290" width="9.109375" style="20"/>
    <col min="12291" max="12291" width="11.6640625" style="20" customWidth="1"/>
    <col min="12292" max="12292" width="9.109375" style="20"/>
    <col min="12293" max="12293" width="14.6640625" style="20" customWidth="1"/>
    <col min="12294" max="12294" width="10.6640625" style="20" customWidth="1"/>
    <col min="12295" max="12546" width="9.109375" style="20"/>
    <col min="12547" max="12547" width="11.6640625" style="20" customWidth="1"/>
    <col min="12548" max="12548" width="9.109375" style="20"/>
    <col min="12549" max="12549" width="14.6640625" style="20" customWidth="1"/>
    <col min="12550" max="12550" width="10.6640625" style="20" customWidth="1"/>
    <col min="12551" max="12802" width="9.109375" style="20"/>
    <col min="12803" max="12803" width="11.6640625" style="20" customWidth="1"/>
    <col min="12804" max="12804" width="9.109375" style="20"/>
    <col min="12805" max="12805" width="14.6640625" style="20" customWidth="1"/>
    <col min="12806" max="12806" width="10.6640625" style="20" customWidth="1"/>
    <col min="12807" max="13058" width="9.109375" style="20"/>
    <col min="13059" max="13059" width="11.6640625" style="20" customWidth="1"/>
    <col min="13060" max="13060" width="9.109375" style="20"/>
    <col min="13061" max="13061" width="14.6640625" style="20" customWidth="1"/>
    <col min="13062" max="13062" width="10.6640625" style="20" customWidth="1"/>
    <col min="13063" max="13314" width="9.109375" style="20"/>
    <col min="13315" max="13315" width="11.6640625" style="20" customWidth="1"/>
    <col min="13316" max="13316" width="9.109375" style="20"/>
    <col min="13317" max="13317" width="14.6640625" style="20" customWidth="1"/>
    <col min="13318" max="13318" width="10.6640625" style="20" customWidth="1"/>
    <col min="13319" max="13570" width="9.109375" style="20"/>
    <col min="13571" max="13571" width="11.6640625" style="20" customWidth="1"/>
    <col min="13572" max="13572" width="9.109375" style="20"/>
    <col min="13573" max="13573" width="14.6640625" style="20" customWidth="1"/>
    <col min="13574" max="13574" width="10.6640625" style="20" customWidth="1"/>
    <col min="13575" max="13826" width="9.109375" style="20"/>
    <col min="13827" max="13827" width="11.6640625" style="20" customWidth="1"/>
    <col min="13828" max="13828" width="9.109375" style="20"/>
    <col min="13829" max="13829" width="14.6640625" style="20" customWidth="1"/>
    <col min="13830" max="13830" width="10.6640625" style="20" customWidth="1"/>
    <col min="13831" max="14082" width="9.109375" style="20"/>
    <col min="14083" max="14083" width="11.6640625" style="20" customWidth="1"/>
    <col min="14084" max="14084" width="9.109375" style="20"/>
    <col min="14085" max="14085" width="14.6640625" style="20" customWidth="1"/>
    <col min="14086" max="14086" width="10.6640625" style="20" customWidth="1"/>
    <col min="14087" max="14338" width="9.109375" style="20"/>
    <col min="14339" max="14339" width="11.6640625" style="20" customWidth="1"/>
    <col min="14340" max="14340" width="9.109375" style="20"/>
    <col min="14341" max="14341" width="14.6640625" style="20" customWidth="1"/>
    <col min="14342" max="14342" width="10.6640625" style="20" customWidth="1"/>
    <col min="14343" max="14594" width="9.109375" style="20"/>
    <col min="14595" max="14595" width="11.6640625" style="20" customWidth="1"/>
    <col min="14596" max="14596" width="9.109375" style="20"/>
    <col min="14597" max="14597" width="14.6640625" style="20" customWidth="1"/>
    <col min="14598" max="14598" width="10.6640625" style="20" customWidth="1"/>
    <col min="14599" max="14850" width="9.109375" style="20"/>
    <col min="14851" max="14851" width="11.6640625" style="20" customWidth="1"/>
    <col min="14852" max="14852" width="9.109375" style="20"/>
    <col min="14853" max="14853" width="14.6640625" style="20" customWidth="1"/>
    <col min="14854" max="14854" width="10.6640625" style="20" customWidth="1"/>
    <col min="14855" max="15106" width="9.109375" style="20"/>
    <col min="15107" max="15107" width="11.6640625" style="20" customWidth="1"/>
    <col min="15108" max="15108" width="9.109375" style="20"/>
    <col min="15109" max="15109" width="14.6640625" style="20" customWidth="1"/>
    <col min="15110" max="15110" width="10.6640625" style="20" customWidth="1"/>
    <col min="15111" max="15362" width="9.109375" style="20"/>
    <col min="15363" max="15363" width="11.6640625" style="20" customWidth="1"/>
    <col min="15364" max="15364" width="9.109375" style="20"/>
    <col min="15365" max="15365" width="14.6640625" style="20" customWidth="1"/>
    <col min="15366" max="15366" width="10.6640625" style="20" customWidth="1"/>
    <col min="15367" max="15618" width="9.109375" style="20"/>
    <col min="15619" max="15619" width="11.6640625" style="20" customWidth="1"/>
    <col min="15620" max="15620" width="9.109375" style="20"/>
    <col min="15621" max="15621" width="14.6640625" style="20" customWidth="1"/>
    <col min="15622" max="15622" width="10.6640625" style="20" customWidth="1"/>
    <col min="15623" max="15874" width="9.109375" style="20"/>
    <col min="15875" max="15875" width="11.6640625" style="20" customWidth="1"/>
    <col min="15876" max="15876" width="9.109375" style="20"/>
    <col min="15877" max="15877" width="14.6640625" style="20" customWidth="1"/>
    <col min="15878" max="15878" width="10.6640625" style="20" customWidth="1"/>
    <col min="15879" max="16130" width="9.109375" style="20"/>
    <col min="16131" max="16131" width="11.6640625" style="20" customWidth="1"/>
    <col min="16132" max="16132" width="9.109375" style="20"/>
    <col min="16133" max="16133" width="14.6640625" style="20" customWidth="1"/>
    <col min="16134" max="16134" width="10.6640625" style="20" customWidth="1"/>
    <col min="16135" max="16384" width="9.109375" style="20"/>
  </cols>
  <sheetData>
    <row r="2" spans="1:13" x14ac:dyDescent="0.25">
      <c r="A2" s="21" t="s">
        <v>134</v>
      </c>
      <c r="B2" s="21" t="s">
        <v>135</v>
      </c>
      <c r="C2" s="21" t="s">
        <v>136</v>
      </c>
      <c r="D2" s="241" t="s">
        <v>137</v>
      </c>
      <c r="E2" s="241"/>
    </row>
    <row r="3" spans="1:13" x14ac:dyDescent="0.25">
      <c r="A3" s="24">
        <v>0</v>
      </c>
      <c r="B3" s="24">
        <v>0</v>
      </c>
      <c r="C3" s="24">
        <v>1</v>
      </c>
      <c r="D3" s="242">
        <v>7</v>
      </c>
      <c r="E3" s="242"/>
    </row>
    <row r="5" spans="1:13" hidden="1" x14ac:dyDescent="0.25">
      <c r="A5" s="20" t="s">
        <v>99</v>
      </c>
      <c r="B5" s="22" t="s">
        <v>154</v>
      </c>
      <c r="C5" s="22">
        <f>D3</f>
        <v>7</v>
      </c>
      <c r="D5" s="23"/>
    </row>
    <row r="6" spans="1:13" x14ac:dyDescent="0.25">
      <c r="A6" s="20" t="s">
        <v>100</v>
      </c>
      <c r="B6" s="25">
        <v>10</v>
      </c>
      <c r="C6" s="26">
        <v>3</v>
      </c>
      <c r="D6" s="27">
        <f>((100/B6)*C6)/100</f>
        <v>0.3</v>
      </c>
    </row>
    <row r="7" spans="1:13" x14ac:dyDescent="0.25">
      <c r="A7" s="20" t="s">
        <v>101</v>
      </c>
      <c r="B7" s="25">
        <f>A3+B3+C3+D3</f>
        <v>8</v>
      </c>
      <c r="C7" s="26">
        <v>0</v>
      </c>
      <c r="D7" s="27">
        <f t="shared" ref="D7:D12" si="0">((100/B7)*C7)/100</f>
        <v>0</v>
      </c>
      <c r="F7" s="243" t="s">
        <v>155</v>
      </c>
      <c r="G7" s="243"/>
      <c r="H7" s="28" t="s">
        <v>156</v>
      </c>
      <c r="J7" s="34"/>
    </row>
    <row r="8" spans="1:13" x14ac:dyDescent="0.25">
      <c r="A8" s="20" t="s">
        <v>106</v>
      </c>
      <c r="B8" s="25">
        <f>C5</f>
        <v>7</v>
      </c>
      <c r="C8" s="26">
        <v>0</v>
      </c>
      <c r="D8" s="27">
        <f t="shared" si="0"/>
        <v>0</v>
      </c>
      <c r="F8" s="240" t="s">
        <v>157</v>
      </c>
      <c r="G8" s="240"/>
      <c r="H8" s="25" t="s">
        <v>158</v>
      </c>
    </row>
    <row r="9" spans="1:13" x14ac:dyDescent="0.25">
      <c r="A9" s="20" t="s">
        <v>108</v>
      </c>
      <c r="B9" s="25">
        <f>C5</f>
        <v>7</v>
      </c>
      <c r="C9" s="26">
        <v>0</v>
      </c>
      <c r="D9" s="27">
        <f t="shared" si="0"/>
        <v>0</v>
      </c>
      <c r="F9" s="240" t="s">
        <v>159</v>
      </c>
      <c r="G9" s="240"/>
      <c r="H9" s="25" t="s">
        <v>160</v>
      </c>
    </row>
    <row r="10" spans="1:13" x14ac:dyDescent="0.25">
      <c r="A10" s="20" t="s">
        <v>68</v>
      </c>
      <c r="B10" s="25">
        <f>C5</f>
        <v>7</v>
      </c>
      <c r="C10" s="26">
        <v>0</v>
      </c>
      <c r="D10" s="27">
        <f t="shared" si="0"/>
        <v>0</v>
      </c>
      <c r="F10" s="240" t="s">
        <v>161</v>
      </c>
      <c r="G10" s="240"/>
      <c r="H10" s="25" t="s">
        <v>162</v>
      </c>
    </row>
    <row r="11" spans="1:13" x14ac:dyDescent="0.25">
      <c r="A11" s="29" t="s">
        <v>104</v>
      </c>
      <c r="B11" s="25">
        <f>C5</f>
        <v>7</v>
      </c>
      <c r="C11" s="26">
        <v>0</v>
      </c>
      <c r="D11" s="27">
        <f t="shared" si="0"/>
        <v>0</v>
      </c>
      <c r="F11" s="240" t="s">
        <v>163</v>
      </c>
      <c r="G11" s="240"/>
      <c r="H11" s="25" t="s">
        <v>164</v>
      </c>
    </row>
    <row r="12" spans="1:13" x14ac:dyDescent="0.25">
      <c r="A12" s="20" t="s">
        <v>69</v>
      </c>
      <c r="B12" s="25">
        <f>C5</f>
        <v>7</v>
      </c>
      <c r="C12" s="26">
        <v>0</v>
      </c>
      <c r="D12" s="27">
        <f t="shared" si="0"/>
        <v>0</v>
      </c>
      <c r="F12" s="240" t="s">
        <v>165</v>
      </c>
      <c r="G12" s="240"/>
      <c r="H12" s="25" t="s">
        <v>166</v>
      </c>
    </row>
    <row r="13" spans="1:13" x14ac:dyDescent="0.25">
      <c r="F13" s="240" t="s">
        <v>167</v>
      </c>
      <c r="G13" s="240"/>
      <c r="H13" s="25" t="s">
        <v>168</v>
      </c>
    </row>
    <row r="14" spans="1:13" hidden="1" x14ac:dyDescent="0.25">
      <c r="A14" s="21"/>
      <c r="B14" s="21" t="s">
        <v>105</v>
      </c>
      <c r="C14" s="21" t="s">
        <v>109</v>
      </c>
      <c r="G14" s="21" t="s">
        <v>100</v>
      </c>
      <c r="H14" s="21" t="s">
        <v>102</v>
      </c>
      <c r="I14" s="21" t="s">
        <v>103</v>
      </c>
      <c r="J14" s="21" t="s">
        <v>67</v>
      </c>
      <c r="K14" s="21" t="s">
        <v>68</v>
      </c>
      <c r="L14" s="21" t="s">
        <v>104</v>
      </c>
      <c r="M14" s="21" t="s">
        <v>69</v>
      </c>
    </row>
    <row r="15" spans="1:13" hidden="1" x14ac:dyDescent="0.25">
      <c r="A15" s="21" t="s">
        <v>65</v>
      </c>
      <c r="B15" s="21">
        <f>G15</f>
        <v>3</v>
      </c>
      <c r="C15" s="21">
        <f>G16</f>
        <v>23</v>
      </c>
      <c r="E15" s="241" t="s">
        <v>105</v>
      </c>
      <c r="F15" s="241"/>
      <c r="G15" s="30">
        <f>C6</f>
        <v>3</v>
      </c>
      <c r="H15" s="30">
        <f>40/B7*C7</f>
        <v>0</v>
      </c>
      <c r="I15" s="30">
        <f>15/B8*C8</f>
        <v>0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66</v>
      </c>
      <c r="B16" s="21">
        <f>H15</f>
        <v>0</v>
      </c>
      <c r="C16" s="21">
        <f>H16</f>
        <v>0</v>
      </c>
      <c r="E16" s="241" t="s">
        <v>107</v>
      </c>
      <c r="F16" s="241"/>
      <c r="G16" s="21">
        <f>G15+20</f>
        <v>23</v>
      </c>
      <c r="H16" s="21">
        <f>30/B7*C7</f>
        <v>0</v>
      </c>
      <c r="I16" s="21">
        <f>15/B8*C8</f>
        <v>0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103</v>
      </c>
      <c r="B17" s="21">
        <f>I15</f>
        <v>0</v>
      </c>
      <c r="C17" s="21">
        <f>I16</f>
        <v>0</v>
      </c>
    </row>
    <row r="18" spans="1:8" hidden="1" x14ac:dyDescent="0.25">
      <c r="A18" s="21" t="s">
        <v>67</v>
      </c>
      <c r="B18" s="21">
        <f>J15</f>
        <v>0</v>
      </c>
      <c r="C18" s="21">
        <f>J16</f>
        <v>0</v>
      </c>
    </row>
    <row r="19" spans="1:8" hidden="1" x14ac:dyDescent="0.25">
      <c r="A19" s="21" t="s">
        <v>68</v>
      </c>
      <c r="B19" s="21">
        <f>K15</f>
        <v>0</v>
      </c>
      <c r="C19" s="21">
        <f>K16</f>
        <v>0</v>
      </c>
    </row>
    <row r="20" spans="1:8" hidden="1" x14ac:dyDescent="0.25">
      <c r="A20" s="31" t="s">
        <v>104</v>
      </c>
      <c r="B20" s="21">
        <f>L15</f>
        <v>0</v>
      </c>
      <c r="C20" s="21">
        <f>L16</f>
        <v>0</v>
      </c>
    </row>
    <row r="21" spans="1:8" hidden="1" x14ac:dyDescent="0.25">
      <c r="A21" s="21" t="s">
        <v>69</v>
      </c>
      <c r="B21" s="21">
        <f>M15</f>
        <v>0</v>
      </c>
      <c r="C21" s="21">
        <f>M16</f>
        <v>0</v>
      </c>
    </row>
    <row r="22" spans="1:8" x14ac:dyDescent="0.25">
      <c r="A22" s="21" t="s">
        <v>110</v>
      </c>
      <c r="B22" s="32">
        <f>(B15+B16+B17+B18+B19+B20+B21)/100</f>
        <v>0.03</v>
      </c>
      <c r="C22" s="32">
        <f>(C15+C16+C17+C18+C19+C20+C21)/100</f>
        <v>0.23</v>
      </c>
      <c r="F22" s="240" t="s">
        <v>169</v>
      </c>
      <c r="G22" s="240"/>
      <c r="H22" s="25" t="s">
        <v>160</v>
      </c>
    </row>
    <row r="23" spans="1:8" x14ac:dyDescent="0.25">
      <c r="F23" s="240" t="s">
        <v>170</v>
      </c>
      <c r="G23" s="240"/>
      <c r="H23" s="25" t="s">
        <v>171</v>
      </c>
    </row>
    <row r="24" spans="1:8" x14ac:dyDescent="0.25">
      <c r="A24" s="20" t="s">
        <v>142</v>
      </c>
      <c r="B24" s="33">
        <v>0.01</v>
      </c>
      <c r="C24" s="33">
        <v>0.02</v>
      </c>
      <c r="F24" s="240" t="s">
        <v>172</v>
      </c>
      <c r="G24" s="240"/>
      <c r="H24" s="25" t="s">
        <v>173</v>
      </c>
    </row>
    <row r="25" spans="1:8" x14ac:dyDescent="0.25">
      <c r="A25" s="20" t="s">
        <v>143</v>
      </c>
      <c r="B25" s="33">
        <v>0.01</v>
      </c>
      <c r="C25" s="33">
        <v>0.03</v>
      </c>
    </row>
    <row r="26" spans="1:8" x14ac:dyDescent="0.25">
      <c r="A26" s="20" t="s">
        <v>144</v>
      </c>
      <c r="B26" s="33">
        <v>0.03</v>
      </c>
      <c r="C26" s="33">
        <v>0.08</v>
      </c>
    </row>
    <row r="27" spans="1:8" x14ac:dyDescent="0.25">
      <c r="A27" s="20" t="s">
        <v>145</v>
      </c>
      <c r="B27" s="33">
        <v>0.05</v>
      </c>
      <c r="C27" s="33">
        <v>0.15</v>
      </c>
    </row>
    <row r="28" spans="1:8" x14ac:dyDescent="0.25">
      <c r="A28" s="20" t="s">
        <v>146</v>
      </c>
      <c r="B28" s="33">
        <v>7.0000000000000007E-2</v>
      </c>
      <c r="C28" s="33">
        <v>0.2</v>
      </c>
    </row>
    <row r="29" spans="1:8" x14ac:dyDescent="0.25">
      <c r="A29" s="20" t="s">
        <v>147</v>
      </c>
      <c r="B29" s="33">
        <v>0.1</v>
      </c>
      <c r="C29" s="33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C7" sqref="C7"/>
    </sheetView>
  </sheetViews>
  <sheetFormatPr defaultRowHeight="13.8" x14ac:dyDescent="0.25"/>
  <cols>
    <col min="1" max="1" width="20.5546875" style="20" customWidth="1"/>
    <col min="2" max="2" width="11.6640625" style="20" customWidth="1"/>
    <col min="3" max="4" width="9.109375" style="20"/>
    <col min="5" max="5" width="10.109375" style="20" customWidth="1"/>
    <col min="6" max="6" width="10.6640625" style="20" customWidth="1"/>
    <col min="7" max="7" width="9.109375" style="20"/>
    <col min="8" max="8" width="10.44140625" style="20" customWidth="1"/>
    <col min="9" max="9" width="15.44140625" style="20" customWidth="1"/>
    <col min="10" max="258" width="9.109375" style="20"/>
    <col min="259" max="259" width="11.6640625" style="20" customWidth="1"/>
    <col min="260" max="260" width="9.109375" style="20"/>
    <col min="261" max="261" width="14.6640625" style="20" customWidth="1"/>
    <col min="262" max="262" width="10.6640625" style="20" customWidth="1"/>
    <col min="263" max="514" width="9.109375" style="20"/>
    <col min="515" max="515" width="11.6640625" style="20" customWidth="1"/>
    <col min="516" max="516" width="9.109375" style="20"/>
    <col min="517" max="517" width="14.6640625" style="20" customWidth="1"/>
    <col min="518" max="518" width="10.6640625" style="20" customWidth="1"/>
    <col min="519" max="770" width="9.109375" style="20"/>
    <col min="771" max="771" width="11.6640625" style="20" customWidth="1"/>
    <col min="772" max="772" width="9.109375" style="20"/>
    <col min="773" max="773" width="14.6640625" style="20" customWidth="1"/>
    <col min="774" max="774" width="10.6640625" style="20" customWidth="1"/>
    <col min="775" max="1026" width="9.109375" style="20"/>
    <col min="1027" max="1027" width="11.6640625" style="20" customWidth="1"/>
    <col min="1028" max="1028" width="9.109375" style="20"/>
    <col min="1029" max="1029" width="14.6640625" style="20" customWidth="1"/>
    <col min="1030" max="1030" width="10.6640625" style="20" customWidth="1"/>
    <col min="1031" max="1282" width="9.109375" style="20"/>
    <col min="1283" max="1283" width="11.6640625" style="20" customWidth="1"/>
    <col min="1284" max="1284" width="9.109375" style="20"/>
    <col min="1285" max="1285" width="14.6640625" style="20" customWidth="1"/>
    <col min="1286" max="1286" width="10.6640625" style="20" customWidth="1"/>
    <col min="1287" max="1538" width="9.109375" style="20"/>
    <col min="1539" max="1539" width="11.6640625" style="20" customWidth="1"/>
    <col min="1540" max="1540" width="9.109375" style="20"/>
    <col min="1541" max="1541" width="14.6640625" style="20" customWidth="1"/>
    <col min="1542" max="1542" width="10.6640625" style="20" customWidth="1"/>
    <col min="1543" max="1794" width="9.109375" style="20"/>
    <col min="1795" max="1795" width="11.6640625" style="20" customWidth="1"/>
    <col min="1796" max="1796" width="9.109375" style="20"/>
    <col min="1797" max="1797" width="14.6640625" style="20" customWidth="1"/>
    <col min="1798" max="1798" width="10.6640625" style="20" customWidth="1"/>
    <col min="1799" max="2050" width="9.109375" style="20"/>
    <col min="2051" max="2051" width="11.6640625" style="20" customWidth="1"/>
    <col min="2052" max="2052" width="9.109375" style="20"/>
    <col min="2053" max="2053" width="14.6640625" style="20" customWidth="1"/>
    <col min="2054" max="2054" width="10.6640625" style="20" customWidth="1"/>
    <col min="2055" max="2306" width="9.109375" style="20"/>
    <col min="2307" max="2307" width="11.6640625" style="20" customWidth="1"/>
    <col min="2308" max="2308" width="9.109375" style="20"/>
    <col min="2309" max="2309" width="14.6640625" style="20" customWidth="1"/>
    <col min="2310" max="2310" width="10.6640625" style="20" customWidth="1"/>
    <col min="2311" max="2562" width="9.109375" style="20"/>
    <col min="2563" max="2563" width="11.6640625" style="20" customWidth="1"/>
    <col min="2564" max="2564" width="9.109375" style="20"/>
    <col min="2565" max="2565" width="14.6640625" style="20" customWidth="1"/>
    <col min="2566" max="2566" width="10.6640625" style="20" customWidth="1"/>
    <col min="2567" max="2818" width="9.109375" style="20"/>
    <col min="2819" max="2819" width="11.6640625" style="20" customWidth="1"/>
    <col min="2820" max="2820" width="9.109375" style="20"/>
    <col min="2821" max="2821" width="14.6640625" style="20" customWidth="1"/>
    <col min="2822" max="2822" width="10.6640625" style="20" customWidth="1"/>
    <col min="2823" max="3074" width="9.109375" style="20"/>
    <col min="3075" max="3075" width="11.6640625" style="20" customWidth="1"/>
    <col min="3076" max="3076" width="9.109375" style="20"/>
    <col min="3077" max="3077" width="14.6640625" style="20" customWidth="1"/>
    <col min="3078" max="3078" width="10.6640625" style="20" customWidth="1"/>
    <col min="3079" max="3330" width="9.109375" style="20"/>
    <col min="3331" max="3331" width="11.6640625" style="20" customWidth="1"/>
    <col min="3332" max="3332" width="9.109375" style="20"/>
    <col min="3333" max="3333" width="14.6640625" style="20" customWidth="1"/>
    <col min="3334" max="3334" width="10.6640625" style="20" customWidth="1"/>
    <col min="3335" max="3586" width="9.109375" style="20"/>
    <col min="3587" max="3587" width="11.6640625" style="20" customWidth="1"/>
    <col min="3588" max="3588" width="9.109375" style="20"/>
    <col min="3589" max="3589" width="14.6640625" style="20" customWidth="1"/>
    <col min="3590" max="3590" width="10.6640625" style="20" customWidth="1"/>
    <col min="3591" max="3842" width="9.109375" style="20"/>
    <col min="3843" max="3843" width="11.6640625" style="20" customWidth="1"/>
    <col min="3844" max="3844" width="9.109375" style="20"/>
    <col min="3845" max="3845" width="14.6640625" style="20" customWidth="1"/>
    <col min="3846" max="3846" width="10.6640625" style="20" customWidth="1"/>
    <col min="3847" max="4098" width="9.109375" style="20"/>
    <col min="4099" max="4099" width="11.6640625" style="20" customWidth="1"/>
    <col min="4100" max="4100" width="9.109375" style="20"/>
    <col min="4101" max="4101" width="14.6640625" style="20" customWidth="1"/>
    <col min="4102" max="4102" width="10.6640625" style="20" customWidth="1"/>
    <col min="4103" max="4354" width="9.109375" style="20"/>
    <col min="4355" max="4355" width="11.6640625" style="20" customWidth="1"/>
    <col min="4356" max="4356" width="9.109375" style="20"/>
    <col min="4357" max="4357" width="14.6640625" style="20" customWidth="1"/>
    <col min="4358" max="4358" width="10.6640625" style="20" customWidth="1"/>
    <col min="4359" max="4610" width="9.109375" style="20"/>
    <col min="4611" max="4611" width="11.6640625" style="20" customWidth="1"/>
    <col min="4612" max="4612" width="9.109375" style="20"/>
    <col min="4613" max="4613" width="14.6640625" style="20" customWidth="1"/>
    <col min="4614" max="4614" width="10.6640625" style="20" customWidth="1"/>
    <col min="4615" max="4866" width="9.109375" style="20"/>
    <col min="4867" max="4867" width="11.6640625" style="20" customWidth="1"/>
    <col min="4868" max="4868" width="9.109375" style="20"/>
    <col min="4869" max="4869" width="14.6640625" style="20" customWidth="1"/>
    <col min="4870" max="4870" width="10.6640625" style="20" customWidth="1"/>
    <col min="4871" max="5122" width="9.109375" style="20"/>
    <col min="5123" max="5123" width="11.6640625" style="20" customWidth="1"/>
    <col min="5124" max="5124" width="9.109375" style="20"/>
    <col min="5125" max="5125" width="14.6640625" style="20" customWidth="1"/>
    <col min="5126" max="5126" width="10.6640625" style="20" customWidth="1"/>
    <col min="5127" max="5378" width="9.109375" style="20"/>
    <col min="5379" max="5379" width="11.6640625" style="20" customWidth="1"/>
    <col min="5380" max="5380" width="9.109375" style="20"/>
    <col min="5381" max="5381" width="14.6640625" style="20" customWidth="1"/>
    <col min="5382" max="5382" width="10.6640625" style="20" customWidth="1"/>
    <col min="5383" max="5634" width="9.109375" style="20"/>
    <col min="5635" max="5635" width="11.6640625" style="20" customWidth="1"/>
    <col min="5636" max="5636" width="9.109375" style="20"/>
    <col min="5637" max="5637" width="14.6640625" style="20" customWidth="1"/>
    <col min="5638" max="5638" width="10.6640625" style="20" customWidth="1"/>
    <col min="5639" max="5890" width="9.109375" style="20"/>
    <col min="5891" max="5891" width="11.6640625" style="20" customWidth="1"/>
    <col min="5892" max="5892" width="9.109375" style="20"/>
    <col min="5893" max="5893" width="14.6640625" style="20" customWidth="1"/>
    <col min="5894" max="5894" width="10.6640625" style="20" customWidth="1"/>
    <col min="5895" max="6146" width="9.109375" style="20"/>
    <col min="6147" max="6147" width="11.6640625" style="20" customWidth="1"/>
    <col min="6148" max="6148" width="9.109375" style="20"/>
    <col min="6149" max="6149" width="14.6640625" style="20" customWidth="1"/>
    <col min="6150" max="6150" width="10.6640625" style="20" customWidth="1"/>
    <col min="6151" max="6402" width="9.109375" style="20"/>
    <col min="6403" max="6403" width="11.6640625" style="20" customWidth="1"/>
    <col min="6404" max="6404" width="9.109375" style="20"/>
    <col min="6405" max="6405" width="14.6640625" style="20" customWidth="1"/>
    <col min="6406" max="6406" width="10.6640625" style="20" customWidth="1"/>
    <col min="6407" max="6658" width="9.109375" style="20"/>
    <col min="6659" max="6659" width="11.6640625" style="20" customWidth="1"/>
    <col min="6660" max="6660" width="9.109375" style="20"/>
    <col min="6661" max="6661" width="14.6640625" style="20" customWidth="1"/>
    <col min="6662" max="6662" width="10.6640625" style="20" customWidth="1"/>
    <col min="6663" max="6914" width="9.109375" style="20"/>
    <col min="6915" max="6915" width="11.6640625" style="20" customWidth="1"/>
    <col min="6916" max="6916" width="9.109375" style="20"/>
    <col min="6917" max="6917" width="14.6640625" style="20" customWidth="1"/>
    <col min="6918" max="6918" width="10.6640625" style="20" customWidth="1"/>
    <col min="6919" max="7170" width="9.109375" style="20"/>
    <col min="7171" max="7171" width="11.6640625" style="20" customWidth="1"/>
    <col min="7172" max="7172" width="9.109375" style="20"/>
    <col min="7173" max="7173" width="14.6640625" style="20" customWidth="1"/>
    <col min="7174" max="7174" width="10.6640625" style="20" customWidth="1"/>
    <col min="7175" max="7426" width="9.109375" style="20"/>
    <col min="7427" max="7427" width="11.6640625" style="20" customWidth="1"/>
    <col min="7428" max="7428" width="9.109375" style="20"/>
    <col min="7429" max="7429" width="14.6640625" style="20" customWidth="1"/>
    <col min="7430" max="7430" width="10.6640625" style="20" customWidth="1"/>
    <col min="7431" max="7682" width="9.109375" style="20"/>
    <col min="7683" max="7683" width="11.6640625" style="20" customWidth="1"/>
    <col min="7684" max="7684" width="9.109375" style="20"/>
    <col min="7685" max="7685" width="14.6640625" style="20" customWidth="1"/>
    <col min="7686" max="7686" width="10.6640625" style="20" customWidth="1"/>
    <col min="7687" max="7938" width="9.109375" style="20"/>
    <col min="7939" max="7939" width="11.6640625" style="20" customWidth="1"/>
    <col min="7940" max="7940" width="9.109375" style="20"/>
    <col min="7941" max="7941" width="14.6640625" style="20" customWidth="1"/>
    <col min="7942" max="7942" width="10.6640625" style="20" customWidth="1"/>
    <col min="7943" max="8194" width="9.109375" style="20"/>
    <col min="8195" max="8195" width="11.6640625" style="20" customWidth="1"/>
    <col min="8196" max="8196" width="9.109375" style="20"/>
    <col min="8197" max="8197" width="14.6640625" style="20" customWidth="1"/>
    <col min="8198" max="8198" width="10.6640625" style="20" customWidth="1"/>
    <col min="8199" max="8450" width="9.109375" style="20"/>
    <col min="8451" max="8451" width="11.6640625" style="20" customWidth="1"/>
    <col min="8452" max="8452" width="9.109375" style="20"/>
    <col min="8453" max="8453" width="14.6640625" style="20" customWidth="1"/>
    <col min="8454" max="8454" width="10.6640625" style="20" customWidth="1"/>
    <col min="8455" max="8706" width="9.109375" style="20"/>
    <col min="8707" max="8707" width="11.6640625" style="20" customWidth="1"/>
    <col min="8708" max="8708" width="9.109375" style="20"/>
    <col min="8709" max="8709" width="14.6640625" style="20" customWidth="1"/>
    <col min="8710" max="8710" width="10.6640625" style="20" customWidth="1"/>
    <col min="8711" max="8962" width="9.109375" style="20"/>
    <col min="8963" max="8963" width="11.6640625" style="20" customWidth="1"/>
    <col min="8964" max="8964" width="9.109375" style="20"/>
    <col min="8965" max="8965" width="14.6640625" style="20" customWidth="1"/>
    <col min="8966" max="8966" width="10.6640625" style="20" customWidth="1"/>
    <col min="8967" max="9218" width="9.109375" style="20"/>
    <col min="9219" max="9219" width="11.6640625" style="20" customWidth="1"/>
    <col min="9220" max="9220" width="9.109375" style="20"/>
    <col min="9221" max="9221" width="14.6640625" style="20" customWidth="1"/>
    <col min="9222" max="9222" width="10.6640625" style="20" customWidth="1"/>
    <col min="9223" max="9474" width="9.109375" style="20"/>
    <col min="9475" max="9475" width="11.6640625" style="20" customWidth="1"/>
    <col min="9476" max="9476" width="9.109375" style="20"/>
    <col min="9477" max="9477" width="14.6640625" style="20" customWidth="1"/>
    <col min="9478" max="9478" width="10.6640625" style="20" customWidth="1"/>
    <col min="9479" max="9730" width="9.109375" style="20"/>
    <col min="9731" max="9731" width="11.6640625" style="20" customWidth="1"/>
    <col min="9732" max="9732" width="9.109375" style="20"/>
    <col min="9733" max="9733" width="14.6640625" style="20" customWidth="1"/>
    <col min="9734" max="9734" width="10.6640625" style="20" customWidth="1"/>
    <col min="9735" max="9986" width="9.109375" style="20"/>
    <col min="9987" max="9987" width="11.6640625" style="20" customWidth="1"/>
    <col min="9988" max="9988" width="9.109375" style="20"/>
    <col min="9989" max="9989" width="14.6640625" style="20" customWidth="1"/>
    <col min="9990" max="9990" width="10.6640625" style="20" customWidth="1"/>
    <col min="9991" max="10242" width="9.109375" style="20"/>
    <col min="10243" max="10243" width="11.6640625" style="20" customWidth="1"/>
    <col min="10244" max="10244" width="9.109375" style="20"/>
    <col min="10245" max="10245" width="14.6640625" style="20" customWidth="1"/>
    <col min="10246" max="10246" width="10.6640625" style="20" customWidth="1"/>
    <col min="10247" max="10498" width="9.109375" style="20"/>
    <col min="10499" max="10499" width="11.6640625" style="20" customWidth="1"/>
    <col min="10500" max="10500" width="9.109375" style="20"/>
    <col min="10501" max="10501" width="14.6640625" style="20" customWidth="1"/>
    <col min="10502" max="10502" width="10.6640625" style="20" customWidth="1"/>
    <col min="10503" max="10754" width="9.109375" style="20"/>
    <col min="10755" max="10755" width="11.6640625" style="20" customWidth="1"/>
    <col min="10756" max="10756" width="9.109375" style="20"/>
    <col min="10757" max="10757" width="14.6640625" style="20" customWidth="1"/>
    <col min="10758" max="10758" width="10.6640625" style="20" customWidth="1"/>
    <col min="10759" max="11010" width="9.109375" style="20"/>
    <col min="11011" max="11011" width="11.6640625" style="20" customWidth="1"/>
    <col min="11012" max="11012" width="9.109375" style="20"/>
    <col min="11013" max="11013" width="14.6640625" style="20" customWidth="1"/>
    <col min="11014" max="11014" width="10.6640625" style="20" customWidth="1"/>
    <col min="11015" max="11266" width="9.109375" style="20"/>
    <col min="11267" max="11267" width="11.6640625" style="20" customWidth="1"/>
    <col min="11268" max="11268" width="9.109375" style="20"/>
    <col min="11269" max="11269" width="14.6640625" style="20" customWidth="1"/>
    <col min="11270" max="11270" width="10.6640625" style="20" customWidth="1"/>
    <col min="11271" max="11522" width="9.109375" style="20"/>
    <col min="11523" max="11523" width="11.6640625" style="20" customWidth="1"/>
    <col min="11524" max="11524" width="9.109375" style="20"/>
    <col min="11525" max="11525" width="14.6640625" style="20" customWidth="1"/>
    <col min="11526" max="11526" width="10.6640625" style="20" customWidth="1"/>
    <col min="11527" max="11778" width="9.109375" style="20"/>
    <col min="11779" max="11779" width="11.6640625" style="20" customWidth="1"/>
    <col min="11780" max="11780" width="9.109375" style="20"/>
    <col min="11781" max="11781" width="14.6640625" style="20" customWidth="1"/>
    <col min="11782" max="11782" width="10.6640625" style="20" customWidth="1"/>
    <col min="11783" max="12034" width="9.109375" style="20"/>
    <col min="12035" max="12035" width="11.6640625" style="20" customWidth="1"/>
    <col min="12036" max="12036" width="9.109375" style="20"/>
    <col min="12037" max="12037" width="14.6640625" style="20" customWidth="1"/>
    <col min="12038" max="12038" width="10.6640625" style="20" customWidth="1"/>
    <col min="12039" max="12290" width="9.109375" style="20"/>
    <col min="12291" max="12291" width="11.6640625" style="20" customWidth="1"/>
    <col min="12292" max="12292" width="9.109375" style="20"/>
    <col min="12293" max="12293" width="14.6640625" style="20" customWidth="1"/>
    <col min="12294" max="12294" width="10.6640625" style="20" customWidth="1"/>
    <col min="12295" max="12546" width="9.109375" style="20"/>
    <col min="12547" max="12547" width="11.6640625" style="20" customWidth="1"/>
    <col min="12548" max="12548" width="9.109375" style="20"/>
    <col min="12549" max="12549" width="14.6640625" style="20" customWidth="1"/>
    <col min="12550" max="12550" width="10.6640625" style="20" customWidth="1"/>
    <col min="12551" max="12802" width="9.109375" style="20"/>
    <col min="12803" max="12803" width="11.6640625" style="20" customWidth="1"/>
    <col min="12804" max="12804" width="9.109375" style="20"/>
    <col min="12805" max="12805" width="14.6640625" style="20" customWidth="1"/>
    <col min="12806" max="12806" width="10.6640625" style="20" customWidth="1"/>
    <col min="12807" max="13058" width="9.109375" style="20"/>
    <col min="13059" max="13059" width="11.6640625" style="20" customWidth="1"/>
    <col min="13060" max="13060" width="9.109375" style="20"/>
    <col min="13061" max="13061" width="14.6640625" style="20" customWidth="1"/>
    <col min="13062" max="13062" width="10.6640625" style="20" customWidth="1"/>
    <col min="13063" max="13314" width="9.109375" style="20"/>
    <col min="13315" max="13315" width="11.6640625" style="20" customWidth="1"/>
    <col min="13316" max="13316" width="9.109375" style="20"/>
    <col min="13317" max="13317" width="14.6640625" style="20" customWidth="1"/>
    <col min="13318" max="13318" width="10.6640625" style="20" customWidth="1"/>
    <col min="13319" max="13570" width="9.109375" style="20"/>
    <col min="13571" max="13571" width="11.6640625" style="20" customWidth="1"/>
    <col min="13572" max="13572" width="9.109375" style="20"/>
    <col min="13573" max="13573" width="14.6640625" style="20" customWidth="1"/>
    <col min="13574" max="13574" width="10.6640625" style="20" customWidth="1"/>
    <col min="13575" max="13826" width="9.109375" style="20"/>
    <col min="13827" max="13827" width="11.6640625" style="20" customWidth="1"/>
    <col min="13828" max="13828" width="9.109375" style="20"/>
    <col min="13829" max="13829" width="14.6640625" style="20" customWidth="1"/>
    <col min="13830" max="13830" width="10.6640625" style="20" customWidth="1"/>
    <col min="13831" max="14082" width="9.109375" style="20"/>
    <col min="14083" max="14083" width="11.6640625" style="20" customWidth="1"/>
    <col min="14084" max="14084" width="9.109375" style="20"/>
    <col min="14085" max="14085" width="14.6640625" style="20" customWidth="1"/>
    <col min="14086" max="14086" width="10.6640625" style="20" customWidth="1"/>
    <col min="14087" max="14338" width="9.109375" style="20"/>
    <col min="14339" max="14339" width="11.6640625" style="20" customWidth="1"/>
    <col min="14340" max="14340" width="9.109375" style="20"/>
    <col min="14341" max="14341" width="14.6640625" style="20" customWidth="1"/>
    <col min="14342" max="14342" width="10.6640625" style="20" customWidth="1"/>
    <col min="14343" max="14594" width="9.109375" style="20"/>
    <col min="14595" max="14595" width="11.6640625" style="20" customWidth="1"/>
    <col min="14596" max="14596" width="9.109375" style="20"/>
    <col min="14597" max="14597" width="14.6640625" style="20" customWidth="1"/>
    <col min="14598" max="14598" width="10.6640625" style="20" customWidth="1"/>
    <col min="14599" max="14850" width="9.109375" style="20"/>
    <col min="14851" max="14851" width="11.6640625" style="20" customWidth="1"/>
    <col min="14852" max="14852" width="9.109375" style="20"/>
    <col min="14853" max="14853" width="14.6640625" style="20" customWidth="1"/>
    <col min="14854" max="14854" width="10.6640625" style="20" customWidth="1"/>
    <col min="14855" max="15106" width="9.109375" style="20"/>
    <col min="15107" max="15107" width="11.6640625" style="20" customWidth="1"/>
    <col min="15108" max="15108" width="9.109375" style="20"/>
    <col min="15109" max="15109" width="14.6640625" style="20" customWidth="1"/>
    <col min="15110" max="15110" width="10.6640625" style="20" customWidth="1"/>
    <col min="15111" max="15362" width="9.109375" style="20"/>
    <col min="15363" max="15363" width="11.6640625" style="20" customWidth="1"/>
    <col min="15364" max="15364" width="9.109375" style="20"/>
    <col min="15365" max="15365" width="14.6640625" style="20" customWidth="1"/>
    <col min="15366" max="15366" width="10.6640625" style="20" customWidth="1"/>
    <col min="15367" max="15618" width="9.109375" style="20"/>
    <col min="15619" max="15619" width="11.6640625" style="20" customWidth="1"/>
    <col min="15620" max="15620" width="9.109375" style="20"/>
    <col min="15621" max="15621" width="14.6640625" style="20" customWidth="1"/>
    <col min="15622" max="15622" width="10.6640625" style="20" customWidth="1"/>
    <col min="15623" max="15874" width="9.109375" style="20"/>
    <col min="15875" max="15875" width="11.6640625" style="20" customWidth="1"/>
    <col min="15876" max="15876" width="9.109375" style="20"/>
    <col min="15877" max="15877" width="14.6640625" style="20" customWidth="1"/>
    <col min="15878" max="15878" width="10.6640625" style="20" customWidth="1"/>
    <col min="15879" max="16130" width="9.109375" style="20"/>
    <col min="16131" max="16131" width="11.6640625" style="20" customWidth="1"/>
    <col min="16132" max="16132" width="9.109375" style="20"/>
    <col min="16133" max="16133" width="14.6640625" style="20" customWidth="1"/>
    <col min="16134" max="16134" width="10.6640625" style="20" customWidth="1"/>
    <col min="16135" max="16384" width="9.109375" style="20"/>
  </cols>
  <sheetData>
    <row r="2" spans="1:13" x14ac:dyDescent="0.25">
      <c r="A2" s="21" t="s">
        <v>134</v>
      </c>
      <c r="B2" s="21" t="s">
        <v>135</v>
      </c>
      <c r="C2" s="21" t="s">
        <v>136</v>
      </c>
      <c r="D2" s="241" t="s">
        <v>137</v>
      </c>
      <c r="E2" s="241"/>
    </row>
    <row r="3" spans="1:13" x14ac:dyDescent="0.25">
      <c r="A3" s="24">
        <v>0</v>
      </c>
      <c r="B3" s="24">
        <v>0</v>
      </c>
      <c r="C3" s="24">
        <v>1</v>
      </c>
      <c r="D3" s="242">
        <v>7</v>
      </c>
      <c r="E3" s="242"/>
    </row>
    <row r="5" spans="1:13" hidden="1" x14ac:dyDescent="0.25">
      <c r="A5" s="20" t="s">
        <v>99</v>
      </c>
      <c r="B5" s="22" t="s">
        <v>154</v>
      </c>
      <c r="C5" s="22">
        <f>D3</f>
        <v>7</v>
      </c>
      <c r="D5" s="23"/>
    </row>
    <row r="6" spans="1:13" x14ac:dyDescent="0.25">
      <c r="A6" s="20" t="s">
        <v>100</v>
      </c>
      <c r="B6" s="25">
        <v>10</v>
      </c>
      <c r="C6" s="26">
        <v>10</v>
      </c>
      <c r="D6" s="27">
        <f>((100/B6)*C6)/100</f>
        <v>1</v>
      </c>
    </row>
    <row r="7" spans="1:13" x14ac:dyDescent="0.25">
      <c r="A7" s="20" t="s">
        <v>101</v>
      </c>
      <c r="B7" s="25">
        <f>A3+B3+C3+D3</f>
        <v>8</v>
      </c>
      <c r="C7" s="26">
        <v>3</v>
      </c>
      <c r="D7" s="27">
        <f t="shared" ref="D7:D12" si="0">((100/B7)*C7)/100</f>
        <v>0.375</v>
      </c>
      <c r="F7" s="243" t="s">
        <v>155</v>
      </c>
      <c r="G7" s="243"/>
      <c r="H7" s="28" t="s">
        <v>156</v>
      </c>
      <c r="J7" s="34"/>
    </row>
    <row r="8" spans="1:13" x14ac:dyDescent="0.25">
      <c r="A8" s="20" t="s">
        <v>106</v>
      </c>
      <c r="B8" s="25">
        <f>C5</f>
        <v>7</v>
      </c>
      <c r="C8" s="26">
        <v>0</v>
      </c>
      <c r="D8" s="27">
        <f t="shared" si="0"/>
        <v>0</v>
      </c>
      <c r="F8" s="240" t="s">
        <v>157</v>
      </c>
      <c r="G8" s="240"/>
      <c r="H8" s="25" t="s">
        <v>158</v>
      </c>
    </row>
    <row r="9" spans="1:13" x14ac:dyDescent="0.25">
      <c r="A9" s="20" t="s">
        <v>108</v>
      </c>
      <c r="B9" s="25">
        <f>C5</f>
        <v>7</v>
      </c>
      <c r="C9" s="26">
        <v>0</v>
      </c>
      <c r="D9" s="27">
        <f t="shared" si="0"/>
        <v>0</v>
      </c>
      <c r="F9" s="240" t="s">
        <v>159</v>
      </c>
      <c r="G9" s="240"/>
      <c r="H9" s="25" t="s">
        <v>160</v>
      </c>
    </row>
    <row r="10" spans="1:13" x14ac:dyDescent="0.25">
      <c r="A10" s="20" t="s">
        <v>68</v>
      </c>
      <c r="B10" s="25">
        <f>C5</f>
        <v>7</v>
      </c>
      <c r="C10" s="26">
        <v>0</v>
      </c>
      <c r="D10" s="27">
        <f t="shared" si="0"/>
        <v>0</v>
      </c>
      <c r="F10" s="240" t="s">
        <v>161</v>
      </c>
      <c r="G10" s="240"/>
      <c r="H10" s="25" t="s">
        <v>162</v>
      </c>
    </row>
    <row r="11" spans="1:13" x14ac:dyDescent="0.25">
      <c r="A11" s="29" t="s">
        <v>104</v>
      </c>
      <c r="B11" s="25">
        <f>C5</f>
        <v>7</v>
      </c>
      <c r="C11" s="26">
        <v>0</v>
      </c>
      <c r="D11" s="27">
        <f t="shared" si="0"/>
        <v>0</v>
      </c>
      <c r="F11" s="240" t="s">
        <v>163</v>
      </c>
      <c r="G11" s="240"/>
      <c r="H11" s="25" t="s">
        <v>164</v>
      </c>
    </row>
    <row r="12" spans="1:13" x14ac:dyDescent="0.25">
      <c r="A12" s="20" t="s">
        <v>69</v>
      </c>
      <c r="B12" s="25">
        <f>C5</f>
        <v>7</v>
      </c>
      <c r="C12" s="26">
        <v>0</v>
      </c>
      <c r="D12" s="27">
        <f t="shared" si="0"/>
        <v>0</v>
      </c>
      <c r="F12" s="240" t="s">
        <v>165</v>
      </c>
      <c r="G12" s="240"/>
      <c r="H12" s="25" t="s">
        <v>166</v>
      </c>
    </row>
    <row r="13" spans="1:13" x14ac:dyDescent="0.25">
      <c r="F13" s="240" t="s">
        <v>167</v>
      </c>
      <c r="G13" s="240"/>
      <c r="H13" s="25" t="s">
        <v>168</v>
      </c>
    </row>
    <row r="14" spans="1:13" hidden="1" x14ac:dyDescent="0.25">
      <c r="A14" s="21"/>
      <c r="B14" s="21" t="s">
        <v>105</v>
      </c>
      <c r="C14" s="21" t="s">
        <v>109</v>
      </c>
      <c r="G14" s="21" t="s">
        <v>100</v>
      </c>
      <c r="H14" s="21" t="s">
        <v>102</v>
      </c>
      <c r="I14" s="21" t="s">
        <v>103</v>
      </c>
      <c r="J14" s="21" t="s">
        <v>67</v>
      </c>
      <c r="K14" s="21" t="s">
        <v>68</v>
      </c>
      <c r="L14" s="21" t="s">
        <v>104</v>
      </c>
      <c r="M14" s="21" t="s">
        <v>69</v>
      </c>
    </row>
    <row r="15" spans="1:13" hidden="1" x14ac:dyDescent="0.25">
      <c r="A15" s="21" t="s">
        <v>65</v>
      </c>
      <c r="B15" s="21">
        <f>G15</f>
        <v>10</v>
      </c>
      <c r="C15" s="21">
        <f>G16</f>
        <v>30</v>
      </c>
      <c r="E15" s="241" t="s">
        <v>105</v>
      </c>
      <c r="F15" s="241"/>
      <c r="G15" s="30">
        <f>C6</f>
        <v>10</v>
      </c>
      <c r="H15" s="30">
        <f>40/B7*C7</f>
        <v>15</v>
      </c>
      <c r="I15" s="30">
        <f>15/B8*C8</f>
        <v>0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66</v>
      </c>
      <c r="B16" s="21">
        <f>H15</f>
        <v>15</v>
      </c>
      <c r="C16" s="21">
        <f>H16</f>
        <v>11.25</v>
      </c>
      <c r="E16" s="241" t="s">
        <v>107</v>
      </c>
      <c r="F16" s="241"/>
      <c r="G16" s="21">
        <f>G15+20</f>
        <v>30</v>
      </c>
      <c r="H16" s="21">
        <f>30/B7*C7</f>
        <v>11.25</v>
      </c>
      <c r="I16" s="21">
        <f>15/B8*C8</f>
        <v>0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103</v>
      </c>
      <c r="B17" s="21">
        <f>I15</f>
        <v>0</v>
      </c>
      <c r="C17" s="21">
        <f>I16</f>
        <v>0</v>
      </c>
    </row>
    <row r="18" spans="1:8" hidden="1" x14ac:dyDescent="0.25">
      <c r="A18" s="21" t="s">
        <v>67</v>
      </c>
      <c r="B18" s="21">
        <f>J15</f>
        <v>0</v>
      </c>
      <c r="C18" s="21">
        <f>J16</f>
        <v>0</v>
      </c>
    </row>
    <row r="19" spans="1:8" hidden="1" x14ac:dyDescent="0.25">
      <c r="A19" s="21" t="s">
        <v>68</v>
      </c>
      <c r="B19" s="21">
        <f>K15</f>
        <v>0</v>
      </c>
      <c r="C19" s="21">
        <f>K16</f>
        <v>0</v>
      </c>
    </row>
    <row r="20" spans="1:8" hidden="1" x14ac:dyDescent="0.25">
      <c r="A20" s="31" t="s">
        <v>104</v>
      </c>
      <c r="B20" s="21">
        <f>L15</f>
        <v>0</v>
      </c>
      <c r="C20" s="21">
        <f>L16</f>
        <v>0</v>
      </c>
    </row>
    <row r="21" spans="1:8" hidden="1" x14ac:dyDescent="0.25">
      <c r="A21" s="21" t="s">
        <v>69</v>
      </c>
      <c r="B21" s="21">
        <f>M15</f>
        <v>0</v>
      </c>
      <c r="C21" s="21">
        <f>M16</f>
        <v>0</v>
      </c>
    </row>
    <row r="22" spans="1:8" x14ac:dyDescent="0.25">
      <c r="A22" s="21" t="s">
        <v>110</v>
      </c>
      <c r="B22" s="32">
        <f>(B15+B16+B17+B18+B19+B20+B21)/100</f>
        <v>0.25</v>
      </c>
      <c r="C22" s="32">
        <f>(C15+C16+C17+C18+C19+C20+C21)/100</f>
        <v>0.41249999999999998</v>
      </c>
      <c r="F22" s="240" t="s">
        <v>169</v>
      </c>
      <c r="G22" s="240"/>
      <c r="H22" s="25" t="s">
        <v>160</v>
      </c>
    </row>
    <row r="23" spans="1:8" x14ac:dyDescent="0.25">
      <c r="F23" s="240" t="s">
        <v>170</v>
      </c>
      <c r="G23" s="240"/>
      <c r="H23" s="25" t="s">
        <v>171</v>
      </c>
    </row>
    <row r="24" spans="1:8" x14ac:dyDescent="0.25">
      <c r="A24" s="20" t="s">
        <v>142</v>
      </c>
      <c r="B24" s="33">
        <v>0.01</v>
      </c>
      <c r="C24" s="33">
        <v>0.02</v>
      </c>
      <c r="F24" s="240" t="s">
        <v>172</v>
      </c>
      <c r="G24" s="240"/>
      <c r="H24" s="25" t="s">
        <v>173</v>
      </c>
    </row>
    <row r="25" spans="1:8" x14ac:dyDescent="0.25">
      <c r="A25" s="20" t="s">
        <v>143</v>
      </c>
      <c r="B25" s="33">
        <v>0.01</v>
      </c>
      <c r="C25" s="33">
        <v>0.03</v>
      </c>
    </row>
    <row r="26" spans="1:8" x14ac:dyDescent="0.25">
      <c r="A26" s="20" t="s">
        <v>144</v>
      </c>
      <c r="B26" s="33">
        <v>0.03</v>
      </c>
      <c r="C26" s="33">
        <v>0.08</v>
      </c>
    </row>
    <row r="27" spans="1:8" x14ac:dyDescent="0.25">
      <c r="A27" s="20" t="s">
        <v>145</v>
      </c>
      <c r="B27" s="33">
        <v>0.05</v>
      </c>
      <c r="C27" s="33">
        <v>0.15</v>
      </c>
    </row>
    <row r="28" spans="1:8" x14ac:dyDescent="0.25">
      <c r="A28" s="20" t="s">
        <v>146</v>
      </c>
      <c r="B28" s="33">
        <v>7.0000000000000007E-2</v>
      </c>
      <c r="C28" s="33">
        <v>0.2</v>
      </c>
    </row>
    <row r="29" spans="1:8" x14ac:dyDescent="0.25">
      <c r="A29" s="20" t="s">
        <v>147</v>
      </c>
      <c r="B29" s="33">
        <v>0.1</v>
      </c>
      <c r="C29" s="33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9"/>
  <sheetViews>
    <sheetView workbookViewId="0">
      <selection activeCell="C9" sqref="C9"/>
    </sheetView>
  </sheetViews>
  <sheetFormatPr defaultRowHeight="13.8" x14ac:dyDescent="0.25"/>
  <cols>
    <col min="1" max="1" width="20.5546875" style="20" customWidth="1"/>
    <col min="2" max="2" width="11.6640625" style="20" customWidth="1"/>
    <col min="3" max="4" width="9.109375" style="20"/>
    <col min="5" max="5" width="10.109375" style="20" customWidth="1"/>
    <col min="6" max="6" width="10.6640625" style="20" customWidth="1"/>
    <col min="7" max="7" width="9.109375" style="20"/>
    <col min="8" max="8" width="10.44140625" style="20" customWidth="1"/>
    <col min="9" max="9" width="15.44140625" style="20" customWidth="1"/>
    <col min="10" max="258" width="9.109375" style="20"/>
    <col min="259" max="259" width="11.6640625" style="20" customWidth="1"/>
    <col min="260" max="260" width="9.109375" style="20"/>
    <col min="261" max="261" width="14.6640625" style="20" customWidth="1"/>
    <col min="262" max="262" width="10.6640625" style="20" customWidth="1"/>
    <col min="263" max="514" width="9.109375" style="20"/>
    <col min="515" max="515" width="11.6640625" style="20" customWidth="1"/>
    <col min="516" max="516" width="9.109375" style="20"/>
    <col min="517" max="517" width="14.6640625" style="20" customWidth="1"/>
    <col min="518" max="518" width="10.6640625" style="20" customWidth="1"/>
    <col min="519" max="770" width="9.109375" style="20"/>
    <col min="771" max="771" width="11.6640625" style="20" customWidth="1"/>
    <col min="772" max="772" width="9.109375" style="20"/>
    <col min="773" max="773" width="14.6640625" style="20" customWidth="1"/>
    <col min="774" max="774" width="10.6640625" style="20" customWidth="1"/>
    <col min="775" max="1026" width="9.109375" style="20"/>
    <col min="1027" max="1027" width="11.6640625" style="20" customWidth="1"/>
    <col min="1028" max="1028" width="9.109375" style="20"/>
    <col min="1029" max="1029" width="14.6640625" style="20" customWidth="1"/>
    <col min="1030" max="1030" width="10.6640625" style="20" customWidth="1"/>
    <col min="1031" max="1282" width="9.109375" style="20"/>
    <col min="1283" max="1283" width="11.6640625" style="20" customWidth="1"/>
    <col min="1284" max="1284" width="9.109375" style="20"/>
    <col min="1285" max="1285" width="14.6640625" style="20" customWidth="1"/>
    <col min="1286" max="1286" width="10.6640625" style="20" customWidth="1"/>
    <col min="1287" max="1538" width="9.109375" style="20"/>
    <col min="1539" max="1539" width="11.6640625" style="20" customWidth="1"/>
    <col min="1540" max="1540" width="9.109375" style="20"/>
    <col min="1541" max="1541" width="14.6640625" style="20" customWidth="1"/>
    <col min="1542" max="1542" width="10.6640625" style="20" customWidth="1"/>
    <col min="1543" max="1794" width="9.109375" style="20"/>
    <col min="1795" max="1795" width="11.6640625" style="20" customWidth="1"/>
    <col min="1796" max="1796" width="9.109375" style="20"/>
    <col min="1797" max="1797" width="14.6640625" style="20" customWidth="1"/>
    <col min="1798" max="1798" width="10.6640625" style="20" customWidth="1"/>
    <col min="1799" max="2050" width="9.109375" style="20"/>
    <col min="2051" max="2051" width="11.6640625" style="20" customWidth="1"/>
    <col min="2052" max="2052" width="9.109375" style="20"/>
    <col min="2053" max="2053" width="14.6640625" style="20" customWidth="1"/>
    <col min="2054" max="2054" width="10.6640625" style="20" customWidth="1"/>
    <col min="2055" max="2306" width="9.109375" style="20"/>
    <col min="2307" max="2307" width="11.6640625" style="20" customWidth="1"/>
    <col min="2308" max="2308" width="9.109375" style="20"/>
    <col min="2309" max="2309" width="14.6640625" style="20" customWidth="1"/>
    <col min="2310" max="2310" width="10.6640625" style="20" customWidth="1"/>
    <col min="2311" max="2562" width="9.109375" style="20"/>
    <col min="2563" max="2563" width="11.6640625" style="20" customWidth="1"/>
    <col min="2564" max="2564" width="9.109375" style="20"/>
    <col min="2565" max="2565" width="14.6640625" style="20" customWidth="1"/>
    <col min="2566" max="2566" width="10.6640625" style="20" customWidth="1"/>
    <col min="2567" max="2818" width="9.109375" style="20"/>
    <col min="2819" max="2819" width="11.6640625" style="20" customWidth="1"/>
    <col min="2820" max="2820" width="9.109375" style="20"/>
    <col min="2821" max="2821" width="14.6640625" style="20" customWidth="1"/>
    <col min="2822" max="2822" width="10.6640625" style="20" customWidth="1"/>
    <col min="2823" max="3074" width="9.109375" style="20"/>
    <col min="3075" max="3075" width="11.6640625" style="20" customWidth="1"/>
    <col min="3076" max="3076" width="9.109375" style="20"/>
    <col min="3077" max="3077" width="14.6640625" style="20" customWidth="1"/>
    <col min="3078" max="3078" width="10.6640625" style="20" customWidth="1"/>
    <col min="3079" max="3330" width="9.109375" style="20"/>
    <col min="3331" max="3331" width="11.6640625" style="20" customWidth="1"/>
    <col min="3332" max="3332" width="9.109375" style="20"/>
    <col min="3333" max="3333" width="14.6640625" style="20" customWidth="1"/>
    <col min="3334" max="3334" width="10.6640625" style="20" customWidth="1"/>
    <col min="3335" max="3586" width="9.109375" style="20"/>
    <col min="3587" max="3587" width="11.6640625" style="20" customWidth="1"/>
    <col min="3588" max="3588" width="9.109375" style="20"/>
    <col min="3589" max="3589" width="14.6640625" style="20" customWidth="1"/>
    <col min="3590" max="3590" width="10.6640625" style="20" customWidth="1"/>
    <col min="3591" max="3842" width="9.109375" style="20"/>
    <col min="3843" max="3843" width="11.6640625" style="20" customWidth="1"/>
    <col min="3844" max="3844" width="9.109375" style="20"/>
    <col min="3845" max="3845" width="14.6640625" style="20" customWidth="1"/>
    <col min="3846" max="3846" width="10.6640625" style="20" customWidth="1"/>
    <col min="3847" max="4098" width="9.109375" style="20"/>
    <col min="4099" max="4099" width="11.6640625" style="20" customWidth="1"/>
    <col min="4100" max="4100" width="9.109375" style="20"/>
    <col min="4101" max="4101" width="14.6640625" style="20" customWidth="1"/>
    <col min="4102" max="4102" width="10.6640625" style="20" customWidth="1"/>
    <col min="4103" max="4354" width="9.109375" style="20"/>
    <col min="4355" max="4355" width="11.6640625" style="20" customWidth="1"/>
    <col min="4356" max="4356" width="9.109375" style="20"/>
    <col min="4357" max="4357" width="14.6640625" style="20" customWidth="1"/>
    <col min="4358" max="4358" width="10.6640625" style="20" customWidth="1"/>
    <col min="4359" max="4610" width="9.109375" style="20"/>
    <col min="4611" max="4611" width="11.6640625" style="20" customWidth="1"/>
    <col min="4612" max="4612" width="9.109375" style="20"/>
    <col min="4613" max="4613" width="14.6640625" style="20" customWidth="1"/>
    <col min="4614" max="4614" width="10.6640625" style="20" customWidth="1"/>
    <col min="4615" max="4866" width="9.109375" style="20"/>
    <col min="4867" max="4867" width="11.6640625" style="20" customWidth="1"/>
    <col min="4868" max="4868" width="9.109375" style="20"/>
    <col min="4869" max="4869" width="14.6640625" style="20" customWidth="1"/>
    <col min="4870" max="4870" width="10.6640625" style="20" customWidth="1"/>
    <col min="4871" max="5122" width="9.109375" style="20"/>
    <col min="5123" max="5123" width="11.6640625" style="20" customWidth="1"/>
    <col min="5124" max="5124" width="9.109375" style="20"/>
    <col min="5125" max="5125" width="14.6640625" style="20" customWidth="1"/>
    <col min="5126" max="5126" width="10.6640625" style="20" customWidth="1"/>
    <col min="5127" max="5378" width="9.109375" style="20"/>
    <col min="5379" max="5379" width="11.6640625" style="20" customWidth="1"/>
    <col min="5380" max="5380" width="9.109375" style="20"/>
    <col min="5381" max="5381" width="14.6640625" style="20" customWidth="1"/>
    <col min="5382" max="5382" width="10.6640625" style="20" customWidth="1"/>
    <col min="5383" max="5634" width="9.109375" style="20"/>
    <col min="5635" max="5635" width="11.6640625" style="20" customWidth="1"/>
    <col min="5636" max="5636" width="9.109375" style="20"/>
    <col min="5637" max="5637" width="14.6640625" style="20" customWidth="1"/>
    <col min="5638" max="5638" width="10.6640625" style="20" customWidth="1"/>
    <col min="5639" max="5890" width="9.109375" style="20"/>
    <col min="5891" max="5891" width="11.6640625" style="20" customWidth="1"/>
    <col min="5892" max="5892" width="9.109375" style="20"/>
    <col min="5893" max="5893" width="14.6640625" style="20" customWidth="1"/>
    <col min="5894" max="5894" width="10.6640625" style="20" customWidth="1"/>
    <col min="5895" max="6146" width="9.109375" style="20"/>
    <col min="6147" max="6147" width="11.6640625" style="20" customWidth="1"/>
    <col min="6148" max="6148" width="9.109375" style="20"/>
    <col min="6149" max="6149" width="14.6640625" style="20" customWidth="1"/>
    <col min="6150" max="6150" width="10.6640625" style="20" customWidth="1"/>
    <col min="6151" max="6402" width="9.109375" style="20"/>
    <col min="6403" max="6403" width="11.6640625" style="20" customWidth="1"/>
    <col min="6404" max="6404" width="9.109375" style="20"/>
    <col min="6405" max="6405" width="14.6640625" style="20" customWidth="1"/>
    <col min="6406" max="6406" width="10.6640625" style="20" customWidth="1"/>
    <col min="6407" max="6658" width="9.109375" style="20"/>
    <col min="6659" max="6659" width="11.6640625" style="20" customWidth="1"/>
    <col min="6660" max="6660" width="9.109375" style="20"/>
    <col min="6661" max="6661" width="14.6640625" style="20" customWidth="1"/>
    <col min="6662" max="6662" width="10.6640625" style="20" customWidth="1"/>
    <col min="6663" max="6914" width="9.109375" style="20"/>
    <col min="6915" max="6915" width="11.6640625" style="20" customWidth="1"/>
    <col min="6916" max="6916" width="9.109375" style="20"/>
    <col min="6917" max="6917" width="14.6640625" style="20" customWidth="1"/>
    <col min="6918" max="6918" width="10.6640625" style="20" customWidth="1"/>
    <col min="6919" max="7170" width="9.109375" style="20"/>
    <col min="7171" max="7171" width="11.6640625" style="20" customWidth="1"/>
    <col min="7172" max="7172" width="9.109375" style="20"/>
    <col min="7173" max="7173" width="14.6640625" style="20" customWidth="1"/>
    <col min="7174" max="7174" width="10.6640625" style="20" customWidth="1"/>
    <col min="7175" max="7426" width="9.109375" style="20"/>
    <col min="7427" max="7427" width="11.6640625" style="20" customWidth="1"/>
    <col min="7428" max="7428" width="9.109375" style="20"/>
    <col min="7429" max="7429" width="14.6640625" style="20" customWidth="1"/>
    <col min="7430" max="7430" width="10.6640625" style="20" customWidth="1"/>
    <col min="7431" max="7682" width="9.109375" style="20"/>
    <col min="7683" max="7683" width="11.6640625" style="20" customWidth="1"/>
    <col min="7684" max="7684" width="9.109375" style="20"/>
    <col min="7685" max="7685" width="14.6640625" style="20" customWidth="1"/>
    <col min="7686" max="7686" width="10.6640625" style="20" customWidth="1"/>
    <col min="7687" max="7938" width="9.109375" style="20"/>
    <col min="7939" max="7939" width="11.6640625" style="20" customWidth="1"/>
    <col min="7940" max="7940" width="9.109375" style="20"/>
    <col min="7941" max="7941" width="14.6640625" style="20" customWidth="1"/>
    <col min="7942" max="7942" width="10.6640625" style="20" customWidth="1"/>
    <col min="7943" max="8194" width="9.109375" style="20"/>
    <col min="8195" max="8195" width="11.6640625" style="20" customWidth="1"/>
    <col min="8196" max="8196" width="9.109375" style="20"/>
    <col min="8197" max="8197" width="14.6640625" style="20" customWidth="1"/>
    <col min="8198" max="8198" width="10.6640625" style="20" customWidth="1"/>
    <col min="8199" max="8450" width="9.109375" style="20"/>
    <col min="8451" max="8451" width="11.6640625" style="20" customWidth="1"/>
    <col min="8452" max="8452" width="9.109375" style="20"/>
    <col min="8453" max="8453" width="14.6640625" style="20" customWidth="1"/>
    <col min="8454" max="8454" width="10.6640625" style="20" customWidth="1"/>
    <col min="8455" max="8706" width="9.109375" style="20"/>
    <col min="8707" max="8707" width="11.6640625" style="20" customWidth="1"/>
    <col min="8708" max="8708" width="9.109375" style="20"/>
    <col min="8709" max="8709" width="14.6640625" style="20" customWidth="1"/>
    <col min="8710" max="8710" width="10.6640625" style="20" customWidth="1"/>
    <col min="8711" max="8962" width="9.109375" style="20"/>
    <col min="8963" max="8963" width="11.6640625" style="20" customWidth="1"/>
    <col min="8964" max="8964" width="9.109375" style="20"/>
    <col min="8965" max="8965" width="14.6640625" style="20" customWidth="1"/>
    <col min="8966" max="8966" width="10.6640625" style="20" customWidth="1"/>
    <col min="8967" max="9218" width="9.109375" style="20"/>
    <col min="9219" max="9219" width="11.6640625" style="20" customWidth="1"/>
    <col min="9220" max="9220" width="9.109375" style="20"/>
    <col min="9221" max="9221" width="14.6640625" style="20" customWidth="1"/>
    <col min="9222" max="9222" width="10.6640625" style="20" customWidth="1"/>
    <col min="9223" max="9474" width="9.109375" style="20"/>
    <col min="9475" max="9475" width="11.6640625" style="20" customWidth="1"/>
    <col min="9476" max="9476" width="9.109375" style="20"/>
    <col min="9477" max="9477" width="14.6640625" style="20" customWidth="1"/>
    <col min="9478" max="9478" width="10.6640625" style="20" customWidth="1"/>
    <col min="9479" max="9730" width="9.109375" style="20"/>
    <col min="9731" max="9731" width="11.6640625" style="20" customWidth="1"/>
    <col min="9732" max="9732" width="9.109375" style="20"/>
    <col min="9733" max="9733" width="14.6640625" style="20" customWidth="1"/>
    <col min="9734" max="9734" width="10.6640625" style="20" customWidth="1"/>
    <col min="9735" max="9986" width="9.109375" style="20"/>
    <col min="9987" max="9987" width="11.6640625" style="20" customWidth="1"/>
    <col min="9988" max="9988" width="9.109375" style="20"/>
    <col min="9989" max="9989" width="14.6640625" style="20" customWidth="1"/>
    <col min="9990" max="9990" width="10.6640625" style="20" customWidth="1"/>
    <col min="9991" max="10242" width="9.109375" style="20"/>
    <col min="10243" max="10243" width="11.6640625" style="20" customWidth="1"/>
    <col min="10244" max="10244" width="9.109375" style="20"/>
    <col min="10245" max="10245" width="14.6640625" style="20" customWidth="1"/>
    <col min="10246" max="10246" width="10.6640625" style="20" customWidth="1"/>
    <col min="10247" max="10498" width="9.109375" style="20"/>
    <col min="10499" max="10499" width="11.6640625" style="20" customWidth="1"/>
    <col min="10500" max="10500" width="9.109375" style="20"/>
    <col min="10501" max="10501" width="14.6640625" style="20" customWidth="1"/>
    <col min="10502" max="10502" width="10.6640625" style="20" customWidth="1"/>
    <col min="10503" max="10754" width="9.109375" style="20"/>
    <col min="10755" max="10755" width="11.6640625" style="20" customWidth="1"/>
    <col min="10756" max="10756" width="9.109375" style="20"/>
    <col min="10757" max="10757" width="14.6640625" style="20" customWidth="1"/>
    <col min="10758" max="10758" width="10.6640625" style="20" customWidth="1"/>
    <col min="10759" max="11010" width="9.109375" style="20"/>
    <col min="11011" max="11011" width="11.6640625" style="20" customWidth="1"/>
    <col min="11012" max="11012" width="9.109375" style="20"/>
    <col min="11013" max="11013" width="14.6640625" style="20" customWidth="1"/>
    <col min="11014" max="11014" width="10.6640625" style="20" customWidth="1"/>
    <col min="11015" max="11266" width="9.109375" style="20"/>
    <col min="11267" max="11267" width="11.6640625" style="20" customWidth="1"/>
    <col min="11268" max="11268" width="9.109375" style="20"/>
    <col min="11269" max="11269" width="14.6640625" style="20" customWidth="1"/>
    <col min="11270" max="11270" width="10.6640625" style="20" customWidth="1"/>
    <col min="11271" max="11522" width="9.109375" style="20"/>
    <col min="11523" max="11523" width="11.6640625" style="20" customWidth="1"/>
    <col min="11524" max="11524" width="9.109375" style="20"/>
    <col min="11525" max="11525" width="14.6640625" style="20" customWidth="1"/>
    <col min="11526" max="11526" width="10.6640625" style="20" customWidth="1"/>
    <col min="11527" max="11778" width="9.109375" style="20"/>
    <col min="11779" max="11779" width="11.6640625" style="20" customWidth="1"/>
    <col min="11780" max="11780" width="9.109375" style="20"/>
    <col min="11781" max="11781" width="14.6640625" style="20" customWidth="1"/>
    <col min="11782" max="11782" width="10.6640625" style="20" customWidth="1"/>
    <col min="11783" max="12034" width="9.109375" style="20"/>
    <col min="12035" max="12035" width="11.6640625" style="20" customWidth="1"/>
    <col min="12036" max="12036" width="9.109375" style="20"/>
    <col min="12037" max="12037" width="14.6640625" style="20" customWidth="1"/>
    <col min="12038" max="12038" width="10.6640625" style="20" customWidth="1"/>
    <col min="12039" max="12290" width="9.109375" style="20"/>
    <col min="12291" max="12291" width="11.6640625" style="20" customWidth="1"/>
    <col min="12292" max="12292" width="9.109375" style="20"/>
    <col min="12293" max="12293" width="14.6640625" style="20" customWidth="1"/>
    <col min="12294" max="12294" width="10.6640625" style="20" customWidth="1"/>
    <col min="12295" max="12546" width="9.109375" style="20"/>
    <col min="12547" max="12547" width="11.6640625" style="20" customWidth="1"/>
    <col min="12548" max="12548" width="9.109375" style="20"/>
    <col min="12549" max="12549" width="14.6640625" style="20" customWidth="1"/>
    <col min="12550" max="12550" width="10.6640625" style="20" customWidth="1"/>
    <col min="12551" max="12802" width="9.109375" style="20"/>
    <col min="12803" max="12803" width="11.6640625" style="20" customWidth="1"/>
    <col min="12804" max="12804" width="9.109375" style="20"/>
    <col min="12805" max="12805" width="14.6640625" style="20" customWidth="1"/>
    <col min="12806" max="12806" width="10.6640625" style="20" customWidth="1"/>
    <col min="12807" max="13058" width="9.109375" style="20"/>
    <col min="13059" max="13059" width="11.6640625" style="20" customWidth="1"/>
    <col min="13060" max="13060" width="9.109375" style="20"/>
    <col min="13061" max="13061" width="14.6640625" style="20" customWidth="1"/>
    <col min="13062" max="13062" width="10.6640625" style="20" customWidth="1"/>
    <col min="13063" max="13314" width="9.109375" style="20"/>
    <col min="13315" max="13315" width="11.6640625" style="20" customWidth="1"/>
    <col min="13316" max="13316" width="9.109375" style="20"/>
    <col min="13317" max="13317" width="14.6640625" style="20" customWidth="1"/>
    <col min="13318" max="13318" width="10.6640625" style="20" customWidth="1"/>
    <col min="13319" max="13570" width="9.109375" style="20"/>
    <col min="13571" max="13571" width="11.6640625" style="20" customWidth="1"/>
    <col min="13572" max="13572" width="9.109375" style="20"/>
    <col min="13573" max="13573" width="14.6640625" style="20" customWidth="1"/>
    <col min="13574" max="13574" width="10.6640625" style="20" customWidth="1"/>
    <col min="13575" max="13826" width="9.109375" style="20"/>
    <col min="13827" max="13827" width="11.6640625" style="20" customWidth="1"/>
    <col min="13828" max="13828" width="9.109375" style="20"/>
    <col min="13829" max="13829" width="14.6640625" style="20" customWidth="1"/>
    <col min="13830" max="13830" width="10.6640625" style="20" customWidth="1"/>
    <col min="13831" max="14082" width="9.109375" style="20"/>
    <col min="14083" max="14083" width="11.6640625" style="20" customWidth="1"/>
    <col min="14084" max="14084" width="9.109375" style="20"/>
    <col min="14085" max="14085" width="14.6640625" style="20" customWidth="1"/>
    <col min="14086" max="14086" width="10.6640625" style="20" customWidth="1"/>
    <col min="14087" max="14338" width="9.109375" style="20"/>
    <col min="14339" max="14339" width="11.6640625" style="20" customWidth="1"/>
    <col min="14340" max="14340" width="9.109375" style="20"/>
    <col min="14341" max="14341" width="14.6640625" style="20" customWidth="1"/>
    <col min="14342" max="14342" width="10.6640625" style="20" customWidth="1"/>
    <col min="14343" max="14594" width="9.109375" style="20"/>
    <col min="14595" max="14595" width="11.6640625" style="20" customWidth="1"/>
    <col min="14596" max="14596" width="9.109375" style="20"/>
    <col min="14597" max="14597" width="14.6640625" style="20" customWidth="1"/>
    <col min="14598" max="14598" width="10.6640625" style="20" customWidth="1"/>
    <col min="14599" max="14850" width="9.109375" style="20"/>
    <col min="14851" max="14851" width="11.6640625" style="20" customWidth="1"/>
    <col min="14852" max="14852" width="9.109375" style="20"/>
    <col min="14853" max="14853" width="14.6640625" style="20" customWidth="1"/>
    <col min="14854" max="14854" width="10.6640625" style="20" customWidth="1"/>
    <col min="14855" max="15106" width="9.109375" style="20"/>
    <col min="15107" max="15107" width="11.6640625" style="20" customWidth="1"/>
    <col min="15108" max="15108" width="9.109375" style="20"/>
    <col min="15109" max="15109" width="14.6640625" style="20" customWidth="1"/>
    <col min="15110" max="15110" width="10.6640625" style="20" customWidth="1"/>
    <col min="15111" max="15362" width="9.109375" style="20"/>
    <col min="15363" max="15363" width="11.6640625" style="20" customWidth="1"/>
    <col min="15364" max="15364" width="9.109375" style="20"/>
    <col min="15365" max="15365" width="14.6640625" style="20" customWidth="1"/>
    <col min="15366" max="15366" width="10.6640625" style="20" customWidth="1"/>
    <col min="15367" max="15618" width="9.109375" style="20"/>
    <col min="15619" max="15619" width="11.6640625" style="20" customWidth="1"/>
    <col min="15620" max="15620" width="9.109375" style="20"/>
    <col min="15621" max="15621" width="14.6640625" style="20" customWidth="1"/>
    <col min="15622" max="15622" width="10.6640625" style="20" customWidth="1"/>
    <col min="15623" max="15874" width="9.109375" style="20"/>
    <col min="15875" max="15875" width="11.6640625" style="20" customWidth="1"/>
    <col min="15876" max="15876" width="9.109375" style="20"/>
    <col min="15877" max="15877" width="14.6640625" style="20" customWidth="1"/>
    <col min="15878" max="15878" width="10.6640625" style="20" customWidth="1"/>
    <col min="15879" max="16130" width="9.109375" style="20"/>
    <col min="16131" max="16131" width="11.6640625" style="20" customWidth="1"/>
    <col min="16132" max="16132" width="9.109375" style="20"/>
    <col min="16133" max="16133" width="14.6640625" style="20" customWidth="1"/>
    <col min="16134" max="16134" width="10.6640625" style="20" customWidth="1"/>
    <col min="16135" max="16384" width="9.109375" style="20"/>
  </cols>
  <sheetData>
    <row r="2" spans="1:13" x14ac:dyDescent="0.25">
      <c r="A2" s="21" t="s">
        <v>134</v>
      </c>
      <c r="B2" s="21" t="s">
        <v>135</v>
      </c>
      <c r="C2" s="21" t="s">
        <v>136</v>
      </c>
      <c r="D2" s="241" t="s">
        <v>137</v>
      </c>
      <c r="E2" s="241"/>
    </row>
    <row r="3" spans="1:13" x14ac:dyDescent="0.25">
      <c r="A3" s="24">
        <v>0</v>
      </c>
      <c r="B3" s="24">
        <v>0</v>
      </c>
      <c r="C3" s="24">
        <v>1</v>
      </c>
      <c r="D3" s="242">
        <v>7</v>
      </c>
      <c r="E3" s="242"/>
    </row>
    <row r="5" spans="1:13" hidden="1" x14ac:dyDescent="0.25">
      <c r="A5" s="20" t="s">
        <v>99</v>
      </c>
      <c r="B5" s="22" t="s">
        <v>154</v>
      </c>
      <c r="C5" s="22">
        <f>D3</f>
        <v>7</v>
      </c>
      <c r="D5" s="23"/>
    </row>
    <row r="6" spans="1:13" x14ac:dyDescent="0.25">
      <c r="A6" s="20" t="s">
        <v>100</v>
      </c>
      <c r="B6" s="25">
        <v>10</v>
      </c>
      <c r="C6" s="26">
        <v>10</v>
      </c>
      <c r="D6" s="27">
        <f>((100/B6)*C6)/100</f>
        <v>1</v>
      </c>
    </row>
    <row r="7" spans="1:13" x14ac:dyDescent="0.25">
      <c r="A7" s="20" t="s">
        <v>101</v>
      </c>
      <c r="B7" s="25">
        <f>A3+B3+C3+D3</f>
        <v>8</v>
      </c>
      <c r="C7" s="26">
        <v>6</v>
      </c>
      <c r="D7" s="27">
        <f t="shared" ref="D7:D12" si="0">((100/B7)*C7)/100</f>
        <v>0.75</v>
      </c>
      <c r="F7" s="243" t="s">
        <v>155</v>
      </c>
      <c r="G7" s="243"/>
      <c r="H7" s="28" t="s">
        <v>156</v>
      </c>
      <c r="J7" s="34"/>
    </row>
    <row r="8" spans="1:13" x14ac:dyDescent="0.25">
      <c r="A8" s="20" t="s">
        <v>106</v>
      </c>
      <c r="B8" s="25">
        <f>C5</f>
        <v>7</v>
      </c>
      <c r="C8" s="26">
        <v>2.2999999999999998</v>
      </c>
      <c r="D8" s="27">
        <f t="shared" si="0"/>
        <v>0.32857142857142851</v>
      </c>
      <c r="F8" s="240" t="s">
        <v>157</v>
      </c>
      <c r="G8" s="240"/>
      <c r="H8" s="25" t="s">
        <v>158</v>
      </c>
    </row>
    <row r="9" spans="1:13" x14ac:dyDescent="0.25">
      <c r="A9" s="20" t="s">
        <v>108</v>
      </c>
      <c r="B9" s="25">
        <f>C5</f>
        <v>7</v>
      </c>
      <c r="C9" s="26">
        <v>0</v>
      </c>
      <c r="D9" s="27">
        <f t="shared" si="0"/>
        <v>0</v>
      </c>
      <c r="F9" s="240" t="s">
        <v>159</v>
      </c>
      <c r="G9" s="240"/>
      <c r="H9" s="25" t="s">
        <v>160</v>
      </c>
    </row>
    <row r="10" spans="1:13" x14ac:dyDescent="0.25">
      <c r="A10" s="20" t="s">
        <v>68</v>
      </c>
      <c r="B10" s="25">
        <f>C5</f>
        <v>7</v>
      </c>
      <c r="C10" s="26">
        <v>0</v>
      </c>
      <c r="D10" s="27">
        <f t="shared" si="0"/>
        <v>0</v>
      </c>
      <c r="F10" s="240" t="s">
        <v>161</v>
      </c>
      <c r="G10" s="240"/>
      <c r="H10" s="25" t="s">
        <v>162</v>
      </c>
    </row>
    <row r="11" spans="1:13" x14ac:dyDescent="0.25">
      <c r="A11" s="29" t="s">
        <v>104</v>
      </c>
      <c r="B11" s="25">
        <f>C5</f>
        <v>7</v>
      </c>
      <c r="C11" s="26">
        <v>0</v>
      </c>
      <c r="D11" s="27">
        <f t="shared" si="0"/>
        <v>0</v>
      </c>
      <c r="F11" s="240" t="s">
        <v>163</v>
      </c>
      <c r="G11" s="240"/>
      <c r="H11" s="25" t="s">
        <v>164</v>
      </c>
    </row>
    <row r="12" spans="1:13" x14ac:dyDescent="0.25">
      <c r="A12" s="20" t="s">
        <v>69</v>
      </c>
      <c r="B12" s="25">
        <f>C5</f>
        <v>7</v>
      </c>
      <c r="C12" s="26">
        <v>0</v>
      </c>
      <c r="D12" s="27">
        <f t="shared" si="0"/>
        <v>0</v>
      </c>
      <c r="F12" s="240" t="s">
        <v>165</v>
      </c>
      <c r="G12" s="240"/>
      <c r="H12" s="25" t="s">
        <v>166</v>
      </c>
    </row>
    <row r="13" spans="1:13" x14ac:dyDescent="0.25">
      <c r="F13" s="240" t="s">
        <v>167</v>
      </c>
      <c r="G13" s="240"/>
      <c r="H13" s="25" t="s">
        <v>168</v>
      </c>
    </row>
    <row r="14" spans="1:13" hidden="1" x14ac:dyDescent="0.25">
      <c r="A14" s="21"/>
      <c r="B14" s="21" t="s">
        <v>105</v>
      </c>
      <c r="C14" s="21" t="s">
        <v>109</v>
      </c>
      <c r="G14" s="21" t="s">
        <v>100</v>
      </c>
      <c r="H14" s="21" t="s">
        <v>102</v>
      </c>
      <c r="I14" s="21" t="s">
        <v>103</v>
      </c>
      <c r="J14" s="21" t="s">
        <v>67</v>
      </c>
      <c r="K14" s="21" t="s">
        <v>68</v>
      </c>
      <c r="L14" s="21" t="s">
        <v>104</v>
      </c>
      <c r="M14" s="21" t="s">
        <v>69</v>
      </c>
    </row>
    <row r="15" spans="1:13" hidden="1" x14ac:dyDescent="0.25">
      <c r="A15" s="21" t="s">
        <v>65</v>
      </c>
      <c r="B15" s="21">
        <f>G15</f>
        <v>10</v>
      </c>
      <c r="C15" s="21">
        <f>G16</f>
        <v>30</v>
      </c>
      <c r="E15" s="241" t="s">
        <v>105</v>
      </c>
      <c r="F15" s="241"/>
      <c r="G15" s="30">
        <f>C6</f>
        <v>10</v>
      </c>
      <c r="H15" s="30">
        <f>40/B7*C7</f>
        <v>30</v>
      </c>
      <c r="I15" s="30">
        <f>15/B8*C8</f>
        <v>4.9285714285714279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66</v>
      </c>
      <c r="B16" s="21">
        <f>H15</f>
        <v>30</v>
      </c>
      <c r="C16" s="21">
        <f>H16</f>
        <v>22.5</v>
      </c>
      <c r="E16" s="241" t="s">
        <v>107</v>
      </c>
      <c r="F16" s="241"/>
      <c r="G16" s="21">
        <f>G15+20</f>
        <v>30</v>
      </c>
      <c r="H16" s="21">
        <f>30/B7*C7</f>
        <v>22.5</v>
      </c>
      <c r="I16" s="21">
        <f>15/B8*C8</f>
        <v>4.9285714285714279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103</v>
      </c>
      <c r="B17" s="21">
        <f>I15</f>
        <v>4.9285714285714279</v>
      </c>
      <c r="C17" s="21">
        <f>I16</f>
        <v>4.9285714285714279</v>
      </c>
    </row>
    <row r="18" spans="1:8" hidden="1" x14ac:dyDescent="0.25">
      <c r="A18" s="21" t="s">
        <v>67</v>
      </c>
      <c r="B18" s="21">
        <f>J15</f>
        <v>0</v>
      </c>
      <c r="C18" s="21">
        <f>J16</f>
        <v>0</v>
      </c>
    </row>
    <row r="19" spans="1:8" hidden="1" x14ac:dyDescent="0.25">
      <c r="A19" s="21" t="s">
        <v>68</v>
      </c>
      <c r="B19" s="21">
        <f>K15</f>
        <v>0</v>
      </c>
      <c r="C19" s="21">
        <f>K16</f>
        <v>0</v>
      </c>
    </row>
    <row r="20" spans="1:8" hidden="1" x14ac:dyDescent="0.25">
      <c r="A20" s="31" t="s">
        <v>104</v>
      </c>
      <c r="B20" s="21">
        <f>L15</f>
        <v>0</v>
      </c>
      <c r="C20" s="21">
        <f>L16</f>
        <v>0</v>
      </c>
    </row>
    <row r="21" spans="1:8" hidden="1" x14ac:dyDescent="0.25">
      <c r="A21" s="21" t="s">
        <v>69</v>
      </c>
      <c r="B21" s="21">
        <f>M15</f>
        <v>0</v>
      </c>
      <c r="C21" s="21">
        <f>M16</f>
        <v>0</v>
      </c>
    </row>
    <row r="22" spans="1:8" x14ac:dyDescent="0.25">
      <c r="A22" s="21" t="s">
        <v>110</v>
      </c>
      <c r="B22" s="32">
        <f>(B15+B16+B17+B18+B19+B20+B21)/100</f>
        <v>0.44928571428571429</v>
      </c>
      <c r="C22" s="32">
        <f>(C15+C16+C17+C18+C19+C20+C21)/100</f>
        <v>0.57428571428571429</v>
      </c>
      <c r="F22" s="240" t="s">
        <v>169</v>
      </c>
      <c r="G22" s="240"/>
      <c r="H22" s="25" t="s">
        <v>160</v>
      </c>
    </row>
    <row r="23" spans="1:8" x14ac:dyDescent="0.25">
      <c r="F23" s="240" t="s">
        <v>170</v>
      </c>
      <c r="G23" s="240"/>
      <c r="H23" s="25" t="s">
        <v>171</v>
      </c>
    </row>
    <row r="24" spans="1:8" x14ac:dyDescent="0.25">
      <c r="A24" s="20" t="s">
        <v>142</v>
      </c>
      <c r="B24" s="33">
        <v>0.01</v>
      </c>
      <c r="C24" s="33">
        <v>0.02</v>
      </c>
      <c r="F24" s="240" t="s">
        <v>172</v>
      </c>
      <c r="G24" s="240"/>
      <c r="H24" s="25" t="s">
        <v>173</v>
      </c>
    </row>
    <row r="25" spans="1:8" x14ac:dyDescent="0.25">
      <c r="A25" s="20" t="s">
        <v>143</v>
      </c>
      <c r="B25" s="33">
        <v>0.01</v>
      </c>
      <c r="C25" s="33">
        <v>0.03</v>
      </c>
    </row>
    <row r="26" spans="1:8" x14ac:dyDescent="0.25">
      <c r="A26" s="20" t="s">
        <v>144</v>
      </c>
      <c r="B26" s="33">
        <v>0.03</v>
      </c>
      <c r="C26" s="33">
        <v>0.08</v>
      </c>
    </row>
    <row r="27" spans="1:8" x14ac:dyDescent="0.25">
      <c r="A27" s="20" t="s">
        <v>145</v>
      </c>
      <c r="B27" s="33">
        <v>0.05</v>
      </c>
      <c r="C27" s="33">
        <v>0.15</v>
      </c>
    </row>
    <row r="28" spans="1:8" x14ac:dyDescent="0.25">
      <c r="A28" s="20" t="s">
        <v>146</v>
      </c>
      <c r="B28" s="33">
        <v>7.0000000000000007E-2</v>
      </c>
      <c r="C28" s="33">
        <v>0.2</v>
      </c>
    </row>
    <row r="29" spans="1:8" x14ac:dyDescent="0.25">
      <c r="A29" s="20" t="s">
        <v>147</v>
      </c>
      <c r="B29" s="33">
        <v>0.1</v>
      </c>
      <c r="C29" s="33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2"/>
  <sheetViews>
    <sheetView workbookViewId="0">
      <selection activeCell="P8" sqref="P7:P8"/>
    </sheetView>
  </sheetViews>
  <sheetFormatPr defaultRowHeight="14.4" x14ac:dyDescent="0.3"/>
  <cols>
    <col min="1" max="1" width="11.109375" bestFit="1" customWidth="1"/>
  </cols>
  <sheetData>
    <row r="2" spans="1:2" x14ac:dyDescent="0.3">
      <c r="A2" t="s">
        <v>220</v>
      </c>
      <c r="B2" t="s">
        <v>221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36"/>
  <sheetViews>
    <sheetView topLeftCell="A28" workbookViewId="0">
      <selection activeCell="B50" sqref="B50"/>
    </sheetView>
  </sheetViews>
  <sheetFormatPr defaultRowHeight="14.4" x14ac:dyDescent="0.3"/>
  <cols>
    <col min="2" max="2" width="12.33203125" customWidth="1"/>
  </cols>
  <sheetData>
    <row r="2" spans="1:12" x14ac:dyDescent="0.3">
      <c r="B2" s="5" t="s">
        <v>111</v>
      </c>
      <c r="C2" s="244"/>
      <c r="D2" s="244"/>
    </row>
    <row r="3" spans="1:12" x14ac:dyDescent="0.3">
      <c r="D3" s="6"/>
      <c r="E3" s="6"/>
      <c r="F3" s="6"/>
      <c r="G3" s="6"/>
      <c r="H3" s="6"/>
      <c r="I3" s="6"/>
    </row>
    <row r="4" spans="1:12" x14ac:dyDescent="0.3">
      <c r="A4" s="5" t="s">
        <v>112</v>
      </c>
      <c r="B4" s="7" t="s">
        <v>113</v>
      </c>
      <c r="C4" s="245" t="s">
        <v>114</v>
      </c>
      <c r="D4" s="245"/>
      <c r="E4" s="245"/>
      <c r="F4" s="8"/>
      <c r="G4" s="245" t="s">
        <v>115</v>
      </c>
      <c r="H4" s="245"/>
      <c r="I4" s="245"/>
      <c r="J4" s="245" t="s">
        <v>116</v>
      </c>
      <c r="K4" s="245"/>
      <c r="L4" s="245"/>
    </row>
    <row r="5" spans="1:12" x14ac:dyDescent="0.3">
      <c r="A5" s="5">
        <v>2</v>
      </c>
      <c r="B5" s="7"/>
      <c r="C5" s="7" t="s">
        <v>117</v>
      </c>
      <c r="D5" s="7" t="s">
        <v>118</v>
      </c>
      <c r="E5" s="7" t="s">
        <v>77</v>
      </c>
      <c r="F5" s="7"/>
      <c r="G5" s="7" t="s">
        <v>117</v>
      </c>
      <c r="H5" s="7" t="s">
        <v>118</v>
      </c>
      <c r="I5" s="7" t="s">
        <v>77</v>
      </c>
      <c r="J5" s="7" t="s">
        <v>117</v>
      </c>
      <c r="K5" s="7" t="s">
        <v>118</v>
      </c>
      <c r="L5" s="7" t="s">
        <v>77</v>
      </c>
    </row>
    <row r="6" spans="1:12" x14ac:dyDescent="0.3">
      <c r="B6" s="9" t="s">
        <v>119</v>
      </c>
      <c r="C6" s="9">
        <v>2.7</v>
      </c>
      <c r="D6" s="9">
        <v>4.3</v>
      </c>
      <c r="E6" s="9">
        <f>C6*D6</f>
        <v>11.61</v>
      </c>
      <c r="F6" s="9" t="s">
        <v>198</v>
      </c>
      <c r="G6" s="9">
        <v>2.9</v>
      </c>
      <c r="H6" s="9">
        <v>1</v>
      </c>
      <c r="I6" s="9">
        <f>G6*H6</f>
        <v>2.9</v>
      </c>
      <c r="J6" s="9"/>
      <c r="K6" s="9"/>
      <c r="L6" s="9">
        <f>J6*K6</f>
        <v>0</v>
      </c>
    </row>
    <row r="7" spans="1:12" x14ac:dyDescent="0.3">
      <c r="B7" s="9"/>
      <c r="C7" s="9"/>
      <c r="D7" s="9"/>
      <c r="E7" s="9">
        <f t="shared" ref="E7:E33" si="0">C7*D7</f>
        <v>0</v>
      </c>
      <c r="F7" s="9" t="s">
        <v>198</v>
      </c>
      <c r="G7" s="9">
        <v>2.9</v>
      </c>
      <c r="H7" s="9">
        <v>1</v>
      </c>
      <c r="I7" s="9">
        <f t="shared" ref="I7:I29" si="1">G7*H7</f>
        <v>2.9</v>
      </c>
      <c r="J7" s="9"/>
      <c r="K7" s="9"/>
      <c r="L7" s="9">
        <f t="shared" ref="L7:L29" si="2">J7*K7</f>
        <v>0</v>
      </c>
    </row>
    <row r="8" spans="1:12" x14ac:dyDescent="0.3">
      <c r="B8" s="9"/>
      <c r="C8" s="9"/>
      <c r="D8" s="9"/>
      <c r="E8" s="9">
        <f t="shared" si="0"/>
        <v>0</v>
      </c>
      <c r="F8" s="9" t="s">
        <v>198</v>
      </c>
      <c r="G8" s="9">
        <v>2.9</v>
      </c>
      <c r="H8" s="9">
        <v>1</v>
      </c>
      <c r="I8" s="9">
        <f t="shared" si="1"/>
        <v>2.9</v>
      </c>
      <c r="J8" s="9"/>
      <c r="K8" s="9"/>
      <c r="L8" s="9">
        <f t="shared" si="2"/>
        <v>0</v>
      </c>
    </row>
    <row r="9" spans="1:12" x14ac:dyDescent="0.3">
      <c r="B9" s="9" t="s">
        <v>122</v>
      </c>
      <c r="C9" s="9">
        <v>2.2000000000000002</v>
      </c>
      <c r="D9" s="9">
        <v>1.56</v>
      </c>
      <c r="E9" s="9">
        <f t="shared" si="0"/>
        <v>3.4320000000000004</v>
      </c>
      <c r="F9" s="9" t="s">
        <v>120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</row>
    <row r="10" spans="1:12" x14ac:dyDescent="0.3">
      <c r="B10" s="9"/>
      <c r="C10" s="9"/>
      <c r="D10" s="9"/>
      <c r="E10" s="9">
        <f t="shared" si="0"/>
        <v>0</v>
      </c>
      <c r="F10" s="9" t="s">
        <v>121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</row>
    <row r="11" spans="1:12" x14ac:dyDescent="0.3">
      <c r="B11" s="9"/>
      <c r="C11" s="9"/>
      <c r="D11" s="9"/>
      <c r="E11" s="9">
        <f t="shared" si="0"/>
        <v>0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3">
      <c r="B12" s="9"/>
      <c r="C12" s="9"/>
      <c r="D12" s="9"/>
      <c r="E12" s="9">
        <f t="shared" si="0"/>
        <v>0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3">
      <c r="B13" s="9" t="s">
        <v>123</v>
      </c>
      <c r="C13" s="9">
        <v>2.4</v>
      </c>
      <c r="D13" s="9">
        <v>2.8</v>
      </c>
      <c r="E13" s="9">
        <f t="shared" si="0"/>
        <v>6.72</v>
      </c>
      <c r="F13" s="9" t="s">
        <v>120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3">
      <c r="B14" s="9"/>
      <c r="C14" s="9"/>
      <c r="D14" s="9"/>
      <c r="E14" s="9">
        <f t="shared" si="0"/>
        <v>0</v>
      </c>
      <c r="F14" s="9" t="s">
        <v>121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3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3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3">
      <c r="B17" s="9" t="s">
        <v>124</v>
      </c>
      <c r="C17" s="9">
        <v>2.4</v>
      </c>
      <c r="D17" s="9">
        <v>2.75</v>
      </c>
      <c r="E17" s="9">
        <f t="shared" si="0"/>
        <v>6.6</v>
      </c>
      <c r="F17" s="9" t="s">
        <v>120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3">
      <c r="B18" s="9"/>
      <c r="C18" s="9"/>
      <c r="D18" s="9"/>
      <c r="E18" s="9">
        <f t="shared" si="0"/>
        <v>0</v>
      </c>
      <c r="F18" s="9" t="s">
        <v>121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3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3">
      <c r="B20" s="9" t="s">
        <v>124</v>
      </c>
      <c r="C20" s="9"/>
      <c r="D20" s="9"/>
      <c r="E20" s="9">
        <f t="shared" si="0"/>
        <v>0</v>
      </c>
      <c r="F20" s="9" t="s">
        <v>120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3">
      <c r="B21" s="9"/>
      <c r="C21" s="9"/>
      <c r="D21" s="9"/>
      <c r="E21" s="9">
        <f t="shared" si="0"/>
        <v>0</v>
      </c>
      <c r="F21" s="9" t="s">
        <v>121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3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3">
      <c r="B23" s="9" t="s">
        <v>125</v>
      </c>
      <c r="C23" s="9">
        <v>1.85</v>
      </c>
      <c r="D23" s="9">
        <v>1.2</v>
      </c>
      <c r="E23" s="9">
        <f t="shared" si="0"/>
        <v>2.2200000000000002</v>
      </c>
      <c r="F23" s="9" t="s">
        <v>126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3">
      <c r="B24" s="9" t="s">
        <v>127</v>
      </c>
      <c r="C24" s="9">
        <v>2.1</v>
      </c>
      <c r="D24" s="9">
        <v>1.2</v>
      </c>
      <c r="E24" s="9">
        <f t="shared" si="0"/>
        <v>2.52</v>
      </c>
      <c r="F24" s="9" t="s">
        <v>126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3">
      <c r="B25" s="9" t="s">
        <v>128</v>
      </c>
      <c r="C25" s="9"/>
      <c r="D25" s="9"/>
      <c r="E25" s="9">
        <f t="shared" si="0"/>
        <v>0</v>
      </c>
      <c r="F25" s="9" t="s">
        <v>126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3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3">
      <c r="B27" s="9" t="s">
        <v>129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3">
      <c r="B28" s="9" t="s">
        <v>130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3">
      <c r="B29" s="9" t="s">
        <v>131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3">
      <c r="B30" s="9" t="s">
        <v>132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3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3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3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3">
      <c r="B34" s="9" t="s">
        <v>80</v>
      </c>
      <c r="C34" s="9"/>
      <c r="D34" s="9">
        <f>E34*10.764</f>
        <v>356.30992800000001</v>
      </c>
      <c r="E34" s="9">
        <f>SUM(E6:E33)</f>
        <v>33.102000000000004</v>
      </c>
      <c r="F34" s="9"/>
      <c r="G34" s="9"/>
      <c r="H34" s="9">
        <f>I34*10.764</f>
        <v>93.646799999999985</v>
      </c>
      <c r="I34" s="9">
        <f>SUM(I6:I33)</f>
        <v>8.6999999999999993</v>
      </c>
      <c r="J34" s="9"/>
      <c r="K34" s="9">
        <f>L34*10.764</f>
        <v>0</v>
      </c>
      <c r="L34" s="9">
        <f>SUM(L6:L33)</f>
        <v>0</v>
      </c>
    </row>
    <row r="36" spans="2:12" x14ac:dyDescent="0.3">
      <c r="D36">
        <f>D34+H34</f>
        <v>449.956728</v>
      </c>
      <c r="E36">
        <f>E34+I34</f>
        <v>41.802000000000007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C% C</vt:lpstr>
      <vt:lpstr>C% ( D)</vt:lpstr>
      <vt:lpstr>C% (E)</vt:lpstr>
      <vt:lpstr>Note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2025-09-08T15:32:05Z</cp:lastPrinted>
  <dcterms:created xsi:type="dcterms:W3CDTF">2019-07-16T09:29:46Z</dcterms:created>
  <dcterms:modified xsi:type="dcterms:W3CDTF">2025-09-08T15:32:06Z</dcterms:modified>
</cp:coreProperties>
</file>