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AE0A4E29-6272-4166-AE44-94E619E5ACD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1" i="1" l="1"/>
  <c r="I211" i="1"/>
  <c r="I165" i="1"/>
  <c r="J214" i="1"/>
  <c r="D217" i="1" l="1"/>
  <c r="D216" i="1"/>
  <c r="D215" i="1"/>
  <c r="D214" i="1"/>
  <c r="D213" i="1"/>
  <c r="D212" i="1"/>
  <c r="D210" i="1"/>
  <c r="D209" i="1"/>
  <c r="D206" i="1"/>
  <c r="D205" i="1"/>
  <c r="D204" i="1"/>
  <c r="D202" i="1"/>
  <c r="D201" i="1"/>
  <c r="D200" i="1"/>
  <c r="D199" i="1"/>
  <c r="D198" i="1"/>
  <c r="D197" i="1"/>
  <c r="D194" i="1"/>
  <c r="D193" i="1"/>
  <c r="D192" i="1"/>
  <c r="D191" i="1"/>
  <c r="D190" i="1"/>
  <c r="D189" i="1"/>
  <c r="D187" i="1"/>
  <c r="D186" i="1"/>
  <c r="D183" i="1"/>
  <c r="D182" i="1"/>
  <c r="D181" i="1"/>
  <c r="D179" i="1"/>
  <c r="D178" i="1"/>
  <c r="D177" i="1"/>
  <c r="D176" i="1"/>
  <c r="D175" i="1"/>
  <c r="D174" i="1"/>
  <c r="D172" i="1"/>
  <c r="D171" i="1"/>
  <c r="D170" i="1"/>
  <c r="D169" i="1"/>
  <c r="D168" i="1"/>
  <c r="D167" i="1"/>
  <c r="D166" i="1"/>
  <c r="D164" i="1"/>
  <c r="D163" i="1"/>
  <c r="D161" i="1"/>
  <c r="D160" i="1"/>
  <c r="D159" i="1"/>
  <c r="D158" i="1"/>
  <c r="D157" i="1"/>
  <c r="D155" i="1"/>
  <c r="D154" i="1"/>
  <c r="D151" i="1"/>
  <c r="D150" i="1"/>
  <c r="D149" i="1"/>
  <c r="D148" i="1"/>
  <c r="D146" i="1"/>
  <c r="D145" i="1"/>
  <c r="D144" i="1"/>
  <c r="D143" i="1"/>
  <c r="D142" i="1"/>
  <c r="D141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K115" i="1"/>
  <c r="C98" i="1" l="1"/>
  <c r="C99" i="1" s="1"/>
  <c r="C102" i="1"/>
  <c r="C103" i="1" s="1"/>
  <c r="E102" i="1"/>
  <c r="E103" i="1" s="1"/>
  <c r="C106" i="1"/>
  <c r="C107" i="1" s="1"/>
  <c r="E106" i="1"/>
  <c r="E107" i="1" s="1"/>
  <c r="E98" i="1"/>
  <c r="E99" i="1" s="1"/>
  <c r="F214" i="1"/>
  <c r="F217" i="1"/>
  <c r="F216" i="1"/>
  <c r="F215" i="1"/>
  <c r="F213" i="1"/>
  <c r="A213" i="1"/>
  <c r="A214" i="1" s="1"/>
  <c r="A215" i="1" s="1"/>
  <c r="A216" i="1" s="1"/>
  <c r="A217" i="1" s="1"/>
  <c r="G212" i="1"/>
  <c r="F212" i="1"/>
  <c r="F206" i="1"/>
  <c r="F205" i="1"/>
  <c r="F210" i="1"/>
  <c r="F209" i="1"/>
  <c r="A205" i="1"/>
  <c r="A206" i="1" s="1"/>
  <c r="A207" i="1" s="1"/>
  <c r="A208" i="1" s="1"/>
  <c r="A209" i="1" s="1"/>
  <c r="A210" i="1" s="1"/>
  <c r="G204" i="1"/>
  <c r="F204" i="1"/>
  <c r="F200" i="1"/>
  <c r="F198" i="1"/>
  <c r="F197" i="1"/>
  <c r="F202" i="1"/>
  <c r="F201" i="1"/>
  <c r="F199" i="1"/>
  <c r="A198" i="1"/>
  <c r="A199" i="1" s="1"/>
  <c r="A200" i="1" s="1"/>
  <c r="A201" i="1" s="1"/>
  <c r="A202" i="1" s="1"/>
  <c r="G197" i="1"/>
  <c r="F192" i="1"/>
  <c r="F194" i="1"/>
  <c r="F193" i="1"/>
  <c r="F191" i="1"/>
  <c r="F190" i="1"/>
  <c r="A190" i="1"/>
  <c r="A191" i="1" s="1"/>
  <c r="A192" i="1" s="1"/>
  <c r="A193" i="1" s="1"/>
  <c r="A194" i="1" s="1"/>
  <c r="G189" i="1"/>
  <c r="F189" i="1"/>
  <c r="F187" i="1"/>
  <c r="F186" i="1"/>
  <c r="F183" i="1"/>
  <c r="F182" i="1"/>
  <c r="A182" i="1"/>
  <c r="A183" i="1" s="1"/>
  <c r="A184" i="1" s="1"/>
  <c r="A185" i="1" s="1"/>
  <c r="A186" i="1" s="1"/>
  <c r="A187" i="1" s="1"/>
  <c r="G181" i="1"/>
  <c r="F181" i="1"/>
  <c r="J181" i="1" s="1"/>
  <c r="F174" i="1"/>
  <c r="F176" i="1"/>
  <c r="F175" i="1"/>
  <c r="F178" i="1"/>
  <c r="F179" i="1"/>
  <c r="F177" i="1"/>
  <c r="A175" i="1"/>
  <c r="A176" i="1" s="1"/>
  <c r="A177" i="1" s="1"/>
  <c r="A178" i="1" s="1"/>
  <c r="A179" i="1" s="1"/>
  <c r="G174" i="1"/>
  <c r="F171" i="1"/>
  <c r="F172" i="1"/>
  <c r="F170" i="1"/>
  <c r="K170" i="1" s="1"/>
  <c r="F169" i="1"/>
  <c r="K169" i="1" s="1"/>
  <c r="F168" i="1"/>
  <c r="F167" i="1"/>
  <c r="A167" i="1"/>
  <c r="A168" i="1" s="1"/>
  <c r="A169" i="1" s="1"/>
  <c r="A170" i="1" s="1"/>
  <c r="A171" i="1" s="1"/>
  <c r="A172" i="1" s="1"/>
  <c r="G166" i="1"/>
  <c r="F166" i="1"/>
  <c r="F161" i="1"/>
  <c r="E108" i="1" l="1"/>
  <c r="C108" i="1"/>
  <c r="F164" i="1"/>
  <c r="F163" i="1"/>
  <c r="J163" i="1" s="1"/>
  <c r="F160" i="1"/>
  <c r="J161" i="1" s="1"/>
  <c r="F159" i="1"/>
  <c r="F158" i="1"/>
  <c r="A158" i="1"/>
  <c r="A159" i="1" s="1"/>
  <c r="A160" i="1" s="1"/>
  <c r="A161" i="1" s="1"/>
  <c r="A162" i="1" s="1"/>
  <c r="A163" i="1" s="1"/>
  <c r="A164" i="1" s="1"/>
  <c r="G157" i="1"/>
  <c r="F157" i="1"/>
  <c r="F155" i="1"/>
  <c r="F154" i="1"/>
  <c r="F151" i="1"/>
  <c r="F150" i="1"/>
  <c r="F149" i="1"/>
  <c r="A149" i="1"/>
  <c r="A150" i="1" s="1"/>
  <c r="A151" i="1" s="1"/>
  <c r="A152" i="1" s="1"/>
  <c r="A153" i="1" s="1"/>
  <c r="A154" i="1" s="1"/>
  <c r="A155" i="1" s="1"/>
  <c r="G148" i="1"/>
  <c r="F148" i="1"/>
  <c r="F146" i="1"/>
  <c r="F145" i="1"/>
  <c r="K146" i="1" s="1"/>
  <c r="F144" i="1"/>
  <c r="F143" i="1"/>
  <c r="F142" i="1"/>
  <c r="F141" i="1"/>
  <c r="J144" i="1"/>
  <c r="J146" i="1"/>
  <c r="J141" i="1"/>
  <c r="J142" i="1" s="1"/>
  <c r="J143" i="1"/>
  <c r="A142" i="1"/>
  <c r="A143" i="1" s="1"/>
  <c r="A144" i="1" s="1"/>
  <c r="A145" i="1" s="1"/>
  <c r="A146" i="1" s="1"/>
  <c r="G141" i="1"/>
  <c r="F132" i="1"/>
  <c r="F134" i="1"/>
  <c r="F133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G102" i="1" l="1"/>
  <c r="G103" i="1" s="1"/>
  <c r="Z14" i="1"/>
  <c r="I16" i="1"/>
  <c r="F226" i="1" l="1"/>
  <c r="F116" i="1"/>
  <c r="E45" i="1" l="1"/>
  <c r="E46" i="1" s="1"/>
  <c r="C17" i="1" l="1"/>
  <c r="E32" i="1" l="1"/>
  <c r="F227" i="1" l="1"/>
  <c r="F228" i="1"/>
  <c r="F229" i="1"/>
  <c r="A227" i="1"/>
  <c r="A228" i="1" s="1"/>
  <c r="A229" i="1" s="1"/>
  <c r="G226" i="1"/>
  <c r="G227" i="1" s="1"/>
  <c r="G228" i="1" s="1"/>
  <c r="G229" i="1" s="1"/>
  <c r="F95" i="1" l="1"/>
  <c r="F117" i="1" l="1"/>
  <c r="F118" i="1"/>
  <c r="G98" i="1" s="1"/>
  <c r="G99" i="1" s="1"/>
  <c r="F119" i="1"/>
  <c r="G106" i="1" l="1"/>
  <c r="G107" i="1" s="1"/>
  <c r="G108" i="1" s="1"/>
  <c r="B256" i="1"/>
  <c r="A237" i="1"/>
  <c r="A243" i="1"/>
  <c r="A249" i="1"/>
  <c r="F253" i="1" l="1"/>
  <c r="F252" i="1"/>
  <c r="F251" i="1"/>
  <c r="F250" i="1"/>
  <c r="F249" i="1"/>
  <c r="F247" i="1"/>
  <c r="F246" i="1"/>
  <c r="F245" i="1"/>
  <c r="F244" i="1"/>
  <c r="F243" i="1"/>
  <c r="F241" i="1"/>
  <c r="F240" i="1"/>
  <c r="F239" i="1"/>
  <c r="F238" i="1"/>
  <c r="F237" i="1"/>
  <c r="F235" i="1"/>
  <c r="F234" i="1"/>
  <c r="F232" i="1"/>
  <c r="F231" i="1"/>
  <c r="F233" i="1"/>
  <c r="A250" i="1"/>
  <c r="A244" i="1"/>
  <c r="A238" i="1"/>
  <c r="B257" i="1" l="1"/>
  <c r="A251" i="1"/>
  <c r="A239" i="1"/>
  <c r="A24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249" i="1"/>
  <c r="G250" i="1" s="1"/>
  <c r="G251" i="1" s="1"/>
  <c r="G252" i="1" s="1"/>
  <c r="G253" i="1" s="1"/>
  <c r="G243" i="1"/>
  <c r="G244" i="1" s="1"/>
  <c r="G245" i="1" s="1"/>
  <c r="G246" i="1" s="1"/>
  <c r="G247" i="1" s="1"/>
  <c r="G237" i="1"/>
  <c r="G238" i="1" s="1"/>
  <c r="G239" i="1" s="1"/>
  <c r="G240" i="1" s="1"/>
  <c r="G241" i="1" s="1"/>
  <c r="G231" i="1"/>
  <c r="G232" i="1" s="1"/>
  <c r="G233" i="1" s="1"/>
  <c r="G234" i="1" s="1"/>
  <c r="G235" i="1" s="1"/>
  <c r="A231" i="1"/>
  <c r="A232" i="1" s="1"/>
  <c r="A233" i="1" s="1"/>
  <c r="A234" i="1" s="1"/>
  <c r="A235" i="1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G116" i="1"/>
  <c r="C68" i="1"/>
  <c r="B69" i="1" s="1"/>
  <c r="D57" i="1"/>
  <c r="G52" i="1"/>
  <c r="C52" i="1"/>
  <c r="E29" i="1"/>
  <c r="E27" i="1"/>
  <c r="E7" i="1"/>
  <c r="E3" i="1"/>
  <c r="A246" i="1"/>
  <c r="A240" i="1"/>
  <c r="A252" i="1"/>
  <c r="D62" i="1" l="1"/>
  <c r="A253" i="1"/>
  <c r="H69" i="1"/>
  <c r="A247" i="1"/>
  <c r="A241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D74" i="1"/>
  <c r="J76" i="1" l="1"/>
  <c r="J77" i="1" s="1"/>
  <c r="J78" i="1" s="1"/>
  <c r="J79" i="1" s="1"/>
  <c r="J81" i="1" l="1"/>
  <c r="C73" i="1" s="1"/>
  <c r="G72" i="1" s="1"/>
  <c r="D66" i="1" s="1"/>
  <c r="D67" i="1" s="1"/>
  <c r="E72" i="1" l="1"/>
  <c r="D73" i="1"/>
  <c r="I69" i="1" s="1"/>
  <c r="I70" i="1" s="1"/>
  <c r="F67" i="1"/>
  <c r="J69" i="1"/>
  <c r="I68" i="1" l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<sst xmlns="http://schemas.openxmlformats.org/spreadsheetml/2006/main" count="476" uniqueCount="317">
  <si>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</si>
  <si>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</si>
  <si>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</si>
  <si>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</si>
  <si>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</si>
  <si>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</si>
  <si>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</si>
  <si>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</si>
  <si>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</si>
  <si>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</si>
  <si>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</si>
  <si>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</si>
  <si>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</si>
  <si>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</si>
  <si>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</si>
  <si>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</si>
  <si>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</si>
  <si>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</si>
  <si>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</si>
  <si>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</si>
  <si>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</si>
  <si>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</si>
  <si>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</si>
  <si>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</si>
  <si>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</si>
  <si>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</si>
  <si>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</si>
  <si>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</si>
  <si>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</si>
  <si>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</si>
  <si>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</si>
  <si>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</si>
  <si>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</si>
  <si>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</si>
  <si>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</si>
  <si>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</si>
  <si>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</si>
  <si>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</si>
  <si>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</si>
  <si>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</si>
  <si>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</si>
  <si>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</si>
  <si>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</si>
  <si>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</si>
  <si>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</si>
  <si>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</si>
  <si>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</si>
  <si>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</si>
  <si>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</si>
  <si>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</si>
  <si>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</si>
  <si>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</si>
  <si>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</si>
  <si>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</si>
  <si>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</si>
  <si>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</si>
  <si>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</si>
  <si>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</si>
  <si>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</si>
  <si>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</si>
  <si>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</si>
  <si>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</si>
  <si>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</si>
  <si>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</si>
  <si>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</si>
  <si>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</si>
  <si>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</si>
  <si>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</si>
  <si>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</si>
  <si>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</si>
  <si>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</si>
  <si>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</si>
  <si>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</si>
  <si>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</si>
  <si>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</si>
  <si>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</si>
  <si>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</si>
  <si>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</si>
  <si>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</si>
  <si>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</si>
  <si>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</si>
  <si>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</si>
  <si>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</si>
  <si>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</si>
  <si>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</si>
  <si>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</si>
  <si>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</si>
  <si>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</si>
  <si>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</si>
  <si>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</si>
  <si>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</si>
  <si>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</si>
  <si>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</si>
  <si>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</si>
  <si>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</si>
  <si>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</si>
  <si>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</si>
  <si>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</si>
  <si>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</si>
  <si>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</si>
  <si>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</si>
  <si>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</si>
  <si>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</si>
  <si>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</si>
  <si>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</si>
  <si>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</si>
  <si>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</si>
  <si>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</si>
  <si>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</si>
  <si>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</si>
  <si>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</si>
  <si>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</si>
  <si>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</si>
  <si>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</si>
  <si>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</si>
  <si>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</si>
  <si>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</si>
  <si>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</si>
  <si>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</si>
  <si>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</si>
  <si>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</si>
  <si>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</si>
  <si>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</si>
  <si>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</si>
  <si>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</si>
  <si>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</si>
  <si>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</si>
  <si>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</si>
  <si>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</si>
  <si>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</si>
  <si>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</si>
  <si>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</si>
  <si>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</si>
  <si>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</si>
  <si>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</si>
  <si>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</si>
  <si>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</si>
  <si>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</si>
  <si>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</si>
  <si>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</si>
  <si>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</si>
  <si>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</si>
  <si>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</si>
  <si>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</si>
  <si>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</si>
  <si>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</si>
  <si>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</si>
  <si>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</si>
  <si>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</si>
  <si>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</si>
  <si>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</si>
  <si>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</si>
  <si>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</si>
  <si>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</si>
  <si>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</si>
  <si>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</si>
  <si>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</si>
  <si>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</si>
  <si>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</si>
  <si>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</si>
  <si>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</si>
  <si>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</si>
  <si>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</si>
  <si>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</si>
  <si>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</si>
  <si>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</si>
  <si>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</si>
  <si>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</si>
  <si>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</si>
  <si>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</si>
  <si>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</si>
  <si>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</si>
  <si>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</si>
  <si>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</si>
  <si>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</si>
  <si>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</si>
  <si>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</si>
  <si>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</si>
  <si>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</si>
  <si>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</si>
  <si>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</si>
  <si>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</si>
  <si>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</si>
  <si>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</si>
  <si>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</si>
  <si>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</si>
  <si>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</si>
  <si>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</si>
  <si>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</si>
  <si>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</si>
  <si>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</si>
  <si>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</si>
  <si>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</si>
  <si>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</si>
  <si>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</si>
  <si>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</si>
  <si>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</si>
  <si>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</si>
  <si>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</si>
  <si>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</si>
  <si>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</si>
  <si>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</si>
  <si>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</si>
  <si>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</si>
  <si>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</si>
  <si>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</si>
  <si>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</si>
  <si>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</si>
  <si>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</si>
  <si>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</si>
  <si>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</si>
  <si>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</si>
  <si>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</si>
  <si>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</si>
  <si>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</si>
  <si>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</si>
  <si>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</si>
  <si>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</si>
  <si>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</si>
  <si>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</si>
  <si>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</si>
  <si>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</si>
  <si>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</si>
  <si>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</si>
  <si>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</si>
  <si>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</si>
  <si>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</si>
  <si>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</si>
  <si>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</si>
  <si>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</si>
  <si>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</si>
  <si>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</si>
  <si>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</si>
  <si>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</si>
  <si>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</si>
  <si>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Theme Developers Private Limited</t>
  </si>
  <si>
    <t>Star Living Codename (Out Smart)</t>
  </si>
  <si>
    <t>Name of the Project As per RERA</t>
  </si>
  <si>
    <t>Starliving</t>
  </si>
  <si>
    <t>Approved Plans, CC, Sale Plan</t>
  </si>
  <si>
    <t>P51700003414</t>
  </si>
  <si>
    <t>2.2 Km from Thane Railway Station</t>
  </si>
  <si>
    <t>Thane west</t>
  </si>
  <si>
    <t>Naupada</t>
  </si>
  <si>
    <t>Forest Office</t>
  </si>
  <si>
    <t>19.188422,72.965137</t>
  </si>
  <si>
    <t>https://goo.gl/maps/ySSoebiTnway4cGw7?coh=178572&amp;entry=tt</t>
  </si>
  <si>
    <t>SRA</t>
  </si>
  <si>
    <t>SRA/ENG/V.P.No.S-02/0112/13</t>
  </si>
  <si>
    <t>V.P.No. S02/0112/13</t>
  </si>
  <si>
    <t>This CC is further ectended from Gr + 1st to 46th floor of sale building S1 as per approved amended plan 13/04/2022.</t>
  </si>
  <si>
    <t>As per RERA - 30/12/2026</t>
  </si>
  <si>
    <t>2B + Gr + 1st to 72nd Floor</t>
  </si>
  <si>
    <t>Gokhale Road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</si>
  <si>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</si>
  <si>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Sale Building S1</t>
  </si>
  <si>
    <t>Basement B1, B2 For Parking</t>
  </si>
  <si>
    <t>As Per RERA there is Litigations.</t>
  </si>
  <si>
    <t xml:space="preserve">Sale buiding is Known as Building S1. Flat No is mentioned as given by builder. </t>
  </si>
  <si>
    <t>The previous name of the project was Spenta Nova, and the present name of the project as per the RERA site is Starliving.</t>
  </si>
  <si>
    <t>Shop</t>
  </si>
  <si>
    <t>Sale / Rehab</t>
  </si>
  <si>
    <t>Sale</t>
  </si>
  <si>
    <t>Rehab</t>
  </si>
  <si>
    <t>Ground Floor For Commercial, Entrance Lobby, Waiting Lounge, Meter Room &amp; Parking</t>
  </si>
  <si>
    <t>Shop Lower Duplex with Basement Floor</t>
  </si>
  <si>
    <t>Ajun don duplex shop ahet but area kalla nahi</t>
  </si>
  <si>
    <t>1st Floor For Parking</t>
  </si>
  <si>
    <t>2nd to 6th Floor For Part Residential</t>
  </si>
  <si>
    <t>7th Floor (Part Refuge Area)</t>
  </si>
  <si>
    <t>Society Office</t>
  </si>
  <si>
    <t>Refuge Area</t>
  </si>
  <si>
    <t>11th, 16th, 21st &amp; 26th Floor (Part Refuge Area)</t>
  </si>
  <si>
    <t>8th to 10th, 12th to 15th, 17th to 20th, 22nd to 25th &amp; 27th to 29th Floor</t>
  </si>
  <si>
    <t>30th &amp; 35th Floor</t>
  </si>
  <si>
    <t>2.5BHK</t>
  </si>
  <si>
    <t>4.5BHK Duplex With Upper Floor</t>
  </si>
  <si>
    <t>31st &amp; 36th Floor (Part Refuge Area)</t>
  </si>
  <si>
    <t>Duplex With Lower Floor</t>
  </si>
  <si>
    <t>32nd to 34th, 37th &amp; 38th Floor</t>
  </si>
  <si>
    <t>39th Floor For Service</t>
  </si>
  <si>
    <t>40th, 45th, 50th, 55th, 60th &amp; 65th Floor (Duplex Floor)</t>
  </si>
  <si>
    <t>41st, 46th, 51st, 56th, 61st &amp; 66th Floor (Part Refuge Area)</t>
  </si>
  <si>
    <t>70th Floor For Recreation Area</t>
  </si>
  <si>
    <t>72nd Floor For Service</t>
  </si>
  <si>
    <t>68th Floor For Amenities (Sports Arena, Formal Library, Business Center, Conference Room, Arrival Lounge, Games Room, AV Room)</t>
  </si>
  <si>
    <t>69th Floor For Amenities (Music Room, Golf Simulator, Spa, Gym &amp; Fitness, Crossfit/ Zumba)</t>
  </si>
  <si>
    <t>71st Floor For Amenties (Kids Pool, Pool Deck, Senior Citizen Area, Seating Area, Squash Room, Open Cinema, Jogging Track)</t>
  </si>
  <si>
    <t>73rd Terrace Floor For Swimming Pool</t>
  </si>
  <si>
    <t>We considered Gross carpet area = Net carpet + balcony + AP Area + Utility Area.</t>
  </si>
  <si>
    <t>Shops</t>
  </si>
  <si>
    <t>Commercial Area Details : (Rehab)</t>
  </si>
  <si>
    <t>Commercial Area Details : (Sale)</t>
  </si>
  <si>
    <t>Residential Area Details : (Sale)</t>
  </si>
  <si>
    <t>Flats</t>
  </si>
  <si>
    <t>Rehab Building</t>
  </si>
  <si>
    <t>Internal Road</t>
  </si>
  <si>
    <t>Other Plot</t>
  </si>
  <si>
    <t>Rajdeep Society</t>
  </si>
  <si>
    <t>Tikka No</t>
  </si>
  <si>
    <t>Flats - 404, Sale Shops - 4, Rehab Shops - 15</t>
  </si>
  <si>
    <t>Vishnu Nagar, Teen Hath Naka</t>
  </si>
  <si>
    <t>Shree Swami Samarth CHS Ltd</t>
  </si>
  <si>
    <t>Previous Name of the Project</t>
  </si>
  <si>
    <t>Spenta Nova</t>
  </si>
  <si>
    <t>21, CTS No. 7Pt, 8Pt, Tikka No. 19, CTS No.30 &amp; 31, Redevlopement of " Shree Swami Samarth CHS Ltd "</t>
  </si>
  <si>
    <t>Rate changed to 13000 from 17300 by market inquiry</t>
  </si>
  <si>
    <t xml:space="preserve">Rate changed to 15000 from 13000 by Akash </t>
  </si>
  <si>
    <t>42nd to 44th, 47th to 49th, 52nd to 54th, 57th to 59th, 62nd to 64th &amp; 67th Floor</t>
  </si>
  <si>
    <t>We have updated approved layout plan, Floor plan &amp; CC (on 30/09/2023).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</si>
  <si>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</si>
  <si>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Sports Arena, Formal Library, Business Center, Conference Room, Arrival Lounge, Games Room, AV Room, Music Room, Golf Simulator, Spa, Gym &amp; Fitness, Crossfit/ Zumba, Kids Pool, Pool Deck, Senior Citizen Area, Seating Area, Squash Room, Open Cinema, Jogging Track, Swimming Pool.</t>
  </si>
  <si>
    <t>Ajay Songare</t>
  </si>
  <si>
    <t>Work is same as last visit (15/03/2024).</t>
  </si>
  <si>
    <t>We have given Valuation for Sale Flats and Shops only.</t>
  </si>
  <si>
    <t>Starliving (Spenta Nova)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</si>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</sst>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4" fontId="0" fillId="0" borderId="0" xfId="0" applyNumberFormat="1"/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462643</xdr:colOff>
      <xdr:row>362</xdr:row>
      <xdr:rowOff>81643</xdr:rowOff>
    </xdr:from>
    <xdr:to>
      <xdr:col>6</xdr:col>
      <xdr:colOff>506925</xdr:colOff>
      <xdr:row>374</xdr:row>
      <xdr:rowOff>152357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4643" y="59000572"/>
          <a:ext cx="4180853" cy="2520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509237</xdr:colOff>
      <xdr:row>344</xdr:row>
      <xdr:rowOff>104651</xdr:rowOff>
    </xdr:from>
    <xdr:to>
      <xdr:col>6</xdr:col>
      <xdr:colOff>131855</xdr:colOff>
      <xdr:row>359</xdr:row>
      <xdr:rowOff>51238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258" y="69767217"/>
          <a:ext cx="3879307" cy="29420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168088</xdr:colOff>
      <xdr:row>319</xdr:row>
      <xdr:rowOff>9738</xdr:rowOff>
    </xdr:from>
    <xdr:to>
      <xdr:col>6</xdr:col>
      <xdr:colOff>525556</xdr:colOff>
      <xdr:row>343</xdr:row>
      <xdr:rowOff>91214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109" y="64679890"/>
          <a:ext cx="4614157" cy="487419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574257</xdr:colOff>
      <xdr:row>15</xdr:row>
      <xdr:rowOff>10172</xdr:rowOff>
    </xdr:from>
    <xdr:to>
      <xdr:col>13</xdr:col>
      <xdr:colOff>30150</xdr:colOff>
      <xdr:row>22</xdr:row>
      <xdr:rowOff>219186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3319" y="3386418"/>
          <a:ext cx="3705508" cy="2471568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375</xdr:row>
      <xdr:rowOff>133350</xdr:rowOff>
    </xdr:from>
    <xdr:to>
      <xdr:col>7</xdr:col>
      <xdr:colOff>397425</xdr:colOff>
      <xdr:row>398</xdr:row>
      <xdr:rowOff>61747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4325" y="77343000"/>
          <a:ext cx="5760000" cy="45289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533400</xdr:colOff>
      <xdr:row>385</xdr:row>
      <xdr:rowOff>47625</xdr:rowOff>
    </xdr:from>
    <xdr:to>
      <xdr:col>4</xdr:col>
      <xdr:colOff>104775</xdr:colOff>
      <xdr:row>389</xdr:row>
      <xdr:rowOff>104775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274918">
          <a:off x="2943225" y="79257525"/>
          <a:ext cx="514350" cy="857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868544</xdr:colOff>
      <xdr:row>382</xdr:row>
      <xdr:rowOff>189482</xdr:rowOff>
    </xdr:from>
    <xdr:to>
      <xdr:col>5</xdr:col>
      <xdr:colOff>256869</xdr:colOff>
      <xdr:row>386</xdr:row>
      <xdr:rowOff>56655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7640507">
          <a:off x="3500907" y="78576769"/>
          <a:ext cx="667273" cy="11123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885824</xdr:colOff>
      <xdr:row>381</xdr:row>
      <xdr:rowOff>85725</xdr:rowOff>
    </xdr:from>
    <xdr:ext cx="1547027" cy="34278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308062">
          <a:off x="3295649" y="78495525"/>
          <a:ext cx="154702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rgbClr val="FFFF00"/>
              </a:solidFill>
            </a:rPr>
            <a:t>Rehab Buildings</a:t>
          </a:r>
        </a:p>
      </xdr:txBody>
    </xdr:sp>
    <xdr:clientData/>
  </xdr:oneCellAnchor>
  <xdr:oneCellAnchor>
    <xdr:from>
      <xdr:col>2</xdr:col>
      <xdr:colOff>560087</xdr:colOff>
      <xdr:row>383</xdr:row>
      <xdr:rowOff>193823</xdr:rowOff>
    </xdr:from>
    <xdr:ext cx="1067069" cy="843693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308062">
          <a:off x="2122187" y="79003673"/>
          <a:ext cx="1067069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600" b="1">
              <a:solidFill>
                <a:srgbClr val="FFFF00"/>
              </a:solidFill>
            </a:rPr>
            <a:t>Sale Building</a:t>
          </a:r>
          <a:r>
            <a:rPr lang="en-IN" sz="1600" b="1" baseline="0">
              <a:solidFill>
                <a:srgbClr val="FFFF00"/>
              </a:solidFill>
            </a:rPr>
            <a:t> S1</a:t>
          </a:r>
          <a:endParaRPr lang="en-IN" sz="1600" b="1">
            <a:solidFill>
              <a:srgbClr val="FFFF00"/>
            </a:solidFill>
          </a:endParaRPr>
        </a:p>
      </xdr:txBody>
    </xdr:sp>
    <xdr:clientData/>
  </xdr:oneCellAnchor>
  <xdr:oneCellAnchor>
    <xdr:from>
      <xdr:col>2</xdr:col>
      <xdr:colOff>400050</xdr:colOff>
      <xdr:row>322</xdr:row>
      <xdr:rowOff>95250</xdr:rowOff>
    </xdr:from>
    <xdr:ext cx="1105559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62150" y="66303525"/>
          <a:ext cx="1105559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Sale</a:t>
          </a:r>
          <a:r>
            <a:rPr lang="en-IN" sz="1100" b="1" baseline="0"/>
            <a:t> Building S1</a:t>
          </a:r>
          <a:endParaRPr lang="en-IN" sz="1100" b="1"/>
        </a:p>
      </xdr:txBody>
    </xdr:sp>
    <xdr:clientData/>
  </xdr:oneCellAnchor>
  <xdr:oneCellAnchor>
    <xdr:from>
      <xdr:col>1</xdr:col>
      <xdr:colOff>304800</xdr:colOff>
      <xdr:row>341</xdr:row>
      <xdr:rowOff>19050</xdr:rowOff>
    </xdr:from>
    <xdr:ext cx="163057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66800" y="70027800"/>
          <a:ext cx="1630575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 baseline="0"/>
            <a:t>Rehab Building- R1 to R4</a:t>
          </a:r>
          <a:endParaRPr lang="en-IN" sz="1100" b="1"/>
        </a:p>
      </xdr:txBody>
    </xdr:sp>
    <xdr:clientData/>
  </xdr:oneCellAnchor>
  <xdr:twoCellAnchor>
    <xdr:from>
      <xdr:col>8</xdr:col>
      <xdr:colOff>1194435</xdr:colOff>
      <xdr:row>277</xdr:row>
      <xdr:rowOff>123825</xdr:rowOff>
    </xdr:from>
    <xdr:to>
      <xdr:col>16</xdr:col>
      <xdr:colOff>421005</xdr:colOff>
      <xdr:row>309</xdr:row>
      <xdr:rowOff>66675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B05D60DC-47A8-4527-A3AE-BA8DAFAE4730}"/>
            </a:ext>
          </a:extLst>
        </xdr:cNvPr>
        <xdr:cNvGrpSpPr/>
      </xdr:nvGrpSpPr>
      <xdr:grpSpPr>
        <a:xfrm>
          <a:off x="7747635" y="56298465"/>
          <a:ext cx="5886450" cy="6275070"/>
          <a:chOff x="942805" y="502024"/>
          <a:chExt cx="4972392" cy="5558751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C9457F0-F29B-4AAD-B91F-960E3B2CF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2805" y="502024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86B88A5-6185-4AC2-98DC-E60B1843E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7728" y="502024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51F5565F-8D6A-4517-B613-E2B4BA0BAB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1306" y="390077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E95B7E49-E588-45BA-903E-0CEC2BDBB2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76093" y="3900775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350520</xdr:colOff>
      <xdr:row>282</xdr:row>
      <xdr:rowOff>22860</xdr:rowOff>
    </xdr:from>
    <xdr:to>
      <xdr:col>7</xdr:col>
      <xdr:colOff>421437</xdr:colOff>
      <xdr:row>315</xdr:row>
      <xdr:rowOff>78170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EB79680-79F8-B793-8ED4-FE71A0A4853F}"/>
            </a:ext>
          </a:extLst>
        </xdr:cNvPr>
        <xdr:cNvGrpSpPr/>
      </xdr:nvGrpSpPr>
      <xdr:grpSpPr>
        <a:xfrm>
          <a:off x="350520" y="57188100"/>
          <a:ext cx="5900217" cy="6585650"/>
          <a:chOff x="-29976" y="205860"/>
          <a:chExt cx="5900217" cy="658565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EB157BF7-0A8F-8700-486C-5C9C23F29B67}"/>
              </a:ext>
            </a:extLst>
          </xdr:cNvPr>
          <xdr:cNvGrpSpPr/>
        </xdr:nvGrpSpPr>
        <xdr:grpSpPr>
          <a:xfrm>
            <a:off x="227564" y="4271510"/>
            <a:ext cx="5385137" cy="2520000"/>
            <a:chOff x="-268421" y="4271510"/>
            <a:chExt cx="5385137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D518D4FB-C441-B996-433A-2A9D58EF30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28685" y="427151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A2B0574D-5214-9F96-CBA1-6DDF444EDD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68421" y="427151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3760C76C-D31F-A2A2-DAD5-33BD5A36C778}"/>
              </a:ext>
            </a:extLst>
          </xdr:cNvPr>
          <xdr:cNvGrpSpPr/>
        </xdr:nvGrpSpPr>
        <xdr:grpSpPr>
          <a:xfrm>
            <a:off x="-29976" y="205860"/>
            <a:ext cx="5900217" cy="3844006"/>
            <a:chOff x="208468" y="205860"/>
            <a:chExt cx="5900217" cy="3844006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1BD03CCB-BFBB-BBFD-8D4A-EBAA27B4F4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468" y="20586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BDE634D1-D09B-A2E6-5271-2D2AF488F6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28685" y="20586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SSoebiTnway4cGw7?coh=178572&amp;entry=tt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402"/>
  <sheetViews>
    <sheetView tabSelected="1" view="pageBreakPreview" zoomScaleNormal="100" zoomScaleSheetLayoutView="100" zoomScalePageLayoutView="85" workbookViewId="0">
      <selection activeCell="K5" sqref="K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11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66" t="s">
        <v>310</v>
      </c>
      <c r="B1" s="166"/>
      <c r="C1" s="166"/>
      <c r="D1" s="166"/>
      <c r="E1" s="166"/>
      <c r="F1" s="166"/>
      <c r="G1" s="166"/>
      <c r="H1" s="166"/>
    </row>
    <row r="2" spans="1:26" ht="16.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</row>
    <row r="3" spans="1:26" x14ac:dyDescent="0.3">
      <c r="A3" s="103" t="s">
        <v>1</v>
      </c>
      <c r="B3" s="103"/>
      <c r="C3" s="103"/>
      <c r="D3" s="103"/>
      <c r="E3" s="103" t="str">
        <f ca="1">TEXT(TODAY(),"DD/MM/YYYY")</f>
        <v>09/09/2025</v>
      </c>
      <c r="F3" s="103"/>
      <c r="G3" s="103"/>
      <c r="H3" s="103"/>
    </row>
    <row r="4" spans="1:26" ht="15" customHeight="1" x14ac:dyDescent="0.3">
      <c r="A4" s="103" t="s">
        <v>2</v>
      </c>
      <c r="B4" s="103"/>
      <c r="C4" s="103"/>
      <c r="D4" s="103"/>
      <c r="E4" s="103" t="s">
        <v>234</v>
      </c>
      <c r="F4" s="103"/>
      <c r="G4" s="103"/>
      <c r="H4" s="103"/>
    </row>
    <row r="5" spans="1:26" x14ac:dyDescent="0.3">
      <c r="A5" s="103" t="s">
        <v>3</v>
      </c>
      <c r="B5" s="103"/>
      <c r="C5" s="103"/>
      <c r="D5" s="103"/>
      <c r="E5" s="168">
        <v>45908</v>
      </c>
      <c r="F5" s="103"/>
      <c r="G5" s="103"/>
      <c r="H5" s="103"/>
    </row>
    <row r="6" spans="1:26" ht="16.5" customHeight="1" x14ac:dyDescent="0.3">
      <c r="A6" s="103" t="s">
        <v>4</v>
      </c>
      <c r="B6" s="103"/>
      <c r="C6" s="103"/>
      <c r="D6" s="103"/>
      <c r="E6" s="103" t="s">
        <v>235</v>
      </c>
      <c r="F6" s="103"/>
      <c r="G6" s="103"/>
      <c r="H6" s="103"/>
    </row>
    <row r="7" spans="1:26" ht="15" customHeight="1" x14ac:dyDescent="0.3">
      <c r="A7" s="103" t="s">
        <v>5</v>
      </c>
      <c r="B7" s="103"/>
      <c r="C7" s="103"/>
      <c r="D7" s="103"/>
      <c r="E7" s="103" t="str">
        <f>E6</f>
        <v>Theme Developers Private Limited</v>
      </c>
      <c r="F7" s="103"/>
      <c r="G7" s="103"/>
      <c r="H7" s="103"/>
    </row>
    <row r="8" spans="1:26" x14ac:dyDescent="0.3">
      <c r="A8" s="103" t="s">
        <v>6</v>
      </c>
      <c r="B8" s="103"/>
      <c r="C8" s="103"/>
      <c r="D8" s="103"/>
      <c r="E8" s="132" t="s">
        <v>236</v>
      </c>
      <c r="F8" s="132"/>
      <c r="G8" s="132"/>
      <c r="H8" s="132"/>
    </row>
    <row r="9" spans="1:26" x14ac:dyDescent="0.3">
      <c r="A9" s="103" t="s">
        <v>237</v>
      </c>
      <c r="B9" s="103"/>
      <c r="C9" s="103"/>
      <c r="D9" s="103"/>
      <c r="E9" s="132" t="s">
        <v>238</v>
      </c>
      <c r="F9" s="132"/>
      <c r="G9" s="132"/>
      <c r="H9" s="132"/>
      <c r="I9" s="21" t="s">
        <v>315</v>
      </c>
    </row>
    <row r="10" spans="1:26" x14ac:dyDescent="0.3">
      <c r="A10" s="103" t="s">
        <v>303</v>
      </c>
      <c r="B10" s="103"/>
      <c r="C10" s="103"/>
      <c r="D10" s="103"/>
      <c r="E10" s="132" t="s">
        <v>304</v>
      </c>
      <c r="F10" s="132"/>
      <c r="G10" s="132"/>
      <c r="H10" s="132"/>
    </row>
    <row r="11" spans="1:26" x14ac:dyDescent="0.3">
      <c r="A11" s="103" t="s">
        <v>172</v>
      </c>
      <c r="B11" s="103"/>
      <c r="C11" s="103"/>
      <c r="D11" s="103"/>
      <c r="E11" s="103" t="s">
        <v>29</v>
      </c>
      <c r="F11" s="103"/>
      <c r="G11" s="103"/>
      <c r="H11" s="103"/>
    </row>
    <row r="12" spans="1:26" x14ac:dyDescent="0.3">
      <c r="A12" s="103" t="s">
        <v>173</v>
      </c>
      <c r="B12" s="103"/>
      <c r="C12" s="103"/>
      <c r="D12" s="103"/>
      <c r="E12" s="103" t="s">
        <v>29</v>
      </c>
      <c r="F12" s="103"/>
      <c r="G12" s="103"/>
      <c r="H12" s="103"/>
    </row>
    <row r="13" spans="1:26" x14ac:dyDescent="0.3">
      <c r="A13" s="103" t="s">
        <v>7</v>
      </c>
      <c r="B13" s="103"/>
      <c r="C13" s="103"/>
      <c r="D13" s="103"/>
      <c r="E13" s="103" t="s">
        <v>122</v>
      </c>
      <c r="F13" s="103"/>
      <c r="G13" s="103"/>
      <c r="H13" s="103"/>
    </row>
    <row r="14" spans="1:26" x14ac:dyDescent="0.3">
      <c r="A14" s="103" t="s">
        <v>175</v>
      </c>
      <c r="B14" s="103"/>
      <c r="C14" s="103"/>
      <c r="D14" s="103"/>
      <c r="E14" s="103" t="s">
        <v>302</v>
      </c>
      <c r="F14" s="103"/>
      <c r="G14" s="103"/>
      <c r="H14" s="103"/>
      <c r="S14" s="54" t="s">
        <v>181</v>
      </c>
      <c r="T14" s="54" t="s">
        <v>191</v>
      </c>
      <c r="U14" s="54" t="s">
        <v>176</v>
      </c>
      <c r="V14" s="54" t="s">
        <v>196</v>
      </c>
      <c r="W14" s="54" t="s">
        <v>214</v>
      </c>
      <c r="X14"/>
      <c r="Y14" t="s">
        <v>196</v>
      </c>
      <c r="Z14" t="e">
        <f ca="1">OFFSET($S$14,1,MATCH($G21,$S$14:$W$14,0)-1,15,1)</f>
        <v>#VALUE!</v>
      </c>
    </row>
    <row r="15" spans="1:26" x14ac:dyDescent="0.3">
      <c r="A15" s="94" t="s">
        <v>8</v>
      </c>
      <c r="B15" s="94"/>
      <c r="C15" s="94"/>
      <c r="D15" s="94"/>
      <c r="E15" s="104" t="s">
        <v>239</v>
      </c>
      <c r="F15" s="104"/>
      <c r="G15" s="104"/>
      <c r="H15" s="104"/>
      <c r="S15" s="54" t="s">
        <v>182</v>
      </c>
      <c r="T15" s="54" t="s">
        <v>189</v>
      </c>
      <c r="U15" s="54" t="s">
        <v>211</v>
      </c>
      <c r="V15" s="54" t="s">
        <v>197</v>
      </c>
      <c r="W15" s="54" t="s">
        <v>215</v>
      </c>
      <c r="X15"/>
      <c r="Y15"/>
      <c r="Z15"/>
    </row>
    <row r="16" spans="1:26" x14ac:dyDescent="0.3">
      <c r="A16" s="94" t="s">
        <v>9</v>
      </c>
      <c r="B16" s="94"/>
      <c r="C16" s="94"/>
      <c r="D16" s="94"/>
      <c r="E16" s="104" t="s">
        <v>240</v>
      </c>
      <c r="F16" s="103"/>
      <c r="G16" s="103"/>
      <c r="H16" s="103"/>
      <c r="I16" s="187" t="e">
        <f ca="1">OFFSET($D$4,1,MATCH($J14,$D$4:$H$4,0)-1,15,1)</f>
        <v>#N/A</v>
      </c>
      <c r="J16" s="188"/>
      <c r="K16" s="188"/>
      <c r="L16" s="188"/>
      <c r="M16" s="188"/>
      <c r="N16" s="188"/>
      <c r="O16" s="188"/>
      <c r="P16" s="188"/>
      <c r="S16" s="54" t="s">
        <v>183</v>
      </c>
      <c r="T16" s="54" t="s">
        <v>190</v>
      </c>
      <c r="U16" s="54" t="s">
        <v>212</v>
      </c>
      <c r="V16" s="54" t="s">
        <v>198</v>
      </c>
      <c r="W16" s="54" t="s">
        <v>228</v>
      </c>
      <c r="X16"/>
      <c r="Y16"/>
      <c r="Z16"/>
    </row>
    <row r="17" spans="1:26" ht="66" customHeight="1" x14ac:dyDescent="0.3">
      <c r="A17" s="100" t="s">
        <v>10</v>
      </c>
      <c r="B17" s="100"/>
      <c r="C17" s="100" t="str">
        <f>CONCATENATE((IF(OR(E8="",E8="NA"),"",E8)),", ",(IF(OR(A18="",A18="NA"),"",A18)),".",(IF(OR(C18="",C18="NA"),"",C18)),", near ",(IF(OR(C23="",C23="NA"),"",C23)),", ",(IF(OR(C20="",C20="NA"),"",C20)),", ",(IF(OR(C19="",C19="NA"),"",C19)),", ",(IF(OR(G20="",G20="NA"),"",G20)),", ",(IF(OR(C21="",C21="NA"),"",C21)),", ",(IF(OR(C22="",C22="NA"),"",C22)),", ",(IF(OR(G21="",G21="NA"),"",G21))," - ",(IF(OR(G22="",G22="NA"),"",G22)),".")</f>
        <v>Star Living Codename (Out Smart), Tikka No.21, CTS No. 7Pt, 8Pt, Tikka No. 19, CTS No.30 &amp; 31, Redevlopement of " Shree Swami Samarth CHS Ltd ", near Rajdeep Society, Gokhale Road, Vishnu Nagar, Teen Hath Naka, Naupada, Thane west, Thane, Thane  - 400602.</v>
      </c>
      <c r="D17" s="100"/>
      <c r="E17" s="100"/>
      <c r="F17" s="100"/>
      <c r="G17" s="100"/>
      <c r="H17" s="100"/>
      <c r="S17" s="54" t="s">
        <v>184</v>
      </c>
      <c r="T17" s="54" t="s">
        <v>192</v>
      </c>
      <c r="U17" s="54" t="s">
        <v>213</v>
      </c>
      <c r="V17" s="54" t="s">
        <v>199</v>
      </c>
      <c r="W17" s="54" t="s">
        <v>216</v>
      </c>
      <c r="X17"/>
      <c r="Y17"/>
      <c r="Z17"/>
    </row>
    <row r="18" spans="1:26" ht="33.75" customHeight="1" x14ac:dyDescent="0.3">
      <c r="A18" s="104" t="s">
        <v>299</v>
      </c>
      <c r="B18" s="104"/>
      <c r="C18" s="104" t="s">
        <v>305</v>
      </c>
      <c r="D18" s="104"/>
      <c r="E18" s="104"/>
      <c r="F18" s="104"/>
      <c r="G18" s="104"/>
      <c r="H18" s="104"/>
      <c r="S18" s="54" t="s">
        <v>185</v>
      </c>
      <c r="T18" s="54" t="s">
        <v>193</v>
      </c>
      <c r="U18" s="54"/>
      <c r="V18" s="54" t="s">
        <v>200</v>
      </c>
      <c r="W18" s="54" t="s">
        <v>217</v>
      </c>
      <c r="X18"/>
      <c r="Y18"/>
      <c r="Z18"/>
    </row>
    <row r="19" spans="1:26" ht="15.75" customHeight="1" x14ac:dyDescent="0.3">
      <c r="A19" s="104" t="s">
        <v>168</v>
      </c>
      <c r="B19" s="104"/>
      <c r="C19" s="104" t="s">
        <v>301</v>
      </c>
      <c r="D19" s="104"/>
      <c r="E19" s="104"/>
      <c r="F19" s="104"/>
      <c r="G19" s="104"/>
      <c r="H19" s="104"/>
      <c r="S19" s="54" t="s">
        <v>186</v>
      </c>
      <c r="T19" s="54" t="s">
        <v>191</v>
      </c>
      <c r="U19" s="54"/>
      <c r="V19" s="54" t="s">
        <v>201</v>
      </c>
      <c r="W19" s="54" t="s">
        <v>218</v>
      </c>
      <c r="X19"/>
      <c r="Y19"/>
      <c r="Z19"/>
    </row>
    <row r="20" spans="1:26" ht="15.75" customHeight="1" x14ac:dyDescent="0.3">
      <c r="A20" s="104" t="s">
        <v>11</v>
      </c>
      <c r="B20" s="104"/>
      <c r="C20" s="103" t="s">
        <v>253</v>
      </c>
      <c r="D20" s="103"/>
      <c r="E20" s="104" t="s">
        <v>72</v>
      </c>
      <c r="F20" s="104"/>
      <c r="G20" s="104" t="s">
        <v>243</v>
      </c>
      <c r="H20" s="104"/>
      <c r="S20" s="54" t="s">
        <v>187</v>
      </c>
      <c r="T20" s="54" t="s">
        <v>194</v>
      </c>
      <c r="U20" s="54"/>
      <c r="V20" s="54" t="s">
        <v>202</v>
      </c>
      <c r="W20" s="54" t="s">
        <v>219</v>
      </c>
      <c r="X20"/>
      <c r="Y20"/>
      <c r="Z20"/>
    </row>
    <row r="21" spans="1:26" x14ac:dyDescent="0.3">
      <c r="A21" s="103" t="s">
        <v>13</v>
      </c>
      <c r="B21" s="103"/>
      <c r="C21" s="104" t="s">
        <v>242</v>
      </c>
      <c r="D21" s="104"/>
      <c r="E21" s="104" t="s">
        <v>12</v>
      </c>
      <c r="F21" s="104"/>
      <c r="G21" s="165" t="s">
        <v>181</v>
      </c>
      <c r="H21" s="165"/>
      <c r="S21" s="54" t="s">
        <v>188</v>
      </c>
      <c r="T21" s="54" t="s">
        <v>195</v>
      </c>
      <c r="U21" s="54"/>
      <c r="V21" s="54" t="s">
        <v>203</v>
      </c>
      <c r="W21" s="54" t="s">
        <v>220</v>
      </c>
      <c r="X21"/>
      <c r="Y21"/>
      <c r="Z21"/>
    </row>
    <row r="22" spans="1:26" x14ac:dyDescent="0.3">
      <c r="A22" s="103" t="s">
        <v>73</v>
      </c>
      <c r="B22" s="103"/>
      <c r="C22" s="104" t="s">
        <v>182</v>
      </c>
      <c r="D22" s="104"/>
      <c r="E22" s="104" t="s">
        <v>14</v>
      </c>
      <c r="F22" s="104"/>
      <c r="G22" s="104">
        <v>400602</v>
      </c>
      <c r="H22" s="104"/>
      <c r="S22" s="54"/>
      <c r="T22" s="54"/>
      <c r="U22" s="54"/>
      <c r="V22" s="54" t="s">
        <v>204</v>
      </c>
      <c r="W22" s="54" t="s">
        <v>221</v>
      </c>
      <c r="X22"/>
      <c r="Y22"/>
      <c r="Z22"/>
    </row>
    <row r="23" spans="1:26" ht="32.25" customHeight="1" x14ac:dyDescent="0.3">
      <c r="A23" s="103" t="s">
        <v>123</v>
      </c>
      <c r="B23" s="103"/>
      <c r="C23" s="104" t="s">
        <v>298</v>
      </c>
      <c r="D23" s="104"/>
      <c r="E23" s="104" t="s">
        <v>15</v>
      </c>
      <c r="F23" s="104"/>
      <c r="G23" s="104" t="s">
        <v>241</v>
      </c>
      <c r="H23" s="104"/>
      <c r="S23" s="54"/>
      <c r="T23" s="54"/>
      <c r="U23" s="54"/>
      <c r="V23" s="54" t="s">
        <v>205</v>
      </c>
      <c r="W23" s="54" t="s">
        <v>222</v>
      </c>
      <c r="X23"/>
      <c r="Y23"/>
      <c r="Z23"/>
    </row>
    <row r="24" spans="1:26" ht="15" customHeight="1" x14ac:dyDescent="0.3">
      <c r="A24" s="100" t="s">
        <v>74</v>
      </c>
      <c r="B24" s="100"/>
      <c r="C24" s="100"/>
      <c r="D24" s="100"/>
      <c r="E24" s="103" t="s">
        <v>16</v>
      </c>
      <c r="F24" s="103"/>
      <c r="G24" s="103"/>
      <c r="H24" s="103"/>
      <c r="S24" s="54"/>
      <c r="T24" s="54"/>
      <c r="U24" s="54"/>
      <c r="V24" s="54" t="s">
        <v>206</v>
      </c>
      <c r="W24" s="54" t="s">
        <v>223</v>
      </c>
      <c r="X24"/>
      <c r="Y24"/>
      <c r="Z24"/>
    </row>
    <row r="25" spans="1:26" ht="18.75" customHeight="1" x14ac:dyDescent="0.3">
      <c r="A25" s="100"/>
      <c r="B25" s="100"/>
      <c r="C25" s="100"/>
      <c r="D25" s="100"/>
      <c r="E25" s="103"/>
      <c r="F25" s="103"/>
      <c r="G25" s="103"/>
      <c r="H25" s="103"/>
      <c r="S25" s="54"/>
      <c r="T25" s="54"/>
      <c r="U25" s="54"/>
      <c r="V25" s="54" t="s">
        <v>207</v>
      </c>
      <c r="W25" s="54" t="s">
        <v>224</v>
      </c>
      <c r="X25"/>
      <c r="Y25"/>
      <c r="Z25"/>
    </row>
    <row r="26" spans="1:26" ht="15" customHeight="1" x14ac:dyDescent="0.3">
      <c r="A26" s="100" t="s">
        <v>17</v>
      </c>
      <c r="B26" s="100"/>
      <c r="C26" s="100"/>
      <c r="D26" s="100"/>
      <c r="E26" s="104" t="s">
        <v>18</v>
      </c>
      <c r="F26" s="104"/>
      <c r="G26" s="104"/>
      <c r="H26" s="104"/>
      <c r="S26" s="54"/>
      <c r="T26" s="54"/>
      <c r="U26" s="54"/>
      <c r="V26" s="54" t="s">
        <v>208</v>
      </c>
      <c r="W26" s="54" t="s">
        <v>225</v>
      </c>
      <c r="X26"/>
      <c r="Y26"/>
      <c r="Z26"/>
    </row>
    <row r="27" spans="1:26" ht="15" customHeight="1" x14ac:dyDescent="0.3">
      <c r="A27" s="94" t="s">
        <v>19</v>
      </c>
      <c r="B27" s="94"/>
      <c r="C27" s="94"/>
      <c r="D27" s="94"/>
      <c r="E27" s="104" t="str">
        <f>IF(AND(G21="Mumbai"),"Upper Class","Middle Class")</f>
        <v>Middle Class</v>
      </c>
      <c r="F27" s="104"/>
      <c r="G27" s="104"/>
      <c r="H27" s="104"/>
      <c r="S27" s="54"/>
      <c r="T27" s="54"/>
      <c r="U27" s="54"/>
      <c r="V27" s="54" t="s">
        <v>209</v>
      </c>
      <c r="W27" s="54" t="s">
        <v>226</v>
      </c>
      <c r="X27"/>
      <c r="Y27"/>
      <c r="Z27"/>
    </row>
    <row r="28" spans="1:26" x14ac:dyDescent="0.3">
      <c r="A28" s="94" t="s">
        <v>20</v>
      </c>
      <c r="B28" s="94"/>
      <c r="C28" s="94"/>
      <c r="D28" s="94"/>
      <c r="E28" s="104" t="s">
        <v>21</v>
      </c>
      <c r="F28" s="104"/>
      <c r="G28" s="104"/>
      <c r="H28" s="104"/>
      <c r="S28" s="54"/>
      <c r="T28" s="54"/>
      <c r="U28" s="54"/>
      <c r="V28" s="54" t="s">
        <v>210</v>
      </c>
      <c r="W28" s="54" t="s">
        <v>227</v>
      </c>
      <c r="X28"/>
      <c r="Y28"/>
      <c r="Z28"/>
    </row>
    <row r="29" spans="1:26" ht="15.75" customHeight="1" x14ac:dyDescent="0.3">
      <c r="A29" s="94" t="s">
        <v>22</v>
      </c>
      <c r="B29" s="94"/>
      <c r="C29" s="94"/>
      <c r="D29" s="94"/>
      <c r="E29" s="104" t="str">
        <f>IF(AND(G21="Mumbai"),"Developed","Developing")</f>
        <v>Developing</v>
      </c>
      <c r="F29" s="104"/>
      <c r="G29" s="104"/>
      <c r="H29" s="104"/>
    </row>
    <row r="30" spans="1:26" x14ac:dyDescent="0.3">
      <c r="A30" s="94" t="s">
        <v>23</v>
      </c>
      <c r="B30" s="94"/>
      <c r="C30" s="94"/>
      <c r="D30" s="94"/>
      <c r="E30" s="104" t="s">
        <v>24</v>
      </c>
      <c r="F30" s="104"/>
      <c r="G30" s="104"/>
      <c r="H30" s="104"/>
    </row>
    <row r="31" spans="1:26" ht="15.75" customHeight="1" x14ac:dyDescent="0.3">
      <c r="A31" s="94" t="s">
        <v>79</v>
      </c>
      <c r="B31" s="94"/>
      <c r="C31" s="94"/>
      <c r="D31" s="94"/>
      <c r="E31" s="104" t="s">
        <v>80</v>
      </c>
      <c r="F31" s="104"/>
      <c r="G31" s="104"/>
      <c r="H31" s="104"/>
    </row>
    <row r="32" spans="1:26" ht="15" customHeight="1" x14ac:dyDescent="0.3">
      <c r="A32" s="94" t="s">
        <v>32</v>
      </c>
      <c r="B32" s="94"/>
      <c r="C32" s="94"/>
      <c r="D32" s="94"/>
      <c r="E32" s="104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2" s="104"/>
      <c r="G32" s="104"/>
      <c r="H32" s="104"/>
    </row>
    <row r="33" spans="1:9" ht="15.75" customHeight="1" x14ac:dyDescent="0.3">
      <c r="A33" s="94" t="s">
        <v>91</v>
      </c>
      <c r="B33" s="94"/>
      <c r="C33" s="94"/>
      <c r="D33" s="94"/>
      <c r="E33" s="104" t="s">
        <v>33</v>
      </c>
      <c r="F33" s="104"/>
      <c r="G33" s="104"/>
      <c r="H33" s="104"/>
    </row>
    <row r="34" spans="1:9" s="22" customFormat="1" x14ac:dyDescent="0.3">
      <c r="A34" s="164" t="s">
        <v>92</v>
      </c>
      <c r="B34" s="164"/>
      <c r="C34" s="161" t="s">
        <v>177</v>
      </c>
      <c r="D34" s="162"/>
      <c r="E34" s="163"/>
      <c r="F34" s="161" t="s">
        <v>30</v>
      </c>
      <c r="G34" s="162"/>
      <c r="H34" s="163"/>
    </row>
    <row r="35" spans="1:9" s="22" customFormat="1" x14ac:dyDescent="0.3">
      <c r="A35" s="138" t="s">
        <v>25</v>
      </c>
      <c r="B35" s="138" t="s">
        <v>29</v>
      </c>
      <c r="C35" s="139" t="s">
        <v>297</v>
      </c>
      <c r="D35" s="140"/>
      <c r="E35" s="141"/>
      <c r="F35" s="139" t="s">
        <v>298</v>
      </c>
      <c r="G35" s="140"/>
      <c r="H35" s="141"/>
    </row>
    <row r="36" spans="1:9" x14ac:dyDescent="0.3">
      <c r="A36" s="138" t="s">
        <v>26</v>
      </c>
      <c r="B36" s="138" t="s">
        <v>29</v>
      </c>
      <c r="C36" s="139" t="s">
        <v>244</v>
      </c>
      <c r="D36" s="140"/>
      <c r="E36" s="141"/>
      <c r="F36" s="139" t="s">
        <v>244</v>
      </c>
      <c r="G36" s="140"/>
      <c r="H36" s="141"/>
    </row>
    <row r="37" spans="1:9" s="22" customFormat="1" x14ac:dyDescent="0.3">
      <c r="A37" s="138" t="s">
        <v>28</v>
      </c>
      <c r="B37" s="138" t="s">
        <v>29</v>
      </c>
      <c r="C37" s="139" t="s">
        <v>295</v>
      </c>
      <c r="D37" s="140"/>
      <c r="E37" s="141"/>
      <c r="F37" s="139" t="s">
        <v>295</v>
      </c>
      <c r="G37" s="140"/>
      <c r="H37" s="141"/>
    </row>
    <row r="38" spans="1:9" x14ac:dyDescent="0.3">
      <c r="A38" s="138" t="s">
        <v>27</v>
      </c>
      <c r="B38" s="138" t="s">
        <v>29</v>
      </c>
      <c r="C38" s="139" t="s">
        <v>296</v>
      </c>
      <c r="D38" s="140"/>
      <c r="E38" s="141"/>
      <c r="F38" s="139" t="s">
        <v>296</v>
      </c>
      <c r="G38" s="140"/>
      <c r="H38" s="141"/>
    </row>
    <row r="39" spans="1:9" x14ac:dyDescent="0.3">
      <c r="A39" s="94" t="s">
        <v>31</v>
      </c>
      <c r="B39" s="94"/>
      <c r="C39" s="94"/>
      <c r="D39" s="94"/>
      <c r="E39" s="94"/>
      <c r="F39" s="94"/>
      <c r="G39" s="94"/>
      <c r="H39" s="94"/>
    </row>
    <row r="40" spans="1:9" ht="15.75" customHeight="1" x14ac:dyDescent="0.3">
      <c r="A40" s="108" t="s">
        <v>170</v>
      </c>
      <c r="B40" s="108"/>
      <c r="C40" s="94" t="s">
        <v>245</v>
      </c>
      <c r="D40" s="94"/>
      <c r="E40" s="94"/>
      <c r="F40" s="94"/>
      <c r="G40" s="94"/>
      <c r="H40" s="94"/>
    </row>
    <row r="41" spans="1:9" x14ac:dyDescent="0.3">
      <c r="A41" s="108" t="s">
        <v>167</v>
      </c>
      <c r="B41" s="108"/>
      <c r="C41" s="109" t="s">
        <v>246</v>
      </c>
      <c r="D41" s="104"/>
      <c r="E41" s="104"/>
      <c r="F41" s="104"/>
      <c r="G41" s="104"/>
      <c r="H41" s="104"/>
    </row>
    <row r="42" spans="1:9" x14ac:dyDescent="0.3">
      <c r="A42" s="108" t="s">
        <v>34</v>
      </c>
      <c r="B42" s="108"/>
      <c r="C42" s="108"/>
      <c r="D42" s="108"/>
      <c r="E42" s="108"/>
      <c r="F42" s="108"/>
      <c r="G42" s="108"/>
      <c r="H42" s="108"/>
    </row>
    <row r="43" spans="1:9" x14ac:dyDescent="0.3">
      <c r="A43" s="94" t="s">
        <v>35</v>
      </c>
      <c r="B43" s="94"/>
      <c r="C43" s="94"/>
      <c r="D43" s="94"/>
      <c r="E43" s="88">
        <v>7850.48</v>
      </c>
      <c r="F43" s="89"/>
      <c r="G43" s="89"/>
      <c r="H43" s="89"/>
      <c r="I43" s="90"/>
    </row>
    <row r="44" spans="1:9" x14ac:dyDescent="0.3">
      <c r="A44" s="94" t="s">
        <v>36</v>
      </c>
      <c r="B44" s="94"/>
      <c r="C44" s="94"/>
      <c r="D44" s="94"/>
      <c r="E44" s="155">
        <v>4</v>
      </c>
      <c r="F44" s="155"/>
      <c r="G44" s="155"/>
      <c r="H44" s="155"/>
    </row>
    <row r="45" spans="1:9" x14ac:dyDescent="0.3">
      <c r="A45" s="94" t="s">
        <v>37</v>
      </c>
      <c r="B45" s="94"/>
      <c r="C45" s="94"/>
      <c r="D45" s="94"/>
      <c r="E45" s="155">
        <f>E47/E43-E44</f>
        <v>2.7012845074441314</v>
      </c>
      <c r="F45" s="155"/>
      <c r="G45" s="155"/>
      <c r="H45" s="155"/>
    </row>
    <row r="46" spans="1:9" x14ac:dyDescent="0.3">
      <c r="A46" s="94" t="s">
        <v>38</v>
      </c>
      <c r="B46" s="94"/>
      <c r="C46" s="94"/>
      <c r="D46" s="94"/>
      <c r="E46" s="155">
        <f>E44+E45</f>
        <v>6.7012845074441314</v>
      </c>
      <c r="F46" s="155"/>
      <c r="G46" s="155"/>
      <c r="H46" s="155"/>
    </row>
    <row r="47" spans="1:9" x14ac:dyDescent="0.3">
      <c r="A47" s="94" t="s">
        <v>90</v>
      </c>
      <c r="B47" s="94"/>
      <c r="C47" s="94"/>
      <c r="D47" s="94"/>
      <c r="E47" s="156">
        <v>52608.3</v>
      </c>
      <c r="F47" s="156"/>
      <c r="G47" s="156"/>
      <c r="H47" s="156"/>
    </row>
    <row r="48" spans="1:9" x14ac:dyDescent="0.3">
      <c r="A48" s="103" t="s">
        <v>39</v>
      </c>
      <c r="B48" s="103"/>
      <c r="C48" s="103"/>
      <c r="D48" s="103"/>
      <c r="E48" s="103" t="s">
        <v>122</v>
      </c>
      <c r="F48" s="103"/>
      <c r="G48" s="103"/>
      <c r="H48" s="103"/>
    </row>
    <row r="49" spans="1:14" x14ac:dyDescent="0.3">
      <c r="A49" s="108" t="s">
        <v>40</v>
      </c>
      <c r="B49" s="108"/>
      <c r="C49" s="108"/>
      <c r="D49" s="108"/>
      <c r="E49" s="108"/>
      <c r="F49" s="108"/>
      <c r="G49" s="108"/>
      <c r="H49" s="108"/>
    </row>
    <row r="50" spans="1:14" ht="33.75" customHeight="1" x14ac:dyDescent="0.3">
      <c r="A50" s="91" t="s">
        <v>155</v>
      </c>
      <c r="B50" s="93"/>
      <c r="C50" s="110" t="s">
        <v>247</v>
      </c>
      <c r="D50" s="111"/>
      <c r="E50" s="111"/>
      <c r="F50" s="111"/>
      <c r="G50" s="111"/>
      <c r="H50" s="112"/>
    </row>
    <row r="51" spans="1:14" ht="15.75" customHeight="1" x14ac:dyDescent="0.3">
      <c r="A51" s="91" t="s">
        <v>41</v>
      </c>
      <c r="B51" s="93"/>
      <c r="C51" s="91" t="s">
        <v>248</v>
      </c>
      <c r="D51" s="92"/>
      <c r="E51" s="93"/>
      <c r="F51" s="18" t="s">
        <v>42</v>
      </c>
      <c r="G51" s="125">
        <v>44664</v>
      </c>
      <c r="H51" s="93"/>
    </row>
    <row r="52" spans="1:14" x14ac:dyDescent="0.3">
      <c r="A52" s="91" t="s">
        <v>43</v>
      </c>
      <c r="B52" s="93"/>
      <c r="C52" s="91" t="str">
        <f>C51</f>
        <v>SRA/ENG/V.P.No.S-02/0112/13</v>
      </c>
      <c r="D52" s="92"/>
      <c r="E52" s="93"/>
      <c r="F52" s="18" t="s">
        <v>42</v>
      </c>
      <c r="G52" s="125">
        <f>G51</f>
        <v>44664</v>
      </c>
      <c r="H52" s="126"/>
    </row>
    <row r="53" spans="1:14" s="23" customFormat="1" ht="15.75" customHeight="1" x14ac:dyDescent="0.3">
      <c r="A53" s="127" t="s">
        <v>159</v>
      </c>
      <c r="B53" s="128"/>
      <c r="C53" s="91" t="s">
        <v>249</v>
      </c>
      <c r="D53" s="92"/>
      <c r="E53" s="93"/>
      <c r="F53" s="18" t="s">
        <v>42</v>
      </c>
      <c r="G53" s="125">
        <v>44799</v>
      </c>
      <c r="H53" s="126"/>
    </row>
    <row r="54" spans="1:14" s="23" customFormat="1" ht="33.75" customHeight="1" x14ac:dyDescent="0.3">
      <c r="A54" s="129"/>
      <c r="B54" s="130"/>
      <c r="C54" s="91" t="s">
        <v>250</v>
      </c>
      <c r="D54" s="92"/>
      <c r="E54" s="92"/>
      <c r="F54" s="92"/>
      <c r="G54" s="92"/>
      <c r="H54" s="93"/>
    </row>
    <row r="55" spans="1:14" x14ac:dyDescent="0.3">
      <c r="A55" s="189" t="s">
        <v>44</v>
      </c>
      <c r="B55" s="190"/>
      <c r="C55" s="189" t="s">
        <v>104</v>
      </c>
      <c r="D55" s="191"/>
      <c r="E55" s="190"/>
      <c r="F55" s="46" t="s">
        <v>42</v>
      </c>
      <c r="G55" s="183" t="s">
        <v>29</v>
      </c>
      <c r="H55" s="184"/>
    </row>
    <row r="56" spans="1:14" x14ac:dyDescent="0.3">
      <c r="A56" s="172" t="s">
        <v>46</v>
      </c>
      <c r="B56" s="172"/>
      <c r="C56" s="172"/>
      <c r="D56" s="172"/>
      <c r="E56" s="172"/>
      <c r="F56" s="172"/>
      <c r="G56" s="172"/>
      <c r="H56" s="172"/>
    </row>
    <row r="57" spans="1:14" x14ac:dyDescent="0.3">
      <c r="A57" s="100" t="s">
        <v>89</v>
      </c>
      <c r="B57" s="100"/>
      <c r="C57" s="100"/>
      <c r="D57" s="103">
        <f>E47</f>
        <v>52608.3</v>
      </c>
      <c r="E57" s="103"/>
      <c r="F57" s="103"/>
      <c r="G57" s="103"/>
      <c r="H57" s="103"/>
    </row>
    <row r="58" spans="1:14" x14ac:dyDescent="0.3">
      <c r="A58" s="104" t="s">
        <v>47</v>
      </c>
      <c r="B58" s="103"/>
      <c r="C58" s="103"/>
      <c r="D58" s="103" t="s">
        <v>300</v>
      </c>
      <c r="E58" s="103"/>
      <c r="F58" s="103"/>
      <c r="G58" s="103"/>
      <c r="H58" s="103"/>
      <c r="I58" s="24"/>
    </row>
    <row r="59" spans="1:14" x14ac:dyDescent="0.3">
      <c r="A59" s="158" t="s">
        <v>48</v>
      </c>
      <c r="B59" s="159"/>
      <c r="C59" s="160"/>
      <c r="D59" s="106" t="s">
        <v>252</v>
      </c>
      <c r="E59" s="157"/>
      <c r="F59" s="157"/>
      <c r="G59" s="157"/>
      <c r="H59" s="157"/>
    </row>
    <row r="60" spans="1:14" ht="15.75" customHeight="1" x14ac:dyDescent="0.3">
      <c r="A60" s="158" t="s">
        <v>87</v>
      </c>
      <c r="B60" s="159"/>
      <c r="C60" s="159"/>
      <c r="D60" s="104" t="s">
        <v>252</v>
      </c>
      <c r="E60" s="103"/>
      <c r="F60" s="103"/>
      <c r="G60" s="103"/>
      <c r="H60" s="103"/>
    </row>
    <row r="61" spans="1:14" ht="15.75" customHeight="1" x14ac:dyDescent="0.3">
      <c r="A61" s="94" t="s">
        <v>45</v>
      </c>
      <c r="B61" s="94"/>
      <c r="C61" s="94"/>
      <c r="D61" s="142" t="s">
        <v>251</v>
      </c>
      <c r="E61" s="142"/>
      <c r="F61" s="142"/>
      <c r="G61" s="142"/>
      <c r="H61" s="142"/>
      <c r="J61" s="25"/>
      <c r="K61" s="24"/>
      <c r="N61" s="24"/>
    </row>
    <row r="62" spans="1:14" ht="15.75" customHeight="1" x14ac:dyDescent="0.3">
      <c r="A62" s="94" t="s">
        <v>85</v>
      </c>
      <c r="B62" s="94"/>
      <c r="C62" s="94"/>
      <c r="D62" s="154" t="str">
        <f>(IF(G55="NA","60 Years After Completion",IF(G55&lt;&gt;"NA",""&amp;60-ROUNDDOWN((E3-G55)/360,0)&amp;" Years"," ")))</f>
        <v>60 Years After Completion</v>
      </c>
      <c r="E62" s="154"/>
      <c r="F62" s="154"/>
      <c r="G62" s="154"/>
      <c r="H62" s="154"/>
      <c r="N62" s="24"/>
    </row>
    <row r="63" spans="1:14" ht="15.75" customHeight="1" x14ac:dyDescent="0.3">
      <c r="A63" s="94" t="s">
        <v>86</v>
      </c>
      <c r="B63" s="94"/>
      <c r="C63" s="94"/>
      <c r="D63" s="100" t="s">
        <v>24</v>
      </c>
      <c r="E63" s="100"/>
      <c r="F63" s="100"/>
      <c r="G63" s="100"/>
      <c r="H63" s="100"/>
      <c r="J63" s="26"/>
      <c r="K63" s="26"/>
    </row>
    <row r="64" spans="1:14" ht="85.5" customHeight="1" x14ac:dyDescent="0.3">
      <c r="A64" s="103" t="s">
        <v>254</v>
      </c>
      <c r="B64" s="103"/>
      <c r="C64" s="103"/>
      <c r="D64" s="104" t="s">
        <v>311</v>
      </c>
      <c r="E64" s="100"/>
      <c r="F64" s="100"/>
      <c r="G64" s="100"/>
      <c r="H64" s="100"/>
    </row>
    <row r="65" spans="1:14" x14ac:dyDescent="0.3">
      <c r="A65" s="100" t="s">
        <v>151</v>
      </c>
      <c r="B65" s="100"/>
      <c r="C65" s="100"/>
      <c r="D65" s="100" t="s">
        <v>29</v>
      </c>
      <c r="E65" s="100"/>
      <c r="F65" s="100"/>
      <c r="G65" s="100"/>
      <c r="H65" s="100"/>
      <c r="I65" s="27"/>
      <c r="J65" s="27"/>
      <c r="K65" s="27"/>
      <c r="L65" s="27"/>
      <c r="M65" s="27"/>
      <c r="N65" s="27"/>
    </row>
    <row r="66" spans="1:14" ht="15.75" customHeight="1" x14ac:dyDescent="0.3">
      <c r="A66" s="192" t="s">
        <v>84</v>
      </c>
      <c r="B66" s="192"/>
      <c r="C66" s="192"/>
      <c r="D66" s="106" t="str">
        <f ca="1">(IF(G72&gt;95%,"Nothing",IF(G72&gt;0%,"Cement, Aggregate, Steel, etc",IF(G72=0%,"Work not yet Started"))))</f>
        <v>Cement, Aggregate, Steel, etc</v>
      </c>
      <c r="E66" s="106"/>
      <c r="F66" s="106"/>
      <c r="G66" s="106"/>
      <c r="H66" s="106"/>
      <c r="J66" s="26"/>
    </row>
    <row r="67" spans="1:14" ht="33.75" customHeight="1" thickBot="1" x14ac:dyDescent="0.35">
      <c r="A67" s="105" t="s">
        <v>117</v>
      </c>
      <c r="B67" s="105"/>
      <c r="C67" s="105"/>
      <c r="D67" s="106" t="str">
        <f ca="1">(IF(D66="Nothing","Yes",IF(D66="Cement, Aggregate, Steel, etc","Under Construction",IF(D66="Work not yet Started","Work not yet Started"))))</f>
        <v>Under Construction</v>
      </c>
      <c r="E67" s="106"/>
      <c r="F67" s="106" t="str">
        <f ca="1">(IF(D66="Nothing","Yes",IF(D66="Cement, Aggregate, Steel, etc","Under Construction",IF(D66="Work not yet Started","Work not yet Started"))))</f>
        <v>Under Construction</v>
      </c>
      <c r="G67" s="106"/>
      <c r="H67" s="106"/>
    </row>
    <row r="68" spans="1:14" x14ac:dyDescent="0.3">
      <c r="A68" s="133" t="s">
        <v>141</v>
      </c>
      <c r="B68" s="134"/>
      <c r="C68" s="135" t="str">
        <f>D60</f>
        <v>2B + Gr + 1st to 72nd Floor</v>
      </c>
      <c r="D68" s="136"/>
      <c r="E68" s="136"/>
      <c r="F68" s="136"/>
      <c r="G68" s="136"/>
      <c r="H68" s="137"/>
      <c r="I68" s="48" t="str">
        <f ca="1">IF(D81=100%,"All work Completed. Possession granted to the Building.",IF(D80=100%,"All work Completed, Waiting for OC",I69&amp;""&amp;I70&amp;""&amp;J69&amp;""&amp;J68&amp;" "&amp;J70))</f>
        <v>Excavation, Plinth Completed, RCC upto 10 Slab, Brickwork upto 1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10 Slab, Brickwork upto 1 Floor</v>
      </c>
    </row>
    <row r="69" spans="1:14" x14ac:dyDescent="0.3">
      <c r="A69" s="16" t="s">
        <v>143</v>
      </c>
      <c r="B69" s="52">
        <f>IF(AND(ISNUMBER(SEARCH("1B",C68))),1,IF(AND(ISNUMBER(SEARCH("2B",C68))),2,IF(AND(ISNUMBER(SEARCH("3B",C68))),3,IF(AND(ISNUMBER(SEARCH("4B",C68))),4,IF(ISNUMBER(SEARCH("5B",C68)),5,0)))))</f>
        <v>2</v>
      </c>
      <c r="C69" s="52" t="s">
        <v>71</v>
      </c>
      <c r="D69" s="52">
        <v>1</v>
      </c>
      <c r="E69" s="52" t="s">
        <v>70</v>
      </c>
      <c r="F69" s="52">
        <v>0</v>
      </c>
      <c r="G69" s="52" t="s">
        <v>78</v>
      </c>
      <c r="H69" s="17">
        <f ca="1">--TRIM(RIGHT(SUBSTITUTE(LEFT(C68,_xlfn.AGGREGATE(16,6,FIND({0,1,2,3,4,5,6,7,8,9},C68,ROW(INDIRECT("1:"&amp;LEN(C68)))),1))," ",REPT(" ",LEN(C68))),LEN(C68)))</f>
        <v>72</v>
      </c>
      <c r="I69" s="5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1.5" customHeight="1" x14ac:dyDescent="0.3">
      <c r="A70" s="131" t="s">
        <v>88</v>
      </c>
      <c r="B70" s="132"/>
      <c r="C70" s="101" t="str">
        <f ca="1">I68</f>
        <v>Excavation, Plinth Completed, RCC upto 10 Slab, Brickwork upto 1 Floor Completed</v>
      </c>
      <c r="D70" s="101"/>
      <c r="E70" s="101"/>
      <c r="F70" s="101"/>
      <c r="G70" s="101"/>
      <c r="H70" s="102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3">
      <c r="A71" s="98" t="s">
        <v>49</v>
      </c>
      <c r="B71" s="99"/>
      <c r="C71" s="44" t="s">
        <v>140</v>
      </c>
      <c r="D71" s="44" t="s">
        <v>81</v>
      </c>
      <c r="E71" s="99" t="s">
        <v>83</v>
      </c>
      <c r="F71" s="99"/>
      <c r="G71" s="99" t="s">
        <v>82</v>
      </c>
      <c r="H71" s="107"/>
      <c r="I71" s="14" t="s">
        <v>142</v>
      </c>
      <c r="J71" s="28">
        <f ca="1">H69*25%</f>
        <v>18</v>
      </c>
    </row>
    <row r="72" spans="1:14" x14ac:dyDescent="0.3">
      <c r="A72" s="98" t="s">
        <v>129</v>
      </c>
      <c r="B72" s="99"/>
      <c r="C72" s="44">
        <f ca="1">J73</f>
        <v>72</v>
      </c>
      <c r="D72" s="19">
        <f ca="1">((100/H69)*C72)/100</f>
        <v>1</v>
      </c>
      <c r="E72" s="143">
        <f ca="1">(((C73/H69*10)+(40/(D69+F69+H69)*C74)+(7.5/(H69)*C75)+(7.5/(H69)*C76)+(10/H69*C77)+(10/H69*C78)+(5/H69*C79)+(5/H69*C80)+(5/H69*C81))/100)</f>
        <v>0.15583618721461187</v>
      </c>
      <c r="F72" s="144"/>
      <c r="G72" s="143">
        <f ca="1">((((C72/H69)*20)+((C73/H69)*25)+(30/(H69+F69+D69)*C74)+(5/H69*C75)+(5/H69*C76)+(5/H69*C77)+(5/H69*C78)+(0/H69*C79)+(0/H69*C80)+(5/H69*C81))/100)</f>
        <v>0.4917903348554033</v>
      </c>
      <c r="H72" s="149"/>
      <c r="I72" s="14" t="s">
        <v>99</v>
      </c>
      <c r="J72" s="29">
        <f ca="1">H69*50%</f>
        <v>36</v>
      </c>
    </row>
    <row r="73" spans="1:14" x14ac:dyDescent="0.3">
      <c r="A73" s="98" t="s">
        <v>50</v>
      </c>
      <c r="B73" s="99"/>
      <c r="C73" s="44">
        <f ca="1">J81</f>
        <v>72</v>
      </c>
      <c r="D73" s="19">
        <f ca="1">((100/H69)*C73)/100</f>
        <v>1</v>
      </c>
      <c r="E73" s="145"/>
      <c r="F73" s="146"/>
      <c r="G73" s="145"/>
      <c r="H73" s="150"/>
      <c r="I73" s="14" t="s">
        <v>100</v>
      </c>
      <c r="J73" s="29">
        <f ca="1">H69</f>
        <v>72</v>
      </c>
    </row>
    <row r="74" spans="1:14" ht="15.75" customHeight="1" x14ac:dyDescent="0.3">
      <c r="A74" s="98" t="s">
        <v>130</v>
      </c>
      <c r="B74" s="99"/>
      <c r="C74" s="44">
        <v>10</v>
      </c>
      <c r="D74" s="19">
        <f ca="1">((100/(D69+F69+H69))*C74)/100</f>
        <v>0.13698630136986301</v>
      </c>
      <c r="E74" s="145"/>
      <c r="F74" s="146"/>
      <c r="G74" s="145"/>
      <c r="H74" s="150"/>
      <c r="I74" s="14" t="s">
        <v>101</v>
      </c>
      <c r="J74" s="30">
        <f ca="1">(IF(B69&gt;1,(H69/(B69+2)),H69/4))</f>
        <v>18</v>
      </c>
    </row>
    <row r="75" spans="1:14" ht="15.75" customHeight="1" x14ac:dyDescent="0.3">
      <c r="A75" s="98" t="s">
        <v>137</v>
      </c>
      <c r="B75" s="99" t="s">
        <v>131</v>
      </c>
      <c r="C75" s="44">
        <v>1</v>
      </c>
      <c r="D75" s="19">
        <f ca="1">((100/H69)*C75)/100</f>
        <v>1.3888888888888888E-2</v>
      </c>
      <c r="E75" s="145"/>
      <c r="F75" s="146"/>
      <c r="G75" s="145"/>
      <c r="H75" s="150"/>
      <c r="I75" s="14" t="s">
        <v>102</v>
      </c>
      <c r="J75" s="30">
        <f ca="1">(IF(B69&gt;1,(H69/(B69+2)+J74),H69/4+J74))</f>
        <v>36</v>
      </c>
    </row>
    <row r="76" spans="1:14" ht="15.75" customHeight="1" x14ac:dyDescent="0.3">
      <c r="A76" s="98" t="s">
        <v>138</v>
      </c>
      <c r="B76" s="99" t="s">
        <v>131</v>
      </c>
      <c r="C76" s="44">
        <v>0</v>
      </c>
      <c r="D76" s="19">
        <f ca="1">((100/H69)*C76)/100</f>
        <v>0</v>
      </c>
      <c r="E76" s="145"/>
      <c r="F76" s="146"/>
      <c r="G76" s="145"/>
      <c r="H76" s="150"/>
      <c r="I76" s="14" t="s">
        <v>149</v>
      </c>
      <c r="J76" s="30">
        <f ca="1">(IF(B69&gt;1,(H69/(B69+2)+J75),0))</f>
        <v>54</v>
      </c>
    </row>
    <row r="77" spans="1:14" ht="15" customHeight="1" x14ac:dyDescent="0.3">
      <c r="A77" s="98" t="s">
        <v>136</v>
      </c>
      <c r="B77" s="99" t="s">
        <v>133</v>
      </c>
      <c r="C77" s="44">
        <v>0</v>
      </c>
      <c r="D77" s="19">
        <f ca="1">((100/(H69))*C77)/100</f>
        <v>0</v>
      </c>
      <c r="E77" s="145"/>
      <c r="F77" s="146"/>
      <c r="G77" s="145"/>
      <c r="H77" s="150"/>
      <c r="I77" s="14" t="s">
        <v>144</v>
      </c>
      <c r="J77" s="30">
        <f>(IF(B69&gt;2,(H69/(B69+2)+J76),0))</f>
        <v>0</v>
      </c>
    </row>
    <row r="78" spans="1:14" ht="15.75" customHeight="1" x14ac:dyDescent="0.3">
      <c r="A78" s="98" t="s">
        <v>132</v>
      </c>
      <c r="B78" s="99" t="s">
        <v>132</v>
      </c>
      <c r="C78" s="44">
        <v>0</v>
      </c>
      <c r="D78" s="19">
        <f ca="1">((100/H69)*C78)/100</f>
        <v>0</v>
      </c>
      <c r="E78" s="145"/>
      <c r="F78" s="146"/>
      <c r="G78" s="145"/>
      <c r="H78" s="150"/>
      <c r="I78" s="14" t="s">
        <v>145</v>
      </c>
      <c r="J78" s="31">
        <f>(IF(B69&gt;3,(H69/(B69+2)+J77),0))</f>
        <v>0</v>
      </c>
    </row>
    <row r="79" spans="1:14" ht="15.75" customHeight="1" x14ac:dyDescent="0.3">
      <c r="A79" s="98" t="s">
        <v>139</v>
      </c>
      <c r="B79" s="99"/>
      <c r="C79" s="44">
        <v>0</v>
      </c>
      <c r="D79" s="19">
        <f ca="1">((100/H69)*C79)/100</f>
        <v>0</v>
      </c>
      <c r="E79" s="145"/>
      <c r="F79" s="146"/>
      <c r="G79" s="145"/>
      <c r="H79" s="150"/>
      <c r="I79" s="14" t="s">
        <v>146</v>
      </c>
      <c r="J79" s="30">
        <f>(IF(B69&gt;4,(H69/(B69+2)+J78),0))</f>
        <v>0</v>
      </c>
    </row>
    <row r="80" spans="1:14" ht="15.75" customHeight="1" x14ac:dyDescent="0.3">
      <c r="A80" s="98" t="s">
        <v>134</v>
      </c>
      <c r="B80" s="99" t="s">
        <v>134</v>
      </c>
      <c r="C80" s="44">
        <v>0</v>
      </c>
      <c r="D80" s="19">
        <f ca="1">((100/(H69))*C80)/100</f>
        <v>0</v>
      </c>
      <c r="E80" s="145"/>
      <c r="F80" s="146"/>
      <c r="G80" s="145"/>
      <c r="H80" s="150"/>
      <c r="I80" s="14" t="s">
        <v>150</v>
      </c>
      <c r="J80" s="30">
        <f>(IF(B69=1,(H69/(B69+3)+J75),IF(B69=0,(H69/4+J75),IF(B69&gt;1,0))))</f>
        <v>0</v>
      </c>
    </row>
    <row r="81" spans="1:17" ht="16.2" thickBot="1" x14ac:dyDescent="0.35">
      <c r="A81" s="152" t="s">
        <v>135</v>
      </c>
      <c r="B81" s="153"/>
      <c r="C81" s="45">
        <v>0</v>
      </c>
      <c r="D81" s="20">
        <f ca="1">((100/(H69))*C81)/100</f>
        <v>0</v>
      </c>
      <c r="E81" s="147"/>
      <c r="F81" s="148"/>
      <c r="G81" s="147"/>
      <c r="H81" s="151"/>
      <c r="I81" s="15" t="s">
        <v>103</v>
      </c>
      <c r="J81" s="32">
        <f ca="1">(IF(B69&gt;1.5,(H69/(B69+2)+J75+MAX(0,J76-J75)+MAX(0,J77-J76)+MAX(0,J78-J77)+MAX(0,J79-J78)+MAX(0,J80-J79)),IF(B69=1,(H69/(B69+3)+J80),IF(B69=0,H69/4+J80))))</f>
        <v>72</v>
      </c>
    </row>
    <row r="82" spans="1:17" x14ac:dyDescent="0.3">
      <c r="A82" s="117" t="s">
        <v>161</v>
      </c>
      <c r="B82" s="117"/>
      <c r="C82" s="117"/>
      <c r="D82" s="117"/>
      <c r="E82" s="117"/>
      <c r="F82" s="173" t="s">
        <v>165</v>
      </c>
      <c r="G82" s="173"/>
      <c r="H82" s="173"/>
    </row>
    <row r="83" spans="1:17" x14ac:dyDescent="0.3">
      <c r="A83" s="94" t="s">
        <v>163</v>
      </c>
      <c r="B83" s="94"/>
      <c r="C83" s="94"/>
      <c r="D83" s="94"/>
      <c r="E83" s="94"/>
      <c r="F83" s="113">
        <v>15000</v>
      </c>
      <c r="G83" s="113"/>
      <c r="H83" s="113"/>
      <c r="J83" s="185" t="s">
        <v>306</v>
      </c>
      <c r="K83" s="186"/>
      <c r="L83" s="186"/>
      <c r="M83" s="186"/>
      <c r="N83" s="186"/>
      <c r="O83" s="57">
        <v>44426</v>
      </c>
    </row>
    <row r="84" spans="1:17" x14ac:dyDescent="0.3">
      <c r="A84" s="94" t="s">
        <v>162</v>
      </c>
      <c r="B84" s="94"/>
      <c r="C84" s="94"/>
      <c r="D84" s="94"/>
      <c r="E84" s="94"/>
      <c r="F84" s="113">
        <v>30000</v>
      </c>
      <c r="G84" s="113"/>
      <c r="H84" s="113"/>
      <c r="J84" s="185" t="s">
        <v>307</v>
      </c>
      <c r="K84" s="186"/>
      <c r="L84" s="186"/>
      <c r="M84" s="186"/>
      <c r="N84" s="186"/>
      <c r="O84" s="57">
        <v>44558</v>
      </c>
      <c r="P84"/>
      <c r="Q84"/>
    </row>
    <row r="85" spans="1:17" x14ac:dyDescent="0.3">
      <c r="A85" s="94" t="s">
        <v>164</v>
      </c>
      <c r="B85" s="94"/>
      <c r="C85" s="94"/>
      <c r="D85" s="94"/>
      <c r="E85" s="94"/>
      <c r="F85" s="113">
        <v>25000</v>
      </c>
      <c r="G85" s="113"/>
      <c r="H85" s="113"/>
      <c r="P85"/>
      <c r="Q85"/>
    </row>
    <row r="86" spans="1:17" s="33" customFormat="1" hidden="1" x14ac:dyDescent="0.3">
      <c r="A86" s="94" t="s">
        <v>179</v>
      </c>
      <c r="B86" s="94"/>
      <c r="C86" s="94"/>
      <c r="D86" s="94"/>
      <c r="E86" s="94"/>
      <c r="F86" s="113"/>
      <c r="G86" s="113"/>
      <c r="H86" s="113"/>
      <c r="P86"/>
      <c r="Q86"/>
    </row>
    <row r="87" spans="1:17" s="33" customFormat="1" hidden="1" x14ac:dyDescent="0.3">
      <c r="A87" s="94" t="s">
        <v>93</v>
      </c>
      <c r="B87" s="94"/>
      <c r="C87" s="94"/>
      <c r="D87" s="94"/>
      <c r="E87" s="94"/>
      <c r="F87" s="113"/>
      <c r="G87" s="113"/>
      <c r="H87" s="113"/>
      <c r="J87"/>
      <c r="K87"/>
      <c r="L87"/>
      <c r="M87"/>
      <c r="N87"/>
      <c r="O87"/>
      <c r="P87"/>
      <c r="Q87"/>
    </row>
    <row r="88" spans="1:17" s="33" customFormat="1" x14ac:dyDescent="0.3">
      <c r="A88" s="94" t="s">
        <v>94</v>
      </c>
      <c r="B88" s="94"/>
      <c r="C88" s="94"/>
      <c r="D88" s="94"/>
      <c r="E88" s="94"/>
      <c r="F88" s="113">
        <v>350000</v>
      </c>
      <c r="G88" s="113"/>
      <c r="H88" s="113"/>
      <c r="J88"/>
      <c r="K88"/>
      <c r="L88"/>
      <c r="M88"/>
      <c r="N88"/>
      <c r="O88"/>
      <c r="P88"/>
      <c r="Q88"/>
    </row>
    <row r="89" spans="1:17" s="33" customFormat="1" hidden="1" x14ac:dyDescent="0.25">
      <c r="A89" s="94" t="s">
        <v>166</v>
      </c>
      <c r="B89" s="94"/>
      <c r="C89" s="94"/>
      <c r="D89" s="94"/>
      <c r="E89" s="94"/>
      <c r="F89" s="113"/>
      <c r="G89" s="113"/>
      <c r="H89" s="113"/>
    </row>
    <row r="90" spans="1:17" s="33" customFormat="1" hidden="1" x14ac:dyDescent="0.25">
      <c r="A90" s="94" t="s">
        <v>95</v>
      </c>
      <c r="B90" s="94"/>
      <c r="C90" s="94"/>
      <c r="D90" s="94"/>
      <c r="E90" s="94"/>
      <c r="F90" s="113"/>
      <c r="G90" s="113"/>
      <c r="H90" s="113"/>
    </row>
    <row r="91" spans="1:17" s="33" customFormat="1" hidden="1" x14ac:dyDescent="0.25">
      <c r="A91" s="94" t="s">
        <v>96</v>
      </c>
      <c r="B91" s="94"/>
      <c r="C91" s="94"/>
      <c r="D91" s="94"/>
      <c r="E91" s="94"/>
      <c r="F91" s="113"/>
      <c r="G91" s="113"/>
      <c r="H91" s="113"/>
    </row>
    <row r="92" spans="1:17" s="33" customFormat="1" x14ac:dyDescent="0.25">
      <c r="A92" s="94" t="s">
        <v>97</v>
      </c>
      <c r="B92" s="94"/>
      <c r="C92" s="94"/>
      <c r="D92" s="94"/>
      <c r="E92" s="94"/>
      <c r="F92" s="113">
        <v>25000</v>
      </c>
      <c r="G92" s="113"/>
      <c r="H92" s="113"/>
    </row>
    <row r="93" spans="1:17" s="33" customFormat="1" x14ac:dyDescent="0.25">
      <c r="A93" s="94" t="s">
        <v>98</v>
      </c>
      <c r="B93" s="94"/>
      <c r="C93" s="94"/>
      <c r="D93" s="94"/>
      <c r="E93" s="94"/>
      <c r="F93" s="113">
        <v>51720</v>
      </c>
      <c r="G93" s="113"/>
      <c r="H93" s="113"/>
    </row>
    <row r="94" spans="1:17" x14ac:dyDescent="0.3">
      <c r="A94" s="94" t="s">
        <v>51</v>
      </c>
      <c r="B94" s="94"/>
      <c r="C94" s="94"/>
      <c r="D94" s="94"/>
      <c r="E94" s="94"/>
      <c r="F94" s="113">
        <v>600000</v>
      </c>
      <c r="G94" s="113"/>
      <c r="H94" s="113"/>
    </row>
    <row r="95" spans="1:17" s="34" customFormat="1" x14ac:dyDescent="0.3">
      <c r="A95" s="108" t="s">
        <v>52</v>
      </c>
      <c r="B95" s="108"/>
      <c r="C95" s="108"/>
      <c r="D95" s="108"/>
      <c r="E95" s="108"/>
      <c r="F95" s="113">
        <f>F83*0.8</f>
        <v>12000</v>
      </c>
      <c r="G95" s="113"/>
      <c r="H95" s="113"/>
    </row>
    <row r="96" spans="1:17" s="35" customFormat="1" ht="15.75" customHeight="1" x14ac:dyDescent="0.3">
      <c r="A96" s="73" t="s">
        <v>292</v>
      </c>
      <c r="B96" s="73"/>
      <c r="C96" s="73"/>
      <c r="D96" s="73"/>
      <c r="E96" s="73"/>
      <c r="F96" s="73"/>
      <c r="G96" s="73"/>
      <c r="H96" s="73"/>
    </row>
    <row r="97" spans="1:8" s="35" customFormat="1" ht="15.75" customHeight="1" x14ac:dyDescent="0.3">
      <c r="A97" s="76" t="s">
        <v>53</v>
      </c>
      <c r="B97" s="76"/>
      <c r="C97" s="74" t="s">
        <v>76</v>
      </c>
      <c r="D97" s="74"/>
      <c r="E97" s="75" t="s">
        <v>54</v>
      </c>
      <c r="F97" s="75"/>
      <c r="G97" s="76" t="s">
        <v>55</v>
      </c>
      <c r="H97" s="76"/>
    </row>
    <row r="98" spans="1:8" s="35" customFormat="1" x14ac:dyDescent="0.3">
      <c r="A98" s="116" t="s">
        <v>290</v>
      </c>
      <c r="B98" s="116"/>
      <c r="C98" s="77">
        <f>COUNT(D118,D127,D133:D134)</f>
        <v>4</v>
      </c>
      <c r="D98" s="78"/>
      <c r="E98" s="79">
        <f t="shared" ref="E98:G98" si="0">SUM(D118,D127,D133:D134)</f>
        <v>1575.5266800000002</v>
      </c>
      <c r="F98" s="80"/>
      <c r="G98" s="79">
        <f t="shared" si="0"/>
        <v>2363.2900200000004</v>
      </c>
      <c r="H98" s="80"/>
    </row>
    <row r="99" spans="1:8" s="35" customFormat="1" x14ac:dyDescent="0.3">
      <c r="A99" s="73" t="s">
        <v>154</v>
      </c>
      <c r="B99" s="73"/>
      <c r="C99" s="81">
        <f>SUM(C98)</f>
        <v>4</v>
      </c>
      <c r="D99" s="74"/>
      <c r="E99" s="82">
        <f>SUM(E98)</f>
        <v>1575.5266800000002</v>
      </c>
      <c r="F99" s="75"/>
      <c r="G99" s="76">
        <f>SUM(G98)</f>
        <v>2363.2900200000004</v>
      </c>
      <c r="H99" s="76"/>
    </row>
    <row r="100" spans="1:8" s="35" customFormat="1" x14ac:dyDescent="0.3">
      <c r="A100" s="73" t="s">
        <v>293</v>
      </c>
      <c r="B100" s="73"/>
      <c r="C100" s="73"/>
      <c r="D100" s="73"/>
      <c r="E100" s="73"/>
      <c r="F100" s="73"/>
      <c r="G100" s="73"/>
      <c r="H100" s="73"/>
    </row>
    <row r="101" spans="1:8" s="35" customFormat="1" ht="15.75" customHeight="1" x14ac:dyDescent="0.3">
      <c r="A101" s="76" t="s">
        <v>53</v>
      </c>
      <c r="B101" s="76"/>
      <c r="C101" s="74" t="s">
        <v>76</v>
      </c>
      <c r="D101" s="74"/>
      <c r="E101" s="75" t="s">
        <v>54</v>
      </c>
      <c r="F101" s="75"/>
      <c r="G101" s="76" t="s">
        <v>55</v>
      </c>
      <c r="H101" s="76"/>
    </row>
    <row r="102" spans="1:8" s="35" customFormat="1" x14ac:dyDescent="0.3">
      <c r="A102" s="116" t="s">
        <v>294</v>
      </c>
      <c r="B102" s="116"/>
      <c r="C102" s="77">
        <f>COUNT(D141:D146)*5+COUNT(D148:D151,D154:D155)+COUNT(D157:D161,D163:D164)*4+COUNT(D166:D172)*18+COUNT(D174:D179)*2+COUNT(D181:D183,D186:D187)*2+COUNT(D189:D194)*5+COUNT(D197:D202)*6+COUNT(D204:D206,D209:D210)*6+COUNT(D212:D217)*16</f>
        <v>404</v>
      </c>
      <c r="D102" s="77"/>
      <c r="E102" s="79">
        <f>SUM(D141:D146)*5+SUM(D148:D151,D154:D155)+SUM(D157:D161,D163:D164)*4+SUM(D166:D172)*18+SUM(D174:D179)*2+SUM(D181:D183,D186:D187)*2+SUM(D189:D194)*5+SUM(D197:D202)*6+SUM(D204:D206,D209:D210)*6+SUM(D212:D217)*16</f>
        <v>361708.47442079993</v>
      </c>
      <c r="F102" s="79"/>
      <c r="G102" s="79">
        <f>SUM(F141:F146)*5+SUM(F148:F151,F154:F155)+SUM(F157:F161,F163:F164)*4+SUM(F166:F172)*18+SUM(F174:F179)*2+SUM(F181:F183,F186:F187)*2+SUM(F189:F194)*5+SUM(F197:F202)*6+SUM(F204:F206,F209:F210)*6+SUM(F212:F217)*15</f>
        <v>533400.63809759996</v>
      </c>
      <c r="H102" s="79"/>
    </row>
    <row r="103" spans="1:8" s="35" customFormat="1" x14ac:dyDescent="0.3">
      <c r="A103" s="95" t="s">
        <v>154</v>
      </c>
      <c r="B103" s="95"/>
      <c r="C103" s="179">
        <f>SUM(C102)</f>
        <v>404</v>
      </c>
      <c r="D103" s="180"/>
      <c r="E103" s="96">
        <f>SUM(E102)</f>
        <v>361708.47442079993</v>
      </c>
      <c r="F103" s="97"/>
      <c r="G103" s="118">
        <f>SUM(G102)</f>
        <v>533400.63809759996</v>
      </c>
      <c r="H103" s="118"/>
    </row>
    <row r="104" spans="1:8" s="35" customFormat="1" ht="15.75" customHeight="1" x14ac:dyDescent="0.3">
      <c r="A104" s="73" t="s">
        <v>291</v>
      </c>
      <c r="B104" s="73"/>
      <c r="C104" s="73"/>
      <c r="D104" s="73"/>
      <c r="E104" s="73"/>
      <c r="F104" s="73"/>
      <c r="G104" s="73"/>
      <c r="H104" s="73"/>
    </row>
    <row r="105" spans="1:8" s="35" customFormat="1" ht="15.75" customHeight="1" x14ac:dyDescent="0.3">
      <c r="A105" s="76" t="s">
        <v>53</v>
      </c>
      <c r="B105" s="76"/>
      <c r="C105" s="74" t="s">
        <v>76</v>
      </c>
      <c r="D105" s="74"/>
      <c r="E105" s="75" t="s">
        <v>54</v>
      </c>
      <c r="F105" s="75"/>
      <c r="G105" s="76" t="s">
        <v>55</v>
      </c>
      <c r="H105" s="76"/>
    </row>
    <row r="106" spans="1:8" s="35" customFormat="1" x14ac:dyDescent="0.3">
      <c r="A106" s="116" t="s">
        <v>290</v>
      </c>
      <c r="B106" s="116"/>
      <c r="C106" s="77">
        <f>COUNT(D116:D117,D119:D126,D128:D132)</f>
        <v>15</v>
      </c>
      <c r="D106" s="78"/>
      <c r="E106" s="79">
        <f>SUM(D116:D117,D119:D126,D128:D132)</f>
        <v>3853.1890799999996</v>
      </c>
      <c r="F106" s="80"/>
      <c r="G106" s="79">
        <f>SUM(F116:F117,F119:F126,F128:F132)</f>
        <v>5779.7836199999992</v>
      </c>
      <c r="H106" s="80"/>
    </row>
    <row r="107" spans="1:8" s="35" customFormat="1" ht="16.2" thickBot="1" x14ac:dyDescent="0.35">
      <c r="A107" s="73" t="s">
        <v>154</v>
      </c>
      <c r="B107" s="73"/>
      <c r="C107" s="81">
        <f>SUM(C106)</f>
        <v>15</v>
      </c>
      <c r="D107" s="74"/>
      <c r="E107" s="82">
        <f>SUM(E106)</f>
        <v>3853.1890799999996</v>
      </c>
      <c r="F107" s="75"/>
      <c r="G107" s="76">
        <f>SUM(G106)</f>
        <v>5779.7836199999992</v>
      </c>
      <c r="H107" s="76"/>
    </row>
    <row r="108" spans="1:8" s="35" customFormat="1" ht="16.2" thickBot="1" x14ac:dyDescent="0.35">
      <c r="A108" s="193" t="s">
        <v>171</v>
      </c>
      <c r="B108" s="194"/>
      <c r="C108" s="181">
        <f>C99+C103+C107</f>
        <v>423</v>
      </c>
      <c r="D108" s="182"/>
      <c r="E108" s="181">
        <f t="shared" ref="E108" si="1">E99+E103+E107</f>
        <v>367137.19018079992</v>
      </c>
      <c r="F108" s="182"/>
      <c r="G108" s="181">
        <f t="shared" ref="G108" si="2">G99+G103+G107</f>
        <v>541543.71173759992</v>
      </c>
      <c r="H108" s="182"/>
    </row>
    <row r="109" spans="1:8" s="34" customFormat="1" x14ac:dyDescent="0.3">
      <c r="A109" s="173" t="s">
        <v>56</v>
      </c>
      <c r="B109" s="173"/>
      <c r="C109" s="173"/>
      <c r="D109" s="173"/>
      <c r="E109" s="173"/>
      <c r="F109" s="173"/>
      <c r="G109" s="173"/>
      <c r="H109" s="173"/>
    </row>
    <row r="110" spans="1:8" x14ac:dyDescent="0.3">
      <c r="A110" s="167" t="s">
        <v>178</v>
      </c>
      <c r="B110" s="167"/>
      <c r="C110" s="167"/>
      <c r="D110" s="167"/>
      <c r="E110" s="167"/>
      <c r="F110" s="167"/>
      <c r="G110" s="167"/>
      <c r="H110" s="167"/>
    </row>
    <row r="111" spans="1:8" ht="47.25" customHeight="1" x14ac:dyDescent="0.3">
      <c r="A111" s="114" t="s">
        <v>120</v>
      </c>
      <c r="B111" s="114" t="s">
        <v>261</v>
      </c>
      <c r="C111" s="114" t="s">
        <v>57</v>
      </c>
      <c r="D111" s="114" t="s">
        <v>58</v>
      </c>
      <c r="E111" s="119" t="s">
        <v>160</v>
      </c>
      <c r="F111" s="43" t="s">
        <v>152</v>
      </c>
      <c r="G111" s="121" t="s">
        <v>60</v>
      </c>
      <c r="H111" s="122"/>
    </row>
    <row r="112" spans="1:8" s="37" customFormat="1" x14ac:dyDescent="0.3">
      <c r="A112" s="115"/>
      <c r="B112" s="115"/>
      <c r="C112" s="115"/>
      <c r="D112" s="115"/>
      <c r="E112" s="120"/>
      <c r="F112" s="13">
        <v>0.5</v>
      </c>
      <c r="G112" s="123"/>
      <c r="H112" s="124"/>
    </row>
    <row r="113" spans="1:14" s="37" customFormat="1" x14ac:dyDescent="0.3">
      <c r="A113" s="66" t="s">
        <v>255</v>
      </c>
      <c r="B113" s="67"/>
      <c r="C113" s="67"/>
      <c r="D113" s="67"/>
      <c r="E113" s="67"/>
      <c r="F113" s="67"/>
      <c r="G113" s="67"/>
      <c r="H113" s="68"/>
      <c r="J113" s="36"/>
    </row>
    <row r="114" spans="1:14" s="37" customFormat="1" x14ac:dyDescent="0.3">
      <c r="A114" s="66" t="s">
        <v>256</v>
      </c>
      <c r="B114" s="67"/>
      <c r="C114" s="67"/>
      <c r="D114" s="67"/>
      <c r="E114" s="67"/>
      <c r="F114" s="67"/>
      <c r="G114" s="67"/>
      <c r="H114" s="68"/>
      <c r="J114" s="36"/>
    </row>
    <row r="115" spans="1:14" s="37" customFormat="1" x14ac:dyDescent="0.3">
      <c r="A115" s="66" t="s">
        <v>264</v>
      </c>
      <c r="B115" s="67"/>
      <c r="C115" s="67"/>
      <c r="D115" s="67"/>
      <c r="E115" s="67"/>
      <c r="F115" s="67"/>
      <c r="G115" s="67"/>
      <c r="H115" s="68"/>
      <c r="J115" s="36"/>
      <c r="K115" s="56">
        <f>10.764</f>
        <v>10.763999999999999</v>
      </c>
    </row>
    <row r="116" spans="1:14" s="37" customFormat="1" ht="15.75" customHeight="1" x14ac:dyDescent="0.3">
      <c r="A116" s="42">
        <v>1</v>
      </c>
      <c r="B116" s="42" t="s">
        <v>263</v>
      </c>
      <c r="C116" s="42" t="s">
        <v>260</v>
      </c>
      <c r="D116" s="56">
        <f>(20.92)*(10.764)</f>
        <v>225.18288000000001</v>
      </c>
      <c r="E116" s="42">
        <v>0</v>
      </c>
      <c r="F116" s="42">
        <f>(D116+E116)*(($F$112)+1)</f>
        <v>337.77431999999999</v>
      </c>
      <c r="G116" s="58" t="str">
        <f>A115</f>
        <v>Ground Floor For Commercial, Entrance Lobby, Waiting Lounge, Meter Room &amp; Parking</v>
      </c>
      <c r="H116" s="59"/>
      <c r="I116" s="36"/>
      <c r="L116" s="69"/>
      <c r="M116" s="69"/>
      <c r="N116" s="36"/>
    </row>
    <row r="117" spans="1:14" s="37" customFormat="1" ht="15.75" customHeight="1" x14ac:dyDescent="0.3">
      <c r="A117" s="42">
        <f t="shared" ref="A117:A134" si="3">A116+1</f>
        <v>2</v>
      </c>
      <c r="B117" s="42" t="s">
        <v>263</v>
      </c>
      <c r="C117" s="42" t="s">
        <v>260</v>
      </c>
      <c r="D117" s="56">
        <f>(20.92)*(10.764)</f>
        <v>225.18288000000001</v>
      </c>
      <c r="E117" s="42">
        <v>0</v>
      </c>
      <c r="F117" s="42">
        <f t="shared" ref="F117:F119" si="4">(D117+E117)*(($F$112)+1)</f>
        <v>337.77431999999999</v>
      </c>
      <c r="G117" s="60"/>
      <c r="H117" s="61"/>
      <c r="I117" s="36"/>
      <c r="L117" s="69"/>
      <c r="M117" s="69"/>
      <c r="N117" s="36"/>
    </row>
    <row r="118" spans="1:14" s="37" customFormat="1" ht="64.5" customHeight="1" x14ac:dyDescent="0.3">
      <c r="A118" s="42">
        <f t="shared" si="3"/>
        <v>3</v>
      </c>
      <c r="B118" s="42" t="s">
        <v>262</v>
      </c>
      <c r="C118" s="42" t="s">
        <v>265</v>
      </c>
      <c r="D118" s="56">
        <f>(20.98+67.15)*(10.764)</f>
        <v>948.63132000000007</v>
      </c>
      <c r="E118" s="42">
        <v>0</v>
      </c>
      <c r="F118" s="42">
        <f t="shared" si="4"/>
        <v>1422.9469800000002</v>
      </c>
      <c r="G118" s="60"/>
      <c r="H118" s="61"/>
      <c r="I118" s="36"/>
      <c r="J118" s="37" t="s">
        <v>266</v>
      </c>
      <c r="L118" s="69"/>
      <c r="M118" s="69"/>
      <c r="N118" s="36"/>
    </row>
    <row r="119" spans="1:14" s="37" customFormat="1" ht="15.75" customHeight="1" x14ac:dyDescent="0.3">
      <c r="A119" s="42">
        <f t="shared" si="3"/>
        <v>4</v>
      </c>
      <c r="B119" s="42" t="s">
        <v>263</v>
      </c>
      <c r="C119" s="42" t="s">
        <v>260</v>
      </c>
      <c r="D119" s="56">
        <f>(20.97)*(10.764)</f>
        <v>225.72107999999997</v>
      </c>
      <c r="E119" s="42">
        <v>0</v>
      </c>
      <c r="F119" s="42">
        <f t="shared" si="4"/>
        <v>338.58161999999993</v>
      </c>
      <c r="G119" s="60"/>
      <c r="H119" s="61"/>
      <c r="I119" s="36"/>
      <c r="L119" s="69"/>
      <c r="M119" s="69"/>
      <c r="N119" s="36"/>
    </row>
    <row r="120" spans="1:14" s="37" customFormat="1" ht="15.75" customHeight="1" x14ac:dyDescent="0.3">
      <c r="A120" s="42">
        <f t="shared" si="3"/>
        <v>5</v>
      </c>
      <c r="B120" s="42" t="s">
        <v>263</v>
      </c>
      <c r="C120" s="42" t="s">
        <v>260</v>
      </c>
      <c r="D120" s="56">
        <f>(20.93)*(10.764)</f>
        <v>225.29051999999999</v>
      </c>
      <c r="E120" s="42">
        <v>0</v>
      </c>
      <c r="F120" s="42">
        <f t="shared" ref="F120:F125" si="5">(D120+E120)*(($F$112)+1)</f>
        <v>337.93577999999997</v>
      </c>
      <c r="G120" s="60"/>
      <c r="H120" s="61"/>
      <c r="I120" s="36"/>
      <c r="L120" s="69"/>
      <c r="M120" s="69"/>
      <c r="N120" s="36"/>
    </row>
    <row r="121" spans="1:14" s="37" customFormat="1" ht="15.75" customHeight="1" x14ac:dyDescent="0.3">
      <c r="A121" s="42">
        <f t="shared" si="3"/>
        <v>6</v>
      </c>
      <c r="B121" s="42" t="s">
        <v>263</v>
      </c>
      <c r="C121" s="42" t="s">
        <v>260</v>
      </c>
      <c r="D121" s="56">
        <f>(21.02)*(10.764)</f>
        <v>226.25927999999999</v>
      </c>
      <c r="E121" s="42">
        <v>0</v>
      </c>
      <c r="F121" s="42">
        <f t="shared" si="5"/>
        <v>339.38891999999998</v>
      </c>
      <c r="G121" s="60"/>
      <c r="H121" s="61"/>
      <c r="I121" s="36"/>
      <c r="L121" s="69"/>
      <c r="M121" s="69"/>
      <c r="N121" s="36"/>
    </row>
    <row r="122" spans="1:14" s="37" customFormat="1" ht="15.75" customHeight="1" x14ac:dyDescent="0.3">
      <c r="A122" s="42">
        <f t="shared" si="3"/>
        <v>7</v>
      </c>
      <c r="B122" s="42" t="s">
        <v>263</v>
      </c>
      <c r="C122" s="42" t="s">
        <v>260</v>
      </c>
      <c r="D122" s="56">
        <f>(21.55)*(10.764)</f>
        <v>231.96420000000001</v>
      </c>
      <c r="E122" s="42">
        <v>0</v>
      </c>
      <c r="F122" s="42">
        <f t="shared" si="5"/>
        <v>347.94630000000001</v>
      </c>
      <c r="G122" s="60"/>
      <c r="H122" s="61"/>
      <c r="I122" s="36"/>
      <c r="L122" s="69"/>
      <c r="M122" s="69"/>
      <c r="N122" s="36"/>
    </row>
    <row r="123" spans="1:14" s="37" customFormat="1" ht="15.75" customHeight="1" x14ac:dyDescent="0.3">
      <c r="A123" s="42">
        <f t="shared" si="3"/>
        <v>8</v>
      </c>
      <c r="B123" s="42" t="s">
        <v>263</v>
      </c>
      <c r="C123" s="42" t="s">
        <v>260</v>
      </c>
      <c r="D123" s="56">
        <f>(30.9)*(10.764)</f>
        <v>332.60759999999999</v>
      </c>
      <c r="E123" s="42">
        <v>0</v>
      </c>
      <c r="F123" s="42">
        <f t="shared" si="5"/>
        <v>498.91139999999996</v>
      </c>
      <c r="G123" s="60"/>
      <c r="H123" s="61"/>
      <c r="I123" s="36"/>
      <c r="L123" s="69"/>
      <c r="M123" s="69"/>
      <c r="N123" s="36"/>
    </row>
    <row r="124" spans="1:14" s="37" customFormat="1" ht="15.75" customHeight="1" x14ac:dyDescent="0.3">
      <c r="A124" s="42">
        <f t="shared" si="3"/>
        <v>9</v>
      </c>
      <c r="B124" s="42" t="s">
        <v>263</v>
      </c>
      <c r="C124" s="42" t="s">
        <v>260</v>
      </c>
      <c r="D124" s="56">
        <f>(20.9)*(10.764)</f>
        <v>224.96759999999998</v>
      </c>
      <c r="E124" s="42">
        <v>0</v>
      </c>
      <c r="F124" s="42">
        <f t="shared" si="5"/>
        <v>337.45139999999998</v>
      </c>
      <c r="G124" s="60"/>
      <c r="H124" s="61"/>
      <c r="I124" s="36"/>
      <c r="L124" s="69"/>
      <c r="M124" s="69"/>
      <c r="N124" s="36"/>
    </row>
    <row r="125" spans="1:14" s="37" customFormat="1" ht="15.75" customHeight="1" x14ac:dyDescent="0.3">
      <c r="A125" s="42">
        <f t="shared" si="3"/>
        <v>10</v>
      </c>
      <c r="B125" s="42" t="s">
        <v>263</v>
      </c>
      <c r="C125" s="42" t="s">
        <v>260</v>
      </c>
      <c r="D125" s="56">
        <f>(20.92)*(10.764)</f>
        <v>225.18288000000001</v>
      </c>
      <c r="E125" s="42">
        <v>0</v>
      </c>
      <c r="F125" s="42">
        <f t="shared" si="5"/>
        <v>337.77431999999999</v>
      </c>
      <c r="G125" s="60"/>
      <c r="H125" s="61"/>
      <c r="I125" s="36"/>
      <c r="L125" s="69"/>
      <c r="M125" s="69"/>
      <c r="N125" s="36"/>
    </row>
    <row r="126" spans="1:14" s="37" customFormat="1" ht="15.75" customHeight="1" x14ac:dyDescent="0.3">
      <c r="A126" s="42">
        <f t="shared" si="3"/>
        <v>11</v>
      </c>
      <c r="B126" s="42" t="s">
        <v>263</v>
      </c>
      <c r="C126" s="42" t="s">
        <v>260</v>
      </c>
      <c r="D126" s="56">
        <f>(20.9)*(10.764)</f>
        <v>224.96759999999998</v>
      </c>
      <c r="E126" s="42">
        <v>0</v>
      </c>
      <c r="F126" s="42">
        <f t="shared" ref="F126:F132" si="6">(D126+E126)*(($F$112)+1)</f>
        <v>337.45139999999998</v>
      </c>
      <c r="G126" s="60"/>
      <c r="H126" s="61"/>
      <c r="I126" s="36"/>
      <c r="L126" s="69"/>
      <c r="M126" s="69"/>
      <c r="N126" s="36"/>
    </row>
    <row r="127" spans="1:14" s="37" customFormat="1" ht="15.75" customHeight="1" x14ac:dyDescent="0.3">
      <c r="A127" s="42">
        <f t="shared" si="3"/>
        <v>12</v>
      </c>
      <c r="B127" s="42" t="s">
        <v>262</v>
      </c>
      <c r="C127" s="42" t="s">
        <v>260</v>
      </c>
      <c r="D127" s="56">
        <f>(20.77)*(10.764)</f>
        <v>223.56827999999999</v>
      </c>
      <c r="E127" s="42">
        <v>0</v>
      </c>
      <c r="F127" s="42">
        <f t="shared" si="6"/>
        <v>335.35242</v>
      </c>
      <c r="G127" s="60"/>
      <c r="H127" s="61"/>
      <c r="I127" s="36"/>
      <c r="L127" s="69"/>
      <c r="M127" s="69"/>
      <c r="N127" s="36"/>
    </row>
    <row r="128" spans="1:14" s="37" customFormat="1" ht="15.75" customHeight="1" x14ac:dyDescent="0.3">
      <c r="A128" s="42">
        <f t="shared" si="3"/>
        <v>13</v>
      </c>
      <c r="B128" s="42" t="s">
        <v>263</v>
      </c>
      <c r="C128" s="42" t="s">
        <v>260</v>
      </c>
      <c r="D128" s="56">
        <f>(20.99)*(10.764)</f>
        <v>225.93635999999998</v>
      </c>
      <c r="E128" s="42">
        <v>0</v>
      </c>
      <c r="F128" s="42">
        <f t="shared" si="6"/>
        <v>338.90454</v>
      </c>
      <c r="G128" s="60"/>
      <c r="H128" s="61"/>
      <c r="I128" s="36"/>
      <c r="L128" s="69"/>
      <c r="M128" s="69"/>
      <c r="N128" s="36"/>
    </row>
    <row r="129" spans="1:14" s="37" customFormat="1" ht="15.75" customHeight="1" x14ac:dyDescent="0.3">
      <c r="A129" s="42">
        <f t="shared" si="3"/>
        <v>14</v>
      </c>
      <c r="B129" s="42" t="s">
        <v>263</v>
      </c>
      <c r="C129" s="42" t="s">
        <v>260</v>
      </c>
      <c r="D129" s="56">
        <f>(20.92)*(10.764)</f>
        <v>225.18288000000001</v>
      </c>
      <c r="E129" s="42">
        <v>0</v>
      </c>
      <c r="F129" s="42">
        <f t="shared" si="6"/>
        <v>337.77431999999999</v>
      </c>
      <c r="G129" s="60"/>
      <c r="H129" s="61"/>
      <c r="I129" s="36"/>
      <c r="L129" s="69"/>
      <c r="M129" s="69"/>
      <c r="N129" s="36"/>
    </row>
    <row r="130" spans="1:14" s="37" customFormat="1" ht="15.75" customHeight="1" x14ac:dyDescent="0.3">
      <c r="A130" s="42">
        <f t="shared" si="3"/>
        <v>15</v>
      </c>
      <c r="B130" s="42" t="s">
        <v>263</v>
      </c>
      <c r="C130" s="42" t="s">
        <v>260</v>
      </c>
      <c r="D130" s="56">
        <f>(12.46)*(10.764)</f>
        <v>134.11944</v>
      </c>
      <c r="E130" s="42">
        <v>0</v>
      </c>
      <c r="F130" s="42">
        <f t="shared" si="6"/>
        <v>201.17916</v>
      </c>
      <c r="G130" s="60"/>
      <c r="H130" s="61"/>
      <c r="I130" s="36"/>
      <c r="L130" s="69"/>
      <c r="M130" s="69"/>
      <c r="N130" s="36"/>
    </row>
    <row r="131" spans="1:14" s="37" customFormat="1" ht="15.75" customHeight="1" x14ac:dyDescent="0.3">
      <c r="A131" s="42">
        <f t="shared" si="3"/>
        <v>16</v>
      </c>
      <c r="B131" s="42" t="s">
        <v>263</v>
      </c>
      <c r="C131" s="42" t="s">
        <v>260</v>
      </c>
      <c r="D131" s="56">
        <f>(12.35)*(10.764)</f>
        <v>132.93539999999999</v>
      </c>
      <c r="E131" s="42">
        <v>0</v>
      </c>
      <c r="F131" s="42">
        <f t="shared" si="6"/>
        <v>199.40309999999999</v>
      </c>
      <c r="G131" s="60"/>
      <c r="H131" s="61"/>
      <c r="I131" s="36"/>
      <c r="L131" s="69"/>
      <c r="M131" s="69"/>
      <c r="N131" s="36"/>
    </row>
    <row r="132" spans="1:14" s="37" customFormat="1" ht="63" customHeight="1" x14ac:dyDescent="0.3">
      <c r="A132" s="42">
        <f t="shared" si="3"/>
        <v>17</v>
      </c>
      <c r="B132" s="42" t="s">
        <v>263</v>
      </c>
      <c r="C132" s="42" t="s">
        <v>265</v>
      </c>
      <c r="D132" s="56">
        <f>(20.93+50.39)*(10.764)</f>
        <v>767.68847999999991</v>
      </c>
      <c r="E132" s="42">
        <v>0</v>
      </c>
      <c r="F132" s="42">
        <f t="shared" si="6"/>
        <v>1151.5327199999999</v>
      </c>
      <c r="G132" s="60"/>
      <c r="H132" s="61"/>
      <c r="I132" s="36"/>
      <c r="L132" s="69"/>
      <c r="M132" s="69"/>
      <c r="N132" s="36"/>
    </row>
    <row r="133" spans="1:14" s="37" customFormat="1" ht="15.75" customHeight="1" x14ac:dyDescent="0.3">
      <c r="A133" s="42">
        <f t="shared" si="3"/>
        <v>18</v>
      </c>
      <c r="B133" s="42" t="s">
        <v>262</v>
      </c>
      <c r="C133" s="42" t="s">
        <v>260</v>
      </c>
      <c r="D133" s="56">
        <f>(20.9)*(10.764)</f>
        <v>224.96759999999998</v>
      </c>
      <c r="E133" s="42">
        <v>0</v>
      </c>
      <c r="F133" s="42">
        <f t="shared" ref="F133:F134" si="7">(D133+E133)*(($F$112)+1)</f>
        <v>337.45139999999998</v>
      </c>
      <c r="G133" s="60"/>
      <c r="H133" s="61"/>
      <c r="I133" s="36"/>
      <c r="L133" s="69"/>
      <c r="M133" s="69"/>
      <c r="N133" s="36"/>
    </row>
    <row r="134" spans="1:14" s="37" customFormat="1" ht="15.75" customHeight="1" x14ac:dyDescent="0.3">
      <c r="A134" s="42">
        <f t="shared" si="3"/>
        <v>19</v>
      </c>
      <c r="B134" s="42" t="s">
        <v>262</v>
      </c>
      <c r="C134" s="42" t="s">
        <v>260</v>
      </c>
      <c r="D134" s="56">
        <f>(16.57)*(10.764)</f>
        <v>178.35947999999999</v>
      </c>
      <c r="E134" s="42">
        <v>0</v>
      </c>
      <c r="F134" s="42">
        <f t="shared" si="7"/>
        <v>267.53922</v>
      </c>
      <c r="G134" s="62"/>
      <c r="H134" s="63"/>
      <c r="I134" s="36"/>
      <c r="L134" s="69"/>
      <c r="M134" s="69"/>
      <c r="N134" s="36"/>
    </row>
    <row r="135" spans="1:14" s="37" customFormat="1" x14ac:dyDescent="0.3">
      <c r="A135" s="64"/>
      <c r="B135" s="177"/>
      <c r="C135" s="177"/>
      <c r="D135" s="177"/>
      <c r="E135" s="177"/>
      <c r="F135" s="177"/>
      <c r="G135" s="177"/>
      <c r="H135" s="65"/>
      <c r="I135" s="36"/>
      <c r="N135" s="36"/>
    </row>
    <row r="136" spans="1:14" ht="47.25" customHeight="1" x14ac:dyDescent="0.3">
      <c r="A136" s="121" t="s">
        <v>121</v>
      </c>
      <c r="B136" s="114" t="s">
        <v>180</v>
      </c>
      <c r="C136" s="114" t="s">
        <v>57</v>
      </c>
      <c r="D136" s="114" t="s">
        <v>58</v>
      </c>
      <c r="E136" s="119" t="s">
        <v>59</v>
      </c>
      <c r="F136" s="43" t="s">
        <v>152</v>
      </c>
      <c r="G136" s="121" t="s">
        <v>60</v>
      </c>
      <c r="H136" s="122"/>
      <c r="I136" s="36"/>
    </row>
    <row r="137" spans="1:14" s="37" customFormat="1" x14ac:dyDescent="0.3">
      <c r="A137" s="123"/>
      <c r="B137" s="115"/>
      <c r="C137" s="115"/>
      <c r="D137" s="115"/>
      <c r="E137" s="120"/>
      <c r="F137" s="13">
        <v>0.5</v>
      </c>
      <c r="G137" s="123"/>
      <c r="H137" s="124"/>
      <c r="I137" s="36"/>
    </row>
    <row r="138" spans="1:14" s="37" customFormat="1" x14ac:dyDescent="0.3">
      <c r="A138" s="66" t="s">
        <v>255</v>
      </c>
      <c r="B138" s="67"/>
      <c r="C138" s="67"/>
      <c r="D138" s="67"/>
      <c r="E138" s="67"/>
      <c r="F138" s="67"/>
      <c r="G138" s="67"/>
      <c r="H138" s="68"/>
      <c r="J138" s="36"/>
    </row>
    <row r="139" spans="1:14" s="37" customFormat="1" x14ac:dyDescent="0.3">
      <c r="A139" s="66" t="s">
        <v>267</v>
      </c>
      <c r="B139" s="67"/>
      <c r="C139" s="67"/>
      <c r="D139" s="67"/>
      <c r="E139" s="67"/>
      <c r="F139" s="67"/>
      <c r="G139" s="67"/>
      <c r="H139" s="68"/>
      <c r="J139" s="36"/>
    </row>
    <row r="140" spans="1:14" s="37" customFormat="1" x14ac:dyDescent="0.3">
      <c r="A140" s="66" t="s">
        <v>268</v>
      </c>
      <c r="B140" s="67"/>
      <c r="C140" s="67"/>
      <c r="D140" s="67"/>
      <c r="E140" s="67"/>
      <c r="F140" s="67"/>
      <c r="G140" s="67"/>
      <c r="H140" s="68"/>
      <c r="I140" s="37">
        <v>5</v>
      </c>
      <c r="J140" s="36"/>
    </row>
    <row r="141" spans="1:14" s="37" customFormat="1" ht="15.75" customHeight="1" x14ac:dyDescent="0.3">
      <c r="A141" s="64">
        <v>1</v>
      </c>
      <c r="B141" s="65"/>
      <c r="C141" s="55">
        <v>1</v>
      </c>
      <c r="D141" s="56">
        <f>(40.18+4.7*1.2+0.75*2.1+2.3*1.33)*(10.764)</f>
        <v>543.08685600000001</v>
      </c>
      <c r="E141" s="42">
        <v>0</v>
      </c>
      <c r="F141" s="42">
        <f t="shared" ref="F141:F146" si="8">D141*(($F$137)+1)+(IF(E141&lt;101,E141,IF(E141&lt;201,E141/2,IF(E141&lt;=301,E141/3,E141/4))))</f>
        <v>814.63028400000007</v>
      </c>
      <c r="G141" s="58" t="str">
        <f>A140</f>
        <v>2nd to 6th Floor For Part Residential</v>
      </c>
      <c r="H141" s="59"/>
      <c r="I141" s="36"/>
      <c r="J141" s="37">
        <f>4.7*3.02+3.2*3.25+1.4*2.25+2.25*1.38+2.1*2.6+1.4*1.2+1.65*0.6+0.75*2.1</f>
        <v>40.554000000000002</v>
      </c>
      <c r="L141" s="69"/>
      <c r="M141" s="69"/>
      <c r="N141" s="36"/>
    </row>
    <row r="142" spans="1:14" s="37" customFormat="1" ht="15.75" customHeight="1" x14ac:dyDescent="0.3">
      <c r="A142" s="64">
        <f t="shared" ref="A142:A146" si="9">A141+1</f>
        <v>2</v>
      </c>
      <c r="B142" s="65"/>
      <c r="C142" s="55">
        <v>1</v>
      </c>
      <c r="D142" s="56">
        <f>(40.6+4.7*1.2+2.1*0.75+2.3*1.33)*(10.764)</f>
        <v>547.60773600000005</v>
      </c>
      <c r="E142" s="42">
        <v>0</v>
      </c>
      <c r="F142" s="42">
        <f t="shared" si="8"/>
        <v>821.41160400000012</v>
      </c>
      <c r="G142" s="60"/>
      <c r="H142" s="61"/>
      <c r="I142" s="36"/>
      <c r="J142" s="37">
        <f>J141+4.5*1.2+2.3*1.33</f>
        <v>49.012999999999998</v>
      </c>
      <c r="L142" s="69"/>
      <c r="M142" s="69"/>
      <c r="N142" s="36"/>
    </row>
    <row r="143" spans="1:14" s="37" customFormat="1" ht="15.75" customHeight="1" x14ac:dyDescent="0.3">
      <c r="A143" s="64">
        <f t="shared" si="9"/>
        <v>3</v>
      </c>
      <c r="B143" s="65"/>
      <c r="C143" s="55">
        <v>2</v>
      </c>
      <c r="D143" s="56">
        <f>(69.24+4.1*1.3+3.05*0.75)*(10.764)</f>
        <v>827.29412999999977</v>
      </c>
      <c r="E143" s="42">
        <v>0</v>
      </c>
      <c r="F143" s="42">
        <f t="shared" si="8"/>
        <v>1240.9411949999997</v>
      </c>
      <c r="G143" s="60"/>
      <c r="H143" s="61"/>
      <c r="I143" s="36"/>
      <c r="J143" s="37">
        <f>4.5*1.2</f>
        <v>5.3999999999999995</v>
      </c>
      <c r="L143" s="69"/>
      <c r="M143" s="69"/>
      <c r="N143" s="36"/>
    </row>
    <row r="144" spans="1:14" s="37" customFormat="1" ht="15.75" customHeight="1" x14ac:dyDescent="0.3">
      <c r="A144" s="64">
        <f t="shared" si="9"/>
        <v>4</v>
      </c>
      <c r="B144" s="65"/>
      <c r="C144" s="55">
        <v>2</v>
      </c>
      <c r="D144" s="56">
        <f>(69.23+4.1*1.3+3.05*0.75)*(10.764)</f>
        <v>827.18648999999994</v>
      </c>
      <c r="E144" s="42">
        <v>0</v>
      </c>
      <c r="F144" s="42">
        <f t="shared" si="8"/>
        <v>1240.7797349999998</v>
      </c>
      <c r="G144" s="60"/>
      <c r="H144" s="61"/>
      <c r="I144" s="36"/>
      <c r="J144" s="37">
        <f>6.48*3.05+3.95*3.05+2.43*1.35+3.53*2.25+2.85*2.15+4.5*3.05+2.43*1.35+1.45*0.6</f>
        <v>67.037500000000009</v>
      </c>
      <c r="L144" s="69"/>
      <c r="M144" s="69"/>
      <c r="N144" s="36"/>
    </row>
    <row r="145" spans="1:14" s="37" customFormat="1" ht="15.75" customHeight="1" x14ac:dyDescent="0.3">
      <c r="A145" s="64">
        <f t="shared" si="9"/>
        <v>5</v>
      </c>
      <c r="B145" s="65"/>
      <c r="C145" s="55">
        <v>2</v>
      </c>
      <c r="D145" s="56">
        <f>(59.82+4.1*1.3+3.05*0.75)*(10.764)</f>
        <v>725.89724999999999</v>
      </c>
      <c r="E145" s="42">
        <v>0</v>
      </c>
      <c r="F145" s="42">
        <f t="shared" si="8"/>
        <v>1088.845875</v>
      </c>
      <c r="G145" s="60"/>
      <c r="H145" s="61"/>
      <c r="I145" s="36"/>
      <c r="L145" s="69"/>
      <c r="M145" s="69"/>
      <c r="N145" s="36"/>
    </row>
    <row r="146" spans="1:14" s="37" customFormat="1" ht="15.75" customHeight="1" x14ac:dyDescent="0.3">
      <c r="A146" s="64">
        <f t="shared" si="9"/>
        <v>6</v>
      </c>
      <c r="B146" s="65"/>
      <c r="C146" s="55">
        <v>2</v>
      </c>
      <c r="D146" s="56">
        <f>(59.81+4.1*1.3+3.05*0.75)*(10.764)</f>
        <v>725.78960999999993</v>
      </c>
      <c r="E146" s="42">
        <v>0</v>
      </c>
      <c r="F146" s="42">
        <f t="shared" si="8"/>
        <v>1088.6844149999999</v>
      </c>
      <c r="G146" s="62"/>
      <c r="H146" s="63"/>
      <c r="I146" s="36"/>
      <c r="J146" s="37">
        <f>6*3.05+3.65*3.05+1.45*0.6+1.4*2.43+2.55*2.15+4.2*3.05+1.4*2.43+2.15*1</f>
        <v>57.548999999999999</v>
      </c>
      <c r="K146" s="37">
        <f>18400000/F145</f>
        <v>16898.626722537752</v>
      </c>
      <c r="L146" s="69"/>
      <c r="M146" s="69"/>
      <c r="N146" s="36"/>
    </row>
    <row r="147" spans="1:14" s="37" customFormat="1" x14ac:dyDescent="0.3">
      <c r="A147" s="66" t="s">
        <v>269</v>
      </c>
      <c r="B147" s="67"/>
      <c r="C147" s="67"/>
      <c r="D147" s="67"/>
      <c r="E147" s="67"/>
      <c r="F147" s="67"/>
      <c r="G147" s="67"/>
      <c r="H147" s="68"/>
      <c r="I147" s="37">
        <v>1</v>
      </c>
      <c r="J147" s="36"/>
    </row>
    <row r="148" spans="1:14" s="37" customFormat="1" ht="15.75" customHeight="1" x14ac:dyDescent="0.3">
      <c r="A148" s="64">
        <v>1</v>
      </c>
      <c r="B148" s="65"/>
      <c r="C148" s="55">
        <v>1</v>
      </c>
      <c r="D148" s="56">
        <f>(40.18+4.7*1.2+0.75*2.1+2.3*1.33)*(10.764)</f>
        <v>543.08685600000001</v>
      </c>
      <c r="E148" s="42">
        <v>0</v>
      </c>
      <c r="F148" s="42">
        <f>D148*(($F$137)+1)+(IF(E148&lt;101,E148,IF(E148&lt;201,E148/2,IF(E148&lt;=301,E148/3,E148/4))))</f>
        <v>814.63028400000007</v>
      </c>
      <c r="G148" s="58" t="str">
        <f>A147</f>
        <v>7th Floor (Part Refuge Area)</v>
      </c>
      <c r="H148" s="59"/>
      <c r="I148" s="36"/>
      <c r="L148" s="69"/>
      <c r="M148" s="69"/>
      <c r="N148" s="36"/>
    </row>
    <row r="149" spans="1:14" s="37" customFormat="1" ht="15.75" customHeight="1" x14ac:dyDescent="0.3">
      <c r="A149" s="64">
        <f t="shared" ref="A149:A155" si="10">A148+1</f>
        <v>2</v>
      </c>
      <c r="B149" s="65"/>
      <c r="C149" s="55">
        <v>1</v>
      </c>
      <c r="D149" s="56">
        <f>(40.6+4.7*1.2+2.1*0.75+2.3*1.33)*(10.764)</f>
        <v>547.60773600000005</v>
      </c>
      <c r="E149" s="42">
        <v>0</v>
      </c>
      <c r="F149" s="42">
        <f>D149*(($F$137)+1)+(IF(E149&lt;101,E149,IF(E149&lt;201,E149/2,IF(E149&lt;=301,E149/3,E149/4))))</f>
        <v>821.41160400000012</v>
      </c>
      <c r="G149" s="60"/>
      <c r="H149" s="61"/>
      <c r="I149" s="36"/>
      <c r="L149" s="69"/>
      <c r="M149" s="69"/>
      <c r="N149" s="36"/>
    </row>
    <row r="150" spans="1:14" s="37" customFormat="1" ht="15.75" customHeight="1" x14ac:dyDescent="0.3">
      <c r="A150" s="64">
        <f t="shared" si="10"/>
        <v>3</v>
      </c>
      <c r="B150" s="65"/>
      <c r="C150" s="55">
        <v>2</v>
      </c>
      <c r="D150" s="56">
        <f>(69.24+4.1*1.3+3.05*0.75)*(10.764)</f>
        <v>827.29412999999977</v>
      </c>
      <c r="E150" s="42">
        <v>0</v>
      </c>
      <c r="F150" s="42">
        <f>D150*(($F$137)+1)+(IF(E150&lt;101,E150,IF(E150&lt;201,E150/2,IF(E150&lt;=301,E150/3,E150/4))))</f>
        <v>1240.9411949999997</v>
      </c>
      <c r="G150" s="60"/>
      <c r="H150" s="61"/>
      <c r="I150" s="36"/>
      <c r="L150" s="69"/>
      <c r="M150" s="69"/>
      <c r="N150" s="36"/>
    </row>
    <row r="151" spans="1:14" s="37" customFormat="1" ht="15.75" customHeight="1" x14ac:dyDescent="0.3">
      <c r="A151" s="64">
        <f t="shared" si="10"/>
        <v>4</v>
      </c>
      <c r="B151" s="65"/>
      <c r="C151" s="55">
        <v>2</v>
      </c>
      <c r="D151" s="56">
        <f>(69.23+4.1*1.3+3.05*0.75)*(10.764)</f>
        <v>827.18648999999994</v>
      </c>
      <c r="E151" s="42">
        <v>0</v>
      </c>
      <c r="F151" s="42">
        <f>D151*(($F$137)+1)+(IF(E151&lt;101,E151,IF(E151&lt;201,E151/2,IF(E151&lt;=301,E151/3,E151/4))))</f>
        <v>1240.7797349999998</v>
      </c>
      <c r="G151" s="60"/>
      <c r="H151" s="61"/>
      <c r="I151" s="36"/>
      <c r="L151" s="69"/>
      <c r="M151" s="69"/>
      <c r="N151" s="36"/>
    </row>
    <row r="152" spans="1:14" s="37" customFormat="1" ht="15.75" customHeight="1" x14ac:dyDescent="0.3">
      <c r="A152" s="64">
        <f t="shared" si="10"/>
        <v>5</v>
      </c>
      <c r="B152" s="65"/>
      <c r="C152" s="70" t="s">
        <v>270</v>
      </c>
      <c r="D152" s="71"/>
      <c r="E152" s="71"/>
      <c r="F152" s="72"/>
      <c r="G152" s="60"/>
      <c r="H152" s="61"/>
      <c r="I152" s="36"/>
      <c r="L152" s="69"/>
      <c r="M152" s="69"/>
      <c r="N152" s="36"/>
    </row>
    <row r="153" spans="1:14" s="37" customFormat="1" ht="15.75" customHeight="1" x14ac:dyDescent="0.3">
      <c r="A153" s="64">
        <f t="shared" si="10"/>
        <v>6</v>
      </c>
      <c r="B153" s="65"/>
      <c r="C153" s="70" t="s">
        <v>271</v>
      </c>
      <c r="D153" s="71"/>
      <c r="E153" s="71"/>
      <c r="F153" s="72"/>
      <c r="G153" s="60"/>
      <c r="H153" s="61"/>
      <c r="I153" s="36"/>
      <c r="L153" s="69"/>
      <c r="M153" s="69"/>
      <c r="N153" s="36"/>
    </row>
    <row r="154" spans="1:14" s="37" customFormat="1" ht="15.75" customHeight="1" x14ac:dyDescent="0.3">
      <c r="A154" s="64">
        <f t="shared" si="10"/>
        <v>7</v>
      </c>
      <c r="B154" s="65"/>
      <c r="C154" s="55">
        <v>2</v>
      </c>
      <c r="D154" s="56">
        <f>(59.82+4.1*1.3+3.05*0.75)*(10.764)</f>
        <v>725.89724999999999</v>
      </c>
      <c r="E154" s="42">
        <v>0</v>
      </c>
      <c r="F154" s="42">
        <f>D154*(($F$137)+1)+(IF(E154&lt;101,E154,IF(E154&lt;201,E154/2,IF(E154&lt;=301,E154/3,E154/4))))</f>
        <v>1088.845875</v>
      </c>
      <c r="G154" s="60"/>
      <c r="H154" s="61"/>
      <c r="I154" s="36"/>
      <c r="L154" s="69"/>
      <c r="M154" s="69"/>
      <c r="N154" s="36"/>
    </row>
    <row r="155" spans="1:14" s="37" customFormat="1" ht="15.75" customHeight="1" x14ac:dyDescent="0.3">
      <c r="A155" s="64">
        <f t="shared" si="10"/>
        <v>8</v>
      </c>
      <c r="B155" s="65"/>
      <c r="C155" s="55">
        <v>2</v>
      </c>
      <c r="D155" s="56">
        <f>(59.81+4.1*1.3+3.05*0.75)*(10.764)</f>
        <v>725.78960999999993</v>
      </c>
      <c r="E155" s="42">
        <v>0</v>
      </c>
      <c r="F155" s="42">
        <f>D155*(($F$137)+1)+(IF(E155&lt;101,E155,IF(E155&lt;201,E155/2,IF(E155&lt;=301,E155/3,E155/4))))</f>
        <v>1088.6844149999999</v>
      </c>
      <c r="G155" s="62"/>
      <c r="H155" s="63"/>
      <c r="I155" s="36"/>
      <c r="L155" s="69"/>
      <c r="M155" s="69"/>
      <c r="N155" s="36"/>
    </row>
    <row r="156" spans="1:14" s="37" customFormat="1" x14ac:dyDescent="0.3">
      <c r="A156" s="66" t="s">
        <v>272</v>
      </c>
      <c r="B156" s="67"/>
      <c r="C156" s="67"/>
      <c r="D156" s="67"/>
      <c r="E156" s="67"/>
      <c r="F156" s="67"/>
      <c r="G156" s="67"/>
      <c r="H156" s="68"/>
      <c r="I156" s="37">
        <v>4</v>
      </c>
      <c r="J156" s="36"/>
    </row>
    <row r="157" spans="1:14" s="37" customFormat="1" ht="15.75" customHeight="1" x14ac:dyDescent="0.3">
      <c r="A157" s="64">
        <v>1</v>
      </c>
      <c r="B157" s="65"/>
      <c r="C157" s="55">
        <v>1</v>
      </c>
      <c r="D157" s="56">
        <f>(40.18+4.7*1.2+0.75*2.1+2.3*1.33)*(10.764)</f>
        <v>543.08685600000001</v>
      </c>
      <c r="E157" s="42">
        <v>0</v>
      </c>
      <c r="F157" s="42">
        <f>D157*(($F$137)+1)+(IF(E157&lt;101,E157,IF(E157&lt;201,E157/2,IF(E157&lt;=301,E157/3,E157/4))))</f>
        <v>814.63028400000007</v>
      </c>
      <c r="G157" s="58" t="str">
        <f>A156</f>
        <v>11th, 16th, 21st &amp; 26th Floor (Part Refuge Area)</v>
      </c>
      <c r="H157" s="59"/>
      <c r="I157" s="36"/>
      <c r="L157" s="69"/>
      <c r="M157" s="69"/>
      <c r="N157" s="36"/>
    </row>
    <row r="158" spans="1:14" s="37" customFormat="1" ht="15.75" customHeight="1" x14ac:dyDescent="0.3">
      <c r="A158" s="64">
        <f t="shared" ref="A158:A164" si="11">A157+1</f>
        <v>2</v>
      </c>
      <c r="B158" s="65"/>
      <c r="C158" s="55">
        <v>1</v>
      </c>
      <c r="D158" s="56">
        <f>(40.6+4.7*1.2+2.1*0.75+2.3*1.33)*(10.764)</f>
        <v>547.60773600000005</v>
      </c>
      <c r="E158" s="42">
        <v>0</v>
      </c>
      <c r="F158" s="42">
        <f>D158*(($F$137)+1)+(IF(E158&lt;101,E158,IF(E158&lt;201,E158/2,IF(E158&lt;=301,E158/3,E158/4))))</f>
        <v>821.41160400000012</v>
      </c>
      <c r="G158" s="60"/>
      <c r="H158" s="61"/>
      <c r="I158" s="36"/>
      <c r="L158" s="69"/>
      <c r="M158" s="69"/>
      <c r="N158" s="36"/>
    </row>
    <row r="159" spans="1:14" s="37" customFormat="1" ht="15.75" customHeight="1" x14ac:dyDescent="0.3">
      <c r="A159" s="64">
        <f t="shared" si="11"/>
        <v>3</v>
      </c>
      <c r="B159" s="65"/>
      <c r="C159" s="55">
        <v>2</v>
      </c>
      <c r="D159" s="56">
        <f>(69.24+4.1*1.3+3.05*0.75)*(10.764)</f>
        <v>827.29412999999977</v>
      </c>
      <c r="E159" s="42">
        <v>0</v>
      </c>
      <c r="F159" s="42">
        <f>D159*(($F$137)+1)+(IF(E159&lt;101,E159,IF(E159&lt;201,E159/2,IF(E159&lt;=301,E159/3,E159/4))))</f>
        <v>1240.9411949999997</v>
      </c>
      <c r="G159" s="60"/>
      <c r="H159" s="61"/>
      <c r="I159" s="36"/>
      <c r="L159" s="69"/>
      <c r="M159" s="69"/>
      <c r="N159" s="36"/>
    </row>
    <row r="160" spans="1:14" s="37" customFormat="1" ht="15.75" customHeight="1" x14ac:dyDescent="0.3">
      <c r="A160" s="64">
        <f t="shared" si="11"/>
        <v>4</v>
      </c>
      <c r="B160" s="65"/>
      <c r="C160" s="55">
        <v>2</v>
      </c>
      <c r="D160" s="56">
        <f>(69.23+4.1*1.3+3.05*0.75)*(10.764)</f>
        <v>827.18648999999994</v>
      </c>
      <c r="E160" s="42">
        <v>0</v>
      </c>
      <c r="F160" s="42">
        <f>D160*(($F$137)+1)+(IF(E160&lt;101,E160,IF(E160&lt;201,E160/2,IF(E160&lt;=301,E160/3,E160/4))))</f>
        <v>1240.7797349999998</v>
      </c>
      <c r="G160" s="60"/>
      <c r="H160" s="61"/>
      <c r="I160" s="36"/>
      <c r="L160" s="69"/>
      <c r="M160" s="69"/>
      <c r="N160" s="36"/>
    </row>
    <row r="161" spans="1:14" s="37" customFormat="1" ht="15.75" customHeight="1" x14ac:dyDescent="0.3">
      <c r="A161" s="64">
        <f t="shared" si="11"/>
        <v>5</v>
      </c>
      <c r="B161" s="65"/>
      <c r="C161" s="55">
        <v>1</v>
      </c>
      <c r="D161" s="56">
        <f>(59.91+3.19*1.8+0.6*2+3.9*0.64+2.6*1.07)*(10.764)</f>
        <v>776.40731999999991</v>
      </c>
      <c r="E161" s="42">
        <v>0</v>
      </c>
      <c r="F161" s="42">
        <f>D161*(($F$137)+1)+(IF(E161&lt;101,E161,IF(E161&lt;201,E161/2,IF(E161&lt;=301,E161/3,E161/4))))</f>
        <v>1164.6109799999999</v>
      </c>
      <c r="G161" s="60"/>
      <c r="H161" s="61"/>
      <c r="I161" s="36"/>
      <c r="J161" s="37">
        <f>16500000/F160</f>
        <v>13298.089527550192</v>
      </c>
      <c r="L161" s="69"/>
      <c r="M161" s="69"/>
      <c r="N161" s="36"/>
    </row>
    <row r="162" spans="1:14" s="37" customFormat="1" ht="15.75" customHeight="1" x14ac:dyDescent="0.3">
      <c r="A162" s="64">
        <f t="shared" si="11"/>
        <v>6</v>
      </c>
      <c r="B162" s="65"/>
      <c r="C162" s="70" t="s">
        <v>271</v>
      </c>
      <c r="D162" s="71"/>
      <c r="E162" s="71"/>
      <c r="F162" s="72"/>
      <c r="G162" s="60"/>
      <c r="H162" s="61"/>
      <c r="I162" s="36"/>
      <c r="L162" s="69"/>
      <c r="M162" s="69"/>
      <c r="N162" s="36"/>
    </row>
    <row r="163" spans="1:14" s="37" customFormat="1" ht="15.75" customHeight="1" x14ac:dyDescent="0.3">
      <c r="A163" s="64">
        <f t="shared" si="11"/>
        <v>7</v>
      </c>
      <c r="B163" s="65"/>
      <c r="C163" s="55">
        <v>2</v>
      </c>
      <c r="D163" s="56">
        <f>(59.82+4.1*1.3+3.05*0.75)*(10.764)</f>
        <v>725.89724999999999</v>
      </c>
      <c r="E163" s="42">
        <v>0</v>
      </c>
      <c r="F163" s="42">
        <f>D163*(($F$137)+1)+(IF(E163&lt;101,E163,IF(E163&lt;201,E163/2,IF(E163&lt;=301,E163/3,E163/4))))</f>
        <v>1088.845875</v>
      </c>
      <c r="G163" s="60"/>
      <c r="H163" s="61"/>
      <c r="I163" s="36"/>
      <c r="J163" s="37">
        <f>14300000/F163</f>
        <v>13133.171855015753</v>
      </c>
      <c r="L163" s="69"/>
      <c r="M163" s="69"/>
      <c r="N163" s="36"/>
    </row>
    <row r="164" spans="1:14" s="37" customFormat="1" ht="15.75" customHeight="1" x14ac:dyDescent="0.3">
      <c r="A164" s="64">
        <f t="shared" si="11"/>
        <v>8</v>
      </c>
      <c r="B164" s="65"/>
      <c r="C164" s="55">
        <v>2</v>
      </c>
      <c r="D164" s="56">
        <f>(59.81+4.1*1.3+3.05*0.75)*(10.764)</f>
        <v>725.78960999999993</v>
      </c>
      <c r="E164" s="42">
        <v>0</v>
      </c>
      <c r="F164" s="42">
        <f>D164*(($F$137)+1)+(IF(E164&lt;101,E164,IF(E164&lt;201,E164/2,IF(E164&lt;=301,E164/3,E164/4))))</f>
        <v>1088.6844149999999</v>
      </c>
      <c r="G164" s="62"/>
      <c r="H164" s="63"/>
      <c r="I164" s="36"/>
      <c r="L164" s="69"/>
      <c r="M164" s="69"/>
      <c r="N164" s="36"/>
    </row>
    <row r="165" spans="1:14" s="37" customFormat="1" x14ac:dyDescent="0.3">
      <c r="A165" s="66" t="s">
        <v>273</v>
      </c>
      <c r="B165" s="67"/>
      <c r="C165" s="67"/>
      <c r="D165" s="67"/>
      <c r="E165" s="67"/>
      <c r="F165" s="67"/>
      <c r="G165" s="67"/>
      <c r="H165" s="68"/>
      <c r="I165" s="37">
        <f>3+4+4+4+3</f>
        <v>18</v>
      </c>
      <c r="J165" s="36"/>
    </row>
    <row r="166" spans="1:14" s="37" customFormat="1" ht="15.75" customHeight="1" x14ac:dyDescent="0.3">
      <c r="A166" s="64">
        <v>1</v>
      </c>
      <c r="B166" s="65"/>
      <c r="C166" s="55">
        <v>1</v>
      </c>
      <c r="D166" s="56">
        <f>(40.18+4.7*1.2+0.75*2.1+2.3*1.33)*(10.764)</f>
        <v>543.08685600000001</v>
      </c>
      <c r="E166" s="42">
        <v>0</v>
      </c>
      <c r="F166" s="42">
        <f t="shared" ref="F166:F172" si="12">D166*(($F$137)+1)+(IF(E166&lt;101,E166,IF(E166&lt;201,E166/2,IF(E166&lt;=301,E166/3,E166/4))))</f>
        <v>814.63028400000007</v>
      </c>
      <c r="G166" s="58" t="str">
        <f>A165</f>
        <v>8th to 10th, 12th to 15th, 17th to 20th, 22nd to 25th &amp; 27th to 29th Floor</v>
      </c>
      <c r="H166" s="59"/>
      <c r="I166" s="36"/>
      <c r="L166" s="69"/>
      <c r="M166" s="69"/>
      <c r="N166" s="36"/>
    </row>
    <row r="167" spans="1:14" s="37" customFormat="1" ht="15.75" customHeight="1" x14ac:dyDescent="0.3">
      <c r="A167" s="64">
        <f t="shared" ref="A167:A172" si="13">A166+1</f>
        <v>2</v>
      </c>
      <c r="B167" s="65"/>
      <c r="C167" s="55">
        <v>1</v>
      </c>
      <c r="D167" s="56">
        <f>(40.6+4.7*1.2+2.1*0.75+2.3*1.33)*(10.764)</f>
        <v>547.60773600000005</v>
      </c>
      <c r="E167" s="42">
        <v>0</v>
      </c>
      <c r="F167" s="42">
        <f t="shared" si="12"/>
        <v>821.41160400000012</v>
      </c>
      <c r="G167" s="60"/>
      <c r="H167" s="61"/>
      <c r="I167" s="36"/>
      <c r="L167" s="69"/>
      <c r="M167" s="69"/>
      <c r="N167" s="36"/>
    </row>
    <row r="168" spans="1:14" s="37" customFormat="1" ht="15.75" customHeight="1" x14ac:dyDescent="0.3">
      <c r="A168" s="64">
        <f t="shared" si="13"/>
        <v>3</v>
      </c>
      <c r="B168" s="65"/>
      <c r="C168" s="55">
        <v>2</v>
      </c>
      <c r="D168" s="56">
        <f>(69.24+4.1*1.3+3.05*0.75)*(10.764)</f>
        <v>827.29412999999977</v>
      </c>
      <c r="E168" s="42">
        <v>0</v>
      </c>
      <c r="F168" s="42">
        <f t="shared" si="12"/>
        <v>1240.9411949999997</v>
      </c>
      <c r="G168" s="60"/>
      <c r="H168" s="61"/>
      <c r="I168" s="36"/>
      <c r="L168" s="69"/>
      <c r="M168" s="69"/>
      <c r="N168" s="36"/>
    </row>
    <row r="169" spans="1:14" s="37" customFormat="1" ht="15.75" customHeight="1" x14ac:dyDescent="0.3">
      <c r="A169" s="64">
        <f t="shared" si="13"/>
        <v>4</v>
      </c>
      <c r="B169" s="65"/>
      <c r="C169" s="55">
        <v>2</v>
      </c>
      <c r="D169" s="56">
        <f>(69.23+4.1*1.3+3.05*0.75)*(10.764)</f>
        <v>827.18648999999994</v>
      </c>
      <c r="E169" s="42">
        <v>0</v>
      </c>
      <c r="F169" s="42">
        <f t="shared" si="12"/>
        <v>1240.7797349999998</v>
      </c>
      <c r="G169" s="60"/>
      <c r="H169" s="61"/>
      <c r="I169" s="36"/>
      <c r="K169" s="37">
        <f>15100000/F169</f>
        <v>12169.766779758054</v>
      </c>
      <c r="L169" s="69"/>
      <c r="M169" s="69"/>
      <c r="N169" s="36"/>
    </row>
    <row r="170" spans="1:14" s="37" customFormat="1" ht="15.75" customHeight="1" x14ac:dyDescent="0.3">
      <c r="A170" s="64">
        <f t="shared" si="13"/>
        <v>5</v>
      </c>
      <c r="B170" s="65"/>
      <c r="C170" s="55">
        <v>3</v>
      </c>
      <c r="D170" s="56">
        <f>(97.51+3.19*1.8+0.6*2+3.9*0.64+2.6*1.04+1.6*0.6+5.5*0.6)*(10.764)</f>
        <v>1226.1487679999998</v>
      </c>
      <c r="E170" s="42">
        <v>0</v>
      </c>
      <c r="F170" s="42">
        <f t="shared" si="12"/>
        <v>1839.2231519999996</v>
      </c>
      <c r="G170" s="60"/>
      <c r="H170" s="61"/>
      <c r="I170" s="36"/>
      <c r="K170" s="37">
        <f>25600000/F170</f>
        <v>13918.920046304422</v>
      </c>
      <c r="L170" s="69"/>
      <c r="M170" s="69"/>
      <c r="N170" s="36"/>
    </row>
    <row r="171" spans="1:14" s="37" customFormat="1" ht="15.75" customHeight="1" x14ac:dyDescent="0.3">
      <c r="A171" s="64">
        <f t="shared" si="13"/>
        <v>6</v>
      </c>
      <c r="B171" s="65"/>
      <c r="C171" s="55">
        <v>2</v>
      </c>
      <c r="D171" s="56">
        <f>(59.82+4.1*1.3+3.05*0.75)*(10.764)</f>
        <v>725.89724999999999</v>
      </c>
      <c r="E171" s="42">
        <v>0</v>
      </c>
      <c r="F171" s="42">
        <f t="shared" si="12"/>
        <v>1088.845875</v>
      </c>
      <c r="G171" s="60"/>
      <c r="H171" s="61"/>
      <c r="I171" s="36"/>
      <c r="L171" s="69"/>
      <c r="M171" s="69"/>
      <c r="N171" s="36"/>
    </row>
    <row r="172" spans="1:14" s="37" customFormat="1" ht="15.75" customHeight="1" x14ac:dyDescent="0.3">
      <c r="A172" s="64">
        <f t="shared" si="13"/>
        <v>7</v>
      </c>
      <c r="B172" s="65"/>
      <c r="C172" s="55">
        <v>2</v>
      </c>
      <c r="D172" s="56">
        <f>(59.81+4.1*1.3+3.05*0.75)*(10.764)</f>
        <v>725.78960999999993</v>
      </c>
      <c r="E172" s="42">
        <v>0</v>
      </c>
      <c r="F172" s="42">
        <f t="shared" si="12"/>
        <v>1088.6844149999999</v>
      </c>
      <c r="G172" s="60"/>
      <c r="H172" s="61"/>
      <c r="I172" s="36"/>
      <c r="L172" s="69"/>
      <c r="M172" s="69"/>
      <c r="N172" s="36"/>
    </row>
    <row r="173" spans="1:14" s="37" customFormat="1" x14ac:dyDescent="0.3">
      <c r="A173" s="66" t="s">
        <v>274</v>
      </c>
      <c r="B173" s="67"/>
      <c r="C173" s="67"/>
      <c r="D173" s="67"/>
      <c r="E173" s="67"/>
      <c r="F173" s="67"/>
      <c r="G173" s="67"/>
      <c r="H173" s="68"/>
      <c r="I173" s="37">
        <v>2</v>
      </c>
      <c r="J173" s="36"/>
    </row>
    <row r="174" spans="1:14" s="37" customFormat="1" ht="15.75" customHeight="1" x14ac:dyDescent="0.3">
      <c r="A174" s="64">
        <v>1</v>
      </c>
      <c r="B174" s="65"/>
      <c r="C174" s="55">
        <v>3</v>
      </c>
      <c r="D174" s="56">
        <f>(95.35+2*(4.7*1.2+2.3*1.33)+4.37*1.68)*(10.764)</f>
        <v>1292.6444543999999</v>
      </c>
      <c r="E174" s="42">
        <v>0</v>
      </c>
      <c r="F174" s="42">
        <f t="shared" ref="F174:F179" si="14">D174*(($F$137)+1)+(IF(E174&lt;101,E174,IF(E174&lt;201,E174/2,IF(E174&lt;=301,E174/3,E174/4))))</f>
        <v>1938.9666815999999</v>
      </c>
      <c r="G174" s="58" t="str">
        <f>A173</f>
        <v>30th &amp; 35th Floor</v>
      </c>
      <c r="H174" s="59"/>
      <c r="I174" s="36"/>
      <c r="L174" s="69"/>
      <c r="M174" s="69"/>
      <c r="N174" s="36"/>
    </row>
    <row r="175" spans="1:14" s="37" customFormat="1" ht="15.75" customHeight="1" x14ac:dyDescent="0.3">
      <c r="A175" s="64">
        <f t="shared" ref="A175:A179" si="15">A174+1</f>
        <v>2</v>
      </c>
      <c r="B175" s="65"/>
      <c r="C175" s="55">
        <v>2</v>
      </c>
      <c r="D175" s="56">
        <f>(71.29+4.1*1.3+3.05*0.75)*(10.764)</f>
        <v>849.36032999999998</v>
      </c>
      <c r="E175" s="42">
        <v>0</v>
      </c>
      <c r="F175" s="42">
        <f t="shared" si="14"/>
        <v>1274.040495</v>
      </c>
      <c r="G175" s="60"/>
      <c r="H175" s="61"/>
      <c r="I175" s="36"/>
      <c r="L175" s="69"/>
      <c r="M175" s="69"/>
      <c r="N175" s="36"/>
    </row>
    <row r="176" spans="1:14" s="37" customFormat="1" ht="15.75" customHeight="1" x14ac:dyDescent="0.3">
      <c r="A176" s="64">
        <f t="shared" si="15"/>
        <v>3</v>
      </c>
      <c r="B176" s="65"/>
      <c r="C176" s="55" t="s">
        <v>275</v>
      </c>
      <c r="D176" s="56">
        <f>(78.11+4.1*1.3+3.05*0.75)*(10.764)</f>
        <v>922.77080999999987</v>
      </c>
      <c r="E176" s="42">
        <v>0</v>
      </c>
      <c r="F176" s="42">
        <f t="shared" si="14"/>
        <v>1384.1562149999997</v>
      </c>
      <c r="G176" s="60"/>
      <c r="H176" s="61"/>
      <c r="I176" s="36"/>
      <c r="L176" s="69"/>
      <c r="M176" s="69"/>
      <c r="N176" s="36"/>
    </row>
    <row r="177" spans="1:14" s="37" customFormat="1" ht="70.5" customHeight="1" x14ac:dyDescent="0.3">
      <c r="A177" s="64">
        <f t="shared" si="15"/>
        <v>4</v>
      </c>
      <c r="B177" s="65"/>
      <c r="C177" s="55" t="s">
        <v>276</v>
      </c>
      <c r="D177" s="56">
        <f>(97.56+59.03+2*(3.19*1.8+0.6*2+3.9*0.64+2.6*1.02)+1.6*0.6+5.5*0.6)*(10.764)</f>
        <v>1991.6629200000002</v>
      </c>
      <c r="E177" s="42">
        <v>0</v>
      </c>
      <c r="F177" s="42">
        <f t="shared" si="14"/>
        <v>2987.4943800000001</v>
      </c>
      <c r="G177" s="60"/>
      <c r="H177" s="61"/>
      <c r="I177" s="36"/>
      <c r="L177" s="69"/>
      <c r="M177" s="69"/>
      <c r="N177" s="36"/>
    </row>
    <row r="178" spans="1:14" s="37" customFormat="1" ht="15.75" customHeight="1" x14ac:dyDescent="0.3">
      <c r="A178" s="64">
        <f t="shared" si="15"/>
        <v>5</v>
      </c>
      <c r="B178" s="65"/>
      <c r="C178" s="55">
        <v>2</v>
      </c>
      <c r="D178" s="56">
        <f>(59.82+4.1*1.3+3.05*0.75)*(10.764)</f>
        <v>725.89724999999999</v>
      </c>
      <c r="E178" s="42">
        <v>0</v>
      </c>
      <c r="F178" s="42">
        <f t="shared" si="14"/>
        <v>1088.845875</v>
      </c>
      <c r="G178" s="60"/>
      <c r="H178" s="61"/>
      <c r="I178" s="36"/>
      <c r="L178" s="69"/>
      <c r="M178" s="69"/>
      <c r="N178" s="36"/>
    </row>
    <row r="179" spans="1:14" s="37" customFormat="1" ht="15.75" customHeight="1" x14ac:dyDescent="0.3">
      <c r="A179" s="64">
        <f t="shared" si="15"/>
        <v>6</v>
      </c>
      <c r="B179" s="65"/>
      <c r="C179" s="55">
        <v>2</v>
      </c>
      <c r="D179" s="56">
        <f>(59.81+4.1*1.3+3.05*0.75)*(10.764)</f>
        <v>725.78960999999993</v>
      </c>
      <c r="E179" s="42">
        <v>0</v>
      </c>
      <c r="F179" s="42">
        <f t="shared" si="14"/>
        <v>1088.6844149999999</v>
      </c>
      <c r="G179" s="62"/>
      <c r="H179" s="63"/>
      <c r="I179" s="36"/>
      <c r="L179" s="69"/>
      <c r="M179" s="69"/>
      <c r="N179" s="36"/>
    </row>
    <row r="180" spans="1:14" s="37" customFormat="1" x14ac:dyDescent="0.3">
      <c r="A180" s="66" t="s">
        <v>277</v>
      </c>
      <c r="B180" s="67"/>
      <c r="C180" s="67"/>
      <c r="D180" s="67"/>
      <c r="E180" s="67"/>
      <c r="F180" s="67"/>
      <c r="G180" s="67"/>
      <c r="H180" s="68"/>
      <c r="I180" s="37">
        <v>2</v>
      </c>
      <c r="J180" s="36"/>
    </row>
    <row r="181" spans="1:14" s="37" customFormat="1" ht="15.75" customHeight="1" x14ac:dyDescent="0.3">
      <c r="A181" s="64">
        <v>1</v>
      </c>
      <c r="B181" s="65"/>
      <c r="C181" s="55">
        <v>3</v>
      </c>
      <c r="D181" s="56">
        <f>(95.35+2*(4.7*1.2+2.3*1.33)+4.37*1.68)*(10.764)</f>
        <v>1292.6444543999999</v>
      </c>
      <c r="E181" s="42">
        <v>0</v>
      </c>
      <c r="F181" s="42">
        <f>D181*(($F$137)+1)+(IF(E181&lt;101,E181,IF(E181&lt;201,E181/2,IF(E181&lt;=301,E181/3,E181/4))))</f>
        <v>1938.9666815999999</v>
      </c>
      <c r="G181" s="58" t="str">
        <f>A180</f>
        <v>31st &amp; 36th Floor (Part Refuge Area)</v>
      </c>
      <c r="H181" s="59"/>
      <c r="I181" s="36"/>
      <c r="J181" s="37">
        <f>30000000/F181</f>
        <v>15472.158590803916</v>
      </c>
      <c r="L181" s="69"/>
      <c r="M181" s="69"/>
      <c r="N181" s="36"/>
    </row>
    <row r="182" spans="1:14" s="37" customFormat="1" ht="15.75" customHeight="1" x14ac:dyDescent="0.3">
      <c r="A182" s="64">
        <f t="shared" ref="A182:A187" si="16">A181+1</f>
        <v>2</v>
      </c>
      <c r="B182" s="65"/>
      <c r="C182" s="55">
        <v>2</v>
      </c>
      <c r="D182" s="56">
        <f>(71.29+4.1*1.3+3.05*0.75)*(10.764)</f>
        <v>849.36032999999998</v>
      </c>
      <c r="E182" s="42">
        <v>0</v>
      </c>
      <c r="F182" s="42">
        <f>D182*(($F$137)+1)+(IF(E182&lt;101,E182,IF(E182&lt;201,E182/2,IF(E182&lt;=301,E182/3,E182/4))))</f>
        <v>1274.040495</v>
      </c>
      <c r="G182" s="60"/>
      <c r="H182" s="61"/>
      <c r="I182" s="36"/>
      <c r="L182" s="69"/>
      <c r="M182" s="69"/>
      <c r="N182" s="36"/>
    </row>
    <row r="183" spans="1:14" s="37" customFormat="1" ht="15.75" customHeight="1" x14ac:dyDescent="0.3">
      <c r="A183" s="64">
        <f t="shared" si="16"/>
        <v>3</v>
      </c>
      <c r="B183" s="65"/>
      <c r="C183" s="55" t="s">
        <v>275</v>
      </c>
      <c r="D183" s="56">
        <f>(78.11+4.1*1.3+3.05*0.75)*(10.764)</f>
        <v>922.77080999999987</v>
      </c>
      <c r="E183" s="42">
        <v>0</v>
      </c>
      <c r="F183" s="42">
        <f>D183*(($F$137)+1)+(IF(E183&lt;101,E183,IF(E183&lt;201,E183/2,IF(E183&lt;=301,E183/3,E183/4))))</f>
        <v>1384.1562149999997</v>
      </c>
      <c r="G183" s="60"/>
      <c r="H183" s="61"/>
      <c r="I183" s="36"/>
      <c r="L183" s="69"/>
      <c r="M183" s="69"/>
      <c r="N183" s="36"/>
    </row>
    <row r="184" spans="1:14" s="37" customFormat="1" ht="15.75" customHeight="1" x14ac:dyDescent="0.3">
      <c r="A184" s="64">
        <f t="shared" si="16"/>
        <v>4</v>
      </c>
      <c r="B184" s="65"/>
      <c r="C184" s="70" t="s">
        <v>278</v>
      </c>
      <c r="D184" s="71"/>
      <c r="E184" s="71"/>
      <c r="F184" s="72"/>
      <c r="G184" s="60"/>
      <c r="H184" s="61"/>
      <c r="I184" s="36"/>
      <c r="L184" s="69"/>
      <c r="M184" s="69"/>
      <c r="N184" s="36"/>
    </row>
    <row r="185" spans="1:14" s="37" customFormat="1" x14ac:dyDescent="0.3">
      <c r="A185" s="64">
        <f t="shared" si="16"/>
        <v>5</v>
      </c>
      <c r="B185" s="65"/>
      <c r="C185" s="70" t="s">
        <v>271</v>
      </c>
      <c r="D185" s="71"/>
      <c r="E185" s="71"/>
      <c r="F185" s="72"/>
      <c r="G185" s="60"/>
      <c r="H185" s="61"/>
      <c r="I185" s="36"/>
      <c r="L185" s="69"/>
      <c r="M185" s="69"/>
      <c r="N185" s="36"/>
    </row>
    <row r="186" spans="1:14" s="37" customFormat="1" ht="15.75" customHeight="1" x14ac:dyDescent="0.3">
      <c r="A186" s="64">
        <f>A185+1</f>
        <v>6</v>
      </c>
      <c r="B186" s="65"/>
      <c r="C186" s="55">
        <v>2</v>
      </c>
      <c r="D186" s="56">
        <f>(59.82+4.1*1.3+3.05*0.75)*(10.764)</f>
        <v>725.89724999999999</v>
      </c>
      <c r="E186" s="42">
        <v>0</v>
      </c>
      <c r="F186" s="42">
        <f>D186*(($F$137)+1)+(IF(E186&lt;101,E186,IF(E186&lt;201,E186/2,IF(E186&lt;=301,E186/3,E186/4))))</f>
        <v>1088.845875</v>
      </c>
      <c r="G186" s="60"/>
      <c r="H186" s="61"/>
      <c r="I186" s="36"/>
      <c r="L186" s="69"/>
      <c r="M186" s="69"/>
      <c r="N186" s="36"/>
    </row>
    <row r="187" spans="1:14" s="37" customFormat="1" ht="15.75" customHeight="1" x14ac:dyDescent="0.3">
      <c r="A187" s="64">
        <f t="shared" si="16"/>
        <v>7</v>
      </c>
      <c r="B187" s="65"/>
      <c r="C187" s="55">
        <v>2</v>
      </c>
      <c r="D187" s="56">
        <f>(59.81+4.1*1.3+3.05*0.75)*(10.764)</f>
        <v>725.78960999999993</v>
      </c>
      <c r="E187" s="42">
        <v>0</v>
      </c>
      <c r="F187" s="42">
        <f>D187*(($F$137)+1)+(IF(E187&lt;101,E187,IF(E187&lt;201,E187/2,IF(E187&lt;=301,E187/3,E187/4))))</f>
        <v>1088.6844149999999</v>
      </c>
      <c r="G187" s="62"/>
      <c r="H187" s="63"/>
      <c r="I187" s="36"/>
      <c r="L187" s="69"/>
      <c r="M187" s="69"/>
      <c r="N187" s="36"/>
    </row>
    <row r="188" spans="1:14" s="37" customFormat="1" x14ac:dyDescent="0.3">
      <c r="A188" s="66" t="s">
        <v>279</v>
      </c>
      <c r="B188" s="67"/>
      <c r="C188" s="67"/>
      <c r="D188" s="67"/>
      <c r="E188" s="67"/>
      <c r="F188" s="67"/>
      <c r="G188" s="67"/>
      <c r="H188" s="68"/>
      <c r="I188" s="37">
        <v>5</v>
      </c>
      <c r="J188" s="36"/>
    </row>
    <row r="189" spans="1:14" s="37" customFormat="1" ht="15.75" customHeight="1" x14ac:dyDescent="0.3">
      <c r="A189" s="64">
        <v>1</v>
      </c>
      <c r="B189" s="65"/>
      <c r="C189" s="55">
        <v>3</v>
      </c>
      <c r="D189" s="56">
        <f>(95.35+2*(4.7*1.2+2.3*1.33)+4.37*1.68)*(10.764)</f>
        <v>1292.6444543999999</v>
      </c>
      <c r="E189" s="42">
        <v>0</v>
      </c>
      <c r="F189" s="42">
        <f t="shared" ref="F189:F194" si="17">D189*(($F$137)+1)+(IF(E189&lt;101,E189,IF(E189&lt;201,E189/2,IF(E189&lt;=301,E189/3,E189/4))))</f>
        <v>1938.9666815999999</v>
      </c>
      <c r="G189" s="58" t="str">
        <f>A188</f>
        <v>32nd to 34th, 37th &amp; 38th Floor</v>
      </c>
      <c r="H189" s="59"/>
      <c r="I189" s="36"/>
      <c r="L189" s="69"/>
      <c r="M189" s="69"/>
      <c r="N189" s="36"/>
    </row>
    <row r="190" spans="1:14" s="37" customFormat="1" ht="15.75" customHeight="1" x14ac:dyDescent="0.3">
      <c r="A190" s="64">
        <f t="shared" ref="A190:A194" si="18">A189+1</f>
        <v>2</v>
      </c>
      <c r="B190" s="65"/>
      <c r="C190" s="55">
        <v>2</v>
      </c>
      <c r="D190" s="56">
        <f>(71.29+4.1*1.3+3.05*0.75)*(10.764)</f>
        <v>849.36032999999998</v>
      </c>
      <c r="E190" s="42">
        <v>0</v>
      </c>
      <c r="F190" s="42">
        <f t="shared" si="17"/>
        <v>1274.040495</v>
      </c>
      <c r="G190" s="60"/>
      <c r="H190" s="61"/>
      <c r="I190" s="36"/>
      <c r="L190" s="69"/>
      <c r="M190" s="69"/>
      <c r="N190" s="36"/>
    </row>
    <row r="191" spans="1:14" s="37" customFormat="1" ht="15.75" customHeight="1" x14ac:dyDescent="0.3">
      <c r="A191" s="64">
        <f t="shared" si="18"/>
        <v>3</v>
      </c>
      <c r="B191" s="65"/>
      <c r="C191" s="55" t="s">
        <v>275</v>
      </c>
      <c r="D191" s="56">
        <f>(78.11+4.1*1.3+3.05*0.75)*(10.764)</f>
        <v>922.77080999999987</v>
      </c>
      <c r="E191" s="42">
        <v>0</v>
      </c>
      <c r="F191" s="42">
        <f t="shared" si="17"/>
        <v>1384.1562149999997</v>
      </c>
      <c r="G191" s="60"/>
      <c r="H191" s="61"/>
      <c r="I191" s="36"/>
      <c r="L191" s="69"/>
      <c r="M191" s="69"/>
      <c r="N191" s="36"/>
    </row>
    <row r="192" spans="1:14" s="37" customFormat="1" ht="15.75" customHeight="1" x14ac:dyDescent="0.3">
      <c r="A192" s="64">
        <f t="shared" si="18"/>
        <v>4</v>
      </c>
      <c r="B192" s="65"/>
      <c r="C192" s="55">
        <v>3</v>
      </c>
      <c r="D192" s="56">
        <f>(97.56+3.19*1.8+0.6*2+3.9*0.64+2.6*1.04+1.6*0.6+5.5*0.6)*(10.764)</f>
        <v>1226.6869679999998</v>
      </c>
      <c r="E192" s="42">
        <v>0</v>
      </c>
      <c r="F192" s="42">
        <f t="shared" si="17"/>
        <v>1840.0304519999995</v>
      </c>
      <c r="G192" s="60"/>
      <c r="H192" s="61"/>
      <c r="I192" s="36"/>
      <c r="L192" s="69"/>
      <c r="M192" s="69"/>
      <c r="N192" s="36"/>
    </row>
    <row r="193" spans="1:14" s="37" customFormat="1" ht="15.75" customHeight="1" x14ac:dyDescent="0.3">
      <c r="A193" s="64">
        <f t="shared" si="18"/>
        <v>5</v>
      </c>
      <c r="B193" s="65"/>
      <c r="C193" s="55">
        <v>2</v>
      </c>
      <c r="D193" s="56">
        <f>(59.82+4.1*1.3+3.05*0.75)*(10.764)</f>
        <v>725.89724999999999</v>
      </c>
      <c r="E193" s="42">
        <v>0</v>
      </c>
      <c r="F193" s="42">
        <f t="shared" si="17"/>
        <v>1088.845875</v>
      </c>
      <c r="G193" s="60"/>
      <c r="H193" s="61"/>
      <c r="I193" s="36"/>
      <c r="L193" s="69"/>
      <c r="M193" s="69"/>
      <c r="N193" s="36"/>
    </row>
    <row r="194" spans="1:14" s="37" customFormat="1" ht="15.75" customHeight="1" x14ac:dyDescent="0.3">
      <c r="A194" s="64">
        <f t="shared" si="18"/>
        <v>6</v>
      </c>
      <c r="B194" s="65"/>
      <c r="C194" s="55">
        <v>2</v>
      </c>
      <c r="D194" s="56">
        <f>(59.81+4.1*1.3+3.05*0.75)*(10.764)</f>
        <v>725.78960999999993</v>
      </c>
      <c r="E194" s="42">
        <v>0</v>
      </c>
      <c r="F194" s="42">
        <f t="shared" si="17"/>
        <v>1088.6844149999999</v>
      </c>
      <c r="G194" s="62"/>
      <c r="H194" s="63"/>
      <c r="I194" s="36"/>
      <c r="L194" s="69"/>
      <c r="M194" s="69"/>
      <c r="N194" s="36"/>
    </row>
    <row r="195" spans="1:14" s="37" customFormat="1" x14ac:dyDescent="0.3">
      <c r="A195" s="66" t="s">
        <v>280</v>
      </c>
      <c r="B195" s="67"/>
      <c r="C195" s="67"/>
      <c r="D195" s="67"/>
      <c r="E195" s="67"/>
      <c r="F195" s="67"/>
      <c r="G195" s="67"/>
      <c r="H195" s="68"/>
      <c r="I195" s="37">
        <v>1</v>
      </c>
      <c r="J195" s="36"/>
    </row>
    <row r="196" spans="1:14" s="37" customFormat="1" x14ac:dyDescent="0.3">
      <c r="A196" s="66" t="s">
        <v>281</v>
      </c>
      <c r="B196" s="67"/>
      <c r="C196" s="67"/>
      <c r="D196" s="67"/>
      <c r="E196" s="67"/>
      <c r="F196" s="67"/>
      <c r="G196" s="67"/>
      <c r="H196" s="68"/>
      <c r="I196" s="37">
        <v>6</v>
      </c>
      <c r="J196" s="36"/>
    </row>
    <row r="197" spans="1:14" s="37" customFormat="1" ht="15.75" customHeight="1" x14ac:dyDescent="0.3">
      <c r="A197" s="64">
        <v>1</v>
      </c>
      <c r="B197" s="65"/>
      <c r="C197" s="55">
        <v>4</v>
      </c>
      <c r="D197" s="56">
        <f>(121.12+2*(4.7*1.2+2.3*1.33)+4.37*1.68)*(10.764)</f>
        <v>1570.0327344</v>
      </c>
      <c r="E197" s="42">
        <v>0</v>
      </c>
      <c r="F197" s="42">
        <f t="shared" ref="F197:F202" si="19">D197*(($F$137)+1)+(IF(E197&lt;101,E197,IF(E197&lt;201,E197/2,IF(E197&lt;=301,E197/3,E197/4))))</f>
        <v>2355.0491016000001</v>
      </c>
      <c r="G197" s="58" t="str">
        <f>A196</f>
        <v>40th, 45th, 50th, 55th, 60th &amp; 65th Floor (Duplex Floor)</v>
      </c>
      <c r="H197" s="59"/>
      <c r="I197" s="36"/>
      <c r="L197" s="69"/>
      <c r="M197" s="69"/>
      <c r="N197" s="36"/>
    </row>
    <row r="198" spans="1:14" s="37" customFormat="1" ht="15.75" customHeight="1" x14ac:dyDescent="0.3">
      <c r="A198" s="64">
        <f t="shared" ref="A198:A202" si="20">A197+1</f>
        <v>2</v>
      </c>
      <c r="B198" s="65"/>
      <c r="C198" s="55" t="s">
        <v>275</v>
      </c>
      <c r="D198" s="56">
        <f>(79.42+4.1*1.3+3.05*0.75)*(10.764)</f>
        <v>936.87164999999993</v>
      </c>
      <c r="E198" s="42">
        <v>0</v>
      </c>
      <c r="F198" s="42">
        <f t="shared" si="19"/>
        <v>1405.3074749999998</v>
      </c>
      <c r="G198" s="60"/>
      <c r="H198" s="61"/>
      <c r="I198" s="36"/>
      <c r="L198" s="69"/>
      <c r="M198" s="69"/>
      <c r="N198" s="36"/>
    </row>
    <row r="199" spans="1:14" s="37" customFormat="1" ht="15.75" customHeight="1" x14ac:dyDescent="0.3">
      <c r="A199" s="64">
        <f t="shared" si="20"/>
        <v>3</v>
      </c>
      <c r="B199" s="65"/>
      <c r="C199" s="55" t="s">
        <v>275</v>
      </c>
      <c r="D199" s="56">
        <f>(78.11+4.1*1.3+3.05*0.75)*(10.764)</f>
        <v>922.77080999999987</v>
      </c>
      <c r="E199" s="42">
        <v>0</v>
      </c>
      <c r="F199" s="42">
        <f t="shared" si="19"/>
        <v>1384.1562149999997</v>
      </c>
      <c r="G199" s="60"/>
      <c r="H199" s="61"/>
      <c r="I199" s="36"/>
      <c r="L199" s="69"/>
      <c r="M199" s="69"/>
      <c r="N199" s="36"/>
    </row>
    <row r="200" spans="1:14" s="37" customFormat="1" ht="70.5" customHeight="1" x14ac:dyDescent="0.3">
      <c r="A200" s="64">
        <f t="shared" si="20"/>
        <v>4</v>
      </c>
      <c r="B200" s="65"/>
      <c r="C200" s="55" t="s">
        <v>276</v>
      </c>
      <c r="D200" s="56">
        <f>(97.56+59.03+2*(3.19*1.8+0.6*2+3.9*0.64+2.6*1.02)+1.6*0.6+5.5*0.6)*(10.764)</f>
        <v>1991.6629200000002</v>
      </c>
      <c r="E200" s="42">
        <v>0</v>
      </c>
      <c r="F200" s="42">
        <f t="shared" si="19"/>
        <v>2987.4943800000001</v>
      </c>
      <c r="G200" s="60"/>
      <c r="H200" s="61"/>
      <c r="I200" s="36"/>
      <c r="L200" s="69"/>
      <c r="M200" s="69"/>
      <c r="N200" s="36"/>
    </row>
    <row r="201" spans="1:14" s="37" customFormat="1" ht="15.75" customHeight="1" x14ac:dyDescent="0.3">
      <c r="A201" s="64">
        <f t="shared" si="20"/>
        <v>5</v>
      </c>
      <c r="B201" s="65"/>
      <c r="C201" s="55">
        <v>2</v>
      </c>
      <c r="D201" s="56">
        <f>(59.82+4.1*1.3+3.05*0.75)*(10.764)</f>
        <v>725.89724999999999</v>
      </c>
      <c r="E201" s="42">
        <v>0</v>
      </c>
      <c r="F201" s="42">
        <f t="shared" si="19"/>
        <v>1088.845875</v>
      </c>
      <c r="G201" s="60"/>
      <c r="H201" s="61"/>
      <c r="I201" s="36"/>
      <c r="L201" s="69"/>
      <c r="M201" s="69"/>
      <c r="N201" s="36"/>
    </row>
    <row r="202" spans="1:14" s="37" customFormat="1" ht="15.75" customHeight="1" x14ac:dyDescent="0.3">
      <c r="A202" s="64">
        <f t="shared" si="20"/>
        <v>6</v>
      </c>
      <c r="B202" s="65"/>
      <c r="C202" s="55">
        <v>2</v>
      </c>
      <c r="D202" s="56">
        <f>(59.81+4.1*1.3+3.05*0.75)*(10.764)</f>
        <v>725.78960999999993</v>
      </c>
      <c r="E202" s="42">
        <v>0</v>
      </c>
      <c r="F202" s="42">
        <f t="shared" si="19"/>
        <v>1088.6844149999999</v>
      </c>
      <c r="G202" s="62"/>
      <c r="H202" s="63"/>
      <c r="I202" s="36"/>
      <c r="L202" s="69"/>
      <c r="M202" s="69"/>
      <c r="N202" s="36"/>
    </row>
    <row r="203" spans="1:14" s="37" customFormat="1" x14ac:dyDescent="0.3">
      <c r="A203" s="66" t="s">
        <v>282</v>
      </c>
      <c r="B203" s="67"/>
      <c r="C203" s="67"/>
      <c r="D203" s="67"/>
      <c r="E203" s="67"/>
      <c r="F203" s="67"/>
      <c r="G203" s="67"/>
      <c r="H203" s="68"/>
      <c r="I203" s="37">
        <v>6</v>
      </c>
      <c r="J203" s="36"/>
    </row>
    <row r="204" spans="1:14" s="37" customFormat="1" ht="15.75" customHeight="1" x14ac:dyDescent="0.3">
      <c r="A204" s="64">
        <v>1</v>
      </c>
      <c r="B204" s="65"/>
      <c r="C204" s="55">
        <v>4</v>
      </c>
      <c r="D204" s="56">
        <f>(121.12+2*(4.7*1.2+2.3*1.33)+4.37*1.68)*(10.764)</f>
        <v>1570.0327344</v>
      </c>
      <c r="E204" s="42">
        <v>0</v>
      </c>
      <c r="F204" s="42">
        <f>D204*(($F$137)+1)+(IF(E204&lt;101,E204,IF(E204&lt;201,E204/2,IF(E204&lt;=301,E204/3,E204/4))))</f>
        <v>2355.0491016000001</v>
      </c>
      <c r="G204" s="58" t="str">
        <f>A203</f>
        <v>41st, 46th, 51st, 56th, 61st &amp; 66th Floor (Part Refuge Area)</v>
      </c>
      <c r="H204" s="59"/>
      <c r="I204" s="36"/>
      <c r="L204" s="69"/>
      <c r="M204" s="69"/>
      <c r="N204" s="36"/>
    </row>
    <row r="205" spans="1:14" s="37" customFormat="1" ht="15.75" customHeight="1" x14ac:dyDescent="0.3">
      <c r="A205" s="64">
        <f t="shared" ref="A205:A210" si="21">A204+1</f>
        <v>2</v>
      </c>
      <c r="B205" s="65"/>
      <c r="C205" s="55" t="s">
        <v>275</v>
      </c>
      <c r="D205" s="56">
        <f>(79.42+4.1*1.3+3.05*0.75)*(10.764)</f>
        <v>936.87164999999993</v>
      </c>
      <c r="E205" s="42">
        <v>0</v>
      </c>
      <c r="F205" s="42">
        <f>D205*(($F$137)+1)+(IF(E205&lt;101,E205,IF(E205&lt;201,E205/2,IF(E205&lt;=301,E205/3,E205/4))))</f>
        <v>1405.3074749999998</v>
      </c>
      <c r="G205" s="60"/>
      <c r="H205" s="61"/>
      <c r="I205" s="36"/>
      <c r="L205" s="69"/>
      <c r="M205" s="69"/>
      <c r="N205" s="36"/>
    </row>
    <row r="206" spans="1:14" s="37" customFormat="1" ht="15.75" customHeight="1" x14ac:dyDescent="0.3">
      <c r="A206" s="64">
        <f t="shared" si="21"/>
        <v>3</v>
      </c>
      <c r="B206" s="65"/>
      <c r="C206" s="55" t="s">
        <v>275</v>
      </c>
      <c r="D206" s="56">
        <f>(78.11+4.1*1.3+3.05*0.75)*(10.764)</f>
        <v>922.77080999999987</v>
      </c>
      <c r="E206" s="42">
        <v>0</v>
      </c>
      <c r="F206" s="42">
        <f>D206*(($F$137)+1)+(IF(E206&lt;101,E206,IF(E206&lt;201,E206/2,IF(E206&lt;=301,E206/3,E206/4))))</f>
        <v>1384.1562149999997</v>
      </c>
      <c r="G206" s="60"/>
      <c r="H206" s="61"/>
      <c r="I206" s="36"/>
      <c r="L206" s="69"/>
      <c r="M206" s="69"/>
      <c r="N206" s="36"/>
    </row>
    <row r="207" spans="1:14" s="37" customFormat="1" ht="15.75" customHeight="1" x14ac:dyDescent="0.3">
      <c r="A207" s="64">
        <f t="shared" si="21"/>
        <v>4</v>
      </c>
      <c r="B207" s="65"/>
      <c r="C207" s="70" t="s">
        <v>278</v>
      </c>
      <c r="D207" s="71"/>
      <c r="E207" s="71"/>
      <c r="F207" s="72"/>
      <c r="G207" s="60"/>
      <c r="H207" s="61"/>
      <c r="I207" s="36"/>
      <c r="L207" s="69"/>
      <c r="M207" s="69"/>
      <c r="N207" s="36"/>
    </row>
    <row r="208" spans="1:14" s="37" customFormat="1" x14ac:dyDescent="0.3">
      <c r="A208" s="64">
        <f t="shared" si="21"/>
        <v>5</v>
      </c>
      <c r="B208" s="65"/>
      <c r="C208" s="70" t="s">
        <v>271</v>
      </c>
      <c r="D208" s="71"/>
      <c r="E208" s="71"/>
      <c r="F208" s="72"/>
      <c r="G208" s="60"/>
      <c r="H208" s="61"/>
      <c r="I208" s="36"/>
      <c r="L208" s="69"/>
      <c r="M208" s="69"/>
      <c r="N208" s="36"/>
    </row>
    <row r="209" spans="1:14" s="37" customFormat="1" ht="15.75" customHeight="1" x14ac:dyDescent="0.3">
      <c r="A209" s="64">
        <f>A208+1</f>
        <v>6</v>
      </c>
      <c r="B209" s="65"/>
      <c r="C209" s="55">
        <v>2</v>
      </c>
      <c r="D209" s="56">
        <f>(59.82+4.1*1.3+3.05*0.75)*(10.764)</f>
        <v>725.89724999999999</v>
      </c>
      <c r="E209" s="42">
        <v>0</v>
      </c>
      <c r="F209" s="42">
        <f>D209*(($F$137)+1)+(IF(E209&lt;101,E209,IF(E209&lt;201,E209/2,IF(E209&lt;=301,E209/3,E209/4))))</f>
        <v>1088.845875</v>
      </c>
      <c r="G209" s="60"/>
      <c r="H209" s="61"/>
      <c r="I209" s="36"/>
      <c r="L209" s="69"/>
      <c r="M209" s="69"/>
      <c r="N209" s="36"/>
    </row>
    <row r="210" spans="1:14" s="37" customFormat="1" ht="15.75" customHeight="1" x14ac:dyDescent="0.3">
      <c r="A210" s="64">
        <f t="shared" si="21"/>
        <v>7</v>
      </c>
      <c r="B210" s="65"/>
      <c r="C210" s="55">
        <v>2</v>
      </c>
      <c r="D210" s="56">
        <f>(59.81+4.1*1.3+3.05*0.75)*(10.764)</f>
        <v>725.78960999999993</v>
      </c>
      <c r="E210" s="42">
        <v>0</v>
      </c>
      <c r="F210" s="42">
        <f>D210*(($F$137)+1)+(IF(E210&lt;101,E210,IF(E210&lt;201,E210/2,IF(E210&lt;=301,E210/3,E210/4))))</f>
        <v>1088.6844149999999</v>
      </c>
      <c r="G210" s="62"/>
      <c r="H210" s="63"/>
      <c r="I210" s="36"/>
      <c r="L210" s="69"/>
      <c r="M210" s="69"/>
      <c r="N210" s="36"/>
    </row>
    <row r="211" spans="1:14" s="37" customFormat="1" x14ac:dyDescent="0.3">
      <c r="A211" s="66" t="s">
        <v>308</v>
      </c>
      <c r="B211" s="67"/>
      <c r="C211" s="67"/>
      <c r="D211" s="67"/>
      <c r="E211" s="67"/>
      <c r="F211" s="67"/>
      <c r="G211" s="67"/>
      <c r="H211" s="68"/>
      <c r="I211" s="37">
        <f>3+3+3+3+3+1</f>
        <v>16</v>
      </c>
      <c r="J211" s="36"/>
    </row>
    <row r="212" spans="1:14" s="37" customFormat="1" ht="15.75" customHeight="1" x14ac:dyDescent="0.3">
      <c r="A212" s="64">
        <v>1</v>
      </c>
      <c r="B212" s="65"/>
      <c r="C212" s="55">
        <v>4</v>
      </c>
      <c r="D212" s="56">
        <f>(121.12+2*(4.7*1.2+2.3*1.33)+4.37*1.68)*(10.764)</f>
        <v>1570.0327344</v>
      </c>
      <c r="E212" s="42">
        <v>0</v>
      </c>
      <c r="F212" s="42">
        <f t="shared" ref="F212:F217" si="22">D212*(($F$137)+1)+(IF(E212&lt;101,E212,IF(E212&lt;201,E212/2,IF(E212&lt;=301,E212/3,E212/4))))</f>
        <v>2355.0491016000001</v>
      </c>
      <c r="G212" s="58" t="str">
        <f>A211</f>
        <v>42nd to 44th, 47th to 49th, 52nd to 54th, 57th to 59th, 62nd to 64th &amp; 67th Floor</v>
      </c>
      <c r="H212" s="59"/>
      <c r="I212" s="36"/>
      <c r="L212" s="69"/>
      <c r="M212" s="69"/>
      <c r="N212" s="36"/>
    </row>
    <row r="213" spans="1:14" s="37" customFormat="1" ht="15.75" customHeight="1" x14ac:dyDescent="0.3">
      <c r="A213" s="64">
        <f t="shared" ref="A213:A217" si="23">A212+1</f>
        <v>2</v>
      </c>
      <c r="B213" s="65"/>
      <c r="C213" s="55" t="s">
        <v>275</v>
      </c>
      <c r="D213" s="56">
        <f>(79.42+4.1*1.3+3.05*0.75)*(10.764)</f>
        <v>936.87164999999993</v>
      </c>
      <c r="E213" s="42">
        <v>0</v>
      </c>
      <c r="F213" s="42">
        <f t="shared" si="22"/>
        <v>1405.3074749999998</v>
      </c>
      <c r="G213" s="60"/>
      <c r="H213" s="61"/>
      <c r="I213" s="36"/>
      <c r="L213" s="69"/>
      <c r="M213" s="69"/>
      <c r="N213" s="36"/>
    </row>
    <row r="214" spans="1:14" s="37" customFormat="1" ht="15.75" customHeight="1" x14ac:dyDescent="0.3">
      <c r="A214" s="64">
        <f t="shared" si="23"/>
        <v>3</v>
      </c>
      <c r="B214" s="65"/>
      <c r="C214" s="55" t="s">
        <v>275</v>
      </c>
      <c r="D214" s="56">
        <f>(78.11+4.1*1.3+3.05*0.75)*(10.764)</f>
        <v>922.77080999999987</v>
      </c>
      <c r="E214" s="42">
        <v>0</v>
      </c>
      <c r="F214" s="42">
        <f t="shared" si="22"/>
        <v>1384.1562149999997</v>
      </c>
      <c r="G214" s="60"/>
      <c r="H214" s="61"/>
      <c r="I214" s="36"/>
      <c r="J214" s="37">
        <f>67*6</f>
        <v>402</v>
      </c>
      <c r="L214" s="69"/>
      <c r="M214" s="69"/>
      <c r="N214" s="36"/>
    </row>
    <row r="215" spans="1:14" s="37" customFormat="1" ht="15.75" customHeight="1" x14ac:dyDescent="0.3">
      <c r="A215" s="64">
        <f t="shared" si="23"/>
        <v>4</v>
      </c>
      <c r="B215" s="65"/>
      <c r="C215" s="55">
        <v>3</v>
      </c>
      <c r="D215" s="56">
        <f>(97.56+3.19*1.8+0.6*2+3.9*0.64+2.6*1.04+1.6*0.6+5.5*0.6)*(10.764)</f>
        <v>1226.6869679999998</v>
      </c>
      <c r="E215" s="42">
        <v>0</v>
      </c>
      <c r="F215" s="42">
        <f t="shared" si="22"/>
        <v>1840.0304519999995</v>
      </c>
      <c r="G215" s="60"/>
      <c r="H215" s="61"/>
      <c r="I215" s="36"/>
      <c r="L215" s="69"/>
      <c r="M215" s="69"/>
      <c r="N215" s="36"/>
    </row>
    <row r="216" spans="1:14" s="37" customFormat="1" ht="15.75" customHeight="1" x14ac:dyDescent="0.3">
      <c r="A216" s="64">
        <f t="shared" si="23"/>
        <v>5</v>
      </c>
      <c r="B216" s="65"/>
      <c r="C216" s="55">
        <v>2</v>
      </c>
      <c r="D216" s="56">
        <f>(59.82+4.1*1.3+3.05*0.75)*(10.764)</f>
        <v>725.89724999999999</v>
      </c>
      <c r="E216" s="42">
        <v>0</v>
      </c>
      <c r="F216" s="42">
        <f t="shared" si="22"/>
        <v>1088.845875</v>
      </c>
      <c r="G216" s="60"/>
      <c r="H216" s="61"/>
      <c r="I216" s="36"/>
      <c r="L216" s="69"/>
      <c r="M216" s="69"/>
      <c r="N216" s="36"/>
    </row>
    <row r="217" spans="1:14" s="37" customFormat="1" ht="15.75" customHeight="1" x14ac:dyDescent="0.3">
      <c r="A217" s="64">
        <f t="shared" si="23"/>
        <v>6</v>
      </c>
      <c r="B217" s="65"/>
      <c r="C217" s="55">
        <v>2</v>
      </c>
      <c r="D217" s="56">
        <f>(59.81+4.1*1.3+3.05*0.75)*(10.764)</f>
        <v>725.78960999999993</v>
      </c>
      <c r="E217" s="42">
        <v>0</v>
      </c>
      <c r="F217" s="42">
        <f t="shared" si="22"/>
        <v>1088.6844149999999</v>
      </c>
      <c r="G217" s="62"/>
      <c r="H217" s="63"/>
      <c r="I217" s="36"/>
      <c r="L217" s="69"/>
      <c r="M217" s="69"/>
      <c r="N217" s="36"/>
    </row>
    <row r="218" spans="1:14" s="37" customFormat="1" ht="33" customHeight="1" x14ac:dyDescent="0.3">
      <c r="A218" s="66" t="s">
        <v>285</v>
      </c>
      <c r="B218" s="67"/>
      <c r="C218" s="67"/>
      <c r="D218" s="67"/>
      <c r="E218" s="67"/>
      <c r="F218" s="67"/>
      <c r="G218" s="67"/>
      <c r="H218" s="68"/>
      <c r="J218" s="36"/>
    </row>
    <row r="219" spans="1:14" s="37" customFormat="1" ht="33.75" customHeight="1" x14ac:dyDescent="0.3">
      <c r="A219" s="66" t="s">
        <v>286</v>
      </c>
      <c r="B219" s="67"/>
      <c r="C219" s="67"/>
      <c r="D219" s="67"/>
      <c r="E219" s="67"/>
      <c r="F219" s="67"/>
      <c r="G219" s="67"/>
      <c r="H219" s="68"/>
      <c r="J219" s="36"/>
    </row>
    <row r="220" spans="1:14" s="37" customFormat="1" x14ac:dyDescent="0.3">
      <c r="A220" s="66" t="s">
        <v>283</v>
      </c>
      <c r="B220" s="67"/>
      <c r="C220" s="67"/>
      <c r="D220" s="67"/>
      <c r="E220" s="67"/>
      <c r="F220" s="67"/>
      <c r="G220" s="67"/>
      <c r="H220" s="68"/>
      <c r="J220" s="36"/>
    </row>
    <row r="221" spans="1:14" s="37" customFormat="1" ht="34.5" customHeight="1" x14ac:dyDescent="0.3">
      <c r="A221" s="66" t="s">
        <v>287</v>
      </c>
      <c r="B221" s="67"/>
      <c r="C221" s="67"/>
      <c r="D221" s="67"/>
      <c r="E221" s="67"/>
      <c r="F221" s="67"/>
      <c r="G221" s="67"/>
      <c r="H221" s="68"/>
      <c r="J221" s="36"/>
    </row>
    <row r="222" spans="1:14" s="37" customFormat="1" x14ac:dyDescent="0.3">
      <c r="A222" s="66" t="s">
        <v>284</v>
      </c>
      <c r="B222" s="67"/>
      <c r="C222" s="67"/>
      <c r="D222" s="67"/>
      <c r="E222" s="67"/>
      <c r="F222" s="67"/>
      <c r="G222" s="67"/>
      <c r="H222" s="68"/>
      <c r="J222" s="36"/>
    </row>
    <row r="223" spans="1:14" s="37" customFormat="1" x14ac:dyDescent="0.3">
      <c r="A223" s="66" t="s">
        <v>288</v>
      </c>
      <c r="B223" s="67"/>
      <c r="C223" s="67"/>
      <c r="D223" s="67"/>
      <c r="E223" s="67"/>
      <c r="F223" s="67"/>
      <c r="G223" s="67"/>
      <c r="H223" s="68"/>
      <c r="J223" s="36"/>
    </row>
    <row r="224" spans="1:14" s="37" customFormat="1" x14ac:dyDescent="0.3">
      <c r="A224" s="66"/>
      <c r="B224" s="67"/>
      <c r="C224" s="67"/>
      <c r="D224" s="67"/>
      <c r="E224" s="67"/>
      <c r="F224" s="67"/>
      <c r="G224" s="67"/>
      <c r="H224" s="68"/>
      <c r="J224" s="36"/>
    </row>
    <row r="225" spans="1:14" s="37" customFormat="1" hidden="1" x14ac:dyDescent="0.3">
      <c r="A225" s="66" t="s">
        <v>118</v>
      </c>
      <c r="B225" s="67"/>
      <c r="C225" s="67"/>
      <c r="D225" s="67"/>
      <c r="E225" s="67"/>
      <c r="F225" s="67"/>
      <c r="G225" s="67"/>
      <c r="H225" s="68"/>
      <c r="J225" s="36"/>
    </row>
    <row r="226" spans="1:14" s="37" customFormat="1" hidden="1" x14ac:dyDescent="0.3">
      <c r="A226" s="64">
        <v>1</v>
      </c>
      <c r="B226" s="65"/>
      <c r="C226" s="55"/>
      <c r="D226" s="42"/>
      <c r="E226" s="42">
        <v>0</v>
      </c>
      <c r="F226" s="42">
        <f>D226*(($F$137)+1)+(IF(E226&lt;101,E226,IF(E226&lt;201,E226/2,IF(E226&lt;=301,E226/3,E226/4))))</f>
        <v>0</v>
      </c>
      <c r="G226" s="64" t="str">
        <f>A225</f>
        <v>Ground Floor</v>
      </c>
      <c r="H226" s="65"/>
      <c r="I226" s="36"/>
      <c r="L226" s="69"/>
      <c r="M226" s="69"/>
      <c r="N226" s="36"/>
    </row>
    <row r="227" spans="1:14" s="37" customFormat="1" hidden="1" x14ac:dyDescent="0.3">
      <c r="A227" s="64">
        <f t="shared" ref="A227:A229" si="24">A226+1</f>
        <v>2</v>
      </c>
      <c r="B227" s="65"/>
      <c r="C227" s="55"/>
      <c r="D227" s="42"/>
      <c r="E227" s="42">
        <v>0</v>
      </c>
      <c r="F227" s="42">
        <f>D227*(($F$137)+1)+(IF(E227&lt;101,E227,IF(E227&lt;201,E227/2,IF(E227&lt;=301,E227/3,E227/4))))</f>
        <v>0</v>
      </c>
      <c r="G227" s="64" t="str">
        <f t="shared" ref="G227:G229" si="25">G226</f>
        <v>Ground Floor</v>
      </c>
      <c r="H227" s="65"/>
      <c r="I227" s="36"/>
      <c r="L227" s="69"/>
      <c r="M227" s="69"/>
      <c r="N227" s="36"/>
    </row>
    <row r="228" spans="1:14" s="37" customFormat="1" hidden="1" x14ac:dyDescent="0.3">
      <c r="A228" s="64">
        <f t="shared" si="24"/>
        <v>3</v>
      </c>
      <c r="B228" s="65"/>
      <c r="C228" s="55"/>
      <c r="D228" s="42"/>
      <c r="E228" s="42">
        <v>0</v>
      </c>
      <c r="F228" s="42">
        <f>D228*(($F$137)+1)+(IF(E228&lt;101,E228,IF(E228&lt;201,E228/2,IF(E228&lt;=301,E228/3,E228/4))))</f>
        <v>0</v>
      </c>
      <c r="G228" s="64" t="str">
        <f t="shared" si="25"/>
        <v>Ground Floor</v>
      </c>
      <c r="H228" s="65"/>
      <c r="I228" s="36"/>
      <c r="L228" s="69"/>
      <c r="M228" s="69"/>
      <c r="N228" s="36"/>
    </row>
    <row r="229" spans="1:14" s="37" customFormat="1" hidden="1" x14ac:dyDescent="0.3">
      <c r="A229" s="64">
        <f t="shared" si="24"/>
        <v>4</v>
      </c>
      <c r="B229" s="65"/>
      <c r="C229" s="55"/>
      <c r="D229" s="42"/>
      <c r="E229" s="42">
        <v>0</v>
      </c>
      <c r="F229" s="42">
        <f>D229*(($F$137)+1)+(IF(E229&lt;101,E229,IF(E229&lt;201,E229/2,IF(E229&lt;=301,E229/3,E229/4))))</f>
        <v>0</v>
      </c>
      <c r="G229" s="64" t="str">
        <f t="shared" si="25"/>
        <v>Ground Floor</v>
      </c>
      <c r="H229" s="65"/>
      <c r="I229" s="36"/>
      <c r="L229" s="69"/>
      <c r="M229" s="69"/>
      <c r="N229" s="36"/>
    </row>
    <row r="230" spans="1:14" s="37" customFormat="1" hidden="1" x14ac:dyDescent="0.3">
      <c r="A230" s="171" t="s">
        <v>119</v>
      </c>
      <c r="B230" s="171"/>
      <c r="C230" s="171"/>
      <c r="D230" s="171"/>
      <c r="E230" s="171"/>
      <c r="F230" s="171"/>
      <c r="G230" s="171"/>
      <c r="H230" s="171"/>
      <c r="I230" s="36"/>
      <c r="L230" s="69"/>
      <c r="M230" s="69"/>
    </row>
    <row r="231" spans="1:14" s="37" customFormat="1" hidden="1" x14ac:dyDescent="0.3">
      <c r="A231" s="87">
        <f>LEFT(A230,SUM(LEN(A230)-LEN(SUBSTITUTE(A230,{"0","1","2","3","4","5","6","7","8","9"},""))))*100+1</f>
        <v>201</v>
      </c>
      <c r="B231" s="87"/>
      <c r="C231" s="55"/>
      <c r="D231" s="42"/>
      <c r="E231" s="42">
        <v>0</v>
      </c>
      <c r="F231" s="42">
        <f t="shared" ref="F231:F232" si="26">D231*(($F$137)+1)+(IF(E231&lt;101,E231,IF(E231&lt;201,E231/2,IF(E231&lt;=301,E231/3,E231/4))))</f>
        <v>0</v>
      </c>
      <c r="G231" s="87" t="str">
        <f>A230</f>
        <v>2nd Floor</v>
      </c>
      <c r="H231" s="87"/>
      <c r="I231" s="36"/>
      <c r="N231" s="36"/>
    </row>
    <row r="232" spans="1:14" s="37" customFormat="1" hidden="1" x14ac:dyDescent="0.3">
      <c r="A232" s="87">
        <f>A231+1</f>
        <v>202</v>
      </c>
      <c r="B232" s="87"/>
      <c r="C232" s="55"/>
      <c r="D232" s="42"/>
      <c r="E232" s="42">
        <v>0</v>
      </c>
      <c r="F232" s="42">
        <f t="shared" si="26"/>
        <v>0</v>
      </c>
      <c r="G232" s="87" t="str">
        <f>G231</f>
        <v>2nd Floor</v>
      </c>
      <c r="H232" s="87"/>
      <c r="I232" s="36"/>
      <c r="N232" s="36"/>
    </row>
    <row r="233" spans="1:14" s="37" customFormat="1" hidden="1" x14ac:dyDescent="0.3">
      <c r="A233" s="87">
        <f>A232+1</f>
        <v>203</v>
      </c>
      <c r="B233" s="87"/>
      <c r="C233" s="55"/>
      <c r="D233" s="42"/>
      <c r="E233" s="42">
        <v>0</v>
      </c>
      <c r="F233" s="42">
        <f>D233*(($F$137)+1)+(IF(E233&lt;101,E233,IF(E233&lt;201,E233/2,IF(E233&lt;=301,E233/3,E233/4))))</f>
        <v>0</v>
      </c>
      <c r="G233" s="87" t="str">
        <f>G232</f>
        <v>2nd Floor</v>
      </c>
      <c r="H233" s="87"/>
      <c r="I233" s="36"/>
      <c r="N233" s="36"/>
    </row>
    <row r="234" spans="1:14" s="37" customFormat="1" hidden="1" x14ac:dyDescent="0.3">
      <c r="A234" s="87">
        <f>A233+1</f>
        <v>204</v>
      </c>
      <c r="B234" s="87"/>
      <c r="C234" s="55"/>
      <c r="D234" s="42"/>
      <c r="E234" s="42">
        <v>0</v>
      </c>
      <c r="F234" s="42">
        <f>D234*(($F$137)+1)+(IF(E234&lt;101,E234,IF(E234&lt;201,E234/2,IF(E234&lt;=301,E234/3,E234/4))))</f>
        <v>0</v>
      </c>
      <c r="G234" s="87" t="str">
        <f>G233</f>
        <v>2nd Floor</v>
      </c>
      <c r="H234" s="87"/>
      <c r="I234" s="36"/>
      <c r="N234" s="36"/>
    </row>
    <row r="235" spans="1:14" s="37" customFormat="1" hidden="1" x14ac:dyDescent="0.3">
      <c r="A235" s="87">
        <f>A234+1</f>
        <v>205</v>
      </c>
      <c r="B235" s="87"/>
      <c r="C235" s="55"/>
      <c r="D235" s="42"/>
      <c r="E235" s="42">
        <v>0</v>
      </c>
      <c r="F235" s="42">
        <f>D235*(($F$137)+1)+(IF(E235&lt;101,E235,IF(E235&lt;201,E235/2,IF(E235&lt;=301,E235/3,E235/4))))</f>
        <v>0</v>
      </c>
      <c r="G235" s="87" t="str">
        <f>G234</f>
        <v>2nd Floor</v>
      </c>
      <c r="H235" s="87"/>
      <c r="I235" s="36"/>
      <c r="N235" s="36"/>
    </row>
    <row r="236" spans="1:14" s="37" customFormat="1" ht="15.75" hidden="1" customHeight="1" x14ac:dyDescent="0.3">
      <c r="A236" s="66" t="s">
        <v>153</v>
      </c>
      <c r="B236" s="67"/>
      <c r="C236" s="67"/>
      <c r="D236" s="67"/>
      <c r="E236" s="67"/>
      <c r="F236" s="67"/>
      <c r="G236" s="67"/>
      <c r="H236" s="68"/>
      <c r="I236" s="36"/>
    </row>
    <row r="237" spans="1:14" s="37" customFormat="1" hidden="1" x14ac:dyDescent="0.3">
      <c r="A237" s="64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10^ROW(INDIRECT("1:"&amp;LEN((LEFT(A236,SUM(LEN(A236)-LEN(SUBSTITUTE(A236,{"0","1","2"},""))))))))/10))*100+1&amp;""&amp;"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",LEN(A236))),LEN(A236)))))))/10))*100+1</f>
        <v>301 ,.., 1501</v>
      </c>
      <c r="B237" s="65"/>
      <c r="C237" s="55"/>
      <c r="D237" s="42"/>
      <c r="E237" s="42">
        <v>0</v>
      </c>
      <c r="F237" s="42">
        <f>D237*(($F$137)+1)+(IF(E237&lt;101,E237,IF(E237&lt;201,E237/2,IF(E237&lt;=301,E237/3,E237/4))))</f>
        <v>0</v>
      </c>
      <c r="G237" s="64" t="str">
        <f>A236</f>
        <v>3rd, 5th, 7th, 9th, 11th, 13th, 15th Floor</v>
      </c>
      <c r="H237" s="65"/>
      <c r="I237" s="36"/>
    </row>
    <row r="238" spans="1:14" s="37" customFormat="1" hidden="1" x14ac:dyDescent="0.3">
      <c r="A238" s="64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,..,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302 ,.., 1502</v>
      </c>
      <c r="B238" s="65"/>
      <c r="C238" s="55"/>
      <c r="D238" s="42"/>
      <c r="E238" s="42">
        <v>0</v>
      </c>
      <c r="F238" s="42">
        <f>D238*(($F$137)+1)+(IF(E238&lt;101,E238,IF(E238&lt;201,E238/2,IF(E238&lt;=301,E238/3,E238/4))))</f>
        <v>0</v>
      </c>
      <c r="G238" s="64" t="str">
        <f>G237</f>
        <v>3rd, 5th, 7th, 9th, 11th, 13th, 15th Floor</v>
      </c>
      <c r="H238" s="65"/>
      <c r="I238" s="36"/>
    </row>
    <row r="239" spans="1:14" s="37" customFormat="1" ht="15.75" hidden="1" customHeight="1" x14ac:dyDescent="0.3">
      <c r="A239" s="64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,..,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303 ,.., 1503</v>
      </c>
      <c r="B239" s="65"/>
      <c r="C239" s="55"/>
      <c r="D239" s="42"/>
      <c r="E239" s="42">
        <v>0</v>
      </c>
      <c r="F239" s="42">
        <f>D239*(($F$137)+1)+(IF(E239&lt;101,E239,IF(E239&lt;201,E239/2,IF(E239&lt;=301,E239/3,E239/4))))</f>
        <v>0</v>
      </c>
      <c r="G239" s="64" t="str">
        <f>G238</f>
        <v>3rd, 5th, 7th, 9th, 11th, 13th, 15th Floor</v>
      </c>
      <c r="H239" s="65"/>
      <c r="I239" s="36"/>
    </row>
    <row r="240" spans="1:14" s="37" customFormat="1" ht="15.75" hidden="1" customHeight="1" x14ac:dyDescent="0.3">
      <c r="A240" s="64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,..,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304 ,.., 1504</v>
      </c>
      <c r="B240" s="65"/>
      <c r="C240" s="55"/>
      <c r="D240" s="42"/>
      <c r="E240" s="42">
        <v>0</v>
      </c>
      <c r="F240" s="42">
        <f>D240*(($F$137)+1)+(IF(E240&lt;101,E240,IF(E240&lt;201,E240/2,IF(E240&lt;=301,E240/3,E240/4))))</f>
        <v>0</v>
      </c>
      <c r="G240" s="64" t="str">
        <f>G239</f>
        <v>3rd, 5th, 7th, 9th, 11th, 13th, 15th Floor</v>
      </c>
      <c r="H240" s="65"/>
      <c r="I240" s="36"/>
    </row>
    <row r="241" spans="1:9" s="37" customFormat="1" ht="15.75" hidden="1" customHeight="1" x14ac:dyDescent="0.3">
      <c r="A241" s="64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10^ROW(INDIRECT("1:"&amp;LEN((LEFT(A240,SUM(LEN(A240)-LEN(SUBSTITUTE(A240,{"0","1","2"},""))))))))/10))*1+1&amp;""&amp;" ,..,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",LEN(A240))),LEN(A240)))))))/10))*1+1</f>
        <v>305 ,.., 1505</v>
      </c>
      <c r="B241" s="65"/>
      <c r="C241" s="55"/>
      <c r="D241" s="42"/>
      <c r="E241" s="42">
        <v>0</v>
      </c>
      <c r="F241" s="42">
        <f>D241*(($F$137)+1)+(IF(E241&lt;101,E241,IF(E241&lt;201,E241/2,IF(E241&lt;=301,E241/3,E241/4))))</f>
        <v>0</v>
      </c>
      <c r="G241" s="64" t="str">
        <f>G240</f>
        <v>3rd, 5th, 7th, 9th, 11th, 13th, 15th Floor</v>
      </c>
      <c r="H241" s="65"/>
      <c r="I241" s="36"/>
    </row>
    <row r="242" spans="1:9" s="37" customFormat="1" hidden="1" x14ac:dyDescent="0.3">
      <c r="A242" s="66" t="s">
        <v>147</v>
      </c>
      <c r="B242" s="67"/>
      <c r="C242" s="67"/>
      <c r="D242" s="67"/>
      <c r="E242" s="67"/>
      <c r="F242" s="67"/>
      <c r="G242" s="67"/>
      <c r="H242" s="68"/>
      <c r="I242" s="36"/>
    </row>
    <row r="243" spans="1:9" s="37" customFormat="1" hidden="1" x14ac:dyDescent="0.3">
      <c r="A243" s="64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10^ROW(INDIRECT("1:"&amp;LEN((LEFT(A242,SUM(LEN(A242)-LEN(SUBSTITUTE(A242,{"0","1","2"},""))))))))/10))*100+1&amp;""&amp;" to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",LEN(A242))),LEN(A242)))))))/10))*100+1</f>
        <v>201 to 501</v>
      </c>
      <c r="B243" s="65"/>
      <c r="C243" s="55"/>
      <c r="D243" s="42"/>
      <c r="E243" s="42">
        <v>0</v>
      </c>
      <c r="F243" s="42">
        <f>D243*(($F$137)+1)+(IF(E243&lt;101,E243,IF(E243&lt;201,E243/2,IF(E243&lt;=301,E243/3,E243/4))))</f>
        <v>0</v>
      </c>
      <c r="G243" s="64" t="str">
        <f>A242</f>
        <v>2nd to 5th Floor</v>
      </c>
      <c r="H243" s="65"/>
      <c r="I243" s="36"/>
    </row>
    <row r="244" spans="1:9" s="37" customFormat="1" hidden="1" x14ac:dyDescent="0.3">
      <c r="A244" s="64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to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202 to 502</v>
      </c>
      <c r="B244" s="65"/>
      <c r="C244" s="55"/>
      <c r="D244" s="42"/>
      <c r="E244" s="42">
        <v>0</v>
      </c>
      <c r="F244" s="42">
        <f>D244*(($F$137)+1)+(IF(E244&lt;101,E244,IF(E244&lt;201,E244/2,IF(E244&lt;=301,E244/3,E244/4))))</f>
        <v>0</v>
      </c>
      <c r="G244" s="64" t="str">
        <f>G243</f>
        <v>2nd to 5th Floor</v>
      </c>
      <c r="H244" s="65"/>
      <c r="I244" s="36"/>
    </row>
    <row r="245" spans="1:9" s="37" customFormat="1" hidden="1" x14ac:dyDescent="0.3">
      <c r="A245" s="64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to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203 to 503</v>
      </c>
      <c r="B245" s="65"/>
      <c r="C245" s="55"/>
      <c r="D245" s="42"/>
      <c r="E245" s="42">
        <v>0</v>
      </c>
      <c r="F245" s="42">
        <f>D245*(($F$137)+1)+(IF(E245&lt;101,E245,IF(E245&lt;201,E245/2,IF(E245&lt;=301,E245/3,E245/4))))</f>
        <v>0</v>
      </c>
      <c r="G245" s="64" t="str">
        <f>G244</f>
        <v>2nd to 5th Floor</v>
      </c>
      <c r="H245" s="65"/>
      <c r="I245" s="36"/>
    </row>
    <row r="246" spans="1:9" s="37" customFormat="1" hidden="1" x14ac:dyDescent="0.3">
      <c r="A246" s="64" t="str">
        <f ca="1">(SUMPRODUCT(MID(0&amp;(LEFT(A245,SUM(LEN(A245)-LEN(SUBSTITUTE(A245,{"0","1","2"},""))))), LARGE(INDEX(ISNUMBER(--MID((LEFT(A245,SUM(LEN(A245)-LEN(SUBSTITUTE(A245,{"0","1","2"},""))))), ROW(INDIRECT("1:"&amp;LEN((LEFT(A245,SUM(LEN(A245)-LEN(SUBSTITUTE(A245,{"0","1","2"},"")))))))), 1)) * ROW(INDIRECT("1:"&amp;LEN((LEFT(A245,SUM(LEN(A245)-LEN(SUBSTITUTE(A245,{"0","1","2"},"")))))))), 0), ROW(INDIRECT("1:"&amp;LEN((LEFT(A245,SUM(LEN(A245)-LEN(SUBSTITUTE(A245,{"0","1","2"},"")))))))))+1, 1) * 10^ROW(INDIRECT("1:"&amp;LEN((LEFT(A245,SUM(LEN(A245)-LEN(SUBSTITUTE(A245,{"0","1","2"},""))))))))/10))*1+1&amp;""&amp;" to "&amp;""&amp;(SUMPRODUCT(MID(0&amp;(--TRIM(RIGHT(SUBSTITUTE(LEFT(A245,_xlfn.AGGREGATE(16,6,FIND({0,1,2,3,4,5,6,7,8,9},A245,ROW(INDIRECT("1:"&amp;LEN(A245)))),1))," ",REPT(" ",LEN(A245))),LEN(A245)))), LARGE(INDEX(ISNUMBER(--MID((--TRIM(RIGHT(SUBSTITUTE(LEFT(A245,_xlfn.AGGREGATE(16,6,FIND({0,1,2,3,4,5,6,7,8,9},A245,ROW(INDIRECT("1:"&amp;LEN(A245)))),1))," ",REPT(" ",LEN(A245))),LEN(A245)))), ROW(INDIRECT("1:"&amp;LEN((--TRIM(RIGHT(SUBSTITUTE(LEFT(A245,_xlfn.AGGREGATE(16,6,FIND({0,1,2,3,4,5,6,7,8,9},A245,ROW(INDIRECT("1:"&amp;LEN(A245)))),1))," ",REPT(" ",LEN(A245))),LEN(A245))))))), 1)) * ROW(INDIRECT("1:"&amp;LEN((--TRIM(RIGHT(SUBSTITUTE(LEFT(A245,_xlfn.AGGREGATE(16,6,FIND({0,1,2,3,4,5,6,7,8,9},A245,ROW(INDIRECT("1:"&amp;LEN(A245)))),1))," ",REPT(" ",LEN(A245))),LEN(A245))))))), 0), ROW(INDIRECT("1:"&amp;LEN((--TRIM(RIGHT(SUBSTITUTE(LEFT(A245,_xlfn.AGGREGATE(16,6,FIND({0,1,2,3,4,5,6,7,8,9},A245,ROW(INDIRECT("1:"&amp;LEN(A245)))),1))," ",REPT(" ",LEN(A245))),LEN(A245))))))))+1, 1) * 10^ROW(INDIRECT("1:"&amp;LEN((--TRIM(RIGHT(SUBSTITUTE(LEFT(A245,_xlfn.AGGREGATE(16,6,FIND({0,1,2,3,4,5,6,7,8,9},A245,ROW(INDIRECT("1:"&amp;LEN(A245)))),1))," ",REPT(" ",LEN(A245))),LEN(A245)))))))/10))*1+1</f>
        <v>204 to 504</v>
      </c>
      <c r="B246" s="65"/>
      <c r="C246" s="55"/>
      <c r="D246" s="42"/>
      <c r="E246" s="42">
        <v>0</v>
      </c>
      <c r="F246" s="42">
        <f>D246*(($F$137)+1)+(IF(E246&lt;101,E246,IF(E246&lt;201,E246/2,IF(E246&lt;=301,E246/3,E246/4))))</f>
        <v>0</v>
      </c>
      <c r="G246" s="64" t="str">
        <f>G245</f>
        <v>2nd to 5th Floor</v>
      </c>
      <c r="H246" s="65"/>
      <c r="I246" s="36"/>
    </row>
    <row r="247" spans="1:9" s="37" customFormat="1" hidden="1" x14ac:dyDescent="0.3">
      <c r="A247" s="64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10^ROW(INDIRECT("1:"&amp;LEN((LEFT(A246,SUM(LEN(A246)-LEN(SUBSTITUTE(A246,{"0","1","2"},""))))))))/10))*1+1&amp;""&amp;" to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",LEN(A246))),LEN(A246)))))))/10))*1+1</f>
        <v>205 to 505</v>
      </c>
      <c r="B247" s="65"/>
      <c r="C247" s="55"/>
      <c r="D247" s="42"/>
      <c r="E247" s="42">
        <v>0</v>
      </c>
      <c r="F247" s="42">
        <f>D247*(($F$137)+1)+(IF(E247&lt;101,E247,IF(E247&lt;201,E247/2,IF(E247&lt;=301,E247/3,E247/4))))</f>
        <v>0</v>
      </c>
      <c r="G247" s="64" t="str">
        <f>G246</f>
        <v>2nd to 5th Floor</v>
      </c>
      <c r="H247" s="65"/>
      <c r="I247" s="36"/>
    </row>
    <row r="248" spans="1:9" s="37" customFormat="1" hidden="1" x14ac:dyDescent="0.3">
      <c r="A248" s="66" t="s">
        <v>148</v>
      </c>
      <c r="B248" s="67"/>
      <c r="C248" s="67"/>
      <c r="D248" s="67"/>
      <c r="E248" s="67"/>
      <c r="F248" s="67"/>
      <c r="G248" s="67"/>
      <c r="H248" s="68"/>
      <c r="I248" s="36"/>
    </row>
    <row r="249" spans="1:9" s="37" customFormat="1" hidden="1" x14ac:dyDescent="0.3">
      <c r="A249" s="64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10^ROW(INDIRECT("1:"&amp;LEN((LEFT(A248,SUM(LEN(A248)-LEN(SUBSTITUTE(A248,{"0","1","2"},""))))))))/10))*100+1&amp;""&amp;" &amp;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",LEN(A248))),LEN(A248)))))))/10))*100+1</f>
        <v>201 &amp; 501</v>
      </c>
      <c r="B249" s="65"/>
      <c r="C249" s="55"/>
      <c r="D249" s="42"/>
      <c r="E249" s="42">
        <v>0</v>
      </c>
      <c r="F249" s="42">
        <f>D249*(($F$137)+1)+(IF(E249&lt;101,E249,IF(E249&lt;201,E249/2,IF(E249&lt;=301,E249/3,E249/4))))</f>
        <v>0</v>
      </c>
      <c r="G249" s="64" t="str">
        <f>A248</f>
        <v>2nd &amp; 5th Floor</v>
      </c>
      <c r="H249" s="65"/>
      <c r="I249" s="36"/>
    </row>
    <row r="250" spans="1:9" s="37" customFormat="1" hidden="1" x14ac:dyDescent="0.3">
      <c r="A250" s="64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&amp;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202 &amp; 502</v>
      </c>
      <c r="B250" s="65"/>
      <c r="C250" s="55"/>
      <c r="D250" s="42"/>
      <c r="E250" s="42">
        <v>0</v>
      </c>
      <c r="F250" s="42">
        <f>D250*(($F$137)+1)+(IF(E250&lt;101,E250,IF(E250&lt;201,E250/2,IF(E250&lt;=301,E250/3,E250/4))))</f>
        <v>0</v>
      </c>
      <c r="G250" s="64" t="str">
        <f t="shared" ref="G250:G253" si="27">G249</f>
        <v>2nd &amp; 5th Floor</v>
      </c>
      <c r="H250" s="65"/>
      <c r="I250" s="36"/>
    </row>
    <row r="251" spans="1:9" s="37" customFormat="1" hidden="1" x14ac:dyDescent="0.3">
      <c r="A251" s="64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&amp;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203 &amp; 503</v>
      </c>
      <c r="B251" s="65"/>
      <c r="C251" s="55"/>
      <c r="D251" s="42"/>
      <c r="E251" s="42">
        <v>0</v>
      </c>
      <c r="F251" s="42">
        <f>D251*(($F$137)+1)+(IF(E251&lt;101,E251,IF(E251&lt;201,E251/2,IF(E251&lt;=301,E251/3,E251/4))))</f>
        <v>0</v>
      </c>
      <c r="G251" s="64" t="str">
        <f t="shared" si="27"/>
        <v>2nd &amp; 5th Floor</v>
      </c>
      <c r="H251" s="65"/>
      <c r="I251" s="36"/>
    </row>
    <row r="252" spans="1:9" s="37" customFormat="1" hidden="1" x14ac:dyDescent="0.3">
      <c r="A252" s="64" t="str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10^ROW(INDIRECT("1:"&amp;LEN((LEFT(A251,SUM(LEN(A251)-LEN(SUBSTITUTE(A251,{"0","1","2"},""))))))))/10))*1+1&amp;""&amp;" &amp; "&amp;""&amp;(SUMPRODUCT(MID(0&amp;(--TRIM(RIGHT(SUBSTITUTE(LEFT(A251,_xlfn.AGGREGATE(16,6,FIND({0,1,2,3,4,5,6,7,8,9},A251,ROW(INDIRECT("1:"&amp;LEN(A251)))),1)),"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",LEN(A251))),LEN(A251)))))))/10))*1+1</f>
        <v>204 &amp; 504</v>
      </c>
      <c r="B252" s="65"/>
      <c r="C252" s="55"/>
      <c r="D252" s="42"/>
      <c r="E252" s="42">
        <v>0</v>
      </c>
      <c r="F252" s="42">
        <f>D252*(($F$137)+1)+(IF(E252&lt;101,E252,IF(E252&lt;201,E252/2,IF(E252&lt;=301,E252/3,E252/4))))</f>
        <v>0</v>
      </c>
      <c r="G252" s="64" t="str">
        <f t="shared" si="27"/>
        <v>2nd &amp; 5th Floor</v>
      </c>
      <c r="H252" s="65"/>
      <c r="I252" s="36"/>
    </row>
    <row r="253" spans="1:9" s="37" customFormat="1" hidden="1" x14ac:dyDescent="0.3">
      <c r="A253" s="64" t="str">
        <f ca="1">(SUMPRODUCT(MID(0&amp;(LEFT(A252,SUM(LEN(A252)-LEN(SUBSTITUTE(A252,{"0","1","2"},""))))), LARGE(INDEX(ISNUMBER(--MID((LEFT(A252,SUM(LEN(A252)-LEN(SUBSTITUTE(A252,{"0","1","2"},""))))), ROW(INDIRECT("1:"&amp;LEN((LEFT(A252,SUM(LEN(A252)-LEN(SUBSTITUTE(A252,{"0","1","2"},"")))))))), 1)) * ROW(INDIRECT("1:"&amp;LEN((LEFT(A252,SUM(LEN(A252)-LEN(SUBSTITUTE(A252,{"0","1","2"},"")))))))), 0), ROW(INDIRECT("1:"&amp;LEN((LEFT(A252,SUM(LEN(A252)-LEN(SUBSTITUTE(A252,{"0","1","2"},"")))))))))+1, 1) * 10^ROW(INDIRECT("1:"&amp;LEN((LEFT(A252,SUM(LEN(A252)-LEN(SUBSTITUTE(A252,{"0","1","2"},""))))))))/10))*1+1&amp;""&amp;" &amp; "&amp;""&amp;(SUMPRODUCT(MID(0&amp;(--TRIM(RIGHT(SUBSTITUTE(LEFT(A252,_xlfn.AGGREGATE(16,6,FIND({0,1,2,3,4,5,6,7,8,9},A252,ROW(INDIRECT("1:"&amp;LEN(A252)))),1))," ",REPT(" ",LEN(A252))),LEN(A252)))), LARGE(INDEX(ISNUMBER(--MID((--TRIM(RIGHT(SUBSTITUTE(LEFT(A252,_xlfn.AGGREGATE(16,6,FIND({0,1,2,3,4,5,6,7,8,9},A252,ROW(INDIRECT("1:"&amp;LEN(A252)))),1))," ",REPT(" ",LEN(A252))),LEN(A252)))), ROW(INDIRECT("1:"&amp;LEN((--TRIM(RIGHT(SUBSTITUTE(LEFT(A252,_xlfn.AGGREGATE(16,6,FIND({0,1,2,3,4,5,6,7,8,9},A252,ROW(INDIRECT("1:"&amp;LEN(A252)))),1))," ",REPT(" ",LEN(A252))),LEN(A252))))))), 1)) * ROW(INDIRECT("1:"&amp;LEN((--TRIM(RIGHT(SUBSTITUTE(LEFT(A252,_xlfn.AGGREGATE(16,6,FIND({0,1,2,3,4,5,6,7,8,9},A252,ROW(INDIRECT("1:"&amp;LEN(A252)))),1))," ",REPT(" ",LEN(A252))),LEN(A252))))))), 0), ROW(INDIRECT("1:"&amp;LEN((--TRIM(RIGHT(SUBSTITUTE(LEFT(A252,_xlfn.AGGREGATE(16,6,FIND({0,1,2,3,4,5,6,7,8,9},A252,ROW(INDIRECT("1:"&amp;LEN(A252)))),1))," ",REPT(" ",LEN(A252))),LEN(A252))))))))+1, 1) * 10^ROW(INDIRECT("1:"&amp;LEN((--TRIM(RIGHT(SUBSTITUTE(LEFT(A252,_xlfn.AGGREGATE(16,6,FIND({0,1,2,3,4,5,6,7,8,9},A252,ROW(INDIRECT("1:"&amp;LEN(A252)))),1))," ",REPT(" ",LEN(A252))),LEN(A252)))))))/10))*1+1</f>
        <v>205 &amp; 505</v>
      </c>
      <c r="B253" s="65"/>
      <c r="C253" s="55"/>
      <c r="D253" s="42"/>
      <c r="E253" s="42">
        <v>0</v>
      </c>
      <c r="F253" s="42">
        <f>D253*(($F$137)+1)+(IF(E253&lt;101,E253,IF(E253&lt;201,E253/2,IF(E253&lt;=301,E253/3,E253/4))))</f>
        <v>0</v>
      </c>
      <c r="G253" s="64" t="str">
        <f t="shared" si="27"/>
        <v>2nd &amp; 5th Floor</v>
      </c>
      <c r="H253" s="65"/>
      <c r="I253" s="36"/>
    </row>
    <row r="254" spans="1:9" s="35" customFormat="1" x14ac:dyDescent="0.3">
      <c r="A254" s="86" t="s">
        <v>68</v>
      </c>
      <c r="B254" s="86"/>
      <c r="C254" s="86"/>
      <c r="D254" s="86"/>
      <c r="E254" s="86"/>
      <c r="F254" s="86"/>
      <c r="G254" s="86"/>
      <c r="H254" s="86"/>
    </row>
    <row r="255" spans="1:9" s="35" customFormat="1" x14ac:dyDescent="0.3">
      <c r="A255" s="47" t="s">
        <v>157</v>
      </c>
      <c r="B255" s="174" t="s">
        <v>313</v>
      </c>
      <c r="C255" s="175"/>
      <c r="D255" s="175"/>
      <c r="E255" s="175"/>
      <c r="F255" s="175"/>
      <c r="G255" s="175"/>
      <c r="H255" s="176"/>
    </row>
    <row r="256" spans="1:9" s="35" customFormat="1" x14ac:dyDescent="0.3">
      <c r="A256" s="47" t="s">
        <v>157</v>
      </c>
      <c r="B256" s="174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256" s="175"/>
      <c r="D256" s="175"/>
      <c r="E256" s="175"/>
      <c r="F256" s="175"/>
      <c r="G256" s="175"/>
      <c r="H256" s="176"/>
    </row>
    <row r="257" spans="1:8" s="35" customFormat="1" x14ac:dyDescent="0.3">
      <c r="A257" s="47" t="s">
        <v>157</v>
      </c>
      <c r="B257" s="174" t="str">
        <f>(IF(F111="Saleable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7" s="175"/>
      <c r="D257" s="175"/>
      <c r="E257" s="175"/>
      <c r="F257" s="175"/>
      <c r="G257" s="175"/>
      <c r="H257" s="176"/>
    </row>
    <row r="258" spans="1:8" s="35" customFormat="1" x14ac:dyDescent="0.3">
      <c r="A258" s="47" t="s">
        <v>157</v>
      </c>
      <c r="B258" s="83" t="s">
        <v>124</v>
      </c>
      <c r="C258" s="84"/>
      <c r="D258" s="84"/>
      <c r="E258" s="84"/>
      <c r="F258" s="84"/>
      <c r="G258" s="84"/>
      <c r="H258" s="85"/>
    </row>
    <row r="259" spans="1:8" s="35" customFormat="1" x14ac:dyDescent="0.3">
      <c r="A259" s="47" t="s">
        <v>157</v>
      </c>
      <c r="B259" s="83" t="s">
        <v>289</v>
      </c>
      <c r="C259" s="84"/>
      <c r="D259" s="84"/>
      <c r="E259" s="84"/>
      <c r="F259" s="84"/>
      <c r="G259" s="84"/>
      <c r="H259" s="85"/>
    </row>
    <row r="260" spans="1:8" s="35" customFormat="1" x14ac:dyDescent="0.3">
      <c r="A260" s="47" t="s">
        <v>157</v>
      </c>
      <c r="B260" s="83" t="s">
        <v>156</v>
      </c>
      <c r="C260" s="84"/>
      <c r="D260" s="84"/>
      <c r="E260" s="84"/>
      <c r="F260" s="84"/>
      <c r="G260" s="84"/>
      <c r="H260" s="85"/>
    </row>
    <row r="261" spans="1:8" s="35" customFormat="1" x14ac:dyDescent="0.3">
      <c r="A261" s="47" t="s">
        <v>157</v>
      </c>
      <c r="B261" s="83" t="s">
        <v>125</v>
      </c>
      <c r="C261" s="84"/>
      <c r="D261" s="84"/>
      <c r="E261" s="84"/>
      <c r="F261" s="84"/>
      <c r="G261" s="84"/>
      <c r="H261" s="85"/>
    </row>
    <row r="262" spans="1:8" s="35" customFormat="1" ht="34.5" customHeight="1" x14ac:dyDescent="0.3">
      <c r="A262" s="47" t="s">
        <v>157</v>
      </c>
      <c r="B262" s="83" t="s">
        <v>158</v>
      </c>
      <c r="C262" s="84"/>
      <c r="D262" s="84"/>
      <c r="E262" s="84"/>
      <c r="F262" s="84"/>
      <c r="G262" s="84"/>
      <c r="H262" s="85"/>
    </row>
    <row r="263" spans="1:8" s="35" customFormat="1" x14ac:dyDescent="0.3">
      <c r="A263" s="47" t="s">
        <v>157</v>
      </c>
      <c r="B263" s="83" t="s">
        <v>126</v>
      </c>
      <c r="C263" s="84"/>
      <c r="D263" s="84"/>
      <c r="E263" s="84"/>
      <c r="F263" s="84"/>
      <c r="G263" s="84"/>
      <c r="H263" s="85"/>
    </row>
    <row r="264" spans="1:8" s="35" customFormat="1" x14ac:dyDescent="0.3">
      <c r="A264" s="47" t="s">
        <v>157</v>
      </c>
      <c r="B264" s="83" t="s">
        <v>314</v>
      </c>
      <c r="C264" s="84"/>
      <c r="D264" s="84"/>
      <c r="E264" s="84"/>
      <c r="F264" s="84"/>
      <c r="G264" s="84"/>
      <c r="H264" s="85"/>
    </row>
    <row r="265" spans="1:8" s="35" customFormat="1" x14ac:dyDescent="0.3">
      <c r="A265" s="47" t="s">
        <v>157</v>
      </c>
      <c r="B265" s="83" t="s">
        <v>257</v>
      </c>
      <c r="C265" s="84"/>
      <c r="D265" s="84"/>
      <c r="E265" s="84"/>
      <c r="F265" s="84"/>
      <c r="G265" s="84"/>
      <c r="H265" s="85"/>
    </row>
    <row r="266" spans="1:8" s="35" customFormat="1" x14ac:dyDescent="0.3">
      <c r="A266" s="47" t="s">
        <v>157</v>
      </c>
      <c r="B266" s="83" t="s">
        <v>258</v>
      </c>
      <c r="C266" s="84"/>
      <c r="D266" s="84"/>
      <c r="E266" s="84"/>
      <c r="F266" s="84"/>
      <c r="G266" s="84"/>
      <c r="H266" s="85"/>
    </row>
    <row r="267" spans="1:8" s="35" customFormat="1" ht="33.75" customHeight="1" x14ac:dyDescent="0.3">
      <c r="A267" s="47" t="s">
        <v>157</v>
      </c>
      <c r="B267" s="83" t="s">
        <v>259</v>
      </c>
      <c r="C267" s="84"/>
      <c r="D267" s="84"/>
      <c r="E267" s="84"/>
      <c r="F267" s="84"/>
      <c r="G267" s="84"/>
      <c r="H267" s="85"/>
    </row>
    <row r="268" spans="1:8" s="35" customFormat="1" x14ac:dyDescent="0.3">
      <c r="A268" s="47" t="s">
        <v>157</v>
      </c>
      <c r="B268" s="83" t="s">
        <v>309</v>
      </c>
      <c r="C268" s="84"/>
      <c r="D268" s="84"/>
      <c r="E268" s="84"/>
      <c r="F268" s="84"/>
      <c r="G268" s="84"/>
      <c r="H268" s="85"/>
    </row>
    <row r="269" spans="1:8" x14ac:dyDescent="0.3">
      <c r="A269" s="172" t="s">
        <v>61</v>
      </c>
      <c r="B269" s="172"/>
      <c r="C269" s="172"/>
      <c r="D269" s="172"/>
      <c r="E269" s="172"/>
      <c r="F269" s="172"/>
      <c r="G269" s="172"/>
      <c r="H269" s="172"/>
    </row>
    <row r="270" spans="1:8" x14ac:dyDescent="0.3">
      <c r="A270" s="94" t="s">
        <v>62</v>
      </c>
      <c r="B270" s="94"/>
      <c r="C270" s="94"/>
      <c r="D270" s="94"/>
      <c r="E270" s="94"/>
      <c r="F270" s="94"/>
      <c r="G270" s="94"/>
      <c r="H270" s="94"/>
    </row>
    <row r="271" spans="1:8" ht="15.75" customHeight="1" x14ac:dyDescent="0.3">
      <c r="A271" s="178" t="s">
        <v>63</v>
      </c>
      <c r="B271" s="178"/>
      <c r="C271" s="178"/>
      <c r="D271" s="178"/>
      <c r="E271" s="178"/>
      <c r="F271" s="178"/>
      <c r="G271" s="178"/>
      <c r="H271" s="178"/>
    </row>
    <row r="272" spans="1:8" x14ac:dyDescent="0.3">
      <c r="A272" s="94" t="s">
        <v>64</v>
      </c>
      <c r="B272" s="94"/>
      <c r="C272" s="94"/>
      <c r="D272" s="94"/>
      <c r="E272" s="94"/>
      <c r="F272" s="94"/>
      <c r="G272" s="94"/>
      <c r="H272" s="94"/>
    </row>
    <row r="273" spans="1:8" x14ac:dyDescent="0.3">
      <c r="A273" s="94" t="s">
        <v>65</v>
      </c>
      <c r="B273" s="94"/>
      <c r="C273" s="94"/>
      <c r="D273" s="94"/>
      <c r="E273" s="94"/>
      <c r="F273" s="94"/>
      <c r="G273" s="94"/>
      <c r="H273" s="94"/>
    </row>
    <row r="274" spans="1:8" x14ac:dyDescent="0.3">
      <c r="A274" s="94" t="s">
        <v>127</v>
      </c>
      <c r="B274" s="94"/>
      <c r="C274" s="94"/>
      <c r="D274" s="94"/>
      <c r="E274" s="94"/>
      <c r="F274" s="94"/>
      <c r="G274" s="94"/>
      <c r="H274" s="94"/>
    </row>
    <row r="275" spans="1:8" ht="33.9" customHeight="1" x14ac:dyDescent="0.3">
      <c r="A275" s="100" t="s">
        <v>128</v>
      </c>
      <c r="B275" s="100"/>
      <c r="C275" s="100"/>
      <c r="D275" s="100"/>
      <c r="E275" s="100"/>
      <c r="F275" s="100"/>
      <c r="G275" s="100"/>
      <c r="H275" s="100"/>
    </row>
    <row r="276" spans="1:8" x14ac:dyDescent="0.3">
      <c r="A276" s="170" t="s">
        <v>75</v>
      </c>
      <c r="B276" s="170"/>
      <c r="C276" s="170" t="s">
        <v>312</v>
      </c>
      <c r="D276" s="170"/>
      <c r="E276" s="170" t="s">
        <v>105</v>
      </c>
      <c r="F276" s="170"/>
      <c r="G276" s="170" t="s">
        <v>316</v>
      </c>
      <c r="H276" s="170"/>
    </row>
    <row r="277" spans="1:8" x14ac:dyDescent="0.3">
      <c r="A277" s="169" t="s">
        <v>77</v>
      </c>
      <c r="B277" s="169"/>
      <c r="C277" s="169"/>
      <c r="D277" s="169"/>
      <c r="E277" s="169"/>
      <c r="F277" s="169"/>
      <c r="G277" s="169"/>
      <c r="H277" s="169"/>
    </row>
    <row r="278" spans="1:8" x14ac:dyDescent="0.3">
      <c r="A278" s="169"/>
      <c r="B278" s="169"/>
      <c r="C278" s="169"/>
      <c r="D278" s="169"/>
      <c r="E278" s="169"/>
      <c r="F278" s="169"/>
      <c r="G278" s="169"/>
      <c r="H278" s="169"/>
    </row>
    <row r="279" spans="1:8" x14ac:dyDescent="0.3">
      <c r="A279" s="169"/>
      <c r="B279" s="169"/>
      <c r="C279" s="169"/>
      <c r="D279" s="169"/>
      <c r="E279" s="169"/>
      <c r="F279" s="169"/>
      <c r="G279" s="169"/>
      <c r="H279" s="169"/>
    </row>
    <row r="280" spans="1:8" x14ac:dyDescent="0.3">
      <c r="A280" s="169"/>
      <c r="B280" s="169"/>
      <c r="C280" s="169"/>
      <c r="D280" s="169"/>
      <c r="E280" s="169"/>
      <c r="F280" s="169"/>
      <c r="G280" s="169"/>
      <c r="H280" s="169"/>
    </row>
    <row r="281" spans="1:8" x14ac:dyDescent="0.3">
      <c r="A281" s="38" t="s">
        <v>66</v>
      </c>
      <c r="B281" s="39"/>
      <c r="C281" s="39"/>
      <c r="D281" s="38" t="str">
        <f>E9</f>
        <v>Starliving</v>
      </c>
      <c r="F281" s="39"/>
      <c r="G281" s="39"/>
      <c r="H281" s="39"/>
    </row>
    <row r="282" spans="1:8" x14ac:dyDescent="0.3">
      <c r="A282" s="39"/>
      <c r="B282" s="39"/>
      <c r="C282" s="39"/>
      <c r="D282" s="39"/>
      <c r="E282" s="39"/>
      <c r="F282" s="39"/>
      <c r="G282" s="39"/>
      <c r="H282" s="39"/>
    </row>
    <row r="283" spans="1:8" x14ac:dyDescent="0.3">
      <c r="A283" s="39"/>
      <c r="B283" s="39"/>
      <c r="C283" s="39"/>
      <c r="D283" s="39"/>
      <c r="E283" s="39"/>
      <c r="F283" s="39"/>
      <c r="G283" s="39"/>
      <c r="H283" s="39"/>
    </row>
    <row r="284" spans="1:8" ht="15" customHeight="1" x14ac:dyDescent="0.3"/>
    <row r="319" spans="1:1" x14ac:dyDescent="0.3">
      <c r="A319" s="41" t="s">
        <v>169</v>
      </c>
    </row>
    <row r="361" spans="1:1" x14ac:dyDescent="0.3">
      <c r="A361" s="41" t="s">
        <v>67</v>
      </c>
    </row>
    <row r="402" ht="16.2" customHeight="1" x14ac:dyDescent="0.3"/>
  </sheetData>
  <dataConsolidate/>
  <mergeCells count="529">
    <mergeCell ref="B264:H264"/>
    <mergeCell ref="J83:N83"/>
    <mergeCell ref="J84:N84"/>
    <mergeCell ref="I16:P16"/>
    <mergeCell ref="G244:H244"/>
    <mergeCell ref="F93:H93"/>
    <mergeCell ref="F91:H91"/>
    <mergeCell ref="A238:B238"/>
    <mergeCell ref="A110:H110"/>
    <mergeCell ref="G97:H97"/>
    <mergeCell ref="A92:E92"/>
    <mergeCell ref="A55:B55"/>
    <mergeCell ref="C55:E55"/>
    <mergeCell ref="D57:H57"/>
    <mergeCell ref="F92:H92"/>
    <mergeCell ref="E97:F97"/>
    <mergeCell ref="A97:B97"/>
    <mergeCell ref="C101:D101"/>
    <mergeCell ref="D65:H65"/>
    <mergeCell ref="A66:C66"/>
    <mergeCell ref="F36:H36"/>
    <mergeCell ref="A108:B108"/>
    <mergeCell ref="C108:D108"/>
    <mergeCell ref="E108:F108"/>
    <mergeCell ref="G108:H108"/>
    <mergeCell ref="E44:H44"/>
    <mergeCell ref="A44:D44"/>
    <mergeCell ref="A77:B77"/>
    <mergeCell ref="A51:B51"/>
    <mergeCell ref="C51:E51"/>
    <mergeCell ref="G51:H51"/>
    <mergeCell ref="G53:H53"/>
    <mergeCell ref="A52:B52"/>
    <mergeCell ref="A56:H56"/>
    <mergeCell ref="A57:C57"/>
    <mergeCell ref="A58:C58"/>
    <mergeCell ref="D58:H58"/>
    <mergeCell ref="G55:H55"/>
    <mergeCell ref="C53:E53"/>
    <mergeCell ref="A60:C60"/>
    <mergeCell ref="D60:H60"/>
    <mergeCell ref="C52:E52"/>
    <mergeCell ref="A274:H274"/>
    <mergeCell ref="A271:H271"/>
    <mergeCell ref="G246:H246"/>
    <mergeCell ref="A231:B231"/>
    <mergeCell ref="A101:B101"/>
    <mergeCell ref="D136:D137"/>
    <mergeCell ref="E136:E137"/>
    <mergeCell ref="G136:H137"/>
    <mergeCell ref="F83:H83"/>
    <mergeCell ref="G98:H98"/>
    <mergeCell ref="F90:H90"/>
    <mergeCell ref="C97:D97"/>
    <mergeCell ref="C103:D103"/>
    <mergeCell ref="A225:H225"/>
    <mergeCell ref="A240:B240"/>
    <mergeCell ref="A237:B237"/>
    <mergeCell ref="G229:H229"/>
    <mergeCell ref="G233:H233"/>
    <mergeCell ref="B268:H268"/>
    <mergeCell ref="A270:H270"/>
    <mergeCell ref="E101:F101"/>
    <mergeCell ref="B263:H263"/>
    <mergeCell ref="B261:H261"/>
    <mergeCell ref="B257:H257"/>
    <mergeCell ref="A251:B251"/>
    <mergeCell ref="G251:H251"/>
    <mergeCell ref="G250:H250"/>
    <mergeCell ref="A248:H248"/>
    <mergeCell ref="A249:B249"/>
    <mergeCell ref="A250:B250"/>
    <mergeCell ref="A253:B253"/>
    <mergeCell ref="G253:H253"/>
    <mergeCell ref="A252:B252"/>
    <mergeCell ref="A109:H109"/>
    <mergeCell ref="G252:H252"/>
    <mergeCell ref="B255:H255"/>
    <mergeCell ref="B256:H256"/>
    <mergeCell ref="A243:B243"/>
    <mergeCell ref="A136:A137"/>
    <mergeCell ref="F82:H82"/>
    <mergeCell ref="F87:H87"/>
    <mergeCell ref="A226:B226"/>
    <mergeCell ref="A88:E88"/>
    <mergeCell ref="F88:H88"/>
    <mergeCell ref="A89:E89"/>
    <mergeCell ref="A91:E91"/>
    <mergeCell ref="F85:H85"/>
    <mergeCell ref="A90:E90"/>
    <mergeCell ref="A135:H135"/>
    <mergeCell ref="G241:H241"/>
    <mergeCell ref="G240:H240"/>
    <mergeCell ref="A154:B154"/>
    <mergeCell ref="A157:B157"/>
    <mergeCell ref="G157:H164"/>
    <mergeCell ref="A162:B162"/>
    <mergeCell ref="C162:F162"/>
    <mergeCell ref="A168:B168"/>
    <mergeCell ref="A277:H280"/>
    <mergeCell ref="A276:B276"/>
    <mergeCell ref="E276:F276"/>
    <mergeCell ref="C276:D276"/>
    <mergeCell ref="G276:H276"/>
    <mergeCell ref="A96:H96"/>
    <mergeCell ref="A94:E94"/>
    <mergeCell ref="F94:H94"/>
    <mergeCell ref="A95:E95"/>
    <mergeCell ref="F95:H95"/>
    <mergeCell ref="A230:H230"/>
    <mergeCell ref="A102:B102"/>
    <mergeCell ref="A239:B239"/>
    <mergeCell ref="A98:B98"/>
    <mergeCell ref="A272:H272"/>
    <mergeCell ref="A100:H100"/>
    <mergeCell ref="A275:H275"/>
    <mergeCell ref="A273:H273"/>
    <mergeCell ref="A269:H269"/>
    <mergeCell ref="G101:H101"/>
    <mergeCell ref="G243:H243"/>
    <mergeCell ref="A241:B241"/>
    <mergeCell ref="C111:C112"/>
    <mergeCell ref="B136:B137"/>
    <mergeCell ref="A1:H1"/>
    <mergeCell ref="A2:H2"/>
    <mergeCell ref="A3:D3"/>
    <mergeCell ref="E3:H3"/>
    <mergeCell ref="A4:D4"/>
    <mergeCell ref="A8:D8"/>
    <mergeCell ref="E8:H8"/>
    <mergeCell ref="A11:D11"/>
    <mergeCell ref="E11:H11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A10:D10"/>
    <mergeCell ref="E10:H10"/>
    <mergeCell ref="E15:H15"/>
    <mergeCell ref="A16:D16"/>
    <mergeCell ref="A12:D12"/>
    <mergeCell ref="E12:H12"/>
    <mergeCell ref="A24:D25"/>
    <mergeCell ref="E24:H25"/>
    <mergeCell ref="E16:H16"/>
    <mergeCell ref="A17:B17"/>
    <mergeCell ref="C17:H17"/>
    <mergeCell ref="C18:H18"/>
    <mergeCell ref="A19:B19"/>
    <mergeCell ref="C19:H19"/>
    <mergeCell ref="A14:D14"/>
    <mergeCell ref="E14:H14"/>
    <mergeCell ref="A13:D13"/>
    <mergeCell ref="E13:H13"/>
    <mergeCell ref="A18:B18"/>
    <mergeCell ref="A15:D15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E28:H28"/>
    <mergeCell ref="A30:D30"/>
    <mergeCell ref="E30:H30"/>
    <mergeCell ref="A27:D27"/>
    <mergeCell ref="E27:H27"/>
    <mergeCell ref="A26:D26"/>
    <mergeCell ref="E26:H26"/>
    <mergeCell ref="A31:D31"/>
    <mergeCell ref="E31:H31"/>
    <mergeCell ref="A28:D28"/>
    <mergeCell ref="A37:B37"/>
    <mergeCell ref="C37:E37"/>
    <mergeCell ref="A32:D32"/>
    <mergeCell ref="E32:H32"/>
    <mergeCell ref="A33:D33"/>
    <mergeCell ref="E33:H33"/>
    <mergeCell ref="A29:D29"/>
    <mergeCell ref="E29:H29"/>
    <mergeCell ref="C34:E34"/>
    <mergeCell ref="F37:H37"/>
    <mergeCell ref="F34:H34"/>
    <mergeCell ref="A35:B35"/>
    <mergeCell ref="A34:B34"/>
    <mergeCell ref="C35:E35"/>
    <mergeCell ref="A36:B36"/>
    <mergeCell ref="C36:E36"/>
    <mergeCell ref="F35:H35"/>
    <mergeCell ref="A39:H39"/>
    <mergeCell ref="A38:B38"/>
    <mergeCell ref="C38:E38"/>
    <mergeCell ref="A43:D43"/>
    <mergeCell ref="A42:H42"/>
    <mergeCell ref="A61:C61"/>
    <mergeCell ref="A62:C62"/>
    <mergeCell ref="D61:H61"/>
    <mergeCell ref="E72:F81"/>
    <mergeCell ref="G72:H81"/>
    <mergeCell ref="A80:B80"/>
    <mergeCell ref="A81:B81"/>
    <mergeCell ref="D62:H62"/>
    <mergeCell ref="A45:D45"/>
    <mergeCell ref="E45:H45"/>
    <mergeCell ref="E46:H46"/>
    <mergeCell ref="E47:H47"/>
    <mergeCell ref="E48:H48"/>
    <mergeCell ref="A46:D46"/>
    <mergeCell ref="F38:H38"/>
    <mergeCell ref="A48:D48"/>
    <mergeCell ref="A49:H49"/>
    <mergeCell ref="D59:H59"/>
    <mergeCell ref="A59:C59"/>
    <mergeCell ref="A40:B40"/>
    <mergeCell ref="C40:H40"/>
    <mergeCell ref="A47:D47"/>
    <mergeCell ref="L119:M119"/>
    <mergeCell ref="L118:M118"/>
    <mergeCell ref="L117:M117"/>
    <mergeCell ref="L116:M116"/>
    <mergeCell ref="A79:B79"/>
    <mergeCell ref="C102:D102"/>
    <mergeCell ref="E102:F102"/>
    <mergeCell ref="G102:H102"/>
    <mergeCell ref="F89:H89"/>
    <mergeCell ref="A83:E83"/>
    <mergeCell ref="A115:H115"/>
    <mergeCell ref="E111:E112"/>
    <mergeCell ref="G111:H112"/>
    <mergeCell ref="G52:H52"/>
    <mergeCell ref="A53:B54"/>
    <mergeCell ref="A78:B78"/>
    <mergeCell ref="A71:B71"/>
    <mergeCell ref="A74:B74"/>
    <mergeCell ref="A70:B70"/>
    <mergeCell ref="A68:B68"/>
    <mergeCell ref="C68:H68"/>
    <mergeCell ref="L230:M230"/>
    <mergeCell ref="A235:B235"/>
    <mergeCell ref="A232:B232"/>
    <mergeCell ref="A233:B233"/>
    <mergeCell ref="A93:E93"/>
    <mergeCell ref="G103:H103"/>
    <mergeCell ref="A99:B99"/>
    <mergeCell ref="C99:D99"/>
    <mergeCell ref="E99:F99"/>
    <mergeCell ref="G99:H99"/>
    <mergeCell ref="C98:D98"/>
    <mergeCell ref="E98:F98"/>
    <mergeCell ref="G232:H232"/>
    <mergeCell ref="B111:B112"/>
    <mergeCell ref="A111:A112"/>
    <mergeCell ref="C136:C137"/>
    <mergeCell ref="L229:M229"/>
    <mergeCell ref="G226:H226"/>
    <mergeCell ref="L226:M226"/>
    <mergeCell ref="A227:B227"/>
    <mergeCell ref="G227:H227"/>
    <mergeCell ref="A153:B153"/>
    <mergeCell ref="L153:M153"/>
    <mergeCell ref="A142:B142"/>
    <mergeCell ref="A41:B41"/>
    <mergeCell ref="C41:H41"/>
    <mergeCell ref="B262:H262"/>
    <mergeCell ref="A50:B50"/>
    <mergeCell ref="C50:H50"/>
    <mergeCell ref="B260:H260"/>
    <mergeCell ref="F84:H84"/>
    <mergeCell ref="A84:E84"/>
    <mergeCell ref="G238:H238"/>
    <mergeCell ref="G234:H234"/>
    <mergeCell ref="G231:H231"/>
    <mergeCell ref="D111:D112"/>
    <mergeCell ref="A86:E86"/>
    <mergeCell ref="A105:B105"/>
    <mergeCell ref="A106:B106"/>
    <mergeCell ref="A85:E85"/>
    <mergeCell ref="A82:E82"/>
    <mergeCell ref="F86:H86"/>
    <mergeCell ref="A228:B228"/>
    <mergeCell ref="G228:H228"/>
    <mergeCell ref="B258:H258"/>
    <mergeCell ref="B259:H259"/>
    <mergeCell ref="G249:H249"/>
    <mergeCell ref="G247:H247"/>
    <mergeCell ref="E43:I43"/>
    <mergeCell ref="C54:H54"/>
    <mergeCell ref="A113:H113"/>
    <mergeCell ref="A114:H114"/>
    <mergeCell ref="L120:M120"/>
    <mergeCell ref="L121:M121"/>
    <mergeCell ref="A87:E87"/>
    <mergeCell ref="A103:B103"/>
    <mergeCell ref="E103:F103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6:H66"/>
    <mergeCell ref="A72:B72"/>
    <mergeCell ref="G71:H71"/>
    <mergeCell ref="B266:H266"/>
    <mergeCell ref="B265:H265"/>
    <mergeCell ref="B267:H267"/>
    <mergeCell ref="L129:M129"/>
    <mergeCell ref="L130:M130"/>
    <mergeCell ref="L131:M131"/>
    <mergeCell ref="L132:M132"/>
    <mergeCell ref="L133:M133"/>
    <mergeCell ref="L134:M134"/>
    <mergeCell ref="L227:M227"/>
    <mergeCell ref="L228:M228"/>
    <mergeCell ref="A254:H254"/>
    <mergeCell ref="A246:B246"/>
    <mergeCell ref="A247:B247"/>
    <mergeCell ref="G245:H245"/>
    <mergeCell ref="A242:H242"/>
    <mergeCell ref="A236:H236"/>
    <mergeCell ref="A229:B229"/>
    <mergeCell ref="G239:H239"/>
    <mergeCell ref="G237:H237"/>
    <mergeCell ref="A244:B244"/>
    <mergeCell ref="A245:B245"/>
    <mergeCell ref="A234:B234"/>
    <mergeCell ref="G235:H235"/>
    <mergeCell ref="A143:B143"/>
    <mergeCell ref="L143:M143"/>
    <mergeCell ref="A144:B144"/>
    <mergeCell ref="L144:M144"/>
    <mergeCell ref="G116:H134"/>
    <mergeCell ref="A138:H138"/>
    <mergeCell ref="A139:H139"/>
    <mergeCell ref="A140:H140"/>
    <mergeCell ref="A141:B141"/>
    <mergeCell ref="L141:M141"/>
    <mergeCell ref="L126:M126"/>
    <mergeCell ref="L127:M127"/>
    <mergeCell ref="L128:M128"/>
    <mergeCell ref="L122:M122"/>
    <mergeCell ref="L123:M123"/>
    <mergeCell ref="L124:M124"/>
    <mergeCell ref="L125:M125"/>
    <mergeCell ref="L154:M154"/>
    <mergeCell ref="A155:B155"/>
    <mergeCell ref="L155:M155"/>
    <mergeCell ref="G148:H155"/>
    <mergeCell ref="C152:F152"/>
    <mergeCell ref="C153:F153"/>
    <mergeCell ref="A156:H156"/>
    <mergeCell ref="A145:B145"/>
    <mergeCell ref="L145:M145"/>
    <mergeCell ref="A146:B146"/>
    <mergeCell ref="L146:M146"/>
    <mergeCell ref="G141:H146"/>
    <mergeCell ref="A147:H147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42:M142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L171:M171"/>
    <mergeCell ref="L162:M162"/>
    <mergeCell ref="A163:B163"/>
    <mergeCell ref="L163:M163"/>
    <mergeCell ref="A164:B164"/>
    <mergeCell ref="L164:M164"/>
    <mergeCell ref="A165:H165"/>
    <mergeCell ref="A166:B166"/>
    <mergeCell ref="L166:M166"/>
    <mergeCell ref="A167:B167"/>
    <mergeCell ref="L167:M167"/>
    <mergeCell ref="L185:M185"/>
    <mergeCell ref="L168:M168"/>
    <mergeCell ref="A169:B169"/>
    <mergeCell ref="L169:M169"/>
    <mergeCell ref="A172:B172"/>
    <mergeCell ref="L172:M172"/>
    <mergeCell ref="G166:H172"/>
    <mergeCell ref="A173:H173"/>
    <mergeCell ref="A174:B174"/>
    <mergeCell ref="G174:H179"/>
    <mergeCell ref="L174:M174"/>
    <mergeCell ref="A175:B175"/>
    <mergeCell ref="L175:M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70:B170"/>
    <mergeCell ref="L170:M170"/>
    <mergeCell ref="A171:B171"/>
    <mergeCell ref="L191:M191"/>
    <mergeCell ref="A192:B192"/>
    <mergeCell ref="L192:M192"/>
    <mergeCell ref="A193:B193"/>
    <mergeCell ref="L193:M193"/>
    <mergeCell ref="A194:B194"/>
    <mergeCell ref="L194:M194"/>
    <mergeCell ref="A180:H180"/>
    <mergeCell ref="A181:B181"/>
    <mergeCell ref="G181:H187"/>
    <mergeCell ref="L181:M181"/>
    <mergeCell ref="A182:B182"/>
    <mergeCell ref="L182:M182"/>
    <mergeCell ref="A183:B183"/>
    <mergeCell ref="L183:M183"/>
    <mergeCell ref="A184:B184"/>
    <mergeCell ref="L184:M184"/>
    <mergeCell ref="A186:B186"/>
    <mergeCell ref="L186:M186"/>
    <mergeCell ref="A187:B187"/>
    <mergeCell ref="L187:M187"/>
    <mergeCell ref="C184:F184"/>
    <mergeCell ref="A185:B185"/>
    <mergeCell ref="C185:F185"/>
    <mergeCell ref="A210:B210"/>
    <mergeCell ref="L210:M210"/>
    <mergeCell ref="L212:M212"/>
    <mergeCell ref="A213:B213"/>
    <mergeCell ref="L213:M213"/>
    <mergeCell ref="A214:B214"/>
    <mergeCell ref="L214:M214"/>
    <mergeCell ref="A197:B197"/>
    <mergeCell ref="G197:H202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206:B206"/>
    <mergeCell ref="L206:M206"/>
    <mergeCell ref="A207:B207"/>
    <mergeCell ref="C207:F207"/>
    <mergeCell ref="L207:M207"/>
    <mergeCell ref="A208:B208"/>
    <mergeCell ref="C208:F208"/>
    <mergeCell ref="L208:M208"/>
    <mergeCell ref="A209:B209"/>
    <mergeCell ref="L209:M209"/>
    <mergeCell ref="A104:H104"/>
    <mergeCell ref="C105:D105"/>
    <mergeCell ref="E105:F105"/>
    <mergeCell ref="G105:H105"/>
    <mergeCell ref="C106:D106"/>
    <mergeCell ref="E106:F106"/>
    <mergeCell ref="G106:H106"/>
    <mergeCell ref="A107:B107"/>
    <mergeCell ref="C107:D107"/>
    <mergeCell ref="E107:F107"/>
    <mergeCell ref="G107:H107"/>
    <mergeCell ref="A188:H188"/>
    <mergeCell ref="A189:B189"/>
    <mergeCell ref="G189:H194"/>
    <mergeCell ref="L189:M189"/>
    <mergeCell ref="A190:B190"/>
    <mergeCell ref="L190:M190"/>
    <mergeCell ref="A191:B191"/>
    <mergeCell ref="G212:H217"/>
    <mergeCell ref="A217:B217"/>
    <mergeCell ref="A195:H195"/>
    <mergeCell ref="A196:H196"/>
    <mergeCell ref="A215:B215"/>
    <mergeCell ref="L215:M215"/>
    <mergeCell ref="A216:B216"/>
    <mergeCell ref="L216:M216"/>
    <mergeCell ref="A224:H224"/>
    <mergeCell ref="A223:H223"/>
    <mergeCell ref="A218:H218"/>
    <mergeCell ref="A219:H219"/>
    <mergeCell ref="A220:H220"/>
    <mergeCell ref="A221:H221"/>
    <mergeCell ref="A222:H222"/>
    <mergeCell ref="A211:H211"/>
    <mergeCell ref="A212:B212"/>
    <mergeCell ref="L217:M217"/>
    <mergeCell ref="A203:H203"/>
    <mergeCell ref="A204:B204"/>
    <mergeCell ref="G204:H210"/>
    <mergeCell ref="L204:M204"/>
    <mergeCell ref="A205:B205"/>
    <mergeCell ref="L205:M205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8:B18" xr:uid="{00000000-0002-0000-0000-000001000000}">
      <formula1>"CTS No,Survey No,Plot No,Gut No,FP No,Tikka No"</formula1>
    </dataValidation>
    <dataValidation type="list" allowBlank="1" showInputMessage="1" showErrorMessage="1" sqref="G21:H21" xr:uid="{00000000-0002-0000-0000-000002000000}">
      <formula1>$S$14:$W$14</formula1>
    </dataValidation>
    <dataValidation type="list" allowBlank="1" showInputMessage="1" showErrorMessage="1" sqref="E111:E112" xr:uid="{00000000-0002-0000-0000-000003000000}">
      <formula1>"Attached Loft area,Attached Terrace area,Attached Mezzanine area"</formula1>
    </dataValidation>
    <dataValidation type="list" allowBlank="1" showInputMessage="1" showErrorMessage="1" sqref="F112 F137" xr:uid="{00000000-0002-0000-0000-000004000000}">
      <formula1>"45%,50%,55%,60%"</formula1>
    </dataValidation>
    <dataValidation type="list" allowBlank="1" showInputMessage="1" showErrorMessage="1" sqref="F82:H82" xr:uid="{00000000-0002-0000-0000-000006000000}">
      <formula1>"On Saleable Area,On Builtup Area,On Carpet Area,On Plot Area"</formula1>
    </dataValidation>
    <dataValidation type="list" allowBlank="1" showInputMessage="1" showErrorMessage="1" sqref="F94:H94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11 F136" xr:uid="{00000000-0002-0000-0000-000008000000}">
      <formula1>"Saleable area Loading :,Builder Saleable area"</formula1>
    </dataValidation>
    <dataValidation type="list" allowBlank="1" showInputMessage="1" showErrorMessage="1" sqref="B111:B112" xr:uid="{00000000-0002-0000-0000-000009000000}">
      <formula1>"Shop No. (Sale Plan),Sale / Rehab,Sale / Mhada"</formula1>
    </dataValidation>
    <dataValidation type="list" allowBlank="1" showInputMessage="1" showErrorMessage="1" sqref="B136:B137" xr:uid="{00000000-0002-0000-0000-00000A000000}">
      <formula1>"Flat No. (Sale Plan),Sale / Rehab,Sale / Mhada"</formula1>
    </dataValidation>
    <dataValidation type="list" allowBlank="1" showInputMessage="1" showErrorMessage="1" sqref="C22:D22" xr:uid="{00000000-0002-0000-0000-00000B000000}">
      <formula1>OFFSET($S$14,1,MATCH($G21,$S$14:$W$14,0)-1,15,1)</formula1>
    </dataValidation>
    <dataValidation type="list" allowBlank="1" showInputMessage="1" showErrorMessage="1" sqref="Y14" xr:uid="{00000000-0002-0000-0000-00000C000000}">
      <formula1>$D$4:$H$4</formula1>
    </dataValidation>
  </dataValidations>
  <hyperlinks>
    <hyperlink ref="C41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7" man="1"/>
    <brk id="108" max="7" man="1"/>
    <brk id="280" max="16383" man="1"/>
    <brk id="318" max="16383" man="1"/>
    <brk id="36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5" t="s">
        <v>106</v>
      </c>
      <c r="C3" s="195"/>
      <c r="D3" s="195"/>
      <c r="E3" s="195"/>
      <c r="F3" s="195"/>
      <c r="G3" s="195"/>
      <c r="H3" s="195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3"/>
      <c r="C4" s="53" t="s">
        <v>12</v>
      </c>
      <c r="D4" s="54" t="s">
        <v>181</v>
      </c>
      <c r="E4" s="54" t="s">
        <v>191</v>
      </c>
      <c r="F4" s="54" t="s">
        <v>176</v>
      </c>
      <c r="G4" s="54" t="s">
        <v>196</v>
      </c>
      <c r="H4" s="54" t="s">
        <v>214</v>
      </c>
      <c r="J4" t="s">
        <v>196</v>
      </c>
      <c r="K4" t="s">
        <v>212</v>
      </c>
    </row>
    <row r="5" spans="2:11" x14ac:dyDescent="0.3">
      <c r="B5" s="53"/>
      <c r="C5" s="53"/>
      <c r="D5" s="54" t="s">
        <v>182</v>
      </c>
      <c r="E5" s="54" t="s">
        <v>189</v>
      </c>
      <c r="F5" s="54" t="s">
        <v>211</v>
      </c>
      <c r="G5" s="54" t="s">
        <v>197</v>
      </c>
      <c r="H5" s="54" t="s">
        <v>215</v>
      </c>
    </row>
    <row r="6" spans="2:11" x14ac:dyDescent="0.3">
      <c r="B6" s="53"/>
      <c r="C6" s="53"/>
      <c r="D6" s="54" t="s">
        <v>183</v>
      </c>
      <c r="E6" s="54" t="s">
        <v>190</v>
      </c>
      <c r="F6" s="54" t="s">
        <v>212</v>
      </c>
      <c r="G6" s="54" t="s">
        <v>198</v>
      </c>
      <c r="H6" s="54" t="s">
        <v>228</v>
      </c>
    </row>
    <row r="7" spans="2:11" x14ac:dyDescent="0.3">
      <c r="B7" s="53"/>
      <c r="C7" s="53"/>
      <c r="D7" s="54" t="s">
        <v>184</v>
      </c>
      <c r="E7" s="54" t="s">
        <v>192</v>
      </c>
      <c r="F7" s="54" t="s">
        <v>213</v>
      </c>
      <c r="G7" s="54" t="s">
        <v>199</v>
      </c>
      <c r="H7" s="54" t="s">
        <v>216</v>
      </c>
    </row>
    <row r="8" spans="2:11" x14ac:dyDescent="0.3">
      <c r="B8" s="53"/>
      <c r="C8" s="53"/>
      <c r="D8" s="54" t="s">
        <v>185</v>
      </c>
      <c r="E8" s="54" t="s">
        <v>193</v>
      </c>
      <c r="F8" s="54"/>
      <c r="G8" s="54" t="s">
        <v>200</v>
      </c>
      <c r="H8" s="54" t="s">
        <v>217</v>
      </c>
    </row>
    <row r="9" spans="2:11" x14ac:dyDescent="0.3">
      <c r="B9" s="53"/>
      <c r="C9" s="53"/>
      <c r="D9" s="54" t="s">
        <v>186</v>
      </c>
      <c r="E9" s="54" t="s">
        <v>191</v>
      </c>
      <c r="F9" s="54"/>
      <c r="G9" s="54" t="s">
        <v>201</v>
      </c>
      <c r="H9" s="54" t="s">
        <v>218</v>
      </c>
    </row>
    <row r="10" spans="2:11" x14ac:dyDescent="0.3">
      <c r="B10" s="53"/>
      <c r="C10" s="53"/>
      <c r="D10" s="54" t="s">
        <v>187</v>
      </c>
      <c r="E10" s="54" t="s">
        <v>194</v>
      </c>
      <c r="F10" s="54"/>
      <c r="G10" s="54" t="s">
        <v>202</v>
      </c>
      <c r="H10" s="54" t="s">
        <v>219</v>
      </c>
    </row>
    <row r="11" spans="2:11" x14ac:dyDescent="0.3">
      <c r="B11" s="53"/>
      <c r="C11" s="53"/>
      <c r="D11" s="54" t="s">
        <v>188</v>
      </c>
      <c r="E11" s="54" t="s">
        <v>195</v>
      </c>
      <c r="F11" s="54"/>
      <c r="G11" s="54" t="s">
        <v>203</v>
      </c>
      <c r="H11" s="54" t="s">
        <v>220</v>
      </c>
    </row>
    <row r="12" spans="2:11" x14ac:dyDescent="0.3">
      <c r="B12" s="53"/>
      <c r="C12" s="53"/>
      <c r="D12" s="54"/>
      <c r="E12" s="54"/>
      <c r="F12" s="54"/>
      <c r="G12" s="54" t="s">
        <v>204</v>
      </c>
      <c r="H12" s="54" t="s">
        <v>221</v>
      </c>
    </row>
    <row r="13" spans="2:11" x14ac:dyDescent="0.3">
      <c r="B13" s="53"/>
      <c r="C13" s="53"/>
      <c r="D13" s="54"/>
      <c r="E13" s="54"/>
      <c r="F13" s="54"/>
      <c r="G13" s="54" t="s">
        <v>205</v>
      </c>
      <c r="H13" s="54" t="s">
        <v>222</v>
      </c>
    </row>
    <row r="14" spans="2:11" x14ac:dyDescent="0.3">
      <c r="B14" s="53"/>
      <c r="C14" s="53"/>
      <c r="D14" s="54"/>
      <c r="E14" s="54"/>
      <c r="F14" s="54"/>
      <c r="G14" s="54" t="s">
        <v>206</v>
      </c>
      <c r="H14" s="54" t="s">
        <v>223</v>
      </c>
    </row>
    <row r="15" spans="2:11" x14ac:dyDescent="0.3">
      <c r="B15" s="53"/>
      <c r="C15" s="53"/>
      <c r="D15" s="54"/>
      <c r="E15" s="54"/>
      <c r="F15" s="54"/>
      <c r="G15" s="54" t="s">
        <v>207</v>
      </c>
      <c r="H15" s="54" t="s">
        <v>224</v>
      </c>
    </row>
    <row r="16" spans="2:11" x14ac:dyDescent="0.3">
      <c r="B16" s="53"/>
      <c r="C16" s="53"/>
      <c r="D16" s="54"/>
      <c r="E16" s="54"/>
      <c r="F16" s="54"/>
      <c r="G16" s="54" t="s">
        <v>208</v>
      </c>
      <c r="H16" s="54" t="s">
        <v>225</v>
      </c>
    </row>
    <row r="17" spans="2:8" x14ac:dyDescent="0.3">
      <c r="B17" s="53"/>
      <c r="C17" s="53"/>
      <c r="D17" s="54"/>
      <c r="E17" s="54"/>
      <c r="F17" s="54"/>
      <c r="G17" s="54" t="s">
        <v>209</v>
      </c>
      <c r="H17" s="54" t="s">
        <v>226</v>
      </c>
    </row>
    <row r="18" spans="2:8" x14ac:dyDescent="0.3">
      <c r="B18" s="53"/>
      <c r="C18" s="53"/>
      <c r="D18" s="54"/>
      <c r="E18" s="54"/>
      <c r="F18" s="54"/>
      <c r="G18" s="54" t="s">
        <v>210</v>
      </c>
      <c r="H18" s="54" t="s">
        <v>227</v>
      </c>
    </row>
    <row r="24" spans="2:8" x14ac:dyDescent="0.3">
      <c r="C24" t="s">
        <v>174</v>
      </c>
    </row>
    <row r="25" spans="2:8" x14ac:dyDescent="0.3">
      <c r="C25" t="s">
        <v>229</v>
      </c>
    </row>
    <row r="26" spans="2:8" x14ac:dyDescent="0.3">
      <c r="C26" t="s">
        <v>230</v>
      </c>
    </row>
    <row r="27" spans="2:8" x14ac:dyDescent="0.3">
      <c r="C27" t="s">
        <v>231</v>
      </c>
    </row>
    <row r="28" spans="2:8" x14ac:dyDescent="0.3">
      <c r="C28" t="s">
        <v>232</v>
      </c>
    </row>
    <row r="29" spans="2:8" x14ac:dyDescent="0.3">
      <c r="C29" t="s">
        <v>233</v>
      </c>
    </row>
    <row r="30" spans="2:8" x14ac:dyDescent="0.3">
      <c r="C30" t="s">
        <v>174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2025-09-09T07:30:10Z</cp:lastPrinted>
  <dcterms:created xsi:type="dcterms:W3CDTF">2019-07-16T09:29:46Z</dcterms:created>
  <dcterms:modified xsi:type="dcterms:W3CDTF">2025-09-09T07:31:29Z</dcterms:modified>
</cp:coreProperties>
</file>