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K:\VSJ Work\Sept 25\Dump\"/>
    </mc:Choice>
  </mc:AlternateContent>
  <xr:revisionPtr revIDLastSave="0" documentId="13_ncr:1_{EA31F4C7-0561-4FBD-8637-FBC7BF36B9DB}"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Report!$A$1:$H$467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9" i="1" l="1"/>
  <c r="D249" i="1"/>
  <c r="E248" i="1"/>
  <c r="D248" i="1"/>
  <c r="E247" i="1"/>
  <c r="D247" i="1"/>
  <c r="E246" i="1"/>
  <c r="D246" i="1"/>
  <c r="E245" i="1"/>
  <c r="D245" i="1"/>
  <c r="E244" i="1"/>
  <c r="D244" i="1"/>
  <c r="E243" i="1"/>
  <c r="D243" i="1"/>
  <c r="E242" i="1"/>
  <c r="D242" i="1"/>
  <c r="E241" i="1"/>
  <c r="D241" i="1"/>
  <c r="E240" i="1"/>
  <c r="D240" i="1"/>
  <c r="F240" i="1" s="1"/>
  <c r="H240" i="1" s="1"/>
  <c r="E239" i="1"/>
  <c r="D239" i="1"/>
  <c r="F239" i="1" s="1"/>
  <c r="H239" i="1" s="1"/>
  <c r="I238" i="1"/>
  <c r="E238" i="1"/>
  <c r="D238" i="1"/>
  <c r="F247" i="1" l="1"/>
  <c r="H247" i="1" s="1"/>
  <c r="F238" i="1"/>
  <c r="H238" i="1" s="1"/>
  <c r="K238" i="1" s="1"/>
  <c r="F241" i="1"/>
  <c r="H241" i="1" s="1"/>
  <c r="L241" i="1" s="1"/>
  <c r="F244" i="1"/>
  <c r="H244" i="1" s="1"/>
  <c r="F245" i="1"/>
  <c r="H245" i="1" s="1"/>
  <c r="F248" i="1"/>
  <c r="H248" i="1" s="1"/>
  <c r="F243" i="1"/>
  <c r="F249" i="1"/>
  <c r="H249" i="1" s="1"/>
  <c r="F242" i="1"/>
  <c r="H242" i="1" s="1"/>
  <c r="L242" i="1" s="1"/>
  <c r="F246" i="1"/>
  <c r="H246" i="1" s="1"/>
  <c r="E288" i="1"/>
  <c r="E287" i="1"/>
  <c r="E286" i="1"/>
  <c r="E285" i="1"/>
  <c r="E284" i="1"/>
  <c r="E283" i="1"/>
  <c r="E282" i="1"/>
  <c r="E281" i="1"/>
  <c r="E274" i="1"/>
  <c r="E275" i="1"/>
  <c r="D274" i="1"/>
  <c r="D275" i="1"/>
  <c r="E277" i="1"/>
  <c r="E276" i="1"/>
  <c r="E273" i="1"/>
  <c r="E272" i="1"/>
  <c r="E271" i="1"/>
  <c r="E270" i="1"/>
  <c r="E269" i="1"/>
  <c r="E268" i="1"/>
  <c r="E267" i="1"/>
  <c r="E266" i="1"/>
  <c r="E263" i="1"/>
  <c r="E262" i="1"/>
  <c r="E261" i="1"/>
  <c r="E260" i="1"/>
  <c r="E259" i="1"/>
  <c r="E258" i="1"/>
  <c r="E257" i="1"/>
  <c r="E256" i="1"/>
  <c r="E253" i="1"/>
  <c r="E254" i="1"/>
  <c r="E255" i="1"/>
  <c r="E252" i="1"/>
  <c r="E236" i="1"/>
  <c r="E235" i="1"/>
  <c r="E234" i="1"/>
  <c r="E233" i="1"/>
  <c r="E232" i="1"/>
  <c r="E231" i="1"/>
  <c r="E230" i="1"/>
  <c r="E229" i="1"/>
  <c r="E228" i="1"/>
  <c r="E227" i="1"/>
  <c r="E226" i="1"/>
  <c r="E225" i="1"/>
  <c r="L238" i="1" l="1"/>
  <c r="D288" i="1"/>
  <c r="D287" i="1"/>
  <c r="F287" i="1" s="1"/>
  <c r="H287" i="1" s="1"/>
  <c r="D286" i="1"/>
  <c r="D285" i="1"/>
  <c r="F285" i="1" s="1"/>
  <c r="H285" i="1" s="1"/>
  <c r="D284" i="1"/>
  <c r="D283" i="1"/>
  <c r="F283" i="1" s="1"/>
  <c r="H283" i="1" s="1"/>
  <c r="D282" i="1"/>
  <c r="F282" i="1" s="1"/>
  <c r="H282" i="1" s="1"/>
  <c r="D281" i="1"/>
  <c r="D277" i="1"/>
  <c r="D276" i="1"/>
  <c r="F276" i="1" s="1"/>
  <c r="H276" i="1" s="1"/>
  <c r="D273" i="1"/>
  <c r="D272" i="1"/>
  <c r="F272" i="1" s="1"/>
  <c r="H272" i="1" s="1"/>
  <c r="D271" i="1"/>
  <c r="D270" i="1"/>
  <c r="D269" i="1"/>
  <c r="D268" i="1"/>
  <c r="F268" i="1" s="1"/>
  <c r="H268" i="1" s="1"/>
  <c r="D267" i="1"/>
  <c r="F267" i="1" s="1"/>
  <c r="H267" i="1" s="1"/>
  <c r="D266" i="1"/>
  <c r="D263" i="1"/>
  <c r="D262" i="1"/>
  <c r="F262" i="1" s="1"/>
  <c r="H262" i="1" s="1"/>
  <c r="D261" i="1"/>
  <c r="F261" i="1" s="1"/>
  <c r="H261" i="1" s="1"/>
  <c r="D260" i="1"/>
  <c r="D259" i="1"/>
  <c r="D258" i="1"/>
  <c r="F258" i="1" s="1"/>
  <c r="H258" i="1" s="1"/>
  <c r="D257" i="1"/>
  <c r="F257" i="1" s="1"/>
  <c r="H257" i="1" s="1"/>
  <c r="J257" i="1" s="1"/>
  <c r="D256" i="1"/>
  <c r="D255" i="1"/>
  <c r="D254" i="1"/>
  <c r="F254" i="1" s="1"/>
  <c r="H254" i="1" s="1"/>
  <c r="D253" i="1"/>
  <c r="D252" i="1"/>
  <c r="D236" i="1"/>
  <c r="F236" i="1" s="1"/>
  <c r="H236" i="1" s="1"/>
  <c r="D235" i="1"/>
  <c r="F235" i="1" s="1"/>
  <c r="H235" i="1" s="1"/>
  <c r="D234" i="1"/>
  <c r="F234" i="1" s="1"/>
  <c r="H234" i="1" s="1"/>
  <c r="D233" i="1"/>
  <c r="F233" i="1" s="1"/>
  <c r="H233" i="1" s="1"/>
  <c r="D232" i="1"/>
  <c r="D231" i="1"/>
  <c r="F231" i="1" s="1"/>
  <c r="H231" i="1" s="1"/>
  <c r="D230" i="1"/>
  <c r="D229" i="1"/>
  <c r="D228" i="1"/>
  <c r="D227" i="1"/>
  <c r="F227" i="1" s="1"/>
  <c r="H227" i="1" s="1"/>
  <c r="D226" i="1"/>
  <c r="D225" i="1"/>
  <c r="D219" i="1"/>
  <c r="F219" i="1" s="1"/>
  <c r="H219" i="1" s="1"/>
  <c r="D218" i="1"/>
  <c r="F218" i="1" s="1"/>
  <c r="H218" i="1" s="1"/>
  <c r="D217" i="1"/>
  <c r="F217" i="1" s="1"/>
  <c r="H217" i="1" s="1"/>
  <c r="D216" i="1"/>
  <c r="F216" i="1" s="1"/>
  <c r="H216" i="1" s="1"/>
  <c r="D215" i="1"/>
  <c r="F215" i="1" s="1"/>
  <c r="H215" i="1" s="1"/>
  <c r="D214" i="1"/>
  <c r="F214" i="1" s="1"/>
  <c r="H214" i="1" s="1"/>
  <c r="D213" i="1"/>
  <c r="F213" i="1" s="1"/>
  <c r="H213" i="1" s="1"/>
  <c r="D212" i="1"/>
  <c r="F212" i="1" s="1"/>
  <c r="H212" i="1" s="1"/>
  <c r="D211" i="1"/>
  <c r="F211" i="1" s="1"/>
  <c r="H211" i="1" s="1"/>
  <c r="D210" i="1"/>
  <c r="F210" i="1" s="1"/>
  <c r="H210" i="1" s="1"/>
  <c r="D207" i="1"/>
  <c r="F207" i="1" s="1"/>
  <c r="H207" i="1" s="1"/>
  <c r="D206" i="1"/>
  <c r="F206" i="1" s="1"/>
  <c r="H206" i="1" s="1"/>
  <c r="D205" i="1"/>
  <c r="F205" i="1" s="1"/>
  <c r="H205" i="1" s="1"/>
  <c r="D204" i="1"/>
  <c r="F204" i="1" s="1"/>
  <c r="H204" i="1" s="1"/>
  <c r="D203" i="1"/>
  <c r="F203" i="1" s="1"/>
  <c r="H203" i="1" s="1"/>
  <c r="D202" i="1"/>
  <c r="F202" i="1" s="1"/>
  <c r="H202" i="1" s="1"/>
  <c r="D201" i="1"/>
  <c r="F201" i="1" s="1"/>
  <c r="H201" i="1" s="1"/>
  <c r="D200" i="1"/>
  <c r="F200" i="1" s="1"/>
  <c r="H200" i="1" s="1"/>
  <c r="D199" i="1"/>
  <c r="F199" i="1" s="1"/>
  <c r="H199" i="1" s="1"/>
  <c r="D198" i="1"/>
  <c r="F198" i="1" s="1"/>
  <c r="H198" i="1" s="1"/>
  <c r="D197" i="1"/>
  <c r="F197" i="1" s="1"/>
  <c r="H197" i="1" s="1"/>
  <c r="D196" i="1"/>
  <c r="F196" i="1" s="1"/>
  <c r="H196" i="1" s="1"/>
  <c r="D195" i="1"/>
  <c r="F195" i="1" s="1"/>
  <c r="H195" i="1" s="1"/>
  <c r="D194" i="1"/>
  <c r="F194" i="1" s="1"/>
  <c r="H194" i="1" s="1"/>
  <c r="D193" i="1"/>
  <c r="F193" i="1" s="1"/>
  <c r="H193" i="1" s="1"/>
  <c r="D192" i="1"/>
  <c r="F192" i="1" s="1"/>
  <c r="H192" i="1" s="1"/>
  <c r="D191" i="1"/>
  <c r="F191" i="1" s="1"/>
  <c r="H191" i="1" s="1"/>
  <c r="D190" i="1"/>
  <c r="F190" i="1" s="1"/>
  <c r="H190" i="1" s="1"/>
  <c r="D189" i="1"/>
  <c r="F189" i="1" s="1"/>
  <c r="H189" i="1" s="1"/>
  <c r="D188" i="1"/>
  <c r="F188" i="1" s="1"/>
  <c r="H188" i="1" s="1"/>
  <c r="D187" i="1"/>
  <c r="F187" i="1" s="1"/>
  <c r="H187" i="1" s="1"/>
  <c r="D186" i="1"/>
  <c r="F186" i="1" s="1"/>
  <c r="H186" i="1" s="1"/>
  <c r="D185" i="1"/>
  <c r="F185" i="1" s="1"/>
  <c r="H185" i="1" s="1"/>
  <c r="D184" i="1"/>
  <c r="F184" i="1" s="1"/>
  <c r="H184" i="1" s="1"/>
  <c r="D181" i="1"/>
  <c r="F181" i="1" s="1"/>
  <c r="H181" i="1" s="1"/>
  <c r="D180" i="1"/>
  <c r="F180" i="1" s="1"/>
  <c r="H180" i="1" s="1"/>
  <c r="D179" i="1"/>
  <c r="F179" i="1" s="1"/>
  <c r="H179" i="1" s="1"/>
  <c r="D178" i="1"/>
  <c r="F178" i="1" s="1"/>
  <c r="H178" i="1" s="1"/>
  <c r="D177" i="1"/>
  <c r="F177" i="1" s="1"/>
  <c r="H177" i="1" s="1"/>
  <c r="D176" i="1"/>
  <c r="F176" i="1" s="1"/>
  <c r="H176" i="1" s="1"/>
  <c r="D175" i="1"/>
  <c r="F175" i="1" s="1"/>
  <c r="H175" i="1" s="1"/>
  <c r="D174" i="1"/>
  <c r="F174" i="1" s="1"/>
  <c r="H174" i="1" s="1"/>
  <c r="D173" i="1"/>
  <c r="F173" i="1" s="1"/>
  <c r="H173" i="1" s="1"/>
  <c r="D172" i="1"/>
  <c r="F172" i="1" s="1"/>
  <c r="H172" i="1" s="1"/>
  <c r="D171" i="1"/>
  <c r="F171" i="1" s="1"/>
  <c r="H171" i="1" s="1"/>
  <c r="D170" i="1"/>
  <c r="F170" i="1" s="1"/>
  <c r="H170" i="1" s="1"/>
  <c r="D169" i="1"/>
  <c r="D168" i="1"/>
  <c r="D167" i="1"/>
  <c r="D166" i="1"/>
  <c r="A211" i="1"/>
  <c r="A212" i="1" s="1"/>
  <c r="A213" i="1" s="1"/>
  <c r="A214" i="1" s="1"/>
  <c r="A215" i="1" s="1"/>
  <c r="A216" i="1" s="1"/>
  <c r="A217" i="1" s="1"/>
  <c r="A218" i="1" s="1"/>
  <c r="A219" i="1" s="1"/>
  <c r="A185" i="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I225" i="1"/>
  <c r="I166" i="1"/>
  <c r="J62" i="1"/>
  <c r="D62" i="1" s="1"/>
  <c r="A225" i="1"/>
  <c r="A281" i="1"/>
  <c r="A266" i="1"/>
  <c r="A252" i="1"/>
  <c r="F271" i="1" l="1"/>
  <c r="H271" i="1" s="1"/>
  <c r="F275" i="1"/>
  <c r="H275" i="1" s="1"/>
  <c r="F286" i="1"/>
  <c r="H286" i="1" s="1"/>
  <c r="G150" i="1"/>
  <c r="F259" i="1"/>
  <c r="H259" i="1" s="1"/>
  <c r="F269" i="1"/>
  <c r="H269" i="1" s="1"/>
  <c r="F288" i="1"/>
  <c r="H288" i="1" s="1"/>
  <c r="G149" i="1"/>
  <c r="F228" i="1"/>
  <c r="H228" i="1" s="1"/>
  <c r="L228" i="1" s="1"/>
  <c r="F232" i="1"/>
  <c r="H232" i="1" s="1"/>
  <c r="F255" i="1"/>
  <c r="H255" i="1" s="1"/>
  <c r="F263" i="1"/>
  <c r="H263" i="1" s="1"/>
  <c r="F273" i="1"/>
  <c r="H273" i="1" s="1"/>
  <c r="F277" i="1"/>
  <c r="H277" i="1" s="1"/>
  <c r="F284" i="1"/>
  <c r="H284" i="1" s="1"/>
  <c r="C149" i="1"/>
  <c r="C150" i="1"/>
  <c r="F252" i="1"/>
  <c r="F256" i="1"/>
  <c r="H256" i="1" s="1"/>
  <c r="J256" i="1" s="1"/>
  <c r="F260" i="1"/>
  <c r="H260" i="1" s="1"/>
  <c r="F266" i="1"/>
  <c r="F270" i="1"/>
  <c r="H270" i="1" s="1"/>
  <c r="F274" i="1"/>
  <c r="H274" i="1" s="1"/>
  <c r="F281" i="1"/>
  <c r="E149" i="1"/>
  <c r="E150" i="1"/>
  <c r="F230" i="1"/>
  <c r="H230" i="1" s="1"/>
  <c r="F253" i="1"/>
  <c r="H253" i="1" s="1"/>
  <c r="J253" i="1" s="1"/>
  <c r="F229" i="1"/>
  <c r="H229" i="1" s="1"/>
  <c r="L229" i="1" s="1"/>
  <c r="F226" i="1"/>
  <c r="H226" i="1" s="1"/>
  <c r="F225" i="1"/>
  <c r="A267" i="1"/>
  <c r="A226" i="1"/>
  <c r="A282" i="1"/>
  <c r="A253" i="1"/>
  <c r="E154" i="1" l="1"/>
  <c r="C154" i="1"/>
  <c r="H252" i="1"/>
  <c r="E155" i="1"/>
  <c r="C155" i="1"/>
  <c r="H225" i="1"/>
  <c r="G154" i="1" s="1"/>
  <c r="H266" i="1"/>
  <c r="G156" i="1" s="1"/>
  <c r="E156" i="1"/>
  <c r="C156" i="1"/>
  <c r="H281" i="1"/>
  <c r="G157" i="1" s="1"/>
  <c r="C157" i="1"/>
  <c r="E157" i="1"/>
  <c r="F166" i="1"/>
  <c r="A254" i="1"/>
  <c r="A227" i="1"/>
  <c r="A268" i="1"/>
  <c r="A283" i="1"/>
  <c r="G155" i="1" l="1"/>
  <c r="J252" i="1"/>
  <c r="C158" i="1"/>
  <c r="K225" i="1"/>
  <c r="L225" i="1"/>
  <c r="E158" i="1"/>
  <c r="H166" i="1"/>
  <c r="E31" i="1"/>
  <c r="E26" i="1"/>
  <c r="A269" i="1"/>
  <c r="A228" i="1"/>
  <c r="A255" i="1"/>
  <c r="A284" i="1"/>
  <c r="G158" i="1" l="1"/>
  <c r="F290" i="1"/>
  <c r="H290" i="1" s="1"/>
  <c r="A270" i="1"/>
  <c r="A285" i="1"/>
  <c r="A229" i="1"/>
  <c r="A256" i="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A286" i="1"/>
  <c r="A257" i="1"/>
  <c r="A230" i="1"/>
  <c r="A271" i="1"/>
  <c r="E42" i="7" l="1"/>
  <c r="I42" i="7"/>
  <c r="H42" i="7" s="1"/>
  <c r="L42" i="7"/>
  <c r="K42" i="7" s="1"/>
  <c r="A258" i="1"/>
  <c r="A287" i="1"/>
  <c r="A231" i="1"/>
  <c r="A272" i="1"/>
  <c r="E44" i="7" l="1"/>
  <c r="D42" i="7"/>
  <c r="D44" i="7" s="1"/>
  <c r="B320" i="1"/>
  <c r="A288" i="1"/>
  <c r="A259" i="1"/>
  <c r="A232" i="1"/>
  <c r="A273" i="1"/>
  <c r="F167" i="1" l="1"/>
  <c r="F168" i="1"/>
  <c r="H168" i="1" s="1"/>
  <c r="F169" i="1"/>
  <c r="H169" i="1" s="1"/>
  <c r="A260" i="1"/>
  <c r="A233" i="1"/>
  <c r="A274" i="1"/>
  <c r="H167" i="1" l="1"/>
  <c r="G148" i="1" s="1"/>
  <c r="G151" i="1" s="1"/>
  <c r="G159" i="1" s="1"/>
  <c r="C148" i="1"/>
  <c r="C151" i="1" s="1"/>
  <c r="C159" i="1" s="1"/>
  <c r="E148" i="1"/>
  <c r="E151" i="1" s="1"/>
  <c r="E159" i="1" s="1"/>
  <c r="G58" i="1"/>
  <c r="A261" i="1"/>
  <c r="A234" i="1"/>
  <c r="A275" i="1"/>
  <c r="S33" i="1" l="1"/>
  <c r="A262" i="1"/>
  <c r="A276" i="1"/>
  <c r="A235" i="1"/>
  <c r="F11" i="5" l="1"/>
  <c r="G11" i="5" s="1"/>
  <c r="F10" i="5"/>
  <c r="G10" i="5" s="1"/>
  <c r="F9" i="5"/>
  <c r="G9" i="5" s="1"/>
  <c r="F8" i="5"/>
  <c r="G8" i="5" s="1"/>
  <c r="F7" i="5"/>
  <c r="G7" i="5" s="1"/>
  <c r="F6" i="5"/>
  <c r="G6" i="5" s="1"/>
  <c r="F5" i="5"/>
  <c r="G5" i="5" s="1"/>
  <c r="G12" i="5" s="1"/>
  <c r="D342" i="1"/>
  <c r="B321" i="1"/>
  <c r="F317" i="1"/>
  <c r="H317" i="1" s="1"/>
  <c r="F316" i="1"/>
  <c r="H316" i="1" s="1"/>
  <c r="F315" i="1"/>
  <c r="H315" i="1" s="1"/>
  <c r="F314" i="1"/>
  <c r="H314" i="1" s="1"/>
  <c r="F313" i="1"/>
  <c r="H313" i="1" s="1"/>
  <c r="F311" i="1"/>
  <c r="H311" i="1" s="1"/>
  <c r="F310" i="1"/>
  <c r="H310" i="1" s="1"/>
  <c r="F309" i="1"/>
  <c r="H309" i="1" s="1"/>
  <c r="F308" i="1"/>
  <c r="H308" i="1" s="1"/>
  <c r="F307" i="1"/>
  <c r="H307" i="1" s="1"/>
  <c r="F305" i="1"/>
  <c r="H305" i="1" s="1"/>
  <c r="F304" i="1"/>
  <c r="H304" i="1" s="1"/>
  <c r="F303" i="1"/>
  <c r="H303" i="1" s="1"/>
  <c r="F302" i="1"/>
  <c r="H302" i="1" s="1"/>
  <c r="F301" i="1"/>
  <c r="H301" i="1" s="1"/>
  <c r="F299" i="1"/>
  <c r="H299" i="1" s="1"/>
  <c r="F298" i="1"/>
  <c r="H298" i="1" s="1"/>
  <c r="F297" i="1"/>
  <c r="H297" i="1" s="1"/>
  <c r="F296" i="1"/>
  <c r="H296" i="1" s="1"/>
  <c r="F295" i="1"/>
  <c r="H295" i="1" s="1"/>
  <c r="A295" i="1"/>
  <c r="A296" i="1" s="1"/>
  <c r="A297" i="1" s="1"/>
  <c r="A298" i="1" s="1"/>
  <c r="A299" i="1" s="1"/>
  <c r="F293" i="1"/>
  <c r="H293" i="1" s="1"/>
  <c r="F292" i="1"/>
  <c r="H292" i="1" s="1"/>
  <c r="F291" i="1"/>
  <c r="H291" i="1" s="1"/>
  <c r="A291" i="1"/>
  <c r="A292" i="1" s="1"/>
  <c r="A293" i="1" s="1"/>
  <c r="A167" i="1"/>
  <c r="A168" i="1" s="1"/>
  <c r="A169" i="1" s="1"/>
  <c r="A170" i="1" s="1"/>
  <c r="A171" i="1" s="1"/>
  <c r="A172" i="1" s="1"/>
  <c r="A173" i="1" s="1"/>
  <c r="A174" i="1" s="1"/>
  <c r="A175" i="1" s="1"/>
  <c r="A176" i="1" s="1"/>
  <c r="A177" i="1" s="1"/>
  <c r="A178" i="1" s="1"/>
  <c r="A179" i="1" s="1"/>
  <c r="A180" i="1" s="1"/>
  <c r="A181" i="1" s="1"/>
  <c r="F145" i="1"/>
  <c r="B77" i="1"/>
  <c r="G51" i="1"/>
  <c r="G52" i="1" s="1"/>
  <c r="C51" i="1"/>
  <c r="E44" i="1"/>
  <c r="E45" i="1" s="1"/>
  <c r="E28" i="1"/>
  <c r="C16" i="1"/>
  <c r="I15" i="1"/>
  <c r="Z13" i="1"/>
  <c r="E8" i="1"/>
  <c r="E3" i="1"/>
  <c r="D70" i="1" s="1"/>
  <c r="A263" i="1"/>
  <c r="A301" i="1"/>
  <c r="A236" i="1"/>
  <c r="A277" i="1"/>
  <c r="A313" i="1"/>
  <c r="A307" i="1"/>
  <c r="J86" i="1" l="1"/>
  <c r="J84" i="1"/>
  <c r="J85" i="1"/>
  <c r="J87" i="1"/>
  <c r="A302" i="1"/>
  <c r="A314" i="1"/>
  <c r="H77" i="1"/>
  <c r="A308" i="1"/>
  <c r="D89" i="1" l="1"/>
  <c r="J76" i="1"/>
  <c r="J78" i="1" s="1"/>
  <c r="D83" i="1"/>
  <c r="J79" i="1"/>
  <c r="D88" i="1"/>
  <c r="J80" i="1"/>
  <c r="D82" i="1"/>
  <c r="D86" i="1"/>
  <c r="D85" i="1"/>
  <c r="J81" i="1"/>
  <c r="C80" i="1" s="1"/>
  <c r="D80" i="1" s="1"/>
  <c r="D87" i="1"/>
  <c r="D84" i="1"/>
  <c r="J82" i="1"/>
  <c r="J83" i="1" s="1"/>
  <c r="J88" i="1" s="1"/>
  <c r="B105" i="1"/>
  <c r="H105" i="1"/>
  <c r="A315" i="1"/>
  <c r="A303" i="1"/>
  <c r="A309" i="1"/>
  <c r="B91" i="1" l="1"/>
  <c r="J89" i="1"/>
  <c r="C81" i="1" s="1"/>
  <c r="D81" i="1" s="1"/>
  <c r="I77" i="1" s="1"/>
  <c r="I78" i="1" s="1"/>
  <c r="J107" i="1"/>
  <c r="D117" i="1"/>
  <c r="D111" i="1"/>
  <c r="J109" i="1"/>
  <c r="C108" i="1" s="1"/>
  <c r="D115" i="1"/>
  <c r="J104" i="1"/>
  <c r="J106" i="1" s="1"/>
  <c r="D112" i="1"/>
  <c r="D116" i="1"/>
  <c r="D110" i="1"/>
  <c r="D114" i="1"/>
  <c r="J108" i="1"/>
  <c r="D113" i="1"/>
  <c r="J110" i="1"/>
  <c r="J111" i="1" s="1"/>
  <c r="J116" i="1" s="1"/>
  <c r="J117" i="1" s="1"/>
  <c r="C109" i="1" s="1"/>
  <c r="J115" i="1"/>
  <c r="J114" i="1"/>
  <c r="J113" i="1"/>
  <c r="J112" i="1"/>
  <c r="A310" i="1"/>
  <c r="H91" i="1"/>
  <c r="A316" i="1"/>
  <c r="A304" i="1"/>
  <c r="D103" i="1" l="1"/>
  <c r="D99" i="1"/>
  <c r="D102" i="1"/>
  <c r="D98" i="1"/>
  <c r="J94" i="1"/>
  <c r="J93" i="1"/>
  <c r="D101" i="1"/>
  <c r="D97" i="1"/>
  <c r="J95" i="1"/>
  <c r="C94" i="1" s="1"/>
  <c r="J90" i="1"/>
  <c r="J92" i="1" s="1"/>
  <c r="D100" i="1"/>
  <c r="D96" i="1"/>
  <c r="J98" i="1"/>
  <c r="J101" i="1"/>
  <c r="J100" i="1"/>
  <c r="J96" i="1"/>
  <c r="J97" i="1" s="1"/>
  <c r="J99" i="1"/>
  <c r="G80" i="1"/>
  <c r="D74" i="1" s="1"/>
  <c r="F75" i="1" s="1"/>
  <c r="J77" i="1"/>
  <c r="I76" i="1" s="1"/>
  <c r="C78" i="1" s="1"/>
  <c r="E80" i="1"/>
  <c r="B119" i="1"/>
  <c r="E108" i="1"/>
  <c r="D109" i="1"/>
  <c r="G108" i="1"/>
  <c r="D108" i="1"/>
  <c r="A317" i="1"/>
  <c r="A305" i="1"/>
  <c r="A311" i="1"/>
  <c r="H119" i="1"/>
  <c r="J102" i="1" l="1"/>
  <c r="J103" i="1" s="1"/>
  <c r="C95" i="1" s="1"/>
  <c r="G94" i="1" s="1"/>
  <c r="D94" i="1"/>
  <c r="D75" i="1"/>
  <c r="J121" i="1"/>
  <c r="D130" i="1"/>
  <c r="J123" i="1"/>
  <c r="C122" i="1" s="1"/>
  <c r="D122" i="1" s="1"/>
  <c r="D129" i="1"/>
  <c r="D128" i="1"/>
  <c r="J122" i="1"/>
  <c r="J118" i="1"/>
  <c r="J120" i="1" s="1"/>
  <c r="D126" i="1"/>
  <c r="D131" i="1"/>
  <c r="D125" i="1"/>
  <c r="D124" i="1"/>
  <c r="D127" i="1"/>
  <c r="I105" i="1"/>
  <c r="I106" i="1" s="1"/>
  <c r="J128" i="1"/>
  <c r="J126" i="1"/>
  <c r="J124" i="1"/>
  <c r="J125" i="1" s="1"/>
  <c r="J130" i="1" s="1"/>
  <c r="J131" i="1" s="1"/>
  <c r="C123" i="1" s="1"/>
  <c r="J129" i="1"/>
  <c r="J127" i="1"/>
  <c r="J105" i="1"/>
  <c r="J91" i="1" l="1"/>
  <c r="E94" i="1"/>
  <c r="D95" i="1"/>
  <c r="I91" i="1" s="1"/>
  <c r="I104" i="1"/>
  <c r="C106" i="1" s="1"/>
  <c r="E122" i="1"/>
  <c r="D123" i="1"/>
  <c r="I119" i="1" s="1"/>
  <c r="I120" i="1" s="1"/>
  <c r="J119" i="1"/>
  <c r="G122" i="1"/>
  <c r="I92" i="1" l="1"/>
  <c r="I90" i="1" s="1"/>
  <c r="C92" i="1" s="1"/>
  <c r="I118" i="1"/>
  <c r="C12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38"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22"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<sst xmlns="http://schemas.openxmlformats.org/spreadsheetml/2006/main" count="836" uniqueCount="418">
  <si>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</si>
  <si>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</si>
  <si>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</si>
  <si>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</si>
  <si>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</si>
  <si>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</si>
  <si>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</si>
  <si>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</si>
  <si>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</si>
  <si>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</si>
  <si>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</si>
  <si>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</si>
  <si>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</si>
  <si>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</si>
  <si>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</si>
  <si>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</si>
  <si>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</si>
  <si>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</si>
  <si>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</si>
  <si>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</si>
  <si>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</si>
  <si>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</si>
  <si>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</si>
  <si>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</si>
  <si>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</si>
  <si>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</si>
  <si>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</si>
  <si>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</si>
  <si>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</si>
  <si>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</si>
  <si>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</si>
  <si>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</si>
  <si>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</si>
  <si>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</si>
  <si>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</si>
  <si>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</si>
  <si>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</si>
  <si>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</si>
  <si>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</si>
  <si>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</si>
  <si>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</si>
  <si>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</si>
  <si>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</si>
  <si>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</si>
  <si>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</si>
  <si>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</si>
  <si>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</si>
  <si>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</si>
  <si>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</si>
  <si>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</si>
  <si>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</si>
  <si>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</si>
  <si>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</si>
  <si>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</si>
  <si>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</si>
  <si>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</si>
  <si>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</si>
  <si>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</si>
  <si>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</si>
  <si>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</si>
  <si>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</si>
  <si>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</si>
  <si>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</si>
  <si>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</si>
  <si>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</si>
  <si>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</si>
  <si>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</si>
  <si>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</si>
  <si>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</si>
  <si>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</si>
  <si>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</si>
  <si>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</si>
  <si>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</si>
  <si>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</si>
  <si>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</si>
  <si>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</si>
  <si>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</si>
  <si>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</si>
  <si>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</si>
  <si>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</si>
  <si>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</si>
  <si>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</si>
  <si>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</si>
  <si>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</si>
  <si>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</si>
  <si>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</si>
  <si>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</si>
  <si>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</si>
  <si>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</si>
  <si>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</si>
  <si>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</si>
  <si>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</si>
  <si>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</si>
  <si>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</si>
  <si>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</si>
  <si>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</si>
  <si>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</si>
  <si>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</si>
  <si>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</si>
  <si>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</si>
  <si>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</si>
  <si>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</si>
  <si>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</si>
  <si>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</si>
  <si>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</si>
  <si>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</si>
  <si>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</si>
  <si>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</si>
  <si>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</si>
  <si>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</si>
  <si>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</si>
  <si>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</si>
  <si>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</si>
  <si>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</si>
  <si>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</si>
  <si>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</si>
  <si>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</si>
  <si>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</si>
  <si>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</si>
  <si>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</si>
  <si>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</si>
  <si>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</si>
  <si>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</si>
  <si>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</si>
  <si>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</si>
  <si>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</si>
  <si>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</si>
  <si>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</si>
  <si>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</si>
  <si>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</si>
  <si>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</si>
  <si>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</si>
  <si>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</si>
  <si>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</si>
  <si>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</si>
  <si>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</si>
  <si>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</si>
  <si>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</si>
  <si>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</si>
  <si>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</si>
  <si>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</si>
  <si>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</si>
  <si>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</si>
  <si>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</si>
  <si>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</si>
  <si>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</si>
  <si>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</si>
  <si>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</si>
  <si>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</si>
  <si>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</si>
  <si>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</si>
  <si>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</si>
  <si>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</si>
  <si>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</si>
  <si>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</si>
  <si>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</si>
  <si>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</si>
  <si>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</si>
  <si>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</si>
  <si>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</si>
  <si>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</si>
  <si>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</si>
  <si>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</si>
  <si>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</si>
  <si>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</si>
  <si>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</si>
  <si>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</si>
  <si>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</si>
  <si>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</si>
  <si>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</si>
  <si>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</si>
  <si>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</si>
  <si>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</si>
  <si>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</si>
  <si>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</si>
  <si>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</si>
  <si>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</si>
  <si>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</si>
  <si>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</si>
  <si>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</si>
  <si>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</si>
  <si>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</si>
  <si>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</si>
  <si>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</si>
  <si>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</si>
  <si>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</si>
  <si>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</si>
  <si>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</si>
  <si>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</si>
  <si>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</si>
  <si>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</si>
  <si>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</si>
  <si>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</si>
  <si>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</si>
  <si>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</si>
  <si>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</si>
  <si>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</si>
  <si>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</si>
  <si>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</si>
  <si>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</si>
  <si>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</si>
  <si>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</si>
  <si>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</si>
  <si>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</si>
  <si>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</si>
  <si>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</si>
  <si>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</si>
  <si>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</si>
  <si>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</si>
  <si>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</si>
  <si>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</si>
  <si>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</si>
  <si>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</si>
  <si>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</si>
  <si>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</si>
  <si>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</si>
  <si>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</si>
  <si>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</si>
  <si>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</si>
  <si>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</si>
  <si>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</si>
  <si>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</si>
  <si>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</si>
  <si>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</si>
  <si>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</si>
  <si>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</si>
  <si>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</si>
  <si>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</si>
  <si>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</si>
  <si>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</si>
  <si>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</si>
  <si>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</si>
  <si>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</si>
  <si>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</si>
  <si>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</si>
  <si>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</si>
  <si>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</si>
  <si>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</si>
  <si>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</si>
  <si>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</si>
  <si>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</si>
  <si>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</si>
  <si>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</si>
  <si>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</si>
  <si>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</si>
  <si>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</si>
  <si>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</si>
  <si>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</si>
  <si>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</si>
  <si>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</si>
  <si>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</si>
  <si>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</si>
  <si>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</si>
  <si>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</si>
  <si>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</si>
  <si>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</si>
  <si>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</si>
  <si>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</si>
  <si>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</si>
  <si>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</si>
  <si>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</si>
  <si>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</si>
  <si>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</si>
  <si>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</si>
  <si>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</si>
  <si>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</si>
  <si>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</si>
  <si>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</si>
  <si>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</si>
  <si>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</si>
  <si>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</si>
  <si>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</si>
  <si>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</si>
  <si>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</si>
  <si>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</si>
  <si>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</si>
  <si>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</si>
  <si>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</si>
  <si>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</si>
  <si>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</si>
  <si>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</si>
  <si>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</si>
  <si>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</si>
  <si>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</si>
  <si>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</si>
  <si>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</si>
  <si>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</si>
  <si>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</si>
  <si>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</si>
  <si>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</si>
  <si>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</si>
  <si>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</si>
  <si>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</si>
  <si>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</si>
  <si>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</si>
  <si>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</si>
  <si>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</si>
  <si>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</si>
  <si>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</si>
  <si>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</si>
  <si>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</si>
  <si>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</si>
  <si>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</si>
  <si>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</si>
  <si>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</si>
  <si>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</si>
  <si>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</si>
  <si>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</si>
  <si>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</si>
  <si>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</si>
  <si>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</si>
  <si>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</si>
  <si>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</si>
  <si>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</si>
  <si>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</si>
  <si>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</si>
  <si>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</si>
  <si>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</si>
  <si>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</si>
  <si>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</si>
  <si>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</si>
  <si>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</si>
  <si>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</si>
  <si>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</si>
  <si>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</si>
  <si>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</si>
  <si>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</si>
  <si>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</si>
  <si>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</si>
  <si>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</si>
  <si>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</si>
  <si>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</si>
  <si>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</si>
  <si>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</si>
  <si>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</si>
  <si>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</si>
  <si>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</si>
  <si>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</si>
  <si>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</si>
  <si>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</si>
  <si>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</si>
  <si>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</si>
  <si>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</si>
  <si>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</si>
  <si>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</si>
  <si>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</si>
  <si>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</si>
  <si>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</si>
  <si>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</si>
  <si>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</si>
  <si>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P99000077447</t>
  </si>
  <si>
    <t>Mangalmurti Vinay Unique Realtors</t>
  </si>
  <si>
    <t>Super Homez ­ Harmony</t>
  </si>
  <si>
    <t>Survey No</t>
  </si>
  <si>
    <t>117, H.No.1, 2</t>
  </si>
  <si>
    <t>Dongre</t>
  </si>
  <si>
    <t>https://maps.app.goo.gl/iepEBH1tLWu6a85QA</t>
  </si>
  <si>
    <t>19.4782557,72.7977882</t>
  </si>
  <si>
    <t>Virar (West)</t>
  </si>
  <si>
    <t>Chikhaldongari Road</t>
  </si>
  <si>
    <t>Chikhal Dongari</t>
  </si>
  <si>
    <t>3.1 KM from Virar Railway Station</t>
  </si>
  <si>
    <t>Bldg No.1 = Type A
Bldg No.2 = Type B
Bldg No.3 = Type B1
Bldg No.4 = Type C</t>
  </si>
  <si>
    <t>Samarth International School</t>
  </si>
  <si>
    <t>Open Plot</t>
  </si>
  <si>
    <t>Internal Road</t>
  </si>
  <si>
    <t>12.00 M.Wide Road</t>
  </si>
  <si>
    <t>20.00 M. Wide D.P. Road</t>
  </si>
  <si>
    <t>Other Plot</t>
  </si>
  <si>
    <t>04 Building</t>
  </si>
  <si>
    <t>VVCMC/TP/CC/VP/6841/192/2023-24</t>
  </si>
  <si>
    <t>VVCMC/TP/CC/VP-6841/192/2023-24</t>
  </si>
  <si>
    <t>Bldg No. 1 (Type A) = Gr/St + 1st to 7th Floor (Built Up Area = 3784.39 Sq.M.)
Bldg No. 2 (Type B) = Gr/St + 1st to 7th Floor (Built Up Area = 3788.72 Sq.M.)
Bldg No. 3 (Type B1) = Gr/St + 1st to 7th Floor (Built Up Area = 3592.31 Sq.M.)
Bldg No. 4 (Type C) = Gr/St + 1st to 7th Floor (Built Up Area = 2235.03 Sq.M.)</t>
  </si>
  <si>
    <t>SIA/MH/INFRA2/417059/2023</t>
  </si>
  <si>
    <t>117/1, 2</t>
  </si>
  <si>
    <t>As per RERA - 30/06/2027</t>
  </si>
  <si>
    <t>Bldg No. 1 (Type A) = Gr/St + 1st to 7th Floor
Bldg No. 2 (Type B) = Gr/St + 1st to 7th Floor
Bldg No. 3 (Type B1) = Gr/St + 1st to 7th Floor
Bldg No. 4 (Type C) = Gr/St + 1st to 7th Floor</t>
  </si>
  <si>
    <t>Bldg No. 1 (Type A) = Gr/St + 1st to 7th Floor</t>
  </si>
  <si>
    <t>Bldg No. 3 (Type B1) = Gr/St + 1st to 7th Floor
Bldg No. 4 (Type C) = Gr/St + 1st to 7th Floor</t>
  </si>
  <si>
    <r>
      <t xml:space="preserve">Proposed Amenities :                                                                                                                                                                                                                         </t>
    </r>
    <r>
      <rPr>
        <b/>
        <sz val="12"/>
        <rFont val="Times New Roman"/>
        <family val="1"/>
      </rPr>
      <t xml:space="preserve">                                               </t>
    </r>
  </si>
  <si>
    <t>Building No. 1 (Type A)</t>
  </si>
  <si>
    <t>Ground Floor for Commercial, Drivers Room, Meter Room, Society Office &amp; Parking</t>
  </si>
  <si>
    <t>Shop</t>
  </si>
  <si>
    <t>RERA Carpet area</t>
  </si>
  <si>
    <t>1st to 7th Floor for Residential</t>
  </si>
  <si>
    <t>1BHK</t>
  </si>
  <si>
    <t>2BHK</t>
  </si>
  <si>
    <t>Building No. 2 (Type B)</t>
  </si>
  <si>
    <t>Building No. 3 (Type B1)</t>
  </si>
  <si>
    <t>Ground Floor for Commercial, Meter Room &amp; Parking</t>
  </si>
  <si>
    <t>Building No. 4 (Type C)</t>
  </si>
  <si>
    <t>Ground Floor for Meter Room &amp; Parking</t>
  </si>
  <si>
    <t>E.P. Area</t>
  </si>
  <si>
    <r>
      <t xml:space="preserve">Flat No.
</t>
    </r>
    <r>
      <rPr>
        <b/>
        <sz val="11"/>
        <rFont val="Times New Roman"/>
        <family val="1"/>
      </rPr>
      <t>(Approved Plan)</t>
    </r>
  </si>
  <si>
    <r>
      <t xml:space="preserve">Shop No.
</t>
    </r>
    <r>
      <rPr>
        <b/>
        <sz val="11"/>
        <rFont val="Times New Roman"/>
        <family val="1"/>
      </rPr>
      <t>(Approved Plan)</t>
    </r>
  </si>
  <si>
    <t>Bldg No.1 (Type A)</t>
  </si>
  <si>
    <t>Bldg No.2 (Type B)</t>
  </si>
  <si>
    <t>Bldg No.3 (Type B1)</t>
  </si>
  <si>
    <t>Bldg No.4 (Type C)</t>
  </si>
  <si>
    <t>Flats - 308, Shops - 50</t>
  </si>
  <si>
    <t>We considered Gross carpet area = Net carpet + E.P. Area.</t>
  </si>
  <si>
    <t>Navnath Bhatkar</t>
  </si>
  <si>
    <t>Bldg No. 2 (Type B) = Gr/St + 1st to 7th Floor</t>
  </si>
  <si>
    <t>As per Layout, project consists of Bldg No. 1 to 14, but only Bldg No. 1, 2, 3 &amp; 4 are registered on Rera. So we have done APF for only Bldg No. 1 to 4.</t>
  </si>
  <si>
    <t>Approved Plans, CC, Sale Plans, EC</t>
  </si>
  <si>
    <t>Other Charges</t>
  </si>
  <si>
    <t>MIS</t>
  </si>
  <si>
    <t>Fitness track, Gazebo seating, Kids play area, Hopscotch, Rock climbing wall, Merry - go - round, Ludo board, Outdoor dining, Acupressure pathway, Lounge seating, Open gym, Skating rink, Multifunctional lawn</t>
  </si>
  <si>
    <t>Mr. Prakash : 9322812242</t>
  </si>
  <si>
    <t>Bldg No. 3 (Type B1) = Gr/St + 1st to 7th Floor</t>
  </si>
  <si>
    <t>Bldg No. 4 (Type C) = Gr/St + 1st to 7th Floor</t>
  </si>
  <si>
    <t>Rate 6000 Trupti Verbal    21/12/2024</t>
  </si>
  <si>
    <t>Sale area of Flat No. 206 Building No. 1 is chnged to 733 by trupti 09/01/2025 on higher side</t>
  </si>
  <si>
    <t>Recommended Rates of the Property have been revised on 21/12/2024 &amp; 09/01/2025.</t>
  </si>
  <si>
    <t>1st, 3rd to 7th floor for Residential</t>
  </si>
  <si>
    <t>Bldg No. 1 (Type A) = Gr/St + 1st to 7th Floor
Bldg No. 2 (Type B) = Gr/St + 1st to 7th Floor</t>
  </si>
  <si>
    <t>Type A = Constrution Stage same as last visit dtd. 11/03/2025 
Type B = Constrution Stage same as last visit dtd. 11/03/2025 but work is in the process.
Type B1 &amp; C = Construction work is in process at the time of Visit (labour found).</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</si>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</sst>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b/>
      <sz val="11.5"/>
      <name val="Times New Roman"/>
      <family val="1"/>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8" fillId="0" borderId="0"/>
    <xf numFmtId="9"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cellStyleXfs>
  <cellXfs count="236">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5" fillId="0" borderId="11" xfId="0" applyFont="1" applyBorder="1" applyProtection="1">
      <protection hidden="1"/>
    </xf>
    <xf numFmtId="0" fontId="10" fillId="0" borderId="4"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0" fillId="0" borderId="0" xfId="1" applyFont="1"/>
    <xf numFmtId="0" fontId="6" fillId="0" borderId="10" xfId="1" applyFont="1" applyBorder="1"/>
    <xf numFmtId="0" fontId="15"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1" fillId="2" borderId="30" xfId="0" applyFont="1" applyFill="1" applyBorder="1"/>
    <xf numFmtId="0" fontId="22" fillId="0" borderId="31" xfId="0" applyFont="1" applyBorder="1"/>
    <xf numFmtId="0" fontId="22" fillId="0" borderId="1" xfId="0" applyFont="1" applyBorder="1"/>
    <xf numFmtId="0" fontId="22" fillId="0" borderId="5" xfId="0" applyFont="1" applyBorder="1"/>
    <xf numFmtId="0" fontId="10"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0"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9" fontId="10" fillId="0" borderId="7" xfId="8" applyFont="1" applyFill="1" applyBorder="1" applyAlignment="1" applyProtection="1">
      <alignment horizontal="center" vertical="top" wrapText="1"/>
      <protection locked="0"/>
    </xf>
    <xf numFmtId="2" fontId="6" fillId="0" borderId="0" xfId="1" applyNumberFormat="1" applyFont="1" applyAlignment="1">
      <alignment horizontal="center" vertical="center"/>
    </xf>
    <xf numFmtId="1" fontId="6" fillId="0" borderId="1" xfId="1" applyNumberFormat="1" applyFont="1" applyBorder="1" applyAlignment="1">
      <alignment horizontal="center" vertical="center"/>
    </xf>
    <xf numFmtId="1" fontId="10" fillId="0" borderId="1" xfId="1" applyNumberFormat="1" applyFont="1" applyBorder="1" applyAlignment="1" applyProtection="1">
      <alignment horizontal="center" vertical="center" wrapText="1"/>
      <protection locked="0"/>
    </xf>
    <xf numFmtId="1" fontId="10" fillId="0" borderId="1" xfId="1" applyNumberFormat="1" applyFont="1" applyBorder="1" applyAlignment="1">
      <alignment horizontal="center" vertical="center"/>
    </xf>
    <xf numFmtId="1" fontId="11" fillId="0" borderId="3" xfId="1" applyNumberFormat="1" applyFont="1" applyBorder="1" applyAlignment="1" applyProtection="1">
      <alignment horizontal="center" vertical="top" wrapText="1"/>
      <protection locked="0"/>
    </xf>
    <xf numFmtId="9" fontId="11" fillId="0" borderId="16" xfId="8" applyFont="1" applyFill="1" applyBorder="1" applyAlignment="1" applyProtection="1">
      <alignment horizontal="center" vertical="top" wrapText="1"/>
      <protection locked="0"/>
    </xf>
    <xf numFmtId="0" fontId="13" fillId="0" borderId="0" xfId="1" applyFont="1" applyAlignment="1">
      <alignment horizontal="center" vertical="center"/>
    </xf>
    <xf numFmtId="0" fontId="26" fillId="0" borderId="0" xfId="1" applyFont="1" applyAlignment="1">
      <alignment horizontal="center" vertical="center"/>
    </xf>
    <xf numFmtId="0" fontId="13" fillId="0" borderId="0" xfId="2" applyFont="1" applyAlignment="1">
      <alignment horizontal="center" vertical="center"/>
    </xf>
    <xf numFmtId="1" fontId="13" fillId="0" borderId="0" xfId="1" applyNumberFormat="1" applyFont="1" applyAlignment="1">
      <alignment horizontal="center" vertical="center"/>
    </xf>
    <xf numFmtId="1" fontId="6" fillId="2" borderId="25" xfId="1" applyNumberFormat="1" applyFont="1" applyFill="1" applyBorder="1" applyAlignment="1">
      <alignment horizontal="center" vertical="center"/>
    </xf>
    <xf numFmtId="1" fontId="6" fillId="2" borderId="0" xfId="1" applyNumberFormat="1" applyFont="1" applyFill="1" applyAlignment="1">
      <alignment horizontal="center" vertical="center"/>
    </xf>
    <xf numFmtId="1" fontId="11" fillId="0" borderId="8" xfId="0" applyNumberFormat="1" applyFont="1" applyBorder="1" applyAlignment="1" applyProtection="1">
      <alignment vertical="top" wrapText="1"/>
      <protection locked="0"/>
    </xf>
    <xf numFmtId="1" fontId="11" fillId="0" borderId="21"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xf numFmtId="0" fontId="10" fillId="0" borderId="4"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9" fontId="10" fillId="0" borderId="17" xfId="8" applyFont="1" applyFill="1" applyBorder="1" applyAlignment="1" applyProtection="1">
      <alignment horizontal="center" vertical="center" wrapText="1"/>
      <protection locked="0"/>
    </xf>
    <xf numFmtId="9" fontId="10" fillId="0" borderId="18"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9" fontId="10" fillId="0" borderId="29" xfId="8" applyFont="1" applyFill="1" applyBorder="1" applyAlignment="1" applyProtection="1">
      <alignment horizontal="center" vertical="center" wrapText="1"/>
      <protection locked="0"/>
    </xf>
    <xf numFmtId="0" fontId="11" fillId="0" borderId="22"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1" fillId="0" borderId="4"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0" fontId="10" fillId="0" borderId="5" xfId="1" applyFont="1" applyBorder="1" applyAlignment="1" applyProtection="1">
      <alignment horizontal="center" vertical="top" wrapText="1"/>
      <protection locked="0"/>
    </xf>
    <xf numFmtId="9" fontId="10" fillId="0" borderId="27" xfId="8" applyFont="1" applyFill="1" applyBorder="1" applyAlignment="1" applyProtection="1">
      <alignment horizontal="center" vertical="center" wrapText="1"/>
      <protection locked="0"/>
    </xf>
    <xf numFmtId="9" fontId="10" fillId="0" borderId="10" xfId="8" applyFont="1" applyFill="1" applyBorder="1" applyAlignment="1" applyProtection="1">
      <alignment horizontal="center" vertical="center" wrapText="1"/>
      <protection locked="0"/>
    </xf>
    <xf numFmtId="9" fontId="10" fillId="0" borderId="12" xfId="8" applyFont="1" applyFill="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10" fillId="0" borderId="6"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23" fillId="0" borderId="1" xfId="10" applyFill="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1" fontId="11" fillId="0" borderId="3"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67" fontId="10" fillId="0" borderId="1" xfId="9" applyNumberFormat="1" applyFont="1" applyFill="1" applyBorder="1" applyAlignment="1" applyProtection="1">
      <alignment horizontal="left" vertical="top"/>
      <protection locked="0"/>
    </xf>
    <xf numFmtId="0" fontId="10" fillId="0" borderId="1" xfId="1" applyFont="1" applyBorder="1" applyAlignment="1" applyProtection="1">
      <alignment horizontal="center"/>
      <protection locked="0"/>
    </xf>
    <xf numFmtId="0" fontId="10" fillId="0" borderId="8" xfId="1" applyFont="1" applyBorder="1" applyAlignment="1" applyProtection="1">
      <alignment horizontal="center" vertical="top"/>
      <protection locked="0"/>
    </xf>
    <xf numFmtId="0" fontId="10" fillId="0" borderId="21" xfId="1" applyFont="1" applyBorder="1" applyAlignment="1" applyProtection="1">
      <alignment horizontal="center" vertical="top"/>
      <protection locked="0"/>
    </xf>
    <xf numFmtId="0" fontId="10" fillId="0" borderId="9"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5" fillId="0" borderId="16"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10" fillId="0" borderId="1" xfId="1" applyNumberFormat="1" applyFont="1" applyBorder="1" applyAlignment="1" applyProtection="1">
      <alignment horizontal="left" vertical="top" wrapText="1"/>
      <protection locked="0"/>
    </xf>
    <xf numFmtId="0" fontId="10" fillId="0" borderId="3" xfId="1" applyFont="1" applyBorder="1" applyAlignment="1" applyProtection="1">
      <alignment horizontal="left" vertical="top" wrapText="1"/>
      <protection locked="0"/>
    </xf>
    <xf numFmtId="0" fontId="10" fillId="0" borderId="3" xfId="1" applyFont="1" applyBorder="1" applyAlignment="1" applyProtection="1">
      <alignment horizontal="left" vertical="top"/>
      <protection locked="0"/>
    </xf>
    <xf numFmtId="0" fontId="10" fillId="0" borderId="17" xfId="1" applyFont="1" applyBorder="1" applyAlignment="1" applyProtection="1">
      <alignment horizontal="left" vertical="top" wrapText="1"/>
      <protection locked="0"/>
    </xf>
    <xf numFmtId="0" fontId="10" fillId="0" borderId="24" xfId="1" applyFont="1" applyBorder="1" applyAlignment="1" applyProtection="1">
      <alignment horizontal="left" vertical="top" wrapText="1"/>
      <protection locked="0"/>
    </xf>
    <xf numFmtId="0" fontId="10" fillId="0" borderId="18" xfId="1" applyFont="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10" fillId="0" borderId="25" xfId="1" applyFont="1" applyBorder="1" applyAlignment="1" applyProtection="1">
      <alignment horizontal="left" vertical="top" wrapText="1"/>
      <protection locked="0"/>
    </xf>
    <xf numFmtId="0" fontId="10" fillId="0" borderId="0" xfId="1" applyFont="1" applyAlignment="1" applyProtection="1">
      <alignment horizontal="left" vertical="top" wrapText="1"/>
      <protection locked="0"/>
    </xf>
    <xf numFmtId="0" fontId="10" fillId="0" borderId="19" xfId="1" applyFont="1" applyBorder="1" applyAlignment="1" applyProtection="1">
      <alignment horizontal="left" vertical="top" wrapText="1"/>
      <protection locked="0"/>
    </xf>
    <xf numFmtId="0" fontId="10" fillId="0" borderId="2" xfId="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10" fillId="0" borderId="1" xfId="1" applyFont="1" applyBorder="1" applyAlignment="1" applyProtection="1">
      <alignment horizontal="left"/>
      <protection locked="0"/>
    </xf>
    <xf numFmtId="0" fontId="28"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14" fontId="10" fillId="0" borderId="1" xfId="1" applyNumberFormat="1" applyFont="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0" fontId="7" fillId="0" borderId="16" xfId="1" applyFont="1" applyBorder="1" applyAlignment="1" applyProtection="1">
      <alignment horizontal="center" vertical="top"/>
      <protection locked="0"/>
    </xf>
    <xf numFmtId="1" fontId="10" fillId="0" borderId="8"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1" fontId="10" fillId="0" borderId="21" xfId="1" applyNumberFormat="1" applyFont="1" applyBorder="1" applyAlignment="1" applyProtection="1">
      <alignment horizontal="center" vertical="center" wrapText="1"/>
      <protection locked="0"/>
    </xf>
    <xf numFmtId="0" fontId="11" fillId="0" borderId="16" xfId="1" applyFont="1" applyBorder="1" applyAlignment="1" applyProtection="1">
      <alignment horizontal="center" vertical="top"/>
      <protection locked="0"/>
    </xf>
    <xf numFmtId="1" fontId="11" fillId="0" borderId="17" xfId="1" applyNumberFormat="1" applyFont="1" applyBorder="1" applyAlignment="1" applyProtection="1">
      <alignment horizontal="center" vertical="top" wrapText="1"/>
      <protection locked="0"/>
    </xf>
    <xf numFmtId="1" fontId="11" fillId="0" borderId="19" xfId="1" applyNumberFormat="1" applyFont="1" applyBorder="1" applyAlignment="1" applyProtection="1">
      <alignment horizontal="center"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0" fontId="9" fillId="0" borderId="33" xfId="0"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6" fillId="0" borderId="25" xfId="1" applyFont="1" applyBorder="1" applyAlignment="1">
      <alignment horizontal="center"/>
    </xf>
    <xf numFmtId="0" fontId="6" fillId="0" borderId="0" xfId="1" applyFont="1" applyAlignment="1">
      <alignment horizontal="center"/>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0" fillId="0" borderId="20" xfId="1" applyFont="1" applyBorder="1" applyAlignment="1" applyProtection="1">
      <alignment horizontal="left" vertical="top" wrapText="1"/>
      <protection locked="0"/>
    </xf>
    <xf numFmtId="0" fontId="13" fillId="0" borderId="19" xfId="1" applyFont="1" applyBorder="1" applyAlignment="1" applyProtection="1">
      <alignment horizontal="left" vertical="top"/>
      <protection locked="0"/>
    </xf>
    <xf numFmtId="0" fontId="13" fillId="0" borderId="2"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1" fontId="7" fillId="0" borderId="1" xfId="0" applyNumberFormat="1" applyFont="1" applyBorder="1" applyAlignment="1" applyProtection="1">
      <alignment horizontal="lef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g"/><Relationship Id="rId3" Type="http://schemas.openxmlformats.org/officeDocument/2006/relationships/image" Target="../media/image3.png"/><Relationship Id="rId21" Type="http://schemas.openxmlformats.org/officeDocument/2006/relationships/image" Target="../media/image21.jp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4" Type="http://schemas.openxmlformats.org/officeDocument/2006/relationships/image" Target="../media/image27.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8</xdr:col>
      <xdr:colOff>158750</xdr:colOff>
      <xdr:row>15</xdr:row>
      <xdr:rowOff>342900</xdr:rowOff>
    </xdr:from>
    <xdr:to>
      <xdr:col>11</xdr:col>
      <xdr:colOff>852900</xdr:colOff>
      <xdr:row>18</xdr:row>
      <xdr:rowOff>110368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781800" y="3905250"/>
          <a:ext cx="4320000" cy="777118"/>
        </a:xfrm>
        <a:prstGeom prst="rect">
          <a:avLst/>
        </a:prstGeom>
        <a:ln>
          <a:solidFill>
            <a:schemeClr val="tx1"/>
          </a:solidFill>
        </a:ln>
      </xdr:spPr>
    </xdr:pic>
    <xdr:clientData/>
  </xdr:twoCellAnchor>
  <xdr:twoCellAnchor editAs="oneCell">
    <xdr:from>
      <xdr:col>1</xdr:col>
      <xdr:colOff>184150</xdr:colOff>
      <xdr:row>448</xdr:row>
      <xdr:rowOff>62476</xdr:rowOff>
    </xdr:from>
    <xdr:to>
      <xdr:col>6</xdr:col>
      <xdr:colOff>577900</xdr:colOff>
      <xdr:row>465</xdr:row>
      <xdr:rowOff>101332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984250" y="69385426"/>
          <a:ext cx="4680000" cy="3385306"/>
        </a:xfrm>
        <a:prstGeom prst="rect">
          <a:avLst/>
        </a:prstGeom>
        <a:ln>
          <a:solidFill>
            <a:schemeClr val="tx1"/>
          </a:solidFill>
        </a:ln>
      </xdr:spPr>
    </xdr:pic>
    <xdr:clientData/>
  </xdr:twoCellAnchor>
  <xdr:twoCellAnchor editAs="oneCell">
    <xdr:from>
      <xdr:col>1</xdr:col>
      <xdr:colOff>184150</xdr:colOff>
      <xdr:row>426</xdr:row>
      <xdr:rowOff>76200</xdr:rowOff>
    </xdr:from>
    <xdr:to>
      <xdr:col>6</xdr:col>
      <xdr:colOff>577900</xdr:colOff>
      <xdr:row>447</xdr:row>
      <xdr:rowOff>77895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984250" y="65068450"/>
          <a:ext cx="4680000" cy="4135545"/>
        </a:xfrm>
        <a:prstGeom prst="rect">
          <a:avLst/>
        </a:prstGeom>
        <a:ln>
          <a:solidFill>
            <a:schemeClr val="tx1"/>
          </a:solidFill>
        </a:ln>
      </xdr:spPr>
    </xdr:pic>
    <xdr:clientData/>
  </xdr:twoCellAnchor>
  <xdr:twoCellAnchor>
    <xdr:from>
      <xdr:col>2</xdr:col>
      <xdr:colOff>668002</xdr:colOff>
      <xdr:row>449</xdr:row>
      <xdr:rowOff>193128</xdr:rowOff>
    </xdr:from>
    <xdr:to>
      <xdr:col>4</xdr:col>
      <xdr:colOff>720354</xdr:colOff>
      <xdr:row>458</xdr:row>
      <xdr:rowOff>188437</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rot="3409725">
          <a:off x="2372923" y="69646307"/>
          <a:ext cx="1766959" cy="1900202"/>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xdr:from>
      <xdr:col>0</xdr:col>
      <xdr:colOff>254000</xdr:colOff>
      <xdr:row>384</xdr:row>
      <xdr:rowOff>101600</xdr:rowOff>
    </xdr:from>
    <xdr:to>
      <xdr:col>7</xdr:col>
      <xdr:colOff>243840</xdr:colOff>
      <xdr:row>423</xdr:row>
      <xdr:rowOff>91440</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254000" y="72339200"/>
          <a:ext cx="5720080" cy="7716520"/>
          <a:chOff x="254000" y="71405750"/>
          <a:chExt cx="6120000" cy="8105030"/>
        </a:xfrm>
      </xdr:grpSpPr>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1926750" y="76388253"/>
            <a:ext cx="2880000" cy="3122527"/>
          </a:xfrm>
          <a:prstGeom prst="rect">
            <a:avLst/>
          </a:prstGeom>
          <a:ln>
            <a:solidFill>
              <a:schemeClr val="tx1"/>
            </a:solidFill>
          </a:ln>
        </xdr:spPr>
      </xdr:pic>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t="5737"/>
          <a:stretch/>
        </xdr:blipFill>
        <xdr:spPr>
          <a:xfrm>
            <a:off x="254000" y="71405750"/>
            <a:ext cx="6120000" cy="4869647"/>
          </a:xfrm>
          <a:prstGeom prst="rect">
            <a:avLst/>
          </a:prstGeom>
          <a:ln>
            <a:solidFill>
              <a:schemeClr val="tx1"/>
            </a:solidFill>
          </a:ln>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rot="3201126">
            <a:off x="2894052" y="77531084"/>
            <a:ext cx="914400" cy="77516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sp macro="" textlink="">
        <xdr:nvSpPr>
          <xdr:cNvPr id="9" name="Rectangle 8">
            <a:extLst>
              <a:ext uri="{FF2B5EF4-FFF2-40B4-BE49-F238E27FC236}">
                <a16:creationId xmlns:a16="http://schemas.microsoft.com/office/drawing/2014/main" id="{00000000-0008-0000-0000-000009000000}"/>
              </a:ext>
            </a:extLst>
          </xdr:cNvPr>
          <xdr:cNvSpPr/>
        </xdr:nvSpPr>
        <xdr:spPr>
          <a:xfrm rot="3491506">
            <a:off x="1450078" y="71931123"/>
            <a:ext cx="2103737" cy="170913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grpSp>
    <xdr:clientData/>
  </xdr:twoCellAnchor>
  <xdr:oneCellAnchor>
    <xdr:from>
      <xdr:col>2</xdr:col>
      <xdr:colOff>156809</xdr:colOff>
      <xdr:row>389</xdr:row>
      <xdr:rowOff>135891</xdr:rowOff>
    </xdr:from>
    <xdr:ext cx="264560" cy="585417"/>
    <xdr:sp macro="" textlink="">
      <xdr:nvSpPr>
        <xdr:cNvPr id="11" name="TextBox 10">
          <a:extLst>
            <a:ext uri="{FF2B5EF4-FFF2-40B4-BE49-F238E27FC236}">
              <a16:creationId xmlns:a16="http://schemas.microsoft.com/office/drawing/2014/main" id="{00000000-0008-0000-0000-00000B000000}"/>
            </a:ext>
          </a:extLst>
        </xdr:cNvPr>
        <xdr:cNvSpPr txBox="1"/>
      </xdr:nvSpPr>
      <xdr:spPr>
        <a:xfrm rot="3343702">
          <a:off x="1634680" y="72584720"/>
          <a:ext cx="58541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cap="none" spc="0">
              <a:ln w="0"/>
              <a:solidFill>
                <a:sysClr val="windowText" lastClr="000000"/>
              </a:solidFill>
              <a:effectLst>
                <a:outerShdw blurRad="38100" dist="25400" dir="5400000" algn="ctr" rotWithShape="0">
                  <a:srgbClr val="6E747A">
                    <a:alpha val="43000"/>
                  </a:srgbClr>
                </a:outerShdw>
              </a:effectLst>
            </a:rPr>
            <a:t>Type A</a:t>
          </a:r>
        </a:p>
      </xdr:txBody>
    </xdr:sp>
    <xdr:clientData/>
  </xdr:oneCellAnchor>
  <xdr:oneCellAnchor>
    <xdr:from>
      <xdr:col>2</xdr:col>
      <xdr:colOff>633058</xdr:colOff>
      <xdr:row>393</xdr:row>
      <xdr:rowOff>161289</xdr:rowOff>
    </xdr:from>
    <xdr:ext cx="264560" cy="585417"/>
    <xdr:sp macro="" textlink="">
      <xdr:nvSpPr>
        <xdr:cNvPr id="12" name="TextBox 11">
          <a:extLst>
            <a:ext uri="{FF2B5EF4-FFF2-40B4-BE49-F238E27FC236}">
              <a16:creationId xmlns:a16="http://schemas.microsoft.com/office/drawing/2014/main" id="{00000000-0008-0000-0000-00000C000000}"/>
            </a:ext>
          </a:extLst>
        </xdr:cNvPr>
        <xdr:cNvSpPr txBox="1"/>
      </xdr:nvSpPr>
      <xdr:spPr>
        <a:xfrm rot="3343702">
          <a:off x="2110929" y="73397518"/>
          <a:ext cx="58541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cap="none" spc="0">
              <a:ln w="0"/>
              <a:solidFill>
                <a:sysClr val="windowText" lastClr="000000"/>
              </a:solidFill>
              <a:effectLst>
                <a:outerShdw blurRad="38100" dist="25400" dir="5400000" algn="ctr" rotWithShape="0">
                  <a:srgbClr val="6E747A">
                    <a:alpha val="43000"/>
                  </a:srgbClr>
                </a:outerShdw>
              </a:effectLst>
            </a:rPr>
            <a:t>Type B</a:t>
          </a:r>
        </a:p>
      </xdr:txBody>
    </xdr:sp>
    <xdr:clientData/>
  </xdr:oneCellAnchor>
  <xdr:oneCellAnchor>
    <xdr:from>
      <xdr:col>3</xdr:col>
      <xdr:colOff>436208</xdr:colOff>
      <xdr:row>390</xdr:row>
      <xdr:rowOff>154149</xdr:rowOff>
    </xdr:from>
    <xdr:ext cx="264560" cy="650499"/>
    <xdr:sp macro="" textlink="">
      <xdr:nvSpPr>
        <xdr:cNvPr id="13" name="TextBox 12">
          <a:extLst>
            <a:ext uri="{FF2B5EF4-FFF2-40B4-BE49-F238E27FC236}">
              <a16:creationId xmlns:a16="http://schemas.microsoft.com/office/drawing/2014/main" id="{00000000-0008-0000-0000-00000D000000}"/>
            </a:ext>
          </a:extLst>
        </xdr:cNvPr>
        <xdr:cNvSpPr txBox="1"/>
      </xdr:nvSpPr>
      <xdr:spPr>
        <a:xfrm rot="3343702">
          <a:off x="2770538" y="72832369"/>
          <a:ext cx="65049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cap="none" spc="0">
              <a:ln w="0"/>
              <a:solidFill>
                <a:sysClr val="windowText" lastClr="000000"/>
              </a:solidFill>
              <a:effectLst>
                <a:outerShdw blurRad="38100" dist="25400" dir="5400000" algn="ctr" rotWithShape="0">
                  <a:srgbClr val="6E747A">
                    <a:alpha val="43000"/>
                  </a:srgbClr>
                </a:outerShdw>
              </a:effectLst>
            </a:rPr>
            <a:t>Type B1</a:t>
          </a:r>
        </a:p>
      </xdr:txBody>
    </xdr:sp>
    <xdr:clientData/>
  </xdr:oneCellAnchor>
  <xdr:oneCellAnchor>
    <xdr:from>
      <xdr:col>2</xdr:col>
      <xdr:colOff>810861</xdr:colOff>
      <xdr:row>386</xdr:row>
      <xdr:rowOff>179549</xdr:rowOff>
    </xdr:from>
    <xdr:ext cx="264560" cy="585417"/>
    <xdr:sp macro="" textlink="">
      <xdr:nvSpPr>
        <xdr:cNvPr id="14" name="TextBox 13">
          <a:extLst>
            <a:ext uri="{FF2B5EF4-FFF2-40B4-BE49-F238E27FC236}">
              <a16:creationId xmlns:a16="http://schemas.microsoft.com/office/drawing/2014/main" id="{00000000-0008-0000-0000-00000E000000}"/>
            </a:ext>
          </a:extLst>
        </xdr:cNvPr>
        <xdr:cNvSpPr txBox="1"/>
      </xdr:nvSpPr>
      <xdr:spPr>
        <a:xfrm rot="3343702">
          <a:off x="2288732" y="72037828"/>
          <a:ext cx="58541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cap="none" spc="0">
              <a:ln w="0"/>
              <a:solidFill>
                <a:sysClr val="windowText" lastClr="000000"/>
              </a:solidFill>
              <a:effectLst>
                <a:outerShdw blurRad="38100" dist="25400" dir="5400000" algn="ctr" rotWithShape="0">
                  <a:srgbClr val="6E747A">
                    <a:alpha val="43000"/>
                  </a:srgbClr>
                </a:outerShdw>
              </a:effectLst>
            </a:rPr>
            <a:t>Type C</a:t>
          </a:r>
        </a:p>
      </xdr:txBody>
    </xdr:sp>
    <xdr:clientData/>
  </xdr:oneCellAnchor>
  <xdr:twoCellAnchor editAs="oneCell">
    <xdr:from>
      <xdr:col>8</xdr:col>
      <xdr:colOff>323850</xdr:colOff>
      <xdr:row>46</xdr:row>
      <xdr:rowOff>57150</xdr:rowOff>
    </xdr:from>
    <xdr:to>
      <xdr:col>12</xdr:col>
      <xdr:colOff>412800</xdr:colOff>
      <xdr:row>55</xdr:row>
      <xdr:rowOff>215766</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6946900" y="10998200"/>
          <a:ext cx="4680000" cy="2577966"/>
        </a:xfrm>
        <a:prstGeom prst="rect">
          <a:avLst/>
        </a:prstGeom>
        <a:ln>
          <a:solidFill>
            <a:schemeClr val="tx1"/>
          </a:solidFill>
        </a:ln>
      </xdr:spPr>
    </xdr:pic>
    <xdr:clientData/>
  </xdr:twoCellAnchor>
  <xdr:twoCellAnchor editAs="oneCell">
    <xdr:from>
      <xdr:col>8</xdr:col>
      <xdr:colOff>895350</xdr:colOff>
      <xdr:row>390</xdr:row>
      <xdr:rowOff>133350</xdr:rowOff>
    </xdr:from>
    <xdr:to>
      <xdr:col>12</xdr:col>
      <xdr:colOff>264300</xdr:colOff>
      <xdr:row>407</xdr:row>
      <xdr:rowOff>38501</xdr:rowOff>
    </xdr:to>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7518400" y="68745100"/>
          <a:ext cx="3960000" cy="3251600"/>
        </a:xfrm>
        <a:prstGeom prst="rect">
          <a:avLst/>
        </a:prstGeom>
        <a:ln>
          <a:solidFill>
            <a:schemeClr val="tx1"/>
          </a:solidFill>
        </a:ln>
      </xdr:spPr>
    </xdr:pic>
    <xdr:clientData/>
  </xdr:twoCellAnchor>
  <xdr:oneCellAnchor>
    <xdr:from>
      <xdr:col>11</xdr:col>
      <xdr:colOff>534369</xdr:colOff>
      <xdr:row>364</xdr:row>
      <xdr:rowOff>43895</xdr:rowOff>
    </xdr:from>
    <xdr:ext cx="610913" cy="264560"/>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9913319" y="67017345"/>
          <a:ext cx="61091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a:t>Wing C</a:t>
          </a:r>
        </a:p>
      </xdr:txBody>
    </xdr:sp>
    <xdr:clientData/>
  </xdr:oneCellAnchor>
  <xdr:oneCellAnchor>
    <xdr:from>
      <xdr:col>11</xdr:col>
      <xdr:colOff>570920</xdr:colOff>
      <xdr:row>352</xdr:row>
      <xdr:rowOff>137835</xdr:rowOff>
    </xdr:from>
    <xdr:ext cx="598214" cy="436786"/>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9949870" y="64749085"/>
          <a:ext cx="598214"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a:t>Wing B</a:t>
          </a:r>
        </a:p>
        <a:p>
          <a:endParaRPr lang="en-IN" sz="1100"/>
        </a:p>
      </xdr:txBody>
    </xdr:sp>
    <xdr:clientData/>
  </xdr:oneCellAnchor>
  <xdr:twoCellAnchor editAs="oneCell">
    <xdr:from>
      <xdr:col>8</xdr:col>
      <xdr:colOff>1076325</xdr:colOff>
      <xdr:row>144</xdr:row>
      <xdr:rowOff>76199</xdr:rowOff>
    </xdr:from>
    <xdr:to>
      <xdr:col>12</xdr:col>
      <xdr:colOff>485775</xdr:colOff>
      <xdr:row>158</xdr:row>
      <xdr:rowOff>9525</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7391400" y="31032449"/>
          <a:ext cx="3790950" cy="2743201"/>
        </a:xfrm>
        <a:prstGeom prst="rect">
          <a:avLst/>
        </a:prstGeom>
      </xdr:spPr>
    </xdr:pic>
    <xdr:clientData/>
  </xdr:twoCellAnchor>
  <xdr:twoCellAnchor>
    <xdr:from>
      <xdr:col>9</xdr:col>
      <xdr:colOff>152400</xdr:colOff>
      <xdr:row>343</xdr:row>
      <xdr:rowOff>45720</xdr:rowOff>
    </xdr:from>
    <xdr:to>
      <xdr:col>14</xdr:col>
      <xdr:colOff>533400</xdr:colOff>
      <xdr:row>381</xdr:row>
      <xdr:rowOff>182880</xdr:rowOff>
    </xdr:to>
    <xdr:grpSp>
      <xdr:nvGrpSpPr>
        <xdr:cNvPr id="18" name="Group 17">
          <a:extLst>
            <a:ext uri="{FF2B5EF4-FFF2-40B4-BE49-F238E27FC236}">
              <a16:creationId xmlns:a16="http://schemas.microsoft.com/office/drawing/2014/main" id="{83E9D198-C1A9-15CF-2534-F716B268A865}"/>
            </a:ext>
          </a:extLst>
        </xdr:cNvPr>
        <xdr:cNvGrpSpPr/>
      </xdr:nvGrpSpPr>
      <xdr:grpSpPr>
        <a:xfrm>
          <a:off x="7833360" y="64168020"/>
          <a:ext cx="5372100" cy="7658100"/>
          <a:chOff x="945081" y="2455789"/>
          <a:chExt cx="4651863" cy="6383955"/>
        </a:xfrm>
      </xdr:grpSpPr>
      <xdr:pic>
        <xdr:nvPicPr>
          <xdr:cNvPr id="19" name="Picture 18">
            <a:extLst>
              <a:ext uri="{FF2B5EF4-FFF2-40B4-BE49-F238E27FC236}">
                <a16:creationId xmlns:a16="http://schemas.microsoft.com/office/drawing/2014/main" id="{9A341107-A5B8-07CD-AC63-886E9D5F1B0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385059" y="7106854"/>
            <a:ext cx="1298463" cy="17328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a:extLst>
              <a:ext uri="{FF2B5EF4-FFF2-40B4-BE49-F238E27FC236}">
                <a16:creationId xmlns:a16="http://schemas.microsoft.com/office/drawing/2014/main" id="{E7ED42EC-50E6-73DF-75AE-B707EDF445FF}"/>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78444" y="2455789"/>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a:extLst>
              <a:ext uri="{FF2B5EF4-FFF2-40B4-BE49-F238E27FC236}">
                <a16:creationId xmlns:a16="http://schemas.microsoft.com/office/drawing/2014/main" id="{14AC6753-7AF7-D6BA-C050-964B814EF2BF}"/>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581966" y="4781322"/>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a:extLst>
              <a:ext uri="{FF2B5EF4-FFF2-40B4-BE49-F238E27FC236}">
                <a16:creationId xmlns:a16="http://schemas.microsoft.com/office/drawing/2014/main" id="{75D9CF36-C482-12AA-3589-F7FD4F43D1A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081" y="2455789"/>
            <a:ext cx="2877336"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a:extLst>
              <a:ext uri="{FF2B5EF4-FFF2-40B4-BE49-F238E27FC236}">
                <a16:creationId xmlns:a16="http://schemas.microsoft.com/office/drawing/2014/main" id="{D7AB4064-349A-544E-D851-31EC092F8194}"/>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323193" y="4781322"/>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a:extLst>
              <a:ext uri="{FF2B5EF4-FFF2-40B4-BE49-F238E27FC236}">
                <a16:creationId xmlns:a16="http://schemas.microsoft.com/office/drawing/2014/main" id="{2F609E9A-7A04-6385-254F-7F98BD86DF1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982693" y="7106855"/>
            <a:ext cx="1298463" cy="17328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12</xdr:col>
      <xdr:colOff>314212</xdr:colOff>
      <xdr:row>344</xdr:row>
      <xdr:rowOff>127298</xdr:rowOff>
    </xdr:from>
    <xdr:to>
      <xdr:col>14</xdr:col>
      <xdr:colOff>600270</xdr:colOff>
      <xdr:row>346</xdr:row>
      <xdr:rowOff>106090</xdr:rowOff>
    </xdr:to>
    <xdr:sp macro="" textlink="">
      <xdr:nvSpPr>
        <xdr:cNvPr id="25" name="TextBox 227">
          <a:extLst>
            <a:ext uri="{FF2B5EF4-FFF2-40B4-BE49-F238E27FC236}">
              <a16:creationId xmlns:a16="http://schemas.microsoft.com/office/drawing/2014/main" id="{783BD849-544D-4652-923F-24CBD652A6B8}"/>
            </a:ext>
          </a:extLst>
        </xdr:cNvPr>
        <xdr:cNvSpPr txBox="1"/>
      </xdr:nvSpPr>
      <xdr:spPr>
        <a:xfrm>
          <a:off x="11309872" y="64447718"/>
          <a:ext cx="1962458" cy="36741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1 Wing A</a:t>
          </a:r>
          <a:endParaRPr lang="en-IN" b="1">
            <a:solidFill>
              <a:srgbClr val="FF0000"/>
            </a:solidFill>
          </a:endParaRPr>
        </a:p>
      </xdr:txBody>
    </xdr:sp>
    <xdr:clientData/>
  </xdr:twoCellAnchor>
  <xdr:twoCellAnchor>
    <xdr:from>
      <xdr:col>9</xdr:col>
      <xdr:colOff>152400</xdr:colOff>
      <xdr:row>343</xdr:row>
      <xdr:rowOff>45720</xdr:rowOff>
    </xdr:from>
    <xdr:to>
      <xdr:col>10</xdr:col>
      <xdr:colOff>1320585</xdr:colOff>
      <xdr:row>345</xdr:row>
      <xdr:rowOff>23167</xdr:rowOff>
    </xdr:to>
    <xdr:sp macro="" textlink="">
      <xdr:nvSpPr>
        <xdr:cNvPr id="27" name="TextBox 228">
          <a:extLst>
            <a:ext uri="{FF2B5EF4-FFF2-40B4-BE49-F238E27FC236}">
              <a16:creationId xmlns:a16="http://schemas.microsoft.com/office/drawing/2014/main" id="{84225253-3F60-45C6-A042-CDD9927F8209}"/>
            </a:ext>
          </a:extLst>
        </xdr:cNvPr>
        <xdr:cNvSpPr txBox="1"/>
      </xdr:nvSpPr>
      <xdr:spPr>
        <a:xfrm>
          <a:off x="7833360" y="64168020"/>
          <a:ext cx="1953045" cy="36606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2 Wing B</a:t>
          </a:r>
          <a:endParaRPr lang="en-IN" b="1">
            <a:solidFill>
              <a:srgbClr val="FF0000"/>
            </a:solidFill>
          </a:endParaRPr>
        </a:p>
      </xdr:txBody>
    </xdr:sp>
    <xdr:clientData/>
  </xdr:twoCellAnchor>
  <xdr:twoCellAnchor>
    <xdr:from>
      <xdr:col>10</xdr:col>
      <xdr:colOff>607807</xdr:colOff>
      <xdr:row>367</xdr:row>
      <xdr:rowOff>18826</xdr:rowOff>
    </xdr:from>
    <xdr:to>
      <xdr:col>11</xdr:col>
      <xdr:colOff>278491</xdr:colOff>
      <xdr:row>370</xdr:row>
      <xdr:rowOff>65531</xdr:rowOff>
    </xdr:to>
    <xdr:sp macro="" textlink="">
      <xdr:nvSpPr>
        <xdr:cNvPr id="28" name="TextBox 230">
          <a:extLst>
            <a:ext uri="{FF2B5EF4-FFF2-40B4-BE49-F238E27FC236}">
              <a16:creationId xmlns:a16="http://schemas.microsoft.com/office/drawing/2014/main" id="{D7AC8780-E459-4BF9-B19D-E865F40AD580}"/>
            </a:ext>
          </a:extLst>
        </xdr:cNvPr>
        <xdr:cNvSpPr txBox="1"/>
      </xdr:nvSpPr>
      <xdr:spPr>
        <a:xfrm>
          <a:off x="9073627" y="68888386"/>
          <a:ext cx="1248024" cy="64106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3 </a:t>
          </a:r>
        </a:p>
        <a:p>
          <a:r>
            <a:rPr lang="en-US" b="1">
              <a:solidFill>
                <a:srgbClr val="FF0000"/>
              </a:solidFill>
            </a:rPr>
            <a:t>Wing B1</a:t>
          </a:r>
          <a:endParaRPr lang="en-IN" b="1">
            <a:solidFill>
              <a:srgbClr val="FF0000"/>
            </a:solidFill>
          </a:endParaRPr>
        </a:p>
      </xdr:txBody>
    </xdr:sp>
    <xdr:clientData/>
  </xdr:twoCellAnchor>
  <xdr:twoCellAnchor>
    <xdr:from>
      <xdr:col>11</xdr:col>
      <xdr:colOff>818477</xdr:colOff>
      <xdr:row>366</xdr:row>
      <xdr:rowOff>64546</xdr:rowOff>
    </xdr:from>
    <xdr:to>
      <xdr:col>13</xdr:col>
      <xdr:colOff>301800</xdr:colOff>
      <xdr:row>369</xdr:row>
      <xdr:rowOff>110355</xdr:rowOff>
    </xdr:to>
    <xdr:sp macro="" textlink="">
      <xdr:nvSpPr>
        <xdr:cNvPr id="29" name="TextBox 231">
          <a:extLst>
            <a:ext uri="{FF2B5EF4-FFF2-40B4-BE49-F238E27FC236}">
              <a16:creationId xmlns:a16="http://schemas.microsoft.com/office/drawing/2014/main" id="{CD1895CF-D0D5-49CC-92AE-BD6B3F681FE3}"/>
            </a:ext>
          </a:extLst>
        </xdr:cNvPr>
        <xdr:cNvSpPr txBox="1"/>
      </xdr:nvSpPr>
      <xdr:spPr>
        <a:xfrm>
          <a:off x="10861637" y="68735986"/>
          <a:ext cx="1251163" cy="64016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4 </a:t>
          </a:r>
        </a:p>
        <a:p>
          <a:r>
            <a:rPr lang="en-US" b="1">
              <a:solidFill>
                <a:srgbClr val="FF0000"/>
              </a:solidFill>
            </a:rPr>
            <a:t>Wing C</a:t>
          </a:r>
          <a:endParaRPr lang="en-IN" b="1">
            <a:solidFill>
              <a:srgbClr val="FF0000"/>
            </a:solidFill>
          </a:endParaRPr>
        </a:p>
      </xdr:txBody>
    </xdr:sp>
    <xdr:clientData/>
  </xdr:twoCellAnchor>
  <xdr:twoCellAnchor>
    <xdr:from>
      <xdr:col>0</xdr:col>
      <xdr:colOff>114300</xdr:colOff>
      <xdr:row>343</xdr:row>
      <xdr:rowOff>7620</xdr:rowOff>
    </xdr:from>
    <xdr:to>
      <xdr:col>7</xdr:col>
      <xdr:colOff>609601</xdr:colOff>
      <xdr:row>378</xdr:row>
      <xdr:rowOff>92870</xdr:rowOff>
    </xdr:to>
    <xdr:grpSp>
      <xdr:nvGrpSpPr>
        <xdr:cNvPr id="10" name="Group 9">
          <a:extLst>
            <a:ext uri="{FF2B5EF4-FFF2-40B4-BE49-F238E27FC236}">
              <a16:creationId xmlns:a16="http://schemas.microsoft.com/office/drawing/2014/main" id="{B3AE17E9-E977-EE38-D3A1-6C1960054106}"/>
            </a:ext>
          </a:extLst>
        </xdr:cNvPr>
        <xdr:cNvGrpSpPr/>
      </xdr:nvGrpSpPr>
      <xdr:grpSpPr>
        <a:xfrm>
          <a:off x="114300" y="64129920"/>
          <a:ext cx="6225541" cy="7011830"/>
          <a:chOff x="85954" y="145918"/>
          <a:chExt cx="6899601" cy="7156610"/>
        </a:xfrm>
      </xdr:grpSpPr>
      <xdr:grpSp>
        <xdr:nvGrpSpPr>
          <xdr:cNvPr id="26" name="Group 25">
            <a:extLst>
              <a:ext uri="{FF2B5EF4-FFF2-40B4-BE49-F238E27FC236}">
                <a16:creationId xmlns:a16="http://schemas.microsoft.com/office/drawing/2014/main" id="{57010E0C-A86D-C1CE-CE8D-394164CBED67}"/>
              </a:ext>
            </a:extLst>
          </xdr:cNvPr>
          <xdr:cNvGrpSpPr/>
        </xdr:nvGrpSpPr>
        <xdr:grpSpPr>
          <a:xfrm>
            <a:off x="2083240" y="5502528"/>
            <a:ext cx="2905028" cy="1800000"/>
            <a:chOff x="625392" y="5502528"/>
            <a:chExt cx="2905028" cy="1800000"/>
          </a:xfrm>
        </xdr:grpSpPr>
        <xdr:pic>
          <xdr:nvPicPr>
            <xdr:cNvPr id="48" name="Picture 47">
              <a:extLst>
                <a:ext uri="{FF2B5EF4-FFF2-40B4-BE49-F238E27FC236}">
                  <a16:creationId xmlns:a16="http://schemas.microsoft.com/office/drawing/2014/main" id="{545AD1E0-DA4D-DF70-650F-CB4F4689BD0F}"/>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2181827" y="5502528"/>
              <a:ext cx="1348593" cy="1800000"/>
            </a:xfrm>
            <a:prstGeom prst="rect">
              <a:avLst/>
            </a:prstGeom>
            <a:ln>
              <a:solidFill>
                <a:schemeClr val="tx1"/>
              </a:solidFill>
            </a:ln>
          </xdr:spPr>
        </xdr:pic>
        <xdr:pic>
          <xdr:nvPicPr>
            <xdr:cNvPr id="49" name="Picture 48">
              <a:extLst>
                <a:ext uri="{FF2B5EF4-FFF2-40B4-BE49-F238E27FC236}">
                  <a16:creationId xmlns:a16="http://schemas.microsoft.com/office/drawing/2014/main" id="{3A89ED37-445C-A76B-85C6-4203C1C72B2C}"/>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625392" y="5502528"/>
              <a:ext cx="1348593" cy="1800000"/>
            </a:xfrm>
            <a:prstGeom prst="rect">
              <a:avLst/>
            </a:prstGeom>
            <a:ln>
              <a:solidFill>
                <a:schemeClr val="tx1"/>
              </a:solidFill>
            </a:ln>
          </xdr:spPr>
        </xdr:pic>
      </xdr:grpSp>
      <xdr:grpSp>
        <xdr:nvGrpSpPr>
          <xdr:cNvPr id="30" name="Group 29">
            <a:extLst>
              <a:ext uri="{FF2B5EF4-FFF2-40B4-BE49-F238E27FC236}">
                <a16:creationId xmlns:a16="http://schemas.microsoft.com/office/drawing/2014/main" id="{DD4C4920-526C-6DA8-6C28-917338A68416}"/>
              </a:ext>
            </a:extLst>
          </xdr:cNvPr>
          <xdr:cNvGrpSpPr/>
        </xdr:nvGrpSpPr>
        <xdr:grpSpPr>
          <a:xfrm>
            <a:off x="495866" y="2824223"/>
            <a:ext cx="6079777" cy="2520000"/>
            <a:chOff x="85954" y="2824223"/>
            <a:chExt cx="6079777" cy="2520000"/>
          </a:xfrm>
        </xdr:grpSpPr>
        <xdr:pic>
          <xdr:nvPicPr>
            <xdr:cNvPr id="36" name="Picture 35">
              <a:extLst>
                <a:ext uri="{FF2B5EF4-FFF2-40B4-BE49-F238E27FC236}">
                  <a16:creationId xmlns:a16="http://schemas.microsoft.com/office/drawing/2014/main" id="{160B6363-D949-AC65-03C1-8661F801B3AB}"/>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4277700" y="2824223"/>
              <a:ext cx="1888031" cy="2520000"/>
            </a:xfrm>
            <a:prstGeom prst="rect">
              <a:avLst/>
            </a:prstGeom>
            <a:ln>
              <a:solidFill>
                <a:schemeClr val="tx1"/>
              </a:solidFill>
            </a:ln>
          </xdr:spPr>
        </xdr:pic>
        <xdr:pic>
          <xdr:nvPicPr>
            <xdr:cNvPr id="37" name="Picture 36">
              <a:extLst>
                <a:ext uri="{FF2B5EF4-FFF2-40B4-BE49-F238E27FC236}">
                  <a16:creationId xmlns:a16="http://schemas.microsoft.com/office/drawing/2014/main" id="{700C17EB-7966-72FC-175C-CDCFA1075779}"/>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85954" y="2824223"/>
              <a:ext cx="1888031" cy="2520000"/>
            </a:xfrm>
            <a:prstGeom prst="rect">
              <a:avLst/>
            </a:prstGeom>
            <a:ln>
              <a:solidFill>
                <a:schemeClr val="tx1"/>
              </a:solidFill>
            </a:ln>
          </xdr:spPr>
        </xdr:pic>
        <xdr:pic>
          <xdr:nvPicPr>
            <xdr:cNvPr id="38" name="Picture 37">
              <a:extLst>
                <a:ext uri="{FF2B5EF4-FFF2-40B4-BE49-F238E27FC236}">
                  <a16:creationId xmlns:a16="http://schemas.microsoft.com/office/drawing/2014/main" id="{A7F2CECA-1415-5F4E-8086-C2305116E6DD}"/>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2181827" y="2824223"/>
              <a:ext cx="1888031" cy="2520000"/>
            </a:xfrm>
            <a:prstGeom prst="rect">
              <a:avLst/>
            </a:prstGeom>
            <a:ln>
              <a:solidFill>
                <a:schemeClr val="tx1"/>
              </a:solidFill>
            </a:ln>
          </xdr:spPr>
        </xdr:pic>
        <xdr:sp macro="" textlink="">
          <xdr:nvSpPr>
            <xdr:cNvPr id="40" name="TextBox 20">
              <a:extLst>
                <a:ext uri="{FF2B5EF4-FFF2-40B4-BE49-F238E27FC236}">
                  <a16:creationId xmlns:a16="http://schemas.microsoft.com/office/drawing/2014/main" id="{AA2E31B5-C083-A42F-06E1-0425641ACFD2}"/>
                </a:ext>
              </a:extLst>
            </xdr:cNvPr>
            <xdr:cNvSpPr txBox="1"/>
          </xdr:nvSpPr>
          <xdr:spPr>
            <a:xfrm>
              <a:off x="2377439" y="2987040"/>
              <a:ext cx="659730" cy="27002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100" b="1"/>
                <a:t>Type C</a:t>
              </a:r>
            </a:p>
          </xdr:txBody>
        </xdr:sp>
        <xdr:sp macro="" textlink="">
          <xdr:nvSpPr>
            <xdr:cNvPr id="41" name="TextBox 21">
              <a:extLst>
                <a:ext uri="{FF2B5EF4-FFF2-40B4-BE49-F238E27FC236}">
                  <a16:creationId xmlns:a16="http://schemas.microsoft.com/office/drawing/2014/main" id="{116C79BB-7BB7-732E-E369-D77E48A683B5}"/>
                </a:ext>
              </a:extLst>
            </xdr:cNvPr>
            <xdr:cNvSpPr txBox="1"/>
          </xdr:nvSpPr>
          <xdr:spPr>
            <a:xfrm>
              <a:off x="1006979" y="2926080"/>
              <a:ext cx="733797" cy="27002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100" b="1"/>
                <a:t>Type B1</a:t>
              </a:r>
            </a:p>
          </xdr:txBody>
        </xdr:sp>
      </xdr:grpSp>
      <xdr:grpSp>
        <xdr:nvGrpSpPr>
          <xdr:cNvPr id="31" name="Group 30">
            <a:extLst>
              <a:ext uri="{FF2B5EF4-FFF2-40B4-BE49-F238E27FC236}">
                <a16:creationId xmlns:a16="http://schemas.microsoft.com/office/drawing/2014/main" id="{02C7C20C-9A78-1A65-FD02-F90B6BADDCA5}"/>
              </a:ext>
            </a:extLst>
          </xdr:cNvPr>
          <xdr:cNvGrpSpPr/>
        </xdr:nvGrpSpPr>
        <xdr:grpSpPr>
          <a:xfrm>
            <a:off x="85954" y="145918"/>
            <a:ext cx="6899601" cy="2520000"/>
            <a:chOff x="85954" y="145918"/>
            <a:chExt cx="6899601" cy="2520000"/>
          </a:xfrm>
        </xdr:grpSpPr>
        <xdr:pic>
          <xdr:nvPicPr>
            <xdr:cNvPr id="32" name="Picture 31">
              <a:extLst>
                <a:ext uri="{FF2B5EF4-FFF2-40B4-BE49-F238E27FC236}">
                  <a16:creationId xmlns:a16="http://schemas.microsoft.com/office/drawing/2014/main" id="{ADA2CE12-84EA-4EEC-9DD4-810688045E86}"/>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a:ext>
              </a:extLst>
            </a:blip>
            <a:stretch>
              <a:fillRect/>
            </a:stretch>
          </xdr:blipFill>
          <xdr:spPr>
            <a:xfrm>
              <a:off x="85954" y="145918"/>
              <a:ext cx="3356889" cy="2520000"/>
            </a:xfrm>
            <a:prstGeom prst="rect">
              <a:avLst/>
            </a:prstGeom>
            <a:ln>
              <a:solidFill>
                <a:schemeClr val="tx1"/>
              </a:solidFill>
            </a:ln>
          </xdr:spPr>
        </xdr:pic>
        <xdr:pic>
          <xdr:nvPicPr>
            <xdr:cNvPr id="33" name="Picture 32">
              <a:extLst>
                <a:ext uri="{FF2B5EF4-FFF2-40B4-BE49-F238E27FC236}">
                  <a16:creationId xmlns:a16="http://schemas.microsoft.com/office/drawing/2014/main" id="{83B81011-1549-246D-3465-9CE4ABE4FED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tretch>
              <a:fillRect/>
            </a:stretch>
          </xdr:blipFill>
          <xdr:spPr>
            <a:xfrm>
              <a:off x="3628666" y="145918"/>
              <a:ext cx="3356889" cy="2520000"/>
            </a:xfrm>
            <a:prstGeom prst="rect">
              <a:avLst/>
            </a:prstGeom>
            <a:ln>
              <a:solidFill>
                <a:schemeClr val="tx1"/>
              </a:solidFill>
            </a:ln>
          </xdr:spPr>
        </xdr:pic>
        <xdr:sp macro="" textlink="">
          <xdr:nvSpPr>
            <xdr:cNvPr id="34" name="TextBox 22">
              <a:extLst>
                <a:ext uri="{FF2B5EF4-FFF2-40B4-BE49-F238E27FC236}">
                  <a16:creationId xmlns:a16="http://schemas.microsoft.com/office/drawing/2014/main" id="{7707E7EB-F303-0633-6C5F-88555EBF50AA}"/>
                </a:ext>
              </a:extLst>
            </xdr:cNvPr>
            <xdr:cNvSpPr txBox="1"/>
          </xdr:nvSpPr>
          <xdr:spPr>
            <a:xfrm>
              <a:off x="4884014" y="478795"/>
              <a:ext cx="659730" cy="27002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100" b="1"/>
                <a:t>Type B</a:t>
              </a:r>
            </a:p>
          </xdr:txBody>
        </xdr:sp>
        <xdr:sp macro="" textlink="">
          <xdr:nvSpPr>
            <xdr:cNvPr id="35" name="TextBox 23">
              <a:extLst>
                <a:ext uri="{FF2B5EF4-FFF2-40B4-BE49-F238E27FC236}">
                  <a16:creationId xmlns:a16="http://schemas.microsoft.com/office/drawing/2014/main" id="{82C6F12A-7A14-FDB3-587B-F65DFBE9581D}"/>
                </a:ext>
              </a:extLst>
            </xdr:cNvPr>
            <xdr:cNvSpPr txBox="1"/>
          </xdr:nvSpPr>
          <xdr:spPr>
            <a:xfrm>
              <a:off x="1681275" y="478795"/>
              <a:ext cx="659730" cy="27002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100" b="1"/>
                <a:t>Type A</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0</xdr:colOff>
      <xdr:row>27</xdr:row>
      <xdr:rowOff>37392</xdr:rowOff>
    </xdr:from>
    <xdr:to>
      <xdr:col>7</xdr:col>
      <xdr:colOff>894412</xdr:colOff>
      <xdr:row>35</xdr:row>
      <xdr:rowOff>71578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12588" y="5177157"/>
          <a:ext cx="9000000" cy="1528303"/>
        </a:xfrm>
        <a:prstGeom prst="rect">
          <a:avLst/>
        </a:prstGeom>
        <a:ln>
          <a:solidFill>
            <a:schemeClr val="tx1"/>
          </a:solidFill>
        </a:ln>
      </xdr:spPr>
    </xdr:pic>
    <xdr:clientData/>
  </xdr:twoCellAnchor>
  <xdr:twoCellAnchor editAs="oneCell">
    <xdr:from>
      <xdr:col>1</xdr:col>
      <xdr:colOff>119269</xdr:colOff>
      <xdr:row>14</xdr:row>
      <xdr:rowOff>0</xdr:rowOff>
    </xdr:from>
    <xdr:to>
      <xdr:col>4</xdr:col>
      <xdr:colOff>588681</xdr:colOff>
      <xdr:row>24</xdr:row>
      <xdr:rowOff>117209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31857" y="2696882"/>
          <a:ext cx="5400000" cy="1999798"/>
        </a:xfrm>
        <a:prstGeom prst="rect">
          <a:avLst/>
        </a:prstGeom>
        <a:ln>
          <a:solidFill>
            <a:schemeClr val="tx1"/>
          </a:solidFill>
        </a:ln>
      </xdr:spPr>
    </xdr:pic>
    <xdr:clientData/>
  </xdr:twoCellAnchor>
  <xdr:twoCellAnchor editAs="oneCell">
    <xdr:from>
      <xdr:col>1</xdr:col>
      <xdr:colOff>0</xdr:colOff>
      <xdr:row>36</xdr:row>
      <xdr:rowOff>0</xdr:rowOff>
    </xdr:from>
    <xdr:to>
      <xdr:col>15</xdr:col>
      <xdr:colOff>101974</xdr:colOff>
      <xdr:row>74</xdr:row>
      <xdr:rowOff>76200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582706" y="6869206"/>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iepEBH1tLWu6a85Q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426"/>
  <sheetViews>
    <sheetView tabSelected="1" view="pageBreakPreview" topLeftCell="A4" zoomScaleNormal="100" zoomScaleSheetLayoutView="100" zoomScalePageLayoutView="85" workbookViewId="0">
      <selection activeCell="I8" sqref="I8"/>
    </sheetView>
  </sheetViews>
  <sheetFormatPr defaultColWidth="9.109375" defaultRowHeight="15.6" x14ac:dyDescent="0.3"/>
  <cols>
    <col min="1" max="1" width="11.44140625" style="37" customWidth="1"/>
    <col min="2" max="2" width="12" style="37" customWidth="1"/>
    <col min="3" max="3" width="12.6640625" style="37" customWidth="1"/>
    <col min="4" max="4" width="13.6640625" style="37" customWidth="1"/>
    <col min="5" max="5" width="11.6640625" style="37" customWidth="1"/>
    <col min="6" max="6" width="11.109375" style="37" customWidth="1"/>
    <col min="7" max="8" width="11" style="37" customWidth="1"/>
    <col min="9" max="9" width="17.44140625" style="18" customWidth="1"/>
    <col min="10" max="10" width="11.44140625" style="18" customWidth="1"/>
    <col min="11" max="11" width="23" style="18" customWidth="1"/>
    <col min="12" max="12" width="13.88671875" style="18" bestFit="1" customWidth="1"/>
    <col min="13" max="13" width="11.88671875" style="18" customWidth="1"/>
    <col min="14" max="14" width="12.5546875" style="18" customWidth="1"/>
    <col min="15" max="15" width="12.109375" style="18" customWidth="1"/>
    <col min="16" max="16" width="11.6640625" style="18" customWidth="1"/>
    <col min="17" max="18" width="9.109375" style="18"/>
    <col min="19" max="19" width="10.88671875" style="18" bestFit="1" customWidth="1"/>
    <col min="20" max="20" width="10.6640625" style="18" customWidth="1"/>
    <col min="21" max="247" width="9.109375" style="18"/>
    <col min="248" max="248" width="8.6640625" style="18" customWidth="1"/>
    <col min="249" max="249" width="9.88671875" style="18" customWidth="1"/>
    <col min="250" max="250" width="14.44140625" style="18" customWidth="1"/>
    <col min="251" max="251" width="7.33203125" style="18" customWidth="1"/>
    <col min="252" max="252" width="5.5546875" style="18" customWidth="1"/>
    <col min="253" max="253" width="9" style="18" customWidth="1"/>
    <col min="254" max="255" width="9.88671875" style="18" customWidth="1"/>
    <col min="256" max="256" width="11.109375" style="18" customWidth="1"/>
    <col min="257" max="257" width="2.88671875" style="18" customWidth="1"/>
    <col min="258" max="258" width="3.5546875" style="18" customWidth="1"/>
    <col min="259" max="503" width="9.109375" style="18"/>
    <col min="504" max="504" width="8.6640625" style="18" customWidth="1"/>
    <col min="505" max="505" width="9.88671875" style="18" customWidth="1"/>
    <col min="506" max="506" width="14.44140625" style="18" customWidth="1"/>
    <col min="507" max="507" width="7.33203125" style="18" customWidth="1"/>
    <col min="508" max="508" width="5.5546875" style="18" customWidth="1"/>
    <col min="509" max="509" width="9" style="18" customWidth="1"/>
    <col min="510" max="511" width="9.88671875" style="18" customWidth="1"/>
    <col min="512" max="512" width="11.109375" style="18" customWidth="1"/>
    <col min="513" max="513" width="2.88671875" style="18" customWidth="1"/>
    <col min="514" max="514" width="3.5546875" style="18" customWidth="1"/>
    <col min="515" max="759" width="9.109375" style="18"/>
    <col min="760" max="760" width="8.6640625" style="18" customWidth="1"/>
    <col min="761" max="761" width="9.88671875" style="18" customWidth="1"/>
    <col min="762" max="762" width="14.44140625" style="18" customWidth="1"/>
    <col min="763" max="763" width="7.33203125" style="18" customWidth="1"/>
    <col min="764" max="764" width="5.5546875" style="18" customWidth="1"/>
    <col min="765" max="765" width="9" style="18" customWidth="1"/>
    <col min="766" max="767" width="9.88671875" style="18" customWidth="1"/>
    <col min="768" max="768" width="11.109375" style="18" customWidth="1"/>
    <col min="769" max="769" width="2.88671875" style="18" customWidth="1"/>
    <col min="770" max="770" width="3.5546875" style="18" customWidth="1"/>
    <col min="771" max="1015" width="9.109375" style="18"/>
    <col min="1016" max="1016" width="8.6640625" style="18" customWidth="1"/>
    <col min="1017" max="1017" width="9.88671875" style="18" customWidth="1"/>
    <col min="1018" max="1018" width="14.44140625" style="18" customWidth="1"/>
    <col min="1019" max="1019" width="7.33203125" style="18" customWidth="1"/>
    <col min="1020" max="1020" width="5.5546875" style="18" customWidth="1"/>
    <col min="1021" max="1021" width="9" style="18" customWidth="1"/>
    <col min="1022" max="1023" width="9.88671875" style="18" customWidth="1"/>
    <col min="1024" max="1024" width="11.109375" style="18" customWidth="1"/>
    <col min="1025" max="1025" width="2.88671875" style="18" customWidth="1"/>
    <col min="1026" max="1026" width="3.5546875" style="18" customWidth="1"/>
    <col min="1027" max="1271" width="9.109375" style="18"/>
    <col min="1272" max="1272" width="8.6640625" style="18" customWidth="1"/>
    <col min="1273" max="1273" width="9.88671875" style="18" customWidth="1"/>
    <col min="1274" max="1274" width="14.44140625" style="18" customWidth="1"/>
    <col min="1275" max="1275" width="7.33203125" style="18" customWidth="1"/>
    <col min="1276" max="1276" width="5.5546875" style="18" customWidth="1"/>
    <col min="1277" max="1277" width="9" style="18" customWidth="1"/>
    <col min="1278" max="1279" width="9.88671875" style="18" customWidth="1"/>
    <col min="1280" max="1280" width="11.109375" style="18" customWidth="1"/>
    <col min="1281" max="1281" width="2.88671875" style="18" customWidth="1"/>
    <col min="1282" max="1282" width="3.5546875" style="18" customWidth="1"/>
    <col min="1283" max="1527" width="9.109375" style="18"/>
    <col min="1528" max="1528" width="8.6640625" style="18" customWidth="1"/>
    <col min="1529" max="1529" width="9.88671875" style="18" customWidth="1"/>
    <col min="1530" max="1530" width="14.44140625" style="18" customWidth="1"/>
    <col min="1531" max="1531" width="7.33203125" style="18" customWidth="1"/>
    <col min="1532" max="1532" width="5.5546875" style="18" customWidth="1"/>
    <col min="1533" max="1533" width="9" style="18" customWidth="1"/>
    <col min="1534" max="1535" width="9.88671875" style="18" customWidth="1"/>
    <col min="1536" max="1536" width="11.109375" style="18" customWidth="1"/>
    <col min="1537" max="1537" width="2.88671875" style="18" customWidth="1"/>
    <col min="1538" max="1538" width="3.5546875" style="18" customWidth="1"/>
    <col min="1539" max="1783" width="9.109375" style="18"/>
    <col min="1784" max="1784" width="8.6640625" style="18" customWidth="1"/>
    <col min="1785" max="1785" width="9.88671875" style="18" customWidth="1"/>
    <col min="1786" max="1786" width="14.44140625" style="18" customWidth="1"/>
    <col min="1787" max="1787" width="7.33203125" style="18" customWidth="1"/>
    <col min="1788" max="1788" width="5.5546875" style="18" customWidth="1"/>
    <col min="1789" max="1789" width="9" style="18" customWidth="1"/>
    <col min="1790" max="1791" width="9.88671875" style="18" customWidth="1"/>
    <col min="1792" max="1792" width="11.109375" style="18" customWidth="1"/>
    <col min="1793" max="1793" width="2.88671875" style="18" customWidth="1"/>
    <col min="1794" max="1794" width="3.5546875" style="18" customWidth="1"/>
    <col min="1795" max="2039" width="9.109375" style="18"/>
    <col min="2040" max="2040" width="8.6640625" style="18" customWidth="1"/>
    <col min="2041" max="2041" width="9.88671875" style="18" customWidth="1"/>
    <col min="2042" max="2042" width="14.44140625" style="18" customWidth="1"/>
    <col min="2043" max="2043" width="7.33203125" style="18" customWidth="1"/>
    <col min="2044" max="2044" width="5.5546875" style="18" customWidth="1"/>
    <col min="2045" max="2045" width="9" style="18" customWidth="1"/>
    <col min="2046" max="2047" width="9.88671875" style="18" customWidth="1"/>
    <col min="2048" max="2048" width="11.109375" style="18" customWidth="1"/>
    <col min="2049" max="2049" width="2.88671875" style="18" customWidth="1"/>
    <col min="2050" max="2050" width="3.5546875" style="18" customWidth="1"/>
    <col min="2051" max="2295" width="9.109375" style="18"/>
    <col min="2296" max="2296" width="8.6640625" style="18" customWidth="1"/>
    <col min="2297" max="2297" width="9.88671875" style="18" customWidth="1"/>
    <col min="2298" max="2298" width="14.44140625" style="18" customWidth="1"/>
    <col min="2299" max="2299" width="7.33203125" style="18" customWidth="1"/>
    <col min="2300" max="2300" width="5.5546875" style="18" customWidth="1"/>
    <col min="2301" max="2301" width="9" style="18" customWidth="1"/>
    <col min="2302" max="2303" width="9.88671875" style="18" customWidth="1"/>
    <col min="2304" max="2304" width="11.109375" style="18" customWidth="1"/>
    <col min="2305" max="2305" width="2.88671875" style="18" customWidth="1"/>
    <col min="2306" max="2306" width="3.5546875" style="18" customWidth="1"/>
    <col min="2307" max="2551" width="9.109375" style="18"/>
    <col min="2552" max="2552" width="8.6640625" style="18" customWidth="1"/>
    <col min="2553" max="2553" width="9.88671875" style="18" customWidth="1"/>
    <col min="2554" max="2554" width="14.44140625" style="18" customWidth="1"/>
    <col min="2555" max="2555" width="7.33203125" style="18" customWidth="1"/>
    <col min="2556" max="2556" width="5.5546875" style="18" customWidth="1"/>
    <col min="2557" max="2557" width="9" style="18" customWidth="1"/>
    <col min="2558" max="2559" width="9.88671875" style="18" customWidth="1"/>
    <col min="2560" max="2560" width="11.109375" style="18" customWidth="1"/>
    <col min="2561" max="2561" width="2.88671875" style="18" customWidth="1"/>
    <col min="2562" max="2562" width="3.5546875" style="18" customWidth="1"/>
    <col min="2563" max="2807" width="9.109375" style="18"/>
    <col min="2808" max="2808" width="8.6640625" style="18" customWidth="1"/>
    <col min="2809" max="2809" width="9.88671875" style="18" customWidth="1"/>
    <col min="2810" max="2810" width="14.44140625" style="18" customWidth="1"/>
    <col min="2811" max="2811" width="7.33203125" style="18" customWidth="1"/>
    <col min="2812" max="2812" width="5.5546875" style="18" customWidth="1"/>
    <col min="2813" max="2813" width="9" style="18" customWidth="1"/>
    <col min="2814" max="2815" width="9.88671875" style="18" customWidth="1"/>
    <col min="2816" max="2816" width="11.109375" style="18" customWidth="1"/>
    <col min="2817" max="2817" width="2.88671875" style="18" customWidth="1"/>
    <col min="2818" max="2818" width="3.5546875" style="18" customWidth="1"/>
    <col min="2819" max="3063" width="9.109375" style="18"/>
    <col min="3064" max="3064" width="8.6640625" style="18" customWidth="1"/>
    <col min="3065" max="3065" width="9.88671875" style="18" customWidth="1"/>
    <col min="3066" max="3066" width="14.44140625" style="18" customWidth="1"/>
    <col min="3067" max="3067" width="7.33203125" style="18" customWidth="1"/>
    <col min="3068" max="3068" width="5.5546875" style="18" customWidth="1"/>
    <col min="3069" max="3069" width="9" style="18" customWidth="1"/>
    <col min="3070" max="3071" width="9.88671875" style="18" customWidth="1"/>
    <col min="3072" max="3072" width="11.109375" style="18" customWidth="1"/>
    <col min="3073" max="3073" width="2.88671875" style="18" customWidth="1"/>
    <col min="3074" max="3074" width="3.5546875" style="18" customWidth="1"/>
    <col min="3075" max="3319" width="9.109375" style="18"/>
    <col min="3320" max="3320" width="8.6640625" style="18" customWidth="1"/>
    <col min="3321" max="3321" width="9.88671875" style="18" customWidth="1"/>
    <col min="3322" max="3322" width="14.44140625" style="18" customWidth="1"/>
    <col min="3323" max="3323" width="7.33203125" style="18" customWidth="1"/>
    <col min="3324" max="3324" width="5.5546875" style="18" customWidth="1"/>
    <col min="3325" max="3325" width="9" style="18" customWidth="1"/>
    <col min="3326" max="3327" width="9.88671875" style="18" customWidth="1"/>
    <col min="3328" max="3328" width="11.109375" style="18" customWidth="1"/>
    <col min="3329" max="3329" width="2.88671875" style="18" customWidth="1"/>
    <col min="3330" max="3330" width="3.5546875" style="18" customWidth="1"/>
    <col min="3331" max="3575" width="9.109375" style="18"/>
    <col min="3576" max="3576" width="8.6640625" style="18" customWidth="1"/>
    <col min="3577" max="3577" width="9.88671875" style="18" customWidth="1"/>
    <col min="3578" max="3578" width="14.44140625" style="18" customWidth="1"/>
    <col min="3579" max="3579" width="7.33203125" style="18" customWidth="1"/>
    <col min="3580" max="3580" width="5.5546875" style="18" customWidth="1"/>
    <col min="3581" max="3581" width="9" style="18" customWidth="1"/>
    <col min="3582" max="3583" width="9.88671875" style="18" customWidth="1"/>
    <col min="3584" max="3584" width="11.109375" style="18" customWidth="1"/>
    <col min="3585" max="3585" width="2.88671875" style="18" customWidth="1"/>
    <col min="3586" max="3586" width="3.5546875" style="18" customWidth="1"/>
    <col min="3587" max="3831" width="9.109375" style="18"/>
    <col min="3832" max="3832" width="8.6640625" style="18" customWidth="1"/>
    <col min="3833" max="3833" width="9.88671875" style="18" customWidth="1"/>
    <col min="3834" max="3834" width="14.44140625" style="18" customWidth="1"/>
    <col min="3835" max="3835" width="7.33203125" style="18" customWidth="1"/>
    <col min="3836" max="3836" width="5.5546875" style="18" customWidth="1"/>
    <col min="3837" max="3837" width="9" style="18" customWidth="1"/>
    <col min="3838" max="3839" width="9.88671875" style="18" customWidth="1"/>
    <col min="3840" max="3840" width="11.109375" style="18" customWidth="1"/>
    <col min="3841" max="3841" width="2.88671875" style="18" customWidth="1"/>
    <col min="3842" max="3842" width="3.5546875" style="18" customWidth="1"/>
    <col min="3843" max="4087" width="9.109375" style="18"/>
    <col min="4088" max="4088" width="8.6640625" style="18" customWidth="1"/>
    <col min="4089" max="4089" width="9.88671875" style="18" customWidth="1"/>
    <col min="4090" max="4090" width="14.44140625" style="18" customWidth="1"/>
    <col min="4091" max="4091" width="7.33203125" style="18" customWidth="1"/>
    <col min="4092" max="4092" width="5.5546875" style="18" customWidth="1"/>
    <col min="4093" max="4093" width="9" style="18" customWidth="1"/>
    <col min="4094" max="4095" width="9.88671875" style="18" customWidth="1"/>
    <col min="4096" max="4096" width="11.109375" style="18" customWidth="1"/>
    <col min="4097" max="4097" width="2.88671875" style="18" customWidth="1"/>
    <col min="4098" max="4098" width="3.5546875" style="18" customWidth="1"/>
    <col min="4099" max="4343" width="9.109375" style="18"/>
    <col min="4344" max="4344" width="8.6640625" style="18" customWidth="1"/>
    <col min="4345" max="4345" width="9.88671875" style="18" customWidth="1"/>
    <col min="4346" max="4346" width="14.44140625" style="18" customWidth="1"/>
    <col min="4347" max="4347" width="7.33203125" style="18" customWidth="1"/>
    <col min="4348" max="4348" width="5.5546875" style="18" customWidth="1"/>
    <col min="4349" max="4349" width="9" style="18" customWidth="1"/>
    <col min="4350" max="4351" width="9.88671875" style="18" customWidth="1"/>
    <col min="4352" max="4352" width="11.109375" style="18" customWidth="1"/>
    <col min="4353" max="4353" width="2.88671875" style="18" customWidth="1"/>
    <col min="4354" max="4354" width="3.5546875" style="18" customWidth="1"/>
    <col min="4355" max="4599" width="9.109375" style="18"/>
    <col min="4600" max="4600" width="8.6640625" style="18" customWidth="1"/>
    <col min="4601" max="4601" width="9.88671875" style="18" customWidth="1"/>
    <col min="4602" max="4602" width="14.44140625" style="18" customWidth="1"/>
    <col min="4603" max="4603" width="7.33203125" style="18" customWidth="1"/>
    <col min="4604" max="4604" width="5.5546875" style="18" customWidth="1"/>
    <col min="4605" max="4605" width="9" style="18" customWidth="1"/>
    <col min="4606" max="4607" width="9.88671875" style="18" customWidth="1"/>
    <col min="4608" max="4608" width="11.109375" style="18" customWidth="1"/>
    <col min="4609" max="4609" width="2.88671875" style="18" customWidth="1"/>
    <col min="4610" max="4610" width="3.5546875" style="18" customWidth="1"/>
    <col min="4611" max="4855" width="9.109375" style="18"/>
    <col min="4856" max="4856" width="8.6640625" style="18" customWidth="1"/>
    <col min="4857" max="4857" width="9.88671875" style="18" customWidth="1"/>
    <col min="4858" max="4858" width="14.44140625" style="18" customWidth="1"/>
    <col min="4859" max="4859" width="7.33203125" style="18" customWidth="1"/>
    <col min="4860" max="4860" width="5.5546875" style="18" customWidth="1"/>
    <col min="4861" max="4861" width="9" style="18" customWidth="1"/>
    <col min="4862" max="4863" width="9.88671875" style="18" customWidth="1"/>
    <col min="4864" max="4864" width="11.109375" style="18" customWidth="1"/>
    <col min="4865" max="4865" width="2.88671875" style="18" customWidth="1"/>
    <col min="4866" max="4866" width="3.5546875" style="18" customWidth="1"/>
    <col min="4867" max="5111" width="9.109375" style="18"/>
    <col min="5112" max="5112" width="8.6640625" style="18" customWidth="1"/>
    <col min="5113" max="5113" width="9.88671875" style="18" customWidth="1"/>
    <col min="5114" max="5114" width="14.44140625" style="18" customWidth="1"/>
    <col min="5115" max="5115" width="7.33203125" style="18" customWidth="1"/>
    <col min="5116" max="5116" width="5.5546875" style="18" customWidth="1"/>
    <col min="5117" max="5117" width="9" style="18" customWidth="1"/>
    <col min="5118" max="5119" width="9.88671875" style="18" customWidth="1"/>
    <col min="5120" max="5120" width="11.109375" style="18" customWidth="1"/>
    <col min="5121" max="5121" width="2.88671875" style="18" customWidth="1"/>
    <col min="5122" max="5122" width="3.5546875" style="18" customWidth="1"/>
    <col min="5123" max="5367" width="9.109375" style="18"/>
    <col min="5368" max="5368" width="8.6640625" style="18" customWidth="1"/>
    <col min="5369" max="5369" width="9.88671875" style="18" customWidth="1"/>
    <col min="5370" max="5370" width="14.44140625" style="18" customWidth="1"/>
    <col min="5371" max="5371" width="7.33203125" style="18" customWidth="1"/>
    <col min="5372" max="5372" width="5.5546875" style="18" customWidth="1"/>
    <col min="5373" max="5373" width="9" style="18" customWidth="1"/>
    <col min="5374" max="5375" width="9.88671875" style="18" customWidth="1"/>
    <col min="5376" max="5376" width="11.109375" style="18" customWidth="1"/>
    <col min="5377" max="5377" width="2.88671875" style="18" customWidth="1"/>
    <col min="5378" max="5378" width="3.5546875" style="18" customWidth="1"/>
    <col min="5379" max="5623" width="9.109375" style="18"/>
    <col min="5624" max="5624" width="8.6640625" style="18" customWidth="1"/>
    <col min="5625" max="5625" width="9.88671875" style="18" customWidth="1"/>
    <col min="5626" max="5626" width="14.44140625" style="18" customWidth="1"/>
    <col min="5627" max="5627" width="7.33203125" style="18" customWidth="1"/>
    <col min="5628" max="5628" width="5.5546875" style="18" customWidth="1"/>
    <col min="5629" max="5629" width="9" style="18" customWidth="1"/>
    <col min="5630" max="5631" width="9.88671875" style="18" customWidth="1"/>
    <col min="5632" max="5632" width="11.109375" style="18" customWidth="1"/>
    <col min="5633" max="5633" width="2.88671875" style="18" customWidth="1"/>
    <col min="5634" max="5634" width="3.5546875" style="18" customWidth="1"/>
    <col min="5635" max="5879" width="9.109375" style="18"/>
    <col min="5880" max="5880" width="8.6640625" style="18" customWidth="1"/>
    <col min="5881" max="5881" width="9.88671875" style="18" customWidth="1"/>
    <col min="5882" max="5882" width="14.44140625" style="18" customWidth="1"/>
    <col min="5883" max="5883" width="7.33203125" style="18" customWidth="1"/>
    <col min="5884" max="5884" width="5.5546875" style="18" customWidth="1"/>
    <col min="5885" max="5885" width="9" style="18" customWidth="1"/>
    <col min="5886" max="5887" width="9.88671875" style="18" customWidth="1"/>
    <col min="5888" max="5888" width="11.109375" style="18" customWidth="1"/>
    <col min="5889" max="5889" width="2.88671875" style="18" customWidth="1"/>
    <col min="5890" max="5890" width="3.5546875" style="18" customWidth="1"/>
    <col min="5891" max="6135" width="9.109375" style="18"/>
    <col min="6136" max="6136" width="8.6640625" style="18" customWidth="1"/>
    <col min="6137" max="6137" width="9.88671875" style="18" customWidth="1"/>
    <col min="6138" max="6138" width="14.44140625" style="18" customWidth="1"/>
    <col min="6139" max="6139" width="7.33203125" style="18" customWidth="1"/>
    <col min="6140" max="6140" width="5.5546875" style="18" customWidth="1"/>
    <col min="6141" max="6141" width="9" style="18" customWidth="1"/>
    <col min="6142" max="6143" width="9.88671875" style="18" customWidth="1"/>
    <col min="6144" max="6144" width="11.109375" style="18" customWidth="1"/>
    <col min="6145" max="6145" width="2.88671875" style="18" customWidth="1"/>
    <col min="6146" max="6146" width="3.5546875" style="18" customWidth="1"/>
    <col min="6147" max="6391" width="9.109375" style="18"/>
    <col min="6392" max="6392" width="8.6640625" style="18" customWidth="1"/>
    <col min="6393" max="6393" width="9.88671875" style="18" customWidth="1"/>
    <col min="6394" max="6394" width="14.44140625" style="18" customWidth="1"/>
    <col min="6395" max="6395" width="7.33203125" style="18" customWidth="1"/>
    <col min="6396" max="6396" width="5.5546875" style="18" customWidth="1"/>
    <col min="6397" max="6397" width="9" style="18" customWidth="1"/>
    <col min="6398" max="6399" width="9.88671875" style="18" customWidth="1"/>
    <col min="6400" max="6400" width="11.109375" style="18" customWidth="1"/>
    <col min="6401" max="6401" width="2.88671875" style="18" customWidth="1"/>
    <col min="6402" max="6402" width="3.5546875" style="18" customWidth="1"/>
    <col min="6403" max="6647" width="9.109375" style="18"/>
    <col min="6648" max="6648" width="8.6640625" style="18" customWidth="1"/>
    <col min="6649" max="6649" width="9.88671875" style="18" customWidth="1"/>
    <col min="6650" max="6650" width="14.44140625" style="18" customWidth="1"/>
    <col min="6651" max="6651" width="7.33203125" style="18" customWidth="1"/>
    <col min="6652" max="6652" width="5.5546875" style="18" customWidth="1"/>
    <col min="6653" max="6653" width="9" style="18" customWidth="1"/>
    <col min="6654" max="6655" width="9.88671875" style="18" customWidth="1"/>
    <col min="6656" max="6656" width="11.109375" style="18" customWidth="1"/>
    <col min="6657" max="6657" width="2.88671875" style="18" customWidth="1"/>
    <col min="6658" max="6658" width="3.5546875" style="18" customWidth="1"/>
    <col min="6659" max="6903" width="9.109375" style="18"/>
    <col min="6904" max="6904" width="8.6640625" style="18" customWidth="1"/>
    <col min="6905" max="6905" width="9.88671875" style="18" customWidth="1"/>
    <col min="6906" max="6906" width="14.44140625" style="18" customWidth="1"/>
    <col min="6907" max="6907" width="7.33203125" style="18" customWidth="1"/>
    <col min="6908" max="6908" width="5.5546875" style="18" customWidth="1"/>
    <col min="6909" max="6909" width="9" style="18" customWidth="1"/>
    <col min="6910" max="6911" width="9.88671875" style="18" customWidth="1"/>
    <col min="6912" max="6912" width="11.109375" style="18" customWidth="1"/>
    <col min="6913" max="6913" width="2.88671875" style="18" customWidth="1"/>
    <col min="6914" max="6914" width="3.5546875" style="18" customWidth="1"/>
    <col min="6915" max="7159" width="9.109375" style="18"/>
    <col min="7160" max="7160" width="8.6640625" style="18" customWidth="1"/>
    <col min="7161" max="7161" width="9.88671875" style="18" customWidth="1"/>
    <col min="7162" max="7162" width="14.44140625" style="18" customWidth="1"/>
    <col min="7163" max="7163" width="7.33203125" style="18" customWidth="1"/>
    <col min="7164" max="7164" width="5.5546875" style="18" customWidth="1"/>
    <col min="7165" max="7165" width="9" style="18" customWidth="1"/>
    <col min="7166" max="7167" width="9.88671875" style="18" customWidth="1"/>
    <col min="7168" max="7168" width="11.109375" style="18" customWidth="1"/>
    <col min="7169" max="7169" width="2.88671875" style="18" customWidth="1"/>
    <col min="7170" max="7170" width="3.5546875" style="18" customWidth="1"/>
    <col min="7171" max="7415" width="9.109375" style="18"/>
    <col min="7416" max="7416" width="8.6640625" style="18" customWidth="1"/>
    <col min="7417" max="7417" width="9.88671875" style="18" customWidth="1"/>
    <col min="7418" max="7418" width="14.44140625" style="18" customWidth="1"/>
    <col min="7419" max="7419" width="7.33203125" style="18" customWidth="1"/>
    <col min="7420" max="7420" width="5.5546875" style="18" customWidth="1"/>
    <col min="7421" max="7421" width="9" style="18" customWidth="1"/>
    <col min="7422" max="7423" width="9.88671875" style="18" customWidth="1"/>
    <col min="7424" max="7424" width="11.109375" style="18" customWidth="1"/>
    <col min="7425" max="7425" width="2.88671875" style="18" customWidth="1"/>
    <col min="7426" max="7426" width="3.5546875" style="18" customWidth="1"/>
    <col min="7427" max="7671" width="9.109375" style="18"/>
    <col min="7672" max="7672" width="8.6640625" style="18" customWidth="1"/>
    <col min="7673" max="7673" width="9.88671875" style="18" customWidth="1"/>
    <col min="7674" max="7674" width="14.44140625" style="18" customWidth="1"/>
    <col min="7675" max="7675" width="7.33203125" style="18" customWidth="1"/>
    <col min="7676" max="7676" width="5.5546875" style="18" customWidth="1"/>
    <col min="7677" max="7677" width="9" style="18" customWidth="1"/>
    <col min="7678" max="7679" width="9.88671875" style="18" customWidth="1"/>
    <col min="7680" max="7680" width="11.109375" style="18" customWidth="1"/>
    <col min="7681" max="7681" width="2.88671875" style="18" customWidth="1"/>
    <col min="7682" max="7682" width="3.5546875" style="18" customWidth="1"/>
    <col min="7683" max="7927" width="9.109375" style="18"/>
    <col min="7928" max="7928" width="8.6640625" style="18" customWidth="1"/>
    <col min="7929" max="7929" width="9.88671875" style="18" customWidth="1"/>
    <col min="7930" max="7930" width="14.44140625" style="18" customWidth="1"/>
    <col min="7931" max="7931" width="7.33203125" style="18" customWidth="1"/>
    <col min="7932" max="7932" width="5.5546875" style="18" customWidth="1"/>
    <col min="7933" max="7933" width="9" style="18" customWidth="1"/>
    <col min="7934" max="7935" width="9.88671875" style="18" customWidth="1"/>
    <col min="7936" max="7936" width="11.109375" style="18" customWidth="1"/>
    <col min="7937" max="7937" width="2.88671875" style="18" customWidth="1"/>
    <col min="7938" max="7938" width="3.5546875" style="18" customWidth="1"/>
    <col min="7939" max="8183" width="9.109375" style="18"/>
    <col min="8184" max="8184" width="8.6640625" style="18" customWidth="1"/>
    <col min="8185" max="8185" width="9.88671875" style="18" customWidth="1"/>
    <col min="8186" max="8186" width="14.44140625" style="18" customWidth="1"/>
    <col min="8187" max="8187" width="7.33203125" style="18" customWidth="1"/>
    <col min="8188" max="8188" width="5.5546875" style="18" customWidth="1"/>
    <col min="8189" max="8189" width="9" style="18" customWidth="1"/>
    <col min="8190" max="8191" width="9.88671875" style="18" customWidth="1"/>
    <col min="8192" max="8192" width="11.109375" style="18" customWidth="1"/>
    <col min="8193" max="8193" width="2.88671875" style="18" customWidth="1"/>
    <col min="8194" max="8194" width="3.5546875" style="18" customWidth="1"/>
    <col min="8195" max="8439" width="9.109375" style="18"/>
    <col min="8440" max="8440" width="8.6640625" style="18" customWidth="1"/>
    <col min="8441" max="8441" width="9.88671875" style="18" customWidth="1"/>
    <col min="8442" max="8442" width="14.44140625" style="18" customWidth="1"/>
    <col min="8443" max="8443" width="7.33203125" style="18" customWidth="1"/>
    <col min="8444" max="8444" width="5.5546875" style="18" customWidth="1"/>
    <col min="8445" max="8445" width="9" style="18" customWidth="1"/>
    <col min="8446" max="8447" width="9.88671875" style="18" customWidth="1"/>
    <col min="8448" max="8448" width="11.109375" style="18" customWidth="1"/>
    <col min="8449" max="8449" width="2.88671875" style="18" customWidth="1"/>
    <col min="8450" max="8450" width="3.5546875" style="18" customWidth="1"/>
    <col min="8451" max="8695" width="9.109375" style="18"/>
    <col min="8696" max="8696" width="8.6640625" style="18" customWidth="1"/>
    <col min="8697" max="8697" width="9.88671875" style="18" customWidth="1"/>
    <col min="8698" max="8698" width="14.44140625" style="18" customWidth="1"/>
    <col min="8699" max="8699" width="7.33203125" style="18" customWidth="1"/>
    <col min="8700" max="8700" width="5.5546875" style="18" customWidth="1"/>
    <col min="8701" max="8701" width="9" style="18" customWidth="1"/>
    <col min="8702" max="8703" width="9.88671875" style="18" customWidth="1"/>
    <col min="8704" max="8704" width="11.109375" style="18" customWidth="1"/>
    <col min="8705" max="8705" width="2.88671875" style="18" customWidth="1"/>
    <col min="8706" max="8706" width="3.5546875" style="18" customWidth="1"/>
    <col min="8707" max="8951" width="9.109375" style="18"/>
    <col min="8952" max="8952" width="8.6640625" style="18" customWidth="1"/>
    <col min="8953" max="8953" width="9.88671875" style="18" customWidth="1"/>
    <col min="8954" max="8954" width="14.44140625" style="18" customWidth="1"/>
    <col min="8955" max="8955" width="7.33203125" style="18" customWidth="1"/>
    <col min="8956" max="8956" width="5.5546875" style="18" customWidth="1"/>
    <col min="8957" max="8957" width="9" style="18" customWidth="1"/>
    <col min="8958" max="8959" width="9.88671875" style="18" customWidth="1"/>
    <col min="8960" max="8960" width="11.109375" style="18" customWidth="1"/>
    <col min="8961" max="8961" width="2.88671875" style="18" customWidth="1"/>
    <col min="8962" max="8962" width="3.5546875" style="18" customWidth="1"/>
    <col min="8963" max="9207" width="9.109375" style="18"/>
    <col min="9208" max="9208" width="8.6640625" style="18" customWidth="1"/>
    <col min="9209" max="9209" width="9.88671875" style="18" customWidth="1"/>
    <col min="9210" max="9210" width="14.44140625" style="18" customWidth="1"/>
    <col min="9211" max="9211" width="7.33203125" style="18" customWidth="1"/>
    <col min="9212" max="9212" width="5.5546875" style="18" customWidth="1"/>
    <col min="9213" max="9213" width="9" style="18" customWidth="1"/>
    <col min="9214" max="9215" width="9.88671875" style="18" customWidth="1"/>
    <col min="9216" max="9216" width="11.109375" style="18" customWidth="1"/>
    <col min="9217" max="9217" width="2.88671875" style="18" customWidth="1"/>
    <col min="9218" max="9218" width="3.5546875" style="18" customWidth="1"/>
    <col min="9219" max="9463" width="9.109375" style="18"/>
    <col min="9464" max="9464" width="8.6640625" style="18" customWidth="1"/>
    <col min="9465" max="9465" width="9.88671875" style="18" customWidth="1"/>
    <col min="9466" max="9466" width="14.44140625" style="18" customWidth="1"/>
    <col min="9467" max="9467" width="7.33203125" style="18" customWidth="1"/>
    <col min="9468" max="9468" width="5.5546875" style="18" customWidth="1"/>
    <col min="9469" max="9469" width="9" style="18" customWidth="1"/>
    <col min="9470" max="9471" width="9.88671875" style="18" customWidth="1"/>
    <col min="9472" max="9472" width="11.109375" style="18" customWidth="1"/>
    <col min="9473" max="9473" width="2.88671875" style="18" customWidth="1"/>
    <col min="9474" max="9474" width="3.5546875" style="18" customWidth="1"/>
    <col min="9475" max="9719" width="9.109375" style="18"/>
    <col min="9720" max="9720" width="8.6640625" style="18" customWidth="1"/>
    <col min="9721" max="9721" width="9.88671875" style="18" customWidth="1"/>
    <col min="9722" max="9722" width="14.44140625" style="18" customWidth="1"/>
    <col min="9723" max="9723" width="7.33203125" style="18" customWidth="1"/>
    <col min="9724" max="9724" width="5.5546875" style="18" customWidth="1"/>
    <col min="9725" max="9725" width="9" style="18" customWidth="1"/>
    <col min="9726" max="9727" width="9.88671875" style="18" customWidth="1"/>
    <col min="9728" max="9728" width="11.109375" style="18" customWidth="1"/>
    <col min="9729" max="9729" width="2.88671875" style="18" customWidth="1"/>
    <col min="9730" max="9730" width="3.5546875" style="18" customWidth="1"/>
    <col min="9731" max="9975" width="9.109375" style="18"/>
    <col min="9976" max="9976" width="8.6640625" style="18" customWidth="1"/>
    <col min="9977" max="9977" width="9.88671875" style="18" customWidth="1"/>
    <col min="9978" max="9978" width="14.44140625" style="18" customWidth="1"/>
    <col min="9979" max="9979" width="7.33203125" style="18" customWidth="1"/>
    <col min="9980" max="9980" width="5.5546875" style="18" customWidth="1"/>
    <col min="9981" max="9981" width="9" style="18" customWidth="1"/>
    <col min="9982" max="9983" width="9.88671875" style="18" customWidth="1"/>
    <col min="9984" max="9984" width="11.109375" style="18" customWidth="1"/>
    <col min="9985" max="9985" width="2.88671875" style="18" customWidth="1"/>
    <col min="9986" max="9986" width="3.5546875" style="18" customWidth="1"/>
    <col min="9987" max="10231" width="9.109375" style="18"/>
    <col min="10232" max="10232" width="8.6640625" style="18" customWidth="1"/>
    <col min="10233" max="10233" width="9.88671875" style="18" customWidth="1"/>
    <col min="10234" max="10234" width="14.44140625" style="18" customWidth="1"/>
    <col min="10235" max="10235" width="7.33203125" style="18" customWidth="1"/>
    <col min="10236" max="10236" width="5.5546875" style="18" customWidth="1"/>
    <col min="10237" max="10237" width="9" style="18" customWidth="1"/>
    <col min="10238" max="10239" width="9.88671875" style="18" customWidth="1"/>
    <col min="10240" max="10240" width="11.109375" style="18" customWidth="1"/>
    <col min="10241" max="10241" width="2.88671875" style="18" customWidth="1"/>
    <col min="10242" max="10242" width="3.5546875" style="18" customWidth="1"/>
    <col min="10243" max="10487" width="9.109375" style="18"/>
    <col min="10488" max="10488" width="8.6640625" style="18" customWidth="1"/>
    <col min="10489" max="10489" width="9.88671875" style="18" customWidth="1"/>
    <col min="10490" max="10490" width="14.44140625" style="18" customWidth="1"/>
    <col min="10491" max="10491" width="7.33203125" style="18" customWidth="1"/>
    <col min="10492" max="10492" width="5.5546875" style="18" customWidth="1"/>
    <col min="10493" max="10493" width="9" style="18" customWidth="1"/>
    <col min="10494" max="10495" width="9.88671875" style="18" customWidth="1"/>
    <col min="10496" max="10496" width="11.109375" style="18" customWidth="1"/>
    <col min="10497" max="10497" width="2.88671875" style="18" customWidth="1"/>
    <col min="10498" max="10498" width="3.5546875" style="18" customWidth="1"/>
    <col min="10499" max="10743" width="9.109375" style="18"/>
    <col min="10744" max="10744" width="8.6640625" style="18" customWidth="1"/>
    <col min="10745" max="10745" width="9.88671875" style="18" customWidth="1"/>
    <col min="10746" max="10746" width="14.44140625" style="18" customWidth="1"/>
    <col min="10747" max="10747" width="7.33203125" style="18" customWidth="1"/>
    <col min="10748" max="10748" width="5.5546875" style="18" customWidth="1"/>
    <col min="10749" max="10749" width="9" style="18" customWidth="1"/>
    <col min="10750" max="10751" width="9.88671875" style="18" customWidth="1"/>
    <col min="10752" max="10752" width="11.109375" style="18" customWidth="1"/>
    <col min="10753" max="10753" width="2.88671875" style="18" customWidth="1"/>
    <col min="10754" max="10754" width="3.5546875" style="18" customWidth="1"/>
    <col min="10755" max="10999" width="9.109375" style="18"/>
    <col min="11000" max="11000" width="8.6640625" style="18" customWidth="1"/>
    <col min="11001" max="11001" width="9.88671875" style="18" customWidth="1"/>
    <col min="11002" max="11002" width="14.44140625" style="18" customWidth="1"/>
    <col min="11003" max="11003" width="7.33203125" style="18" customWidth="1"/>
    <col min="11004" max="11004" width="5.5546875" style="18" customWidth="1"/>
    <col min="11005" max="11005" width="9" style="18" customWidth="1"/>
    <col min="11006" max="11007" width="9.88671875" style="18" customWidth="1"/>
    <col min="11008" max="11008" width="11.109375" style="18" customWidth="1"/>
    <col min="11009" max="11009" width="2.88671875" style="18" customWidth="1"/>
    <col min="11010" max="11010" width="3.5546875" style="18" customWidth="1"/>
    <col min="11011" max="11255" width="9.109375" style="18"/>
    <col min="11256" max="11256" width="8.6640625" style="18" customWidth="1"/>
    <col min="11257" max="11257" width="9.88671875" style="18" customWidth="1"/>
    <col min="11258" max="11258" width="14.44140625" style="18" customWidth="1"/>
    <col min="11259" max="11259" width="7.33203125" style="18" customWidth="1"/>
    <col min="11260" max="11260" width="5.5546875" style="18" customWidth="1"/>
    <col min="11261" max="11261" width="9" style="18" customWidth="1"/>
    <col min="11262" max="11263" width="9.88671875" style="18" customWidth="1"/>
    <col min="11264" max="11264" width="11.109375" style="18" customWidth="1"/>
    <col min="11265" max="11265" width="2.88671875" style="18" customWidth="1"/>
    <col min="11266" max="11266" width="3.5546875" style="18" customWidth="1"/>
    <col min="11267" max="11511" width="9.109375" style="18"/>
    <col min="11512" max="11512" width="8.6640625" style="18" customWidth="1"/>
    <col min="11513" max="11513" width="9.88671875" style="18" customWidth="1"/>
    <col min="11514" max="11514" width="14.44140625" style="18" customWidth="1"/>
    <col min="11515" max="11515" width="7.33203125" style="18" customWidth="1"/>
    <col min="11516" max="11516" width="5.5546875" style="18" customWidth="1"/>
    <col min="11517" max="11517" width="9" style="18" customWidth="1"/>
    <col min="11518" max="11519" width="9.88671875" style="18" customWidth="1"/>
    <col min="11520" max="11520" width="11.109375" style="18" customWidth="1"/>
    <col min="11521" max="11521" width="2.88671875" style="18" customWidth="1"/>
    <col min="11522" max="11522" width="3.5546875" style="18" customWidth="1"/>
    <col min="11523" max="11767" width="9.109375" style="18"/>
    <col min="11768" max="11768" width="8.6640625" style="18" customWidth="1"/>
    <col min="11769" max="11769" width="9.88671875" style="18" customWidth="1"/>
    <col min="11770" max="11770" width="14.44140625" style="18" customWidth="1"/>
    <col min="11771" max="11771" width="7.33203125" style="18" customWidth="1"/>
    <col min="11772" max="11772" width="5.5546875" style="18" customWidth="1"/>
    <col min="11773" max="11773" width="9" style="18" customWidth="1"/>
    <col min="11774" max="11775" width="9.88671875" style="18" customWidth="1"/>
    <col min="11776" max="11776" width="11.109375" style="18" customWidth="1"/>
    <col min="11777" max="11777" width="2.88671875" style="18" customWidth="1"/>
    <col min="11778" max="11778" width="3.5546875" style="18" customWidth="1"/>
    <col min="11779" max="12023" width="9.109375" style="18"/>
    <col min="12024" max="12024" width="8.6640625" style="18" customWidth="1"/>
    <col min="12025" max="12025" width="9.88671875" style="18" customWidth="1"/>
    <col min="12026" max="12026" width="14.44140625" style="18" customWidth="1"/>
    <col min="12027" max="12027" width="7.33203125" style="18" customWidth="1"/>
    <col min="12028" max="12028" width="5.5546875" style="18" customWidth="1"/>
    <col min="12029" max="12029" width="9" style="18" customWidth="1"/>
    <col min="12030" max="12031" width="9.88671875" style="18" customWidth="1"/>
    <col min="12032" max="12032" width="11.109375" style="18" customWidth="1"/>
    <col min="12033" max="12033" width="2.88671875" style="18" customWidth="1"/>
    <col min="12034" max="12034" width="3.5546875" style="18" customWidth="1"/>
    <col min="12035" max="12279" width="9.109375" style="18"/>
    <col min="12280" max="12280" width="8.6640625" style="18" customWidth="1"/>
    <col min="12281" max="12281" width="9.88671875" style="18" customWidth="1"/>
    <col min="12282" max="12282" width="14.44140625" style="18" customWidth="1"/>
    <col min="12283" max="12283" width="7.33203125" style="18" customWidth="1"/>
    <col min="12284" max="12284" width="5.5546875" style="18" customWidth="1"/>
    <col min="12285" max="12285" width="9" style="18" customWidth="1"/>
    <col min="12286" max="12287" width="9.88671875" style="18" customWidth="1"/>
    <col min="12288" max="12288" width="11.109375" style="18" customWidth="1"/>
    <col min="12289" max="12289" width="2.88671875" style="18" customWidth="1"/>
    <col min="12290" max="12290" width="3.5546875" style="18" customWidth="1"/>
    <col min="12291" max="12535" width="9.109375" style="18"/>
    <col min="12536" max="12536" width="8.6640625" style="18" customWidth="1"/>
    <col min="12537" max="12537" width="9.88671875" style="18" customWidth="1"/>
    <col min="12538" max="12538" width="14.44140625" style="18" customWidth="1"/>
    <col min="12539" max="12539" width="7.33203125" style="18" customWidth="1"/>
    <col min="12540" max="12540" width="5.5546875" style="18" customWidth="1"/>
    <col min="12541" max="12541" width="9" style="18" customWidth="1"/>
    <col min="12542" max="12543" width="9.88671875" style="18" customWidth="1"/>
    <col min="12544" max="12544" width="11.109375" style="18" customWidth="1"/>
    <col min="12545" max="12545" width="2.88671875" style="18" customWidth="1"/>
    <col min="12546" max="12546" width="3.5546875" style="18" customWidth="1"/>
    <col min="12547" max="12791" width="9.109375" style="18"/>
    <col min="12792" max="12792" width="8.6640625" style="18" customWidth="1"/>
    <col min="12793" max="12793" width="9.88671875" style="18" customWidth="1"/>
    <col min="12794" max="12794" width="14.44140625" style="18" customWidth="1"/>
    <col min="12795" max="12795" width="7.33203125" style="18" customWidth="1"/>
    <col min="12796" max="12796" width="5.5546875" style="18" customWidth="1"/>
    <col min="12797" max="12797" width="9" style="18" customWidth="1"/>
    <col min="12798" max="12799" width="9.88671875" style="18" customWidth="1"/>
    <col min="12800" max="12800" width="11.109375" style="18" customWidth="1"/>
    <col min="12801" max="12801" width="2.88671875" style="18" customWidth="1"/>
    <col min="12802" max="12802" width="3.5546875" style="18" customWidth="1"/>
    <col min="12803" max="13047" width="9.109375" style="18"/>
    <col min="13048" max="13048" width="8.6640625" style="18" customWidth="1"/>
    <col min="13049" max="13049" width="9.88671875" style="18" customWidth="1"/>
    <col min="13050" max="13050" width="14.44140625" style="18" customWidth="1"/>
    <col min="13051" max="13051" width="7.33203125" style="18" customWidth="1"/>
    <col min="13052" max="13052" width="5.5546875" style="18" customWidth="1"/>
    <col min="13053" max="13053" width="9" style="18" customWidth="1"/>
    <col min="13054" max="13055" width="9.88671875" style="18" customWidth="1"/>
    <col min="13056" max="13056" width="11.109375" style="18" customWidth="1"/>
    <col min="13057" max="13057" width="2.88671875" style="18" customWidth="1"/>
    <col min="13058" max="13058" width="3.5546875" style="18" customWidth="1"/>
    <col min="13059" max="13303" width="9.109375" style="18"/>
    <col min="13304" max="13304" width="8.6640625" style="18" customWidth="1"/>
    <col min="13305" max="13305" width="9.88671875" style="18" customWidth="1"/>
    <col min="13306" max="13306" width="14.44140625" style="18" customWidth="1"/>
    <col min="13307" max="13307" width="7.33203125" style="18" customWidth="1"/>
    <col min="13308" max="13308" width="5.5546875" style="18" customWidth="1"/>
    <col min="13309" max="13309" width="9" style="18" customWidth="1"/>
    <col min="13310" max="13311" width="9.88671875" style="18" customWidth="1"/>
    <col min="13312" max="13312" width="11.109375" style="18" customWidth="1"/>
    <col min="13313" max="13313" width="2.88671875" style="18" customWidth="1"/>
    <col min="13314" max="13314" width="3.5546875" style="18" customWidth="1"/>
    <col min="13315" max="13559" width="9.109375" style="18"/>
    <col min="13560" max="13560" width="8.6640625" style="18" customWidth="1"/>
    <col min="13561" max="13561" width="9.88671875" style="18" customWidth="1"/>
    <col min="13562" max="13562" width="14.44140625" style="18" customWidth="1"/>
    <col min="13563" max="13563" width="7.33203125" style="18" customWidth="1"/>
    <col min="13564" max="13564" width="5.5546875" style="18" customWidth="1"/>
    <col min="13565" max="13565" width="9" style="18" customWidth="1"/>
    <col min="13566" max="13567" width="9.88671875" style="18" customWidth="1"/>
    <col min="13568" max="13568" width="11.109375" style="18" customWidth="1"/>
    <col min="13569" max="13569" width="2.88671875" style="18" customWidth="1"/>
    <col min="13570" max="13570" width="3.5546875" style="18" customWidth="1"/>
    <col min="13571" max="13815" width="9.109375" style="18"/>
    <col min="13816" max="13816" width="8.6640625" style="18" customWidth="1"/>
    <col min="13817" max="13817" width="9.88671875" style="18" customWidth="1"/>
    <col min="13818" max="13818" width="14.44140625" style="18" customWidth="1"/>
    <col min="13819" max="13819" width="7.33203125" style="18" customWidth="1"/>
    <col min="13820" max="13820" width="5.5546875" style="18" customWidth="1"/>
    <col min="13821" max="13821" width="9" style="18" customWidth="1"/>
    <col min="13822" max="13823" width="9.88671875" style="18" customWidth="1"/>
    <col min="13824" max="13824" width="11.109375" style="18" customWidth="1"/>
    <col min="13825" max="13825" width="2.88671875" style="18" customWidth="1"/>
    <col min="13826" max="13826" width="3.5546875" style="18" customWidth="1"/>
    <col min="13827" max="14071" width="9.109375" style="18"/>
    <col min="14072" max="14072" width="8.6640625" style="18" customWidth="1"/>
    <col min="14073" max="14073" width="9.88671875" style="18" customWidth="1"/>
    <col min="14074" max="14074" width="14.44140625" style="18" customWidth="1"/>
    <col min="14075" max="14075" width="7.33203125" style="18" customWidth="1"/>
    <col min="14076" max="14076" width="5.5546875" style="18" customWidth="1"/>
    <col min="14077" max="14077" width="9" style="18" customWidth="1"/>
    <col min="14078" max="14079" width="9.88671875" style="18" customWidth="1"/>
    <col min="14080" max="14080" width="11.109375" style="18" customWidth="1"/>
    <col min="14081" max="14081" width="2.88671875" style="18" customWidth="1"/>
    <col min="14082" max="14082" width="3.5546875" style="18" customWidth="1"/>
    <col min="14083" max="14327" width="9.109375" style="18"/>
    <col min="14328" max="14328" width="8.6640625" style="18" customWidth="1"/>
    <col min="14329" max="14329" width="9.88671875" style="18" customWidth="1"/>
    <col min="14330" max="14330" width="14.44140625" style="18" customWidth="1"/>
    <col min="14331" max="14331" width="7.33203125" style="18" customWidth="1"/>
    <col min="14332" max="14332" width="5.5546875" style="18" customWidth="1"/>
    <col min="14333" max="14333" width="9" style="18" customWidth="1"/>
    <col min="14334" max="14335" width="9.88671875" style="18" customWidth="1"/>
    <col min="14336" max="14336" width="11.109375" style="18" customWidth="1"/>
    <col min="14337" max="14337" width="2.88671875" style="18" customWidth="1"/>
    <col min="14338" max="14338" width="3.5546875" style="18" customWidth="1"/>
    <col min="14339" max="14583" width="9.109375" style="18"/>
    <col min="14584" max="14584" width="8.6640625" style="18" customWidth="1"/>
    <col min="14585" max="14585" width="9.88671875" style="18" customWidth="1"/>
    <col min="14586" max="14586" width="14.44140625" style="18" customWidth="1"/>
    <col min="14587" max="14587" width="7.33203125" style="18" customWidth="1"/>
    <col min="14588" max="14588" width="5.5546875" style="18" customWidth="1"/>
    <col min="14589" max="14589" width="9" style="18" customWidth="1"/>
    <col min="14590" max="14591" width="9.88671875" style="18" customWidth="1"/>
    <col min="14592" max="14592" width="11.109375" style="18" customWidth="1"/>
    <col min="14593" max="14593" width="2.88671875" style="18" customWidth="1"/>
    <col min="14594" max="14594" width="3.5546875" style="18" customWidth="1"/>
    <col min="14595" max="14839" width="9.109375" style="18"/>
    <col min="14840" max="14840" width="8.6640625" style="18" customWidth="1"/>
    <col min="14841" max="14841" width="9.88671875" style="18" customWidth="1"/>
    <col min="14842" max="14842" width="14.44140625" style="18" customWidth="1"/>
    <col min="14843" max="14843" width="7.33203125" style="18" customWidth="1"/>
    <col min="14844" max="14844" width="5.5546875" style="18" customWidth="1"/>
    <col min="14845" max="14845" width="9" style="18" customWidth="1"/>
    <col min="14846" max="14847" width="9.88671875" style="18" customWidth="1"/>
    <col min="14848" max="14848" width="11.109375" style="18" customWidth="1"/>
    <col min="14849" max="14849" width="2.88671875" style="18" customWidth="1"/>
    <col min="14850" max="14850" width="3.5546875" style="18" customWidth="1"/>
    <col min="14851" max="15095" width="9.109375" style="18"/>
    <col min="15096" max="15096" width="8.6640625" style="18" customWidth="1"/>
    <col min="15097" max="15097" width="9.88671875" style="18" customWidth="1"/>
    <col min="15098" max="15098" width="14.44140625" style="18" customWidth="1"/>
    <col min="15099" max="15099" width="7.33203125" style="18" customWidth="1"/>
    <col min="15100" max="15100" width="5.5546875" style="18" customWidth="1"/>
    <col min="15101" max="15101" width="9" style="18" customWidth="1"/>
    <col min="15102" max="15103" width="9.88671875" style="18" customWidth="1"/>
    <col min="15104" max="15104" width="11.109375" style="18" customWidth="1"/>
    <col min="15105" max="15105" width="2.88671875" style="18" customWidth="1"/>
    <col min="15106" max="15106" width="3.5546875" style="18" customWidth="1"/>
    <col min="15107" max="15351" width="9.109375" style="18"/>
    <col min="15352" max="15352" width="8.6640625" style="18" customWidth="1"/>
    <col min="15353" max="15353" width="9.88671875" style="18" customWidth="1"/>
    <col min="15354" max="15354" width="14.44140625" style="18" customWidth="1"/>
    <col min="15355" max="15355" width="7.33203125" style="18" customWidth="1"/>
    <col min="15356" max="15356" width="5.5546875" style="18" customWidth="1"/>
    <col min="15357" max="15357" width="9" style="18" customWidth="1"/>
    <col min="15358" max="15359" width="9.88671875" style="18" customWidth="1"/>
    <col min="15360" max="15360" width="11.109375" style="18" customWidth="1"/>
    <col min="15361" max="15361" width="2.88671875" style="18" customWidth="1"/>
    <col min="15362" max="15362" width="3.5546875" style="18" customWidth="1"/>
    <col min="15363" max="15607" width="9.109375" style="18"/>
    <col min="15608" max="15608" width="8.6640625" style="18" customWidth="1"/>
    <col min="15609" max="15609" width="9.88671875" style="18" customWidth="1"/>
    <col min="15610" max="15610" width="14.44140625" style="18" customWidth="1"/>
    <col min="15611" max="15611" width="7.33203125" style="18" customWidth="1"/>
    <col min="15612" max="15612" width="5.5546875" style="18" customWidth="1"/>
    <col min="15613" max="15613" width="9" style="18" customWidth="1"/>
    <col min="15614" max="15615" width="9.88671875" style="18" customWidth="1"/>
    <col min="15616" max="15616" width="11.109375" style="18" customWidth="1"/>
    <col min="15617" max="15617" width="2.88671875" style="18" customWidth="1"/>
    <col min="15618" max="15618" width="3.5546875" style="18" customWidth="1"/>
    <col min="15619" max="15863" width="9.109375" style="18"/>
    <col min="15864" max="15864" width="8.6640625" style="18" customWidth="1"/>
    <col min="15865" max="15865" width="9.88671875" style="18" customWidth="1"/>
    <col min="15866" max="15866" width="14.44140625" style="18" customWidth="1"/>
    <col min="15867" max="15867" width="7.33203125" style="18" customWidth="1"/>
    <col min="15868" max="15868" width="5.5546875" style="18" customWidth="1"/>
    <col min="15869" max="15869" width="9" style="18" customWidth="1"/>
    <col min="15870" max="15871" width="9.88671875" style="18" customWidth="1"/>
    <col min="15872" max="15872" width="11.109375" style="18" customWidth="1"/>
    <col min="15873" max="15873" width="2.88671875" style="18" customWidth="1"/>
    <col min="15874" max="15874" width="3.5546875" style="18" customWidth="1"/>
    <col min="15875" max="16119" width="9.109375" style="18"/>
    <col min="16120" max="16120" width="8.6640625" style="18" customWidth="1"/>
    <col min="16121" max="16121" width="9.88671875" style="18" customWidth="1"/>
    <col min="16122" max="16122" width="14.44140625" style="18" customWidth="1"/>
    <col min="16123" max="16123" width="7.33203125" style="18" customWidth="1"/>
    <col min="16124" max="16124" width="5.5546875" style="18" customWidth="1"/>
    <col min="16125" max="16125" width="9" style="18" customWidth="1"/>
    <col min="16126" max="16127" width="9.88671875" style="18" customWidth="1"/>
    <col min="16128" max="16128" width="11.109375" style="18" customWidth="1"/>
    <col min="16129" max="16129" width="2.88671875" style="18" customWidth="1"/>
    <col min="16130" max="16130" width="3.5546875" style="18" customWidth="1"/>
    <col min="16131" max="16384" width="9.109375" style="18"/>
  </cols>
  <sheetData>
    <row r="1" spans="1:26" ht="46.5" customHeight="1" x14ac:dyDescent="0.3">
      <c r="A1" s="192" t="s">
        <v>165</v>
      </c>
      <c r="B1" s="192"/>
      <c r="C1" s="192"/>
      <c r="D1" s="192"/>
      <c r="E1" s="192"/>
      <c r="F1" s="192"/>
      <c r="G1" s="192"/>
      <c r="H1" s="192"/>
    </row>
    <row r="2" spans="1:26" ht="16.5" customHeight="1" x14ac:dyDescent="0.3">
      <c r="A2" s="193" t="s">
        <v>0</v>
      </c>
      <c r="B2" s="193"/>
      <c r="C2" s="193"/>
      <c r="D2" s="193"/>
      <c r="E2" s="193"/>
      <c r="F2" s="193"/>
      <c r="G2" s="193"/>
      <c r="H2" s="193"/>
    </row>
    <row r="3" spans="1:26" x14ac:dyDescent="0.3">
      <c r="A3" s="167" t="s">
        <v>1</v>
      </c>
      <c r="B3" s="167"/>
      <c r="C3" s="167"/>
      <c r="D3" s="167"/>
      <c r="E3" s="167" t="str">
        <f ca="1">TEXT(TODAY(),"DD/MM/YYYY")</f>
        <v>13/09/2025</v>
      </c>
      <c r="F3" s="167"/>
      <c r="G3" s="167"/>
      <c r="H3" s="167"/>
      <c r="K3" s="49" t="s">
        <v>236</v>
      </c>
      <c r="L3" s="48" t="s">
        <v>234</v>
      </c>
      <c r="M3" s="48" t="s">
        <v>239</v>
      </c>
      <c r="N3" s="48" t="s">
        <v>237</v>
      </c>
      <c r="O3" s="48" t="s">
        <v>342</v>
      </c>
      <c r="P3" s="48" t="s">
        <v>240</v>
      </c>
    </row>
    <row r="4" spans="1:26" ht="15" customHeight="1" x14ac:dyDescent="0.3">
      <c r="A4" s="167" t="s">
        <v>233</v>
      </c>
      <c r="B4" s="167"/>
      <c r="C4" s="167"/>
      <c r="D4" s="167"/>
      <c r="E4" s="167" t="s">
        <v>234</v>
      </c>
      <c r="F4" s="167"/>
      <c r="G4" s="167"/>
      <c r="H4" s="167"/>
      <c r="K4" s="47" t="s">
        <v>235</v>
      </c>
      <c r="L4" s="48" t="s">
        <v>172</v>
      </c>
      <c r="M4" s="48" t="s">
        <v>244</v>
      </c>
      <c r="N4" s="48" t="s">
        <v>246</v>
      </c>
      <c r="O4" s="48" t="s">
        <v>343</v>
      </c>
      <c r="P4" s="48"/>
    </row>
    <row r="5" spans="1:26" ht="15" customHeight="1" x14ac:dyDescent="0.3">
      <c r="A5" s="167" t="s">
        <v>2</v>
      </c>
      <c r="B5" s="167"/>
      <c r="C5" s="167"/>
      <c r="D5" s="167"/>
      <c r="E5" s="167" t="s">
        <v>172</v>
      </c>
      <c r="F5" s="167"/>
      <c r="G5" s="167"/>
      <c r="H5" s="167"/>
      <c r="K5" s="47"/>
      <c r="L5" s="48" t="s">
        <v>241</v>
      </c>
      <c r="M5" s="48" t="s">
        <v>245</v>
      </c>
      <c r="N5" s="48" t="s">
        <v>247</v>
      </c>
      <c r="O5" s="48" t="s">
        <v>344</v>
      </c>
      <c r="P5" s="48"/>
    </row>
    <row r="6" spans="1:26" x14ac:dyDescent="0.3">
      <c r="A6" s="167" t="s">
        <v>3</v>
      </c>
      <c r="B6" s="167"/>
      <c r="C6" s="167"/>
      <c r="D6" s="167"/>
      <c r="E6" s="194">
        <v>45909</v>
      </c>
      <c r="F6" s="167"/>
      <c r="G6" s="167"/>
      <c r="H6" s="167"/>
      <c r="K6" s="47"/>
      <c r="L6" s="48" t="s">
        <v>242</v>
      </c>
      <c r="M6" s="48"/>
      <c r="N6" s="48"/>
      <c r="O6" s="48" t="s">
        <v>345</v>
      </c>
      <c r="P6" s="48"/>
    </row>
    <row r="7" spans="1:26" ht="16.5" customHeight="1" x14ac:dyDescent="0.3">
      <c r="A7" s="167" t="s">
        <v>4</v>
      </c>
      <c r="B7" s="167"/>
      <c r="C7" s="167"/>
      <c r="D7" s="167"/>
      <c r="E7" s="167" t="s">
        <v>351</v>
      </c>
      <c r="F7" s="167"/>
      <c r="G7" s="167"/>
      <c r="H7" s="167"/>
      <c r="K7" s="47"/>
      <c r="L7" s="48" t="s">
        <v>243</v>
      </c>
      <c r="M7" s="48"/>
      <c r="N7" s="48"/>
      <c r="O7" s="48" t="s">
        <v>345</v>
      </c>
      <c r="P7" s="48"/>
    </row>
    <row r="8" spans="1:26" ht="15" customHeight="1" x14ac:dyDescent="0.3">
      <c r="A8" s="167" t="s">
        <v>5</v>
      </c>
      <c r="B8" s="167"/>
      <c r="C8" s="167"/>
      <c r="D8" s="167"/>
      <c r="E8" s="167" t="str">
        <f>E7</f>
        <v>Mangalmurti Vinay Unique Realtors</v>
      </c>
      <c r="F8" s="167"/>
      <c r="G8" s="167"/>
      <c r="H8" s="167"/>
      <c r="K8" s="47"/>
      <c r="L8" s="48"/>
      <c r="M8" s="48"/>
      <c r="N8" s="48"/>
      <c r="O8" s="48" t="s">
        <v>346</v>
      </c>
      <c r="P8" s="48"/>
    </row>
    <row r="9" spans="1:26" x14ac:dyDescent="0.3">
      <c r="A9" s="167" t="s">
        <v>6</v>
      </c>
      <c r="B9" s="167"/>
      <c r="C9" s="167"/>
      <c r="D9" s="167"/>
      <c r="E9" s="103" t="s">
        <v>352</v>
      </c>
      <c r="F9" s="103"/>
      <c r="G9" s="103"/>
      <c r="H9" s="103"/>
      <c r="K9" s="47"/>
      <c r="L9" s="48"/>
      <c r="M9" s="48"/>
      <c r="N9" s="48"/>
      <c r="O9" s="48" t="s">
        <v>347</v>
      </c>
      <c r="P9" s="48"/>
    </row>
    <row r="10" spans="1:26" x14ac:dyDescent="0.3">
      <c r="A10" s="167" t="s">
        <v>168</v>
      </c>
      <c r="B10" s="167"/>
      <c r="C10" s="167"/>
      <c r="D10" s="167"/>
      <c r="E10" s="167">
        <v>9322812242</v>
      </c>
      <c r="F10" s="167"/>
      <c r="G10" s="167"/>
      <c r="H10" s="167"/>
      <c r="K10" s="47"/>
      <c r="L10" s="48"/>
      <c r="M10" s="48"/>
      <c r="N10" s="48"/>
      <c r="O10" s="48" t="s">
        <v>348</v>
      </c>
      <c r="P10" s="48"/>
    </row>
    <row r="11" spans="1:26" x14ac:dyDescent="0.3">
      <c r="A11" s="167" t="s">
        <v>169</v>
      </c>
      <c r="B11" s="167"/>
      <c r="C11" s="167"/>
      <c r="D11" s="167"/>
      <c r="E11" s="167" t="s">
        <v>408</v>
      </c>
      <c r="F11" s="167"/>
      <c r="G11" s="167"/>
      <c r="H11" s="167"/>
      <c r="O11" s="48" t="s">
        <v>349</v>
      </c>
    </row>
    <row r="12" spans="1:26" ht="65.400000000000006" customHeight="1" x14ac:dyDescent="0.3">
      <c r="A12" s="167" t="s">
        <v>7</v>
      </c>
      <c r="B12" s="167"/>
      <c r="C12" s="167"/>
      <c r="D12" s="167"/>
      <c r="E12" s="135" t="s">
        <v>362</v>
      </c>
      <c r="F12" s="167"/>
      <c r="G12" s="167"/>
      <c r="H12" s="167"/>
    </row>
    <row r="13" spans="1:26" x14ac:dyDescent="0.3">
      <c r="A13" s="167" t="s">
        <v>173</v>
      </c>
      <c r="B13" s="167"/>
      <c r="C13" s="167"/>
      <c r="D13" s="167"/>
      <c r="E13" s="167" t="s">
        <v>28</v>
      </c>
      <c r="F13" s="167"/>
      <c r="G13" s="167"/>
      <c r="H13" s="167"/>
      <c r="S13" s="48" t="s">
        <v>181</v>
      </c>
      <c r="T13" s="48" t="s">
        <v>190</v>
      </c>
      <c r="U13" s="48" t="s">
        <v>174</v>
      </c>
      <c r="V13" s="48" t="s">
        <v>195</v>
      </c>
      <c r="W13" s="48" t="s">
        <v>213</v>
      </c>
      <c r="X13"/>
      <c r="Y13" t="s">
        <v>195</v>
      </c>
      <c r="Z13" t="e">
        <f ca="1">OFFSET($S$13,1,MATCH($G20,$S$13:$W$13,0)-1,15,1)</f>
        <v>#VALUE!</v>
      </c>
    </row>
    <row r="14" spans="1:26" x14ac:dyDescent="0.3">
      <c r="A14" s="167" t="s">
        <v>279</v>
      </c>
      <c r="B14" s="167"/>
      <c r="C14" s="167"/>
      <c r="D14" s="167"/>
      <c r="E14" s="135" t="s">
        <v>404</v>
      </c>
      <c r="F14" s="135"/>
      <c r="G14" s="135"/>
      <c r="H14" s="135"/>
      <c r="S14" s="48" t="s">
        <v>181</v>
      </c>
      <c r="T14" s="48" t="s">
        <v>188</v>
      </c>
      <c r="U14" s="48" t="s">
        <v>210</v>
      </c>
      <c r="V14" s="48" t="s">
        <v>196</v>
      </c>
      <c r="W14" s="48" t="s">
        <v>214</v>
      </c>
      <c r="X14"/>
      <c r="Y14"/>
      <c r="Z14"/>
    </row>
    <row r="15" spans="1:26" x14ac:dyDescent="0.3">
      <c r="A15" s="167" t="s">
        <v>8</v>
      </c>
      <c r="B15" s="167"/>
      <c r="C15" s="167"/>
      <c r="D15" s="167"/>
      <c r="E15" s="135" t="s">
        <v>350</v>
      </c>
      <c r="F15" s="167"/>
      <c r="G15" s="167"/>
      <c r="H15" s="167"/>
      <c r="I15" s="218" t="e">
        <f ca="1">OFFSET($D$5,1,MATCH($J13,$D$5:$H$5,0)-1,15,1)</f>
        <v>#N/A</v>
      </c>
      <c r="J15" s="219"/>
      <c r="K15" s="219"/>
      <c r="L15" s="219"/>
      <c r="M15" s="219"/>
      <c r="N15" s="219"/>
      <c r="O15" s="219"/>
      <c r="P15" s="219"/>
      <c r="S15" s="48" t="s">
        <v>182</v>
      </c>
      <c r="T15" s="48" t="s">
        <v>189</v>
      </c>
      <c r="U15" s="48" t="s">
        <v>211</v>
      </c>
      <c r="V15" s="48" t="s">
        <v>197</v>
      </c>
      <c r="W15" s="48" t="s">
        <v>227</v>
      </c>
      <c r="X15"/>
      <c r="Y15"/>
      <c r="Z15"/>
    </row>
    <row r="16" spans="1:26" ht="48.75" customHeight="1" x14ac:dyDescent="0.3">
      <c r="A16" s="135" t="s">
        <v>9</v>
      </c>
      <c r="B16" s="135"/>
      <c r="C16" s="135" t="str">
        <f>CONCATENATE((IF(OR(E9="",E9="NA"),"",E9)),", ",(IF(OR(A17="",A17="NA"),"",A17)),".",(IF(OR(C17="",C17="NA"),"",C17)),", near ",(IF(OR(C22="",C22="NA"),"",C22)),", ",(IF(OR(C19="",C19="NA"),"",C19)),", ",(IF(OR(C18="",C18="NA"),"",C18)),", ",(IF(OR(G19="",G19="NA"),"",G19)),", ",(IF(OR(C20="",C20="NA"),"",C20)),", ",(IF(OR(C21="",C21="NA"),"",C21)),", ",(IF(OR(G20="",G20="NA"),"",G20))," - ",(IF(OR(G21="",G21="NA"),"",G21)),".")</f>
        <v>Super Homez ­ Harmony, Survey No.117, H.No.1, 2, near Samarth International School, Chikhaldongari Road, Chikhal Dongari, Dongre, Virar (West), Vasai, Palghar - 401303.</v>
      </c>
      <c r="D16" s="135"/>
      <c r="E16" s="135"/>
      <c r="F16" s="135"/>
      <c r="G16" s="135"/>
      <c r="H16" s="135"/>
      <c r="S16" s="48" t="s">
        <v>183</v>
      </c>
      <c r="T16" s="48" t="s">
        <v>191</v>
      </c>
      <c r="U16" s="48" t="s">
        <v>212</v>
      </c>
      <c r="V16" s="48" t="s">
        <v>198</v>
      </c>
      <c r="W16" s="48" t="s">
        <v>215</v>
      </c>
      <c r="X16"/>
      <c r="Y16"/>
      <c r="Z16"/>
    </row>
    <row r="17" spans="1:26" x14ac:dyDescent="0.3">
      <c r="A17" s="135" t="s">
        <v>353</v>
      </c>
      <c r="B17" s="135"/>
      <c r="C17" s="135" t="s">
        <v>354</v>
      </c>
      <c r="D17" s="135"/>
      <c r="E17" s="135"/>
      <c r="F17" s="135"/>
      <c r="G17" s="135"/>
      <c r="H17" s="135"/>
      <c r="S17" s="48" t="s">
        <v>184</v>
      </c>
      <c r="T17" s="48" t="s">
        <v>192</v>
      </c>
      <c r="U17" s="48" t="s">
        <v>174</v>
      </c>
      <c r="V17" s="48" t="s">
        <v>199</v>
      </c>
      <c r="W17" s="48" t="s">
        <v>216</v>
      </c>
      <c r="X17"/>
      <c r="Y17"/>
      <c r="Z17"/>
    </row>
    <row r="18" spans="1:26" ht="15.75" customHeight="1" x14ac:dyDescent="0.3">
      <c r="A18" s="135" t="s">
        <v>163</v>
      </c>
      <c r="B18" s="135"/>
      <c r="C18" s="135" t="s">
        <v>360</v>
      </c>
      <c r="D18" s="135"/>
      <c r="E18" s="135"/>
      <c r="F18" s="135"/>
      <c r="G18" s="135"/>
      <c r="H18" s="135"/>
      <c r="S18" s="48" t="s">
        <v>185</v>
      </c>
      <c r="T18" s="48" t="s">
        <v>190</v>
      </c>
      <c r="U18" s="48"/>
      <c r="V18" s="48" t="s">
        <v>200</v>
      </c>
      <c r="W18" s="48" t="s">
        <v>217</v>
      </c>
      <c r="X18"/>
      <c r="Y18"/>
      <c r="Z18"/>
    </row>
    <row r="19" spans="1:26" ht="15.75" customHeight="1" x14ac:dyDescent="0.3">
      <c r="A19" s="135" t="s">
        <v>10</v>
      </c>
      <c r="B19" s="135"/>
      <c r="C19" s="167" t="s">
        <v>359</v>
      </c>
      <c r="D19" s="167"/>
      <c r="E19" s="135" t="s">
        <v>70</v>
      </c>
      <c r="F19" s="135"/>
      <c r="G19" s="135" t="s">
        <v>355</v>
      </c>
      <c r="H19" s="135"/>
      <c r="S19" s="48" t="s">
        <v>186</v>
      </c>
      <c r="T19" s="48" t="s">
        <v>193</v>
      </c>
      <c r="U19" s="48"/>
      <c r="V19" s="48" t="s">
        <v>201</v>
      </c>
      <c r="W19" s="48" t="s">
        <v>218</v>
      </c>
      <c r="X19"/>
      <c r="Y19"/>
      <c r="Z19"/>
    </row>
    <row r="20" spans="1:26" x14ac:dyDescent="0.3">
      <c r="A20" s="167" t="s">
        <v>12</v>
      </c>
      <c r="B20" s="167"/>
      <c r="C20" s="135" t="s">
        <v>358</v>
      </c>
      <c r="D20" s="135"/>
      <c r="E20" s="135" t="s">
        <v>11</v>
      </c>
      <c r="F20" s="135"/>
      <c r="G20" s="191" t="s">
        <v>190</v>
      </c>
      <c r="H20" s="191"/>
      <c r="S20" s="48" t="s">
        <v>187</v>
      </c>
      <c r="T20" s="48" t="s">
        <v>194</v>
      </c>
      <c r="U20" s="48"/>
      <c r="V20" s="48" t="s">
        <v>202</v>
      </c>
      <c r="W20" s="48" t="s">
        <v>219</v>
      </c>
      <c r="X20"/>
      <c r="Y20"/>
      <c r="Z20"/>
    </row>
    <row r="21" spans="1:26" x14ac:dyDescent="0.3">
      <c r="A21" s="167" t="s">
        <v>71</v>
      </c>
      <c r="B21" s="167"/>
      <c r="C21" s="135" t="s">
        <v>191</v>
      </c>
      <c r="D21" s="135"/>
      <c r="E21" s="135" t="s">
        <v>13</v>
      </c>
      <c r="F21" s="135"/>
      <c r="G21" s="135">
        <v>401303</v>
      </c>
      <c r="H21" s="135"/>
      <c r="S21" s="48"/>
      <c r="T21" s="48"/>
      <c r="U21" s="48"/>
      <c r="V21" s="48" t="s">
        <v>203</v>
      </c>
      <c r="W21" s="48" t="s">
        <v>220</v>
      </c>
      <c r="X21"/>
      <c r="Y21"/>
      <c r="Z21"/>
    </row>
    <row r="22" spans="1:26" ht="32.25" customHeight="1" x14ac:dyDescent="0.3">
      <c r="A22" s="167" t="s">
        <v>119</v>
      </c>
      <c r="B22" s="167"/>
      <c r="C22" s="135" t="s">
        <v>363</v>
      </c>
      <c r="D22" s="135"/>
      <c r="E22" s="135" t="s">
        <v>14</v>
      </c>
      <c r="F22" s="135"/>
      <c r="G22" s="135" t="s">
        <v>361</v>
      </c>
      <c r="H22" s="135"/>
      <c r="S22" s="48"/>
      <c r="T22" s="48"/>
      <c r="U22" s="48"/>
      <c r="V22" s="48" t="s">
        <v>204</v>
      </c>
      <c r="W22" s="48" t="s">
        <v>221</v>
      </c>
      <c r="X22"/>
      <c r="Y22"/>
      <c r="Z22"/>
    </row>
    <row r="23" spans="1:26" ht="15" customHeight="1" x14ac:dyDescent="0.3">
      <c r="A23" s="184" t="s">
        <v>73</v>
      </c>
      <c r="B23" s="184"/>
      <c r="C23" s="184"/>
      <c r="D23" s="184"/>
      <c r="E23" s="167" t="s">
        <v>15</v>
      </c>
      <c r="F23" s="167"/>
      <c r="G23" s="167"/>
      <c r="H23" s="167"/>
      <c r="S23" s="48"/>
      <c r="T23" s="48"/>
      <c r="U23" s="48"/>
      <c r="V23" s="48" t="s">
        <v>205</v>
      </c>
      <c r="W23" s="48" t="s">
        <v>222</v>
      </c>
      <c r="X23"/>
      <c r="Y23"/>
      <c r="Z23"/>
    </row>
    <row r="24" spans="1:26" ht="18.75" customHeight="1" x14ac:dyDescent="0.3">
      <c r="A24" s="184"/>
      <c r="B24" s="184"/>
      <c r="C24" s="184"/>
      <c r="D24" s="184"/>
      <c r="E24" s="167"/>
      <c r="F24" s="167"/>
      <c r="G24" s="167"/>
      <c r="H24" s="167"/>
      <c r="S24" s="48"/>
      <c r="T24" s="48"/>
      <c r="U24" s="48"/>
      <c r="V24" s="48" t="s">
        <v>206</v>
      </c>
      <c r="W24" s="48" t="s">
        <v>223</v>
      </c>
      <c r="X24"/>
      <c r="Y24"/>
      <c r="Z24"/>
    </row>
    <row r="25" spans="1:26" ht="15" customHeight="1" x14ac:dyDescent="0.3">
      <c r="A25" s="184" t="s">
        <v>16</v>
      </c>
      <c r="B25" s="184"/>
      <c r="C25" s="184"/>
      <c r="D25" s="184"/>
      <c r="E25" s="135" t="s">
        <v>17</v>
      </c>
      <c r="F25" s="135"/>
      <c r="G25" s="135"/>
      <c r="H25" s="135"/>
      <c r="S25" s="48"/>
      <c r="T25" s="48"/>
      <c r="U25" s="48"/>
      <c r="V25" s="48" t="s">
        <v>207</v>
      </c>
      <c r="W25" s="48" t="s">
        <v>224</v>
      </c>
      <c r="X25"/>
      <c r="Y25"/>
      <c r="Z25"/>
    </row>
    <row r="26" spans="1:26" ht="15" customHeight="1" x14ac:dyDescent="0.3">
      <c r="A26" s="115" t="s">
        <v>18</v>
      </c>
      <c r="B26" s="115"/>
      <c r="C26" s="115"/>
      <c r="D26" s="115"/>
      <c r="E26" s="135" t="str">
        <f>IF(AND(G20="Mumbai"),"Upper Class","Middle Class")</f>
        <v>Middle Class</v>
      </c>
      <c r="F26" s="135"/>
      <c r="G26" s="135"/>
      <c r="H26" s="135"/>
      <c r="S26" s="48"/>
      <c r="T26" s="48"/>
      <c r="U26" s="48"/>
      <c r="V26" s="48" t="s">
        <v>208</v>
      </c>
      <c r="W26" s="48" t="s">
        <v>225</v>
      </c>
      <c r="X26"/>
      <c r="Y26"/>
      <c r="Z26"/>
    </row>
    <row r="27" spans="1:26" x14ac:dyDescent="0.3">
      <c r="A27" s="115" t="s">
        <v>19</v>
      </c>
      <c r="B27" s="115"/>
      <c r="C27" s="115"/>
      <c r="D27" s="115"/>
      <c r="E27" s="135" t="s">
        <v>20</v>
      </c>
      <c r="F27" s="135"/>
      <c r="G27" s="135"/>
      <c r="H27" s="135"/>
      <c r="S27" s="48"/>
      <c r="T27" s="48"/>
      <c r="U27" s="48"/>
      <c r="V27" s="48" t="s">
        <v>209</v>
      </c>
      <c r="W27" s="48" t="s">
        <v>226</v>
      </c>
      <c r="X27"/>
      <c r="Y27"/>
      <c r="Z27"/>
    </row>
    <row r="28" spans="1:26" ht="15.75" customHeight="1" x14ac:dyDescent="0.3">
      <c r="A28" s="115" t="s">
        <v>21</v>
      </c>
      <c r="B28" s="115"/>
      <c r="C28" s="115"/>
      <c r="D28" s="115"/>
      <c r="E28" s="135" t="str">
        <f>IF(AND(G20="Mumbai"),"Developed","Developing")</f>
        <v>Developing</v>
      </c>
      <c r="F28" s="135"/>
      <c r="G28" s="135"/>
      <c r="H28" s="135"/>
    </row>
    <row r="29" spans="1:26" x14ac:dyDescent="0.3">
      <c r="A29" s="115" t="s">
        <v>22</v>
      </c>
      <c r="B29" s="115"/>
      <c r="C29" s="115"/>
      <c r="D29" s="115"/>
      <c r="E29" s="135" t="s">
        <v>23</v>
      </c>
      <c r="F29" s="135"/>
      <c r="G29" s="135"/>
      <c r="H29" s="135"/>
    </row>
    <row r="30" spans="1:26" ht="15.75" customHeight="1" x14ac:dyDescent="0.3">
      <c r="A30" s="115" t="s">
        <v>78</v>
      </c>
      <c r="B30" s="115"/>
      <c r="C30" s="115"/>
      <c r="D30" s="115"/>
      <c r="E30" s="135" t="s">
        <v>79</v>
      </c>
      <c r="F30" s="135"/>
      <c r="G30" s="135"/>
      <c r="H30" s="135"/>
    </row>
    <row r="31" spans="1:26" ht="15" customHeight="1" x14ac:dyDescent="0.3">
      <c r="A31" s="115" t="s">
        <v>30</v>
      </c>
      <c r="B31" s="115"/>
      <c r="C31" s="115"/>
      <c r="D31" s="115"/>
      <c r="E31" s="13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35"/>
      <c r="G31" s="135"/>
      <c r="H31" s="135"/>
    </row>
    <row r="32" spans="1:26" ht="15.75" customHeight="1" x14ac:dyDescent="0.3">
      <c r="A32" s="115" t="s">
        <v>90</v>
      </c>
      <c r="B32" s="115"/>
      <c r="C32" s="115"/>
      <c r="D32" s="115"/>
      <c r="E32" s="135" t="s">
        <v>31</v>
      </c>
      <c r="F32" s="135"/>
      <c r="G32" s="135"/>
      <c r="H32" s="135"/>
    </row>
    <row r="33" spans="1:19" s="19" customFormat="1" x14ac:dyDescent="0.3">
      <c r="A33" s="190" t="s">
        <v>91</v>
      </c>
      <c r="B33" s="190"/>
      <c r="C33" s="187" t="s">
        <v>175</v>
      </c>
      <c r="D33" s="188"/>
      <c r="E33" s="189"/>
      <c r="F33" s="187" t="s">
        <v>29</v>
      </c>
      <c r="G33" s="188"/>
      <c r="H33" s="189"/>
      <c r="S33" s="19" t="e">
        <f ca="1">OFFSET($S$13,1,MATCH($G20,$S$13:$W$13,0)-1,15,1)</f>
        <v>#VALUE!</v>
      </c>
    </row>
    <row r="34" spans="1:19" s="19" customFormat="1" x14ac:dyDescent="0.3">
      <c r="A34" s="147" t="s">
        <v>24</v>
      </c>
      <c r="B34" s="147" t="s">
        <v>28</v>
      </c>
      <c r="C34" s="148" t="s">
        <v>366</v>
      </c>
      <c r="D34" s="149"/>
      <c r="E34" s="150"/>
      <c r="F34" s="148" t="s">
        <v>364</v>
      </c>
      <c r="G34" s="149"/>
      <c r="H34" s="150"/>
    </row>
    <row r="35" spans="1:19" x14ac:dyDescent="0.3">
      <c r="A35" s="147" t="s">
        <v>25</v>
      </c>
      <c r="B35" s="147" t="s">
        <v>28</v>
      </c>
      <c r="C35" s="148" t="s">
        <v>367</v>
      </c>
      <c r="D35" s="149"/>
      <c r="E35" s="150"/>
      <c r="F35" s="148" t="s">
        <v>359</v>
      </c>
      <c r="G35" s="149"/>
      <c r="H35" s="150"/>
    </row>
    <row r="36" spans="1:19" s="19" customFormat="1" x14ac:dyDescent="0.3">
      <c r="A36" s="147" t="s">
        <v>27</v>
      </c>
      <c r="B36" s="147" t="s">
        <v>28</v>
      </c>
      <c r="C36" s="148" t="s">
        <v>368</v>
      </c>
      <c r="D36" s="149"/>
      <c r="E36" s="150"/>
      <c r="F36" s="148" t="s">
        <v>364</v>
      </c>
      <c r="G36" s="149"/>
      <c r="H36" s="150"/>
    </row>
    <row r="37" spans="1:19" x14ac:dyDescent="0.3">
      <c r="A37" s="147" t="s">
        <v>26</v>
      </c>
      <c r="B37" s="147" t="s">
        <v>28</v>
      </c>
      <c r="C37" s="148" t="s">
        <v>366</v>
      </c>
      <c r="D37" s="149"/>
      <c r="E37" s="150"/>
      <c r="F37" s="148" t="s">
        <v>365</v>
      </c>
      <c r="G37" s="149"/>
      <c r="H37" s="150"/>
    </row>
    <row r="38" spans="1:19" x14ac:dyDescent="0.3">
      <c r="A38" s="115" t="s">
        <v>280</v>
      </c>
      <c r="B38" s="115"/>
      <c r="C38" s="115"/>
      <c r="D38" s="115"/>
      <c r="E38" s="115"/>
      <c r="F38" s="115"/>
      <c r="G38" s="115"/>
      <c r="H38" s="115"/>
    </row>
    <row r="39" spans="1:19" ht="15.75" customHeight="1" x14ac:dyDescent="0.3">
      <c r="A39" s="115" t="s">
        <v>166</v>
      </c>
      <c r="B39" s="115"/>
      <c r="C39" s="152" t="s">
        <v>357</v>
      </c>
      <c r="D39" s="152"/>
      <c r="E39" s="152"/>
      <c r="F39" s="152"/>
      <c r="G39" s="152"/>
      <c r="H39" s="152"/>
    </row>
    <row r="40" spans="1:19" x14ac:dyDescent="0.3">
      <c r="A40" s="115" t="s">
        <v>162</v>
      </c>
      <c r="B40" s="115"/>
      <c r="C40" s="134" t="s">
        <v>356</v>
      </c>
      <c r="D40" s="135"/>
      <c r="E40" s="135"/>
      <c r="F40" s="135"/>
      <c r="G40" s="135"/>
      <c r="H40" s="135"/>
    </row>
    <row r="41" spans="1:19" x14ac:dyDescent="0.3">
      <c r="A41" s="152" t="s">
        <v>32</v>
      </c>
      <c r="B41" s="152"/>
      <c r="C41" s="152"/>
      <c r="D41" s="152"/>
      <c r="E41" s="152"/>
      <c r="F41" s="152"/>
      <c r="G41" s="152"/>
      <c r="H41" s="152"/>
    </row>
    <row r="42" spans="1:19" x14ac:dyDescent="0.3">
      <c r="A42" s="115" t="s">
        <v>33</v>
      </c>
      <c r="B42" s="115"/>
      <c r="C42" s="115"/>
      <c r="D42" s="115"/>
      <c r="E42" s="151">
        <v>23492.63</v>
      </c>
      <c r="F42" s="151"/>
      <c r="G42" s="151"/>
      <c r="H42" s="151"/>
    </row>
    <row r="43" spans="1:19" x14ac:dyDescent="0.3">
      <c r="A43" s="115" t="s">
        <v>34</v>
      </c>
      <c r="B43" s="115"/>
      <c r="C43" s="115"/>
      <c r="D43" s="115"/>
      <c r="E43" s="169">
        <v>1</v>
      </c>
      <c r="F43" s="169"/>
      <c r="G43" s="169"/>
      <c r="H43" s="169"/>
    </row>
    <row r="44" spans="1:19" x14ac:dyDescent="0.3">
      <c r="A44" s="115" t="s">
        <v>35</v>
      </c>
      <c r="B44" s="115"/>
      <c r="C44" s="115"/>
      <c r="D44" s="115"/>
      <c r="E44" s="169">
        <f>E46/E42-E43</f>
        <v>0.59999923380226061</v>
      </c>
      <c r="F44" s="169"/>
      <c r="G44" s="169"/>
      <c r="H44" s="169"/>
    </row>
    <row r="45" spans="1:19" x14ac:dyDescent="0.3">
      <c r="A45" s="115" t="s">
        <v>36</v>
      </c>
      <c r="B45" s="115"/>
      <c r="C45" s="115"/>
      <c r="D45" s="115"/>
      <c r="E45" s="169">
        <f>E43+E44</f>
        <v>1.5999992338022606</v>
      </c>
      <c r="F45" s="169"/>
      <c r="G45" s="169"/>
      <c r="H45" s="169"/>
    </row>
    <row r="46" spans="1:19" x14ac:dyDescent="0.3">
      <c r="A46" s="115" t="s">
        <v>89</v>
      </c>
      <c r="B46" s="115"/>
      <c r="C46" s="115"/>
      <c r="D46" s="115"/>
      <c r="E46" s="170">
        <v>37588.19</v>
      </c>
      <c r="F46" s="170"/>
      <c r="G46" s="170"/>
      <c r="H46" s="170"/>
    </row>
    <row r="47" spans="1:19" x14ac:dyDescent="0.3">
      <c r="A47" s="167" t="s">
        <v>37</v>
      </c>
      <c r="B47" s="167"/>
      <c r="C47" s="167"/>
      <c r="D47" s="167"/>
      <c r="E47" s="167" t="s">
        <v>369</v>
      </c>
      <c r="F47" s="167"/>
      <c r="G47" s="167"/>
      <c r="H47" s="167"/>
    </row>
    <row r="48" spans="1:19" x14ac:dyDescent="0.3">
      <c r="A48" s="152" t="s">
        <v>38</v>
      </c>
      <c r="B48" s="152"/>
      <c r="C48" s="152"/>
      <c r="D48" s="152"/>
      <c r="E48" s="152"/>
      <c r="F48" s="152"/>
      <c r="G48" s="152"/>
      <c r="H48" s="152"/>
    </row>
    <row r="49" spans="1:24" ht="33.75" customHeight="1" x14ac:dyDescent="0.3">
      <c r="A49" s="154" t="s">
        <v>151</v>
      </c>
      <c r="B49" s="156"/>
      <c r="C49" s="176" t="s">
        <v>275</v>
      </c>
      <c r="D49" s="177"/>
      <c r="E49" s="177"/>
      <c r="F49" s="177"/>
      <c r="G49" s="177"/>
      <c r="H49" s="178"/>
      <c r="R49" t="s">
        <v>253</v>
      </c>
      <c r="S49" s="50" t="s">
        <v>174</v>
      </c>
      <c r="T49" s="50" t="s">
        <v>181</v>
      </c>
      <c r="U49" s="50" t="s">
        <v>195</v>
      </c>
      <c r="V49" s="50" t="s">
        <v>190</v>
      </c>
    </row>
    <row r="50" spans="1:24" ht="15.75" customHeight="1" x14ac:dyDescent="0.3">
      <c r="A50" s="154" t="s">
        <v>39</v>
      </c>
      <c r="B50" s="156"/>
      <c r="C50" s="154" t="s">
        <v>370</v>
      </c>
      <c r="D50" s="155"/>
      <c r="E50" s="156"/>
      <c r="F50" s="17" t="s">
        <v>40</v>
      </c>
      <c r="G50" s="157">
        <v>45233</v>
      </c>
      <c r="H50" s="158"/>
      <c r="R50"/>
      <c r="S50" s="50" t="s">
        <v>254</v>
      </c>
      <c r="T50" s="50" t="s">
        <v>259</v>
      </c>
      <c r="U50" s="50" t="s">
        <v>270</v>
      </c>
      <c r="V50" s="50" t="s">
        <v>275</v>
      </c>
    </row>
    <row r="51" spans="1:24" x14ac:dyDescent="0.3">
      <c r="A51" s="154" t="s">
        <v>41</v>
      </c>
      <c r="B51" s="156"/>
      <c r="C51" s="154" t="str">
        <f>C50</f>
        <v>VVCMC/TP/CC/VP/6841/192/2023-24</v>
      </c>
      <c r="D51" s="155"/>
      <c r="E51" s="156"/>
      <c r="F51" s="17" t="s">
        <v>40</v>
      </c>
      <c r="G51" s="157">
        <f>G50</f>
        <v>45233</v>
      </c>
      <c r="H51" s="158"/>
      <c r="R51"/>
      <c r="S51" s="50" t="s">
        <v>255</v>
      </c>
      <c r="T51" s="50" t="s">
        <v>260</v>
      </c>
      <c r="U51" s="50" t="s">
        <v>268</v>
      </c>
      <c r="V51" s="50" t="s">
        <v>276</v>
      </c>
    </row>
    <row r="52" spans="1:24" s="20" customFormat="1" ht="15.75" customHeight="1" x14ac:dyDescent="0.3">
      <c r="A52" s="163" t="s">
        <v>155</v>
      </c>
      <c r="B52" s="164"/>
      <c r="C52" s="154" t="s">
        <v>371</v>
      </c>
      <c r="D52" s="155"/>
      <c r="E52" s="156"/>
      <c r="F52" s="17" t="s">
        <v>40</v>
      </c>
      <c r="G52" s="157">
        <f>G51</f>
        <v>45233</v>
      </c>
      <c r="H52" s="158"/>
      <c r="R52"/>
      <c r="S52" s="50" t="s">
        <v>256</v>
      </c>
      <c r="T52" s="50" t="s">
        <v>261</v>
      </c>
      <c r="U52" s="50" t="s">
        <v>258</v>
      </c>
      <c r="V52" s="50" t="s">
        <v>277</v>
      </c>
    </row>
    <row r="53" spans="1:24" s="20" customFormat="1" ht="79.5" customHeight="1" x14ac:dyDescent="0.3">
      <c r="A53" s="165"/>
      <c r="B53" s="166"/>
      <c r="C53" s="154" t="s">
        <v>372</v>
      </c>
      <c r="D53" s="155"/>
      <c r="E53" s="155"/>
      <c r="F53" s="155"/>
      <c r="G53" s="155"/>
      <c r="H53" s="156"/>
      <c r="R53"/>
      <c r="S53" s="50" t="s">
        <v>257</v>
      </c>
      <c r="T53" s="50" t="s">
        <v>264</v>
      </c>
      <c r="U53" s="50" t="s">
        <v>271</v>
      </c>
      <c r="V53" s="65"/>
    </row>
    <row r="54" spans="1:24" s="20" customFormat="1" hidden="1" x14ac:dyDescent="0.3">
      <c r="A54" s="159" t="s">
        <v>281</v>
      </c>
      <c r="B54" s="160"/>
      <c r="C54" s="154"/>
      <c r="D54" s="155"/>
      <c r="E54" s="156"/>
      <c r="F54" s="17" t="s">
        <v>40</v>
      </c>
      <c r="G54" s="154"/>
      <c r="H54" s="156"/>
      <c r="R54"/>
      <c r="S54" s="50" t="s">
        <v>256</v>
      </c>
      <c r="T54" s="50" t="s">
        <v>261</v>
      </c>
      <c r="U54" s="50" t="s">
        <v>258</v>
      </c>
      <c r="V54" s="50" t="s">
        <v>277</v>
      </c>
    </row>
    <row r="55" spans="1:24" s="20" customFormat="1" ht="32.25" hidden="1" customHeight="1" x14ac:dyDescent="0.3">
      <c r="A55" s="161"/>
      <c r="B55" s="162"/>
      <c r="C55" s="140"/>
      <c r="D55" s="141"/>
      <c r="E55" s="141"/>
      <c r="F55" s="141"/>
      <c r="G55" s="141"/>
      <c r="H55" s="142"/>
      <c r="R55"/>
      <c r="S55" s="50" t="s">
        <v>258</v>
      </c>
      <c r="T55" s="50" t="s">
        <v>262</v>
      </c>
      <c r="U55" s="50" t="s">
        <v>272</v>
      </c>
      <c r="V55" s="66"/>
      <c r="W55" s="18"/>
      <c r="X55" s="18"/>
    </row>
    <row r="56" spans="1:24" s="20" customFormat="1" ht="30.6" customHeight="1" x14ac:dyDescent="0.3">
      <c r="A56" s="173" t="s">
        <v>282</v>
      </c>
      <c r="B56" s="175"/>
      <c r="C56" s="154" t="s">
        <v>373</v>
      </c>
      <c r="D56" s="155"/>
      <c r="E56" s="156"/>
      <c r="F56" s="17" t="s">
        <v>40</v>
      </c>
      <c r="G56" s="157">
        <v>45324</v>
      </c>
      <c r="H56" s="156"/>
      <c r="R56"/>
      <c r="S56" s="66"/>
      <c r="T56" s="50" t="s">
        <v>263</v>
      </c>
      <c r="U56" s="50" t="s">
        <v>273</v>
      </c>
      <c r="V56" s="66"/>
      <c r="W56" s="18"/>
      <c r="X56" s="18"/>
    </row>
    <row r="57" spans="1:24" s="20" customFormat="1" x14ac:dyDescent="0.3">
      <c r="A57" s="181"/>
      <c r="B57" s="226"/>
      <c r="C57" s="154" t="s">
        <v>374</v>
      </c>
      <c r="D57" s="155"/>
      <c r="E57" s="155"/>
      <c r="F57" s="155"/>
      <c r="G57" s="155"/>
      <c r="H57" s="156"/>
      <c r="R57"/>
      <c r="S57" s="66"/>
      <c r="T57" s="50" t="s">
        <v>265</v>
      </c>
      <c r="U57" s="50" t="s">
        <v>274</v>
      </c>
      <c r="V57" s="66"/>
      <c r="W57" s="18"/>
      <c r="X57" s="18"/>
    </row>
    <row r="58" spans="1:24" s="20" customFormat="1" ht="15.75" hidden="1" customHeight="1" x14ac:dyDescent="0.3">
      <c r="A58" s="159" t="s">
        <v>283</v>
      </c>
      <c r="B58" s="160"/>
      <c r="C58" s="154"/>
      <c r="D58" s="155"/>
      <c r="E58" s="156"/>
      <c r="F58" s="17" t="s">
        <v>40</v>
      </c>
      <c r="G58" s="154">
        <f>G57</f>
        <v>0</v>
      </c>
      <c r="H58" s="156"/>
      <c r="R58"/>
      <c r="S58" s="66"/>
      <c r="T58" s="50" t="s">
        <v>266</v>
      </c>
      <c r="U58" s="66" t="s">
        <v>297</v>
      </c>
      <c r="V58" s="66"/>
      <c r="W58" s="18"/>
      <c r="X58" s="18"/>
    </row>
    <row r="59" spans="1:24" s="20" customFormat="1" ht="33.75" hidden="1" customHeight="1" x14ac:dyDescent="0.3">
      <c r="A59" s="161"/>
      <c r="B59" s="162"/>
      <c r="C59" s="154"/>
      <c r="D59" s="155"/>
      <c r="E59" s="155"/>
      <c r="F59" s="155"/>
      <c r="G59" s="155"/>
      <c r="H59" s="156"/>
      <c r="R59"/>
      <c r="S59" s="66"/>
      <c r="T59" s="50" t="s">
        <v>267</v>
      </c>
      <c r="U59" s="66"/>
      <c r="V59" s="66"/>
      <c r="W59" s="18"/>
      <c r="X59" s="18"/>
    </row>
    <row r="60" spans="1:24" ht="35.4" customHeight="1" x14ac:dyDescent="0.3">
      <c r="A60" s="220" t="s">
        <v>42</v>
      </c>
      <c r="B60" s="221"/>
      <c r="C60" s="220" t="s">
        <v>103</v>
      </c>
      <c r="D60" s="222"/>
      <c r="E60" s="221"/>
      <c r="F60" s="40" t="s">
        <v>40</v>
      </c>
      <c r="G60" s="224" t="s">
        <v>28</v>
      </c>
      <c r="H60" s="225"/>
      <c r="R60"/>
      <c r="S60" s="66"/>
      <c r="T60" s="50" t="s">
        <v>269</v>
      </c>
      <c r="U60" s="66"/>
      <c r="V60" s="66"/>
    </row>
    <row r="61" spans="1:24" x14ac:dyDescent="0.3">
      <c r="A61" s="183" t="s">
        <v>44</v>
      </c>
      <c r="B61" s="183"/>
      <c r="C61" s="183"/>
      <c r="D61" s="183"/>
      <c r="E61" s="183"/>
      <c r="F61" s="183"/>
      <c r="G61" s="183"/>
      <c r="H61" s="183"/>
      <c r="S61" s="66"/>
      <c r="T61" s="50" t="s">
        <v>278</v>
      </c>
      <c r="U61" s="66"/>
      <c r="V61" s="66"/>
    </row>
    <row r="62" spans="1:24" x14ac:dyDescent="0.3">
      <c r="A62" s="184" t="s">
        <v>88</v>
      </c>
      <c r="B62" s="184"/>
      <c r="C62" s="184"/>
      <c r="D62" s="223">
        <f>J62</f>
        <v>13400.45</v>
      </c>
      <c r="E62" s="223"/>
      <c r="F62" s="223"/>
      <c r="G62" s="223"/>
      <c r="H62" s="223"/>
      <c r="J62" s="18">
        <f>3784.39+3788.72+3592.31+2235.03</f>
        <v>13400.45</v>
      </c>
      <c r="R62"/>
    </row>
    <row r="63" spans="1:24" x14ac:dyDescent="0.3">
      <c r="A63" s="135" t="s">
        <v>45</v>
      </c>
      <c r="B63" s="167"/>
      <c r="C63" s="167"/>
      <c r="D63" s="167" t="s">
        <v>399</v>
      </c>
      <c r="E63" s="167"/>
      <c r="F63" s="167"/>
      <c r="G63" s="167"/>
      <c r="H63" s="167"/>
      <c r="I63" s="21"/>
      <c r="R63"/>
    </row>
    <row r="64" spans="1:24" ht="63.9" customHeight="1" x14ac:dyDescent="0.3">
      <c r="A64" s="173" t="s">
        <v>46</v>
      </c>
      <c r="B64" s="174"/>
      <c r="C64" s="175"/>
      <c r="D64" s="171" t="s">
        <v>376</v>
      </c>
      <c r="E64" s="172"/>
      <c r="F64" s="172"/>
      <c r="G64" s="172"/>
      <c r="H64" s="172"/>
      <c r="R64"/>
    </row>
    <row r="65" spans="1:19" x14ac:dyDescent="0.3">
      <c r="A65" s="173" t="s">
        <v>86</v>
      </c>
      <c r="B65" s="174"/>
      <c r="C65" s="174"/>
      <c r="D65" s="135" t="s">
        <v>377</v>
      </c>
      <c r="E65" s="167"/>
      <c r="F65" s="167"/>
      <c r="G65" s="167"/>
      <c r="H65" s="167"/>
      <c r="R65"/>
    </row>
    <row r="66" spans="1:19" x14ac:dyDescent="0.3">
      <c r="A66" s="179"/>
      <c r="B66" s="180"/>
      <c r="C66" s="180"/>
      <c r="D66" s="135" t="s">
        <v>402</v>
      </c>
      <c r="E66" s="167"/>
      <c r="F66" s="167"/>
      <c r="G66" s="167"/>
      <c r="H66" s="167"/>
      <c r="R66"/>
    </row>
    <row r="67" spans="1:19" ht="30.9" customHeight="1" x14ac:dyDescent="0.3">
      <c r="A67" s="179"/>
      <c r="B67" s="180"/>
      <c r="C67" s="180"/>
      <c r="D67" s="135" t="s">
        <v>378</v>
      </c>
      <c r="E67" s="167"/>
      <c r="F67" s="167"/>
      <c r="G67" s="167"/>
      <c r="H67" s="167"/>
      <c r="R67"/>
    </row>
    <row r="68" spans="1:19" ht="15.75" hidden="1" customHeight="1" x14ac:dyDescent="0.3">
      <c r="A68" s="181"/>
      <c r="B68" s="182"/>
      <c r="C68" s="182"/>
      <c r="D68" s="227" t="s">
        <v>170</v>
      </c>
      <c r="E68" s="228"/>
      <c r="F68" s="228"/>
      <c r="G68" s="228"/>
      <c r="H68" s="229"/>
      <c r="S68"/>
    </row>
    <row r="69" spans="1:19" ht="15.75" customHeight="1" x14ac:dyDescent="0.3">
      <c r="A69" s="115" t="s">
        <v>43</v>
      </c>
      <c r="B69" s="115"/>
      <c r="C69" s="115"/>
      <c r="D69" s="153" t="s">
        <v>375</v>
      </c>
      <c r="E69" s="153"/>
      <c r="F69" s="153"/>
      <c r="G69" s="153"/>
      <c r="H69" s="153"/>
      <c r="J69" s="22"/>
      <c r="K69" s="21"/>
      <c r="N69" s="21"/>
      <c r="S69"/>
    </row>
    <row r="70" spans="1:19" ht="15.75" customHeight="1" x14ac:dyDescent="0.3">
      <c r="A70" s="115" t="s">
        <v>84</v>
      </c>
      <c r="B70" s="115"/>
      <c r="C70" s="115"/>
      <c r="D70" s="168" t="str">
        <f>(IF(G60="NA","60 Years After Completion",IF(G60&lt;&gt;"NA",""&amp;60-ROUNDDOWN((E3-G60)/360,0)&amp;" Years"," ")))</f>
        <v>60 Years After Completion</v>
      </c>
      <c r="E70" s="168"/>
      <c r="F70" s="168"/>
      <c r="G70" s="168"/>
      <c r="H70" s="168"/>
      <c r="N70" s="21"/>
      <c r="S70"/>
    </row>
    <row r="71" spans="1:19" ht="15.75" customHeight="1" x14ac:dyDescent="0.3">
      <c r="A71" s="115" t="s">
        <v>85</v>
      </c>
      <c r="B71" s="115"/>
      <c r="C71" s="115"/>
      <c r="D71" s="184" t="s">
        <v>23</v>
      </c>
      <c r="E71" s="184"/>
      <c r="F71" s="184"/>
      <c r="G71" s="184"/>
      <c r="H71" s="184"/>
      <c r="J71" s="23"/>
      <c r="K71" s="23"/>
      <c r="S71"/>
    </row>
    <row r="72" spans="1:19" ht="64.5" customHeight="1" x14ac:dyDescent="0.3">
      <c r="A72" s="167" t="s">
        <v>379</v>
      </c>
      <c r="B72" s="167"/>
      <c r="C72" s="167"/>
      <c r="D72" s="135" t="s">
        <v>407</v>
      </c>
      <c r="E72" s="184"/>
      <c r="F72" s="184"/>
      <c r="G72" s="184"/>
      <c r="H72" s="184"/>
      <c r="S72"/>
    </row>
    <row r="73" spans="1:19" x14ac:dyDescent="0.3">
      <c r="A73" s="184" t="s">
        <v>147</v>
      </c>
      <c r="B73" s="184"/>
      <c r="C73" s="184"/>
      <c r="D73" s="184" t="s">
        <v>28</v>
      </c>
      <c r="E73" s="184"/>
      <c r="F73" s="184"/>
      <c r="G73" s="184"/>
      <c r="H73" s="184"/>
      <c r="I73" s="24"/>
      <c r="J73" s="24"/>
      <c r="K73" s="24"/>
      <c r="L73" s="24"/>
      <c r="M73" s="24"/>
      <c r="N73" s="24"/>
    </row>
    <row r="74" spans="1:19" ht="15.75" customHeight="1" x14ac:dyDescent="0.3">
      <c r="A74" s="186" t="s">
        <v>83</v>
      </c>
      <c r="B74" s="186"/>
      <c r="C74" s="186"/>
      <c r="D74" s="171" t="str">
        <f ca="1">(IF(G80&gt;95%,"Nothing",IF(G80&gt;0%,"Cement, Aggregate, Steel, etc",IF(G80=0%,"Work not yet Started"))))</f>
        <v>Cement, Aggregate, Steel, etc</v>
      </c>
      <c r="E74" s="171"/>
      <c r="F74" s="171"/>
      <c r="G74" s="171"/>
      <c r="H74" s="171"/>
      <c r="J74" s="23"/>
      <c r="S74"/>
    </row>
    <row r="75" spans="1:19" ht="33.75" customHeight="1" thickBot="1" x14ac:dyDescent="0.35">
      <c r="A75" s="185" t="s">
        <v>116</v>
      </c>
      <c r="B75" s="185"/>
      <c r="C75" s="185"/>
      <c r="D75" s="171" t="str">
        <f ca="1">(IF(D74="Nothing","Yes",IF(D74="Cement, Aggregate, Steel, etc","Under Construction",IF(D74="Work not yet Started","Work not yet Started"))))</f>
        <v>Under Construction</v>
      </c>
      <c r="E75" s="171"/>
      <c r="F75" s="171" t="str">
        <f ca="1">(IF(D74="Nothing","Yes",IF(D74="Cement, Aggregate, Steel, etc","Under Construction",IF(D74="Work not yet Started","Work not yet Started"))))</f>
        <v>Under Construction</v>
      </c>
      <c r="G75" s="171"/>
      <c r="H75" s="171"/>
      <c r="S75"/>
    </row>
    <row r="76" spans="1:19" ht="30.75" customHeight="1" x14ac:dyDescent="0.3">
      <c r="A76" s="97" t="s">
        <v>137</v>
      </c>
      <c r="B76" s="98"/>
      <c r="C76" s="99" t="s">
        <v>415</v>
      </c>
      <c r="D76" s="100"/>
      <c r="E76" s="100"/>
      <c r="F76" s="100"/>
      <c r="G76" s="100"/>
      <c r="H76" s="101"/>
      <c r="I76" s="42" t="str">
        <f ca="1">IF(D89=100%,"All work Completed. Possession granted to the Building.",IF(D88=100%,"All work Completed, Waiting for OC",I77&amp;""&amp;I78&amp;""&amp;J77&amp;""&amp;J76&amp;" "&amp;J78))</f>
        <v>Excavation, Plinth Completed, RCC upto 2 Slab Completed</v>
      </c>
      <c r="J76" s="43"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RCC upto 2 Slab</v>
      </c>
      <c r="S76"/>
    </row>
    <row r="77" spans="1:19" x14ac:dyDescent="0.3">
      <c r="A77" s="15" t="s">
        <v>139</v>
      </c>
      <c r="B77" s="46">
        <f>IF(AND(ISNUMBER(SEARCH("1B",C76))),1,IF(AND(ISNUMBER(SEARCH("2B",C76))),2,IF(AND(ISNUMBER(SEARCH("3B",C76))),3,IF(AND(ISNUMBER(SEARCH("4B",C76))),4,IF(ISNUMBER(SEARCH("5B",C76)),5,0)))))</f>
        <v>0</v>
      </c>
      <c r="C77" s="46" t="s">
        <v>69</v>
      </c>
      <c r="D77" s="46">
        <v>1</v>
      </c>
      <c r="E77" s="46" t="s">
        <v>68</v>
      </c>
      <c r="F77" s="46">
        <v>0</v>
      </c>
      <c r="G77" s="46" t="s">
        <v>77</v>
      </c>
      <c r="H77" s="16">
        <f ca="1">--TRIM(RIGHT(SUBSTITUTE(LEFT(C76,_xlfn.AGGREGATE(16,6,FIND({0,1,2,3,4,5,6,7,8,9},C76,ROW(INDIRECT("1:"&amp;LEN(C76)))),1))," ",REPT(" ",LEN(C76))),LEN(C76)))</f>
        <v>7</v>
      </c>
      <c r="I77" s="44" t="str">
        <f ca="1">IF(D80=100%,"Excavation","")&amp;IF(D81=100%,", Plinth","")&amp;IF(D82=100%,", RCC Slab","")&amp;IF(D83=100%,", Brickwork","")&amp;IF(D84=100%,", Internal Plaster","")&amp;IF(D85=100%,", External Plaster","")&amp;IF(D86=100%,", Flooring","")&amp;IF(D87=100%,", Painting","")&amp;IF(D88=100%,", Building common Amenities","")</f>
        <v>Excavation, Plinth</v>
      </c>
      <c r="J77" s="45"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x14ac:dyDescent="0.3">
      <c r="A78" s="102" t="s">
        <v>87</v>
      </c>
      <c r="B78" s="103"/>
      <c r="C78" s="104" t="str">
        <f ca="1">I76</f>
        <v>Excavation, Plinth Completed, RCC upto 2 Slab Completed</v>
      </c>
      <c r="D78" s="104"/>
      <c r="E78" s="104"/>
      <c r="F78" s="104"/>
      <c r="G78" s="104"/>
      <c r="H78" s="105"/>
      <c r="I78" s="44" t="str">
        <f ca="1">IF(I77&lt;&gt;""," Completed","")</f>
        <v xml:space="preserve"> Completed</v>
      </c>
      <c r="J78" s="45" t="str">
        <f ca="1">IF(J76&lt;&gt;"","Completed","")</f>
        <v>Completed</v>
      </c>
      <c r="S78"/>
    </row>
    <row r="79" spans="1:19" ht="15.75" customHeight="1" x14ac:dyDescent="0.3">
      <c r="A79" s="89" t="s">
        <v>47</v>
      </c>
      <c r="B79" s="90"/>
      <c r="C79" s="69" t="s">
        <v>136</v>
      </c>
      <c r="D79" s="69" t="s">
        <v>80</v>
      </c>
      <c r="E79" s="90" t="s">
        <v>82</v>
      </c>
      <c r="F79" s="90"/>
      <c r="G79" s="90" t="s">
        <v>81</v>
      </c>
      <c r="H79" s="106"/>
      <c r="I79" s="13" t="s">
        <v>138</v>
      </c>
      <c r="J79" s="25">
        <f ca="1">H77*25%</f>
        <v>1.75</v>
      </c>
      <c r="S79"/>
    </row>
    <row r="80" spans="1:19" x14ac:dyDescent="0.3">
      <c r="A80" s="89" t="s">
        <v>125</v>
      </c>
      <c r="B80" s="90"/>
      <c r="C80" s="69">
        <f ca="1">J81</f>
        <v>7</v>
      </c>
      <c r="D80" s="70">
        <f ca="1">((100/H77)*C80)/100</f>
        <v>1</v>
      </c>
      <c r="E80" s="91">
        <f ca="1">(((C81/H77*10)+(40/(D77+F77+H77)*C82)+(7.5/(H77)*C83)+(7.5/(H77)*C84)+(10/H77*C85)+(10/H77*C86)+(5/H77*C87)+(5/H77*C88)+(5/H77*C89))/100)</f>
        <v>0.2</v>
      </c>
      <c r="F80" s="92"/>
      <c r="G80" s="91">
        <f ca="1">((((C80/H77)*20)+((C81/H77)*25)+(30/(H77+F77+D77)*C82)+(5/H77*C83)+(5/H77*C84)+(5/H77*C85)+(5/H77*C86)+(0/H77*C87)+(0/H77*C88)+(5/H77*C89))/100)</f>
        <v>0.52500000000000002</v>
      </c>
      <c r="H80" s="107"/>
      <c r="I80" s="13" t="s">
        <v>98</v>
      </c>
      <c r="J80" s="26">
        <f ca="1">H77*50%</f>
        <v>3.5</v>
      </c>
    </row>
    <row r="81" spans="1:19" x14ac:dyDescent="0.3">
      <c r="A81" s="89" t="s">
        <v>48</v>
      </c>
      <c r="B81" s="90"/>
      <c r="C81" s="71">
        <f ca="1">J89</f>
        <v>7</v>
      </c>
      <c r="D81" s="70">
        <f ca="1">((100/H77)*C81)/100</f>
        <v>1</v>
      </c>
      <c r="E81" s="93"/>
      <c r="F81" s="94"/>
      <c r="G81" s="93"/>
      <c r="H81" s="108"/>
      <c r="I81" s="13" t="s">
        <v>99</v>
      </c>
      <c r="J81" s="26">
        <f ca="1">H77</f>
        <v>7</v>
      </c>
      <c r="S81"/>
    </row>
    <row r="82" spans="1:19" ht="15.75" customHeight="1" x14ac:dyDescent="0.3">
      <c r="A82" s="89" t="s">
        <v>126</v>
      </c>
      <c r="B82" s="90"/>
      <c r="C82" s="69">
        <v>2</v>
      </c>
      <c r="D82" s="70">
        <f ca="1">((100/(D77+F77+H77))*C82)/100</f>
        <v>0.25</v>
      </c>
      <c r="E82" s="93"/>
      <c r="F82" s="94"/>
      <c r="G82" s="93"/>
      <c r="H82" s="108"/>
      <c r="I82" s="13" t="s">
        <v>100</v>
      </c>
      <c r="J82" s="27">
        <f ca="1">(IF(B77&gt;1,(H77/(B77+2)),H77/4))</f>
        <v>1.75</v>
      </c>
      <c r="S82"/>
    </row>
    <row r="83" spans="1:19" ht="15.75" customHeight="1" x14ac:dyDescent="0.3">
      <c r="A83" s="89" t="s">
        <v>133</v>
      </c>
      <c r="B83" s="90" t="s">
        <v>127</v>
      </c>
      <c r="C83" s="69">
        <v>0</v>
      </c>
      <c r="D83" s="70">
        <f ca="1">((100/H77)*C83)/100</f>
        <v>0</v>
      </c>
      <c r="E83" s="93"/>
      <c r="F83" s="94"/>
      <c r="G83" s="93"/>
      <c r="H83" s="108"/>
      <c r="I83" s="13" t="s">
        <v>101</v>
      </c>
      <c r="J83" s="27">
        <f ca="1">(IF(B77&gt;1,(H77/(B77+2)+J82),H77/4+J82))</f>
        <v>3.5</v>
      </c>
    </row>
    <row r="84" spans="1:19" ht="15.75" customHeight="1" x14ac:dyDescent="0.3">
      <c r="A84" s="89" t="s">
        <v>134</v>
      </c>
      <c r="B84" s="90" t="s">
        <v>127</v>
      </c>
      <c r="C84" s="69">
        <v>0</v>
      </c>
      <c r="D84" s="70">
        <f ca="1">((100/H77)*C84)/100</f>
        <v>0</v>
      </c>
      <c r="E84" s="93"/>
      <c r="F84" s="94"/>
      <c r="G84" s="93"/>
      <c r="H84" s="108"/>
      <c r="I84" s="13" t="s">
        <v>145</v>
      </c>
      <c r="J84" s="27">
        <f>(IF(B77&gt;1,(H77/(B77+2)+J83),0))</f>
        <v>0</v>
      </c>
    </row>
    <row r="85" spans="1:19" ht="15" customHeight="1" x14ac:dyDescent="0.3">
      <c r="A85" s="89" t="s">
        <v>132</v>
      </c>
      <c r="B85" s="90" t="s">
        <v>129</v>
      </c>
      <c r="C85" s="69">
        <v>0</v>
      </c>
      <c r="D85" s="70">
        <f ca="1">((100/(H77))*C85)/100</f>
        <v>0</v>
      </c>
      <c r="E85" s="93"/>
      <c r="F85" s="94"/>
      <c r="G85" s="93"/>
      <c r="H85" s="108"/>
      <c r="I85" s="13" t="s">
        <v>140</v>
      </c>
      <c r="J85" s="27">
        <f>(IF(B77&gt;2,(H77/(B77+2)+J84),0))</f>
        <v>0</v>
      </c>
    </row>
    <row r="86" spans="1:19" ht="15.75" customHeight="1" x14ac:dyDescent="0.3">
      <c r="A86" s="89" t="s">
        <v>128</v>
      </c>
      <c r="B86" s="90" t="s">
        <v>128</v>
      </c>
      <c r="C86" s="69">
        <v>0</v>
      </c>
      <c r="D86" s="70">
        <f ca="1">((100/H77)*C86)/100</f>
        <v>0</v>
      </c>
      <c r="E86" s="93"/>
      <c r="F86" s="94"/>
      <c r="G86" s="93"/>
      <c r="H86" s="108"/>
      <c r="I86" s="13" t="s">
        <v>141</v>
      </c>
      <c r="J86" s="28">
        <f>(IF(B77&gt;3,(H77/(B77+2)+J85),0))</f>
        <v>0</v>
      </c>
    </row>
    <row r="87" spans="1:19" ht="15.75" customHeight="1" x14ac:dyDescent="0.3">
      <c r="A87" s="89" t="s">
        <v>135</v>
      </c>
      <c r="B87" s="90"/>
      <c r="C87" s="69">
        <v>0</v>
      </c>
      <c r="D87" s="70">
        <f ca="1">((100/H77)*C87)/100</f>
        <v>0</v>
      </c>
      <c r="E87" s="93"/>
      <c r="F87" s="94"/>
      <c r="G87" s="93"/>
      <c r="H87" s="108"/>
      <c r="I87" s="13" t="s">
        <v>142</v>
      </c>
      <c r="J87" s="27">
        <f>(IF(B77&gt;4,(H77/(B77+2)+J86),0))</f>
        <v>0</v>
      </c>
    </row>
    <row r="88" spans="1:19" ht="15.75" customHeight="1" x14ac:dyDescent="0.3">
      <c r="A88" s="89" t="s">
        <v>130</v>
      </c>
      <c r="B88" s="90" t="s">
        <v>130</v>
      </c>
      <c r="C88" s="69">
        <v>0</v>
      </c>
      <c r="D88" s="70">
        <f ca="1">((100/(H77))*C88)/100</f>
        <v>0</v>
      </c>
      <c r="E88" s="93"/>
      <c r="F88" s="94"/>
      <c r="G88" s="93"/>
      <c r="H88" s="108"/>
      <c r="I88" s="13" t="s">
        <v>146</v>
      </c>
      <c r="J88" s="27">
        <f ca="1">(IF(B77=1,(H77/(B77+3)+J83),IF(B77=0,(H77/4+J83),IF(B77&gt;1,0))))</f>
        <v>5.25</v>
      </c>
    </row>
    <row r="89" spans="1:19" ht="16.2" thickBot="1" x14ac:dyDescent="0.35">
      <c r="A89" s="127" t="s">
        <v>131</v>
      </c>
      <c r="B89" s="128"/>
      <c r="C89" s="72">
        <v>0</v>
      </c>
      <c r="D89" s="73">
        <f ca="1">((100/(H77))*C89)/100</f>
        <v>0</v>
      </c>
      <c r="E89" s="95"/>
      <c r="F89" s="96"/>
      <c r="G89" s="95"/>
      <c r="H89" s="109"/>
      <c r="I89" s="14" t="s">
        <v>102</v>
      </c>
      <c r="J89" s="29">
        <f ca="1">(IF(B77&gt;1.5,(H77/(B77+2)+J83+MAX(0,J84-J83)+MAX(0,J85-J84)+MAX(0,J86-J85)+MAX(0,J87-J86)+MAX(0,J88-J87)),IF(B77=1,(H77/(B77+3)+J88),IF(B77=0,H77/4+J88))))</f>
        <v>7</v>
      </c>
    </row>
    <row r="90" spans="1:19" hidden="1" x14ac:dyDescent="0.3">
      <c r="A90" s="97" t="s">
        <v>137</v>
      </c>
      <c r="B90" s="98"/>
      <c r="C90" s="99" t="s">
        <v>402</v>
      </c>
      <c r="D90" s="100"/>
      <c r="E90" s="100"/>
      <c r="F90" s="100"/>
      <c r="G90" s="100"/>
      <c r="H90" s="101"/>
      <c r="I90" s="42" t="str">
        <f ca="1">IF(D103=100%,"All work Completed. Possession granted to the Building.",IF(D102=100%,"All work Completed, Waiting for OC",I91&amp;""&amp;I92&amp;""&amp;J91&amp;""&amp;J90&amp;" "&amp;J92))</f>
        <v xml:space="preserve">Excavation, Plinth Completed </v>
      </c>
      <c r="J90" s="43"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c>
      <c r="S90"/>
    </row>
    <row r="91" spans="1:19" hidden="1" x14ac:dyDescent="0.3">
      <c r="A91" s="15" t="s">
        <v>139</v>
      </c>
      <c r="B91" s="46">
        <f>IF(AND(ISNUMBER(SEARCH("1B",C90))),1,IF(AND(ISNUMBER(SEARCH("2B",C90))),2,IF(AND(ISNUMBER(SEARCH("3B",C90))),3,IF(AND(ISNUMBER(SEARCH("4B",C90))),4,IF(ISNUMBER(SEARCH("5B",C90)),5,0)))))</f>
        <v>0</v>
      </c>
      <c r="C91" s="46" t="s">
        <v>69</v>
      </c>
      <c r="D91" s="46">
        <v>1</v>
      </c>
      <c r="E91" s="46" t="s">
        <v>68</v>
      </c>
      <c r="F91" s="46">
        <v>0</v>
      </c>
      <c r="G91" s="46" t="s">
        <v>77</v>
      </c>
      <c r="H91" s="16">
        <f ca="1">--TRIM(RIGHT(SUBSTITUTE(LEFT(C90,_xlfn.AGGREGATE(16,6,FIND({0,1,2,3,4,5,6,7,8,9},C90,ROW(INDIRECT("1:"&amp;LEN(C90)))),1))," ",REPT(" ",LEN(C90))),LEN(C90)))</f>
        <v>7</v>
      </c>
      <c r="I91" s="44" t="str">
        <f ca="1">IF(D94=100%,"Excavation","")&amp;IF(D95=100%,", Plinth","")&amp;IF(D96=100%,", RCC Slab","")&amp;IF(D97=100%,", Brickwork","")&amp;IF(D98=100%,", Internal Plaster","")&amp;IF(D99=100%,", External Plaster","")&amp;IF(D100=100%,", Flooring","")&amp;IF(D101=100%,", Painting","")&amp;IF(D102=100%,", Building common Amenities","")</f>
        <v>Excavation, Plinth</v>
      </c>
      <c r="J91" s="45"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c r="S91"/>
    </row>
    <row r="92" spans="1:19" hidden="1" x14ac:dyDescent="0.3">
      <c r="A92" s="102" t="s">
        <v>87</v>
      </c>
      <c r="B92" s="103"/>
      <c r="C92" s="104" t="str">
        <f ca="1">I90</f>
        <v xml:space="preserve">Excavation, Plinth Completed </v>
      </c>
      <c r="D92" s="104"/>
      <c r="E92" s="104"/>
      <c r="F92" s="104"/>
      <c r="G92" s="104"/>
      <c r="H92" s="105"/>
      <c r="I92" s="44" t="str">
        <f ca="1">IF(I91&lt;&gt;""," Completed","")</f>
        <v xml:space="preserve"> Completed</v>
      </c>
      <c r="J92" s="45" t="str">
        <f ca="1">IF(J90&lt;&gt;"","Completed","")</f>
        <v/>
      </c>
      <c r="S92"/>
    </row>
    <row r="93" spans="1:19" ht="15.75" hidden="1" customHeight="1" x14ac:dyDescent="0.3">
      <c r="A93" s="89" t="s">
        <v>47</v>
      </c>
      <c r="B93" s="90"/>
      <c r="C93" s="69" t="s">
        <v>136</v>
      </c>
      <c r="D93" s="69" t="s">
        <v>80</v>
      </c>
      <c r="E93" s="90" t="s">
        <v>82</v>
      </c>
      <c r="F93" s="90"/>
      <c r="G93" s="90" t="s">
        <v>81</v>
      </c>
      <c r="H93" s="106"/>
      <c r="I93" s="13" t="s">
        <v>138</v>
      </c>
      <c r="J93" s="25">
        <f ca="1">H91*25%</f>
        <v>1.75</v>
      </c>
      <c r="S93"/>
    </row>
    <row r="94" spans="1:19" hidden="1" x14ac:dyDescent="0.3">
      <c r="A94" s="89" t="s">
        <v>125</v>
      </c>
      <c r="B94" s="90"/>
      <c r="C94" s="69">
        <f ca="1">J95</f>
        <v>7</v>
      </c>
      <c r="D94" s="70">
        <f ca="1">((100/H91)*C94)/100</f>
        <v>1</v>
      </c>
      <c r="E94" s="91">
        <f ca="1">(((C95/H91*10)+(40/(D91+F91+H91)*C96)+(7.5/(H91)*C97)+(7.5/(H91)*C98)+(10/H91*C99)+(10/H91*C100)+(5/H91*C101)+(5/H91*C102)+(5/H91*C103))/100)</f>
        <v>0.1</v>
      </c>
      <c r="F94" s="92"/>
      <c r="G94" s="91">
        <f ca="1">((((C94/H91)*20)+((C95/H91)*25)+(30/(H91+F91+D91)*C96)+(5/H91*C97)+(5/H91*C98)+(5/H91*C99)+(5/H91*C100)+(0/H91*C101)+(0/H91*C102)+(5/H91*C103))/100)</f>
        <v>0.45</v>
      </c>
      <c r="H94" s="107"/>
      <c r="I94" s="13" t="s">
        <v>98</v>
      </c>
      <c r="J94" s="26">
        <f ca="1">H91*50%</f>
        <v>3.5</v>
      </c>
    </row>
    <row r="95" spans="1:19" hidden="1" x14ac:dyDescent="0.3">
      <c r="A95" s="89" t="s">
        <v>48</v>
      </c>
      <c r="B95" s="90"/>
      <c r="C95" s="71">
        <f ca="1">J103</f>
        <v>7</v>
      </c>
      <c r="D95" s="70">
        <f ca="1">((100/H91)*C95)/100</f>
        <v>1</v>
      </c>
      <c r="E95" s="93"/>
      <c r="F95" s="94"/>
      <c r="G95" s="93"/>
      <c r="H95" s="108"/>
      <c r="I95" s="13" t="s">
        <v>99</v>
      </c>
      <c r="J95" s="26">
        <f ca="1">H91</f>
        <v>7</v>
      </c>
      <c r="S95"/>
    </row>
    <row r="96" spans="1:19" ht="15.75" hidden="1" customHeight="1" x14ac:dyDescent="0.3">
      <c r="A96" s="89" t="s">
        <v>126</v>
      </c>
      <c r="B96" s="90"/>
      <c r="C96" s="69">
        <v>0</v>
      </c>
      <c r="D96" s="70">
        <f ca="1">((100/(D91+F91+H91))*C96)/100</f>
        <v>0</v>
      </c>
      <c r="E96" s="93"/>
      <c r="F96" s="94"/>
      <c r="G96" s="93"/>
      <c r="H96" s="108"/>
      <c r="I96" s="13" t="s">
        <v>100</v>
      </c>
      <c r="J96" s="27">
        <f ca="1">(IF(B91&gt;1,(H91/(B91+2)),H91/4))</f>
        <v>1.75</v>
      </c>
      <c r="S96"/>
    </row>
    <row r="97" spans="1:19" ht="15.75" hidden="1" customHeight="1" x14ac:dyDescent="0.3">
      <c r="A97" s="89" t="s">
        <v>133</v>
      </c>
      <c r="B97" s="90" t="s">
        <v>127</v>
      </c>
      <c r="C97" s="69">
        <v>0</v>
      </c>
      <c r="D97" s="70">
        <f ca="1">((100/H91)*C97)/100</f>
        <v>0</v>
      </c>
      <c r="E97" s="93"/>
      <c r="F97" s="94"/>
      <c r="G97" s="93"/>
      <c r="H97" s="108"/>
      <c r="I97" s="13" t="s">
        <v>101</v>
      </c>
      <c r="J97" s="27">
        <f ca="1">(IF(B91&gt;1,(H91/(B91+2)+J96),H91/4+J96))</f>
        <v>3.5</v>
      </c>
    </row>
    <row r="98" spans="1:19" ht="15.75" hidden="1" customHeight="1" x14ac:dyDescent="0.3">
      <c r="A98" s="89" t="s">
        <v>134</v>
      </c>
      <c r="B98" s="90" t="s">
        <v>127</v>
      </c>
      <c r="C98" s="69">
        <v>0</v>
      </c>
      <c r="D98" s="70">
        <f ca="1">((100/H91)*C98)/100</f>
        <v>0</v>
      </c>
      <c r="E98" s="93"/>
      <c r="F98" s="94"/>
      <c r="G98" s="93"/>
      <c r="H98" s="108"/>
      <c r="I98" s="13" t="s">
        <v>145</v>
      </c>
      <c r="J98" s="27">
        <f>(IF(B91&gt;1,(H91/(B91+2)+J97),0))</f>
        <v>0</v>
      </c>
    </row>
    <row r="99" spans="1:19" ht="15" hidden="1" customHeight="1" x14ac:dyDescent="0.3">
      <c r="A99" s="89" t="s">
        <v>132</v>
      </c>
      <c r="B99" s="90" t="s">
        <v>129</v>
      </c>
      <c r="C99" s="69">
        <v>0</v>
      </c>
      <c r="D99" s="70">
        <f ca="1">((100/(H91))*C99)/100</f>
        <v>0</v>
      </c>
      <c r="E99" s="93"/>
      <c r="F99" s="94"/>
      <c r="G99" s="93"/>
      <c r="H99" s="108"/>
      <c r="I99" s="13" t="s">
        <v>140</v>
      </c>
      <c r="J99" s="27">
        <f>(IF(B91&gt;2,(H91/(B91+2)+J98),0))</f>
        <v>0</v>
      </c>
    </row>
    <row r="100" spans="1:19" ht="15.75" hidden="1" customHeight="1" x14ac:dyDescent="0.3">
      <c r="A100" s="89" t="s">
        <v>128</v>
      </c>
      <c r="B100" s="90" t="s">
        <v>128</v>
      </c>
      <c r="C100" s="69">
        <v>0</v>
      </c>
      <c r="D100" s="70">
        <f ca="1">((100/H91)*C100)/100</f>
        <v>0</v>
      </c>
      <c r="E100" s="93"/>
      <c r="F100" s="94"/>
      <c r="G100" s="93"/>
      <c r="H100" s="108"/>
      <c r="I100" s="13" t="s">
        <v>141</v>
      </c>
      <c r="J100" s="28">
        <f>(IF(B91&gt;3,(H91/(B91+2)+J99),0))</f>
        <v>0</v>
      </c>
    </row>
    <row r="101" spans="1:19" ht="15.75" hidden="1" customHeight="1" x14ac:dyDescent="0.3">
      <c r="A101" s="89" t="s">
        <v>135</v>
      </c>
      <c r="B101" s="90"/>
      <c r="C101" s="69">
        <v>0</v>
      </c>
      <c r="D101" s="70">
        <f ca="1">((100/H91)*C101)/100</f>
        <v>0</v>
      </c>
      <c r="E101" s="93"/>
      <c r="F101" s="94"/>
      <c r="G101" s="93"/>
      <c r="H101" s="108"/>
      <c r="I101" s="13" t="s">
        <v>142</v>
      </c>
      <c r="J101" s="27">
        <f>(IF(B91&gt;4,(H91/(B91+2)+J100),0))</f>
        <v>0</v>
      </c>
    </row>
    <row r="102" spans="1:19" ht="15.75" hidden="1" customHeight="1" x14ac:dyDescent="0.3">
      <c r="A102" s="89" t="s">
        <v>130</v>
      </c>
      <c r="B102" s="90" t="s">
        <v>130</v>
      </c>
      <c r="C102" s="69">
        <v>0</v>
      </c>
      <c r="D102" s="70">
        <f ca="1">((100/(H91))*C102)/100</f>
        <v>0</v>
      </c>
      <c r="E102" s="93"/>
      <c r="F102" s="94"/>
      <c r="G102" s="93"/>
      <c r="H102" s="108"/>
      <c r="I102" s="13" t="s">
        <v>146</v>
      </c>
      <c r="J102" s="27">
        <f ca="1">(IF(B91=1,(H91/(B91+3)+J97),IF(B91=0,(H91/4+J97),IF(B91&gt;1,0))))</f>
        <v>5.25</v>
      </c>
    </row>
    <row r="103" spans="1:19" ht="16.2" hidden="1" thickBot="1" x14ac:dyDescent="0.35">
      <c r="A103" s="127" t="s">
        <v>131</v>
      </c>
      <c r="B103" s="128"/>
      <c r="C103" s="72">
        <v>0</v>
      </c>
      <c r="D103" s="73">
        <f ca="1">((100/(H91))*C103)/100</f>
        <v>0</v>
      </c>
      <c r="E103" s="95"/>
      <c r="F103" s="96"/>
      <c r="G103" s="95"/>
      <c r="H103" s="109"/>
      <c r="I103" s="14" t="s">
        <v>102</v>
      </c>
      <c r="J103" s="29">
        <f ca="1">(IF(B91&gt;1.5,(H91/(B91+2)+J97+MAX(0,J98-J97)+MAX(0,J99-J98)+MAX(0,J100-J99)+MAX(0,J101-J100)+MAX(0,J102-J101)),IF(B91=1,(H91/(B91+3)+J102),IF(B91=0,H91/4+J102))))</f>
        <v>7</v>
      </c>
    </row>
    <row r="104" spans="1:19" x14ac:dyDescent="0.3">
      <c r="A104" s="97" t="s">
        <v>137</v>
      </c>
      <c r="B104" s="98"/>
      <c r="C104" s="99" t="s">
        <v>409</v>
      </c>
      <c r="D104" s="100"/>
      <c r="E104" s="100"/>
      <c r="F104" s="100"/>
      <c r="G104" s="100"/>
      <c r="H104" s="101"/>
      <c r="I104" s="42" t="str">
        <f ca="1">IF(D117=100%,"All work Completed. Possession granted to the Building.",IF(D116=100%,"All work Completed, Waiting for OC",I105&amp;""&amp;I106&amp;""&amp;J105&amp;""&amp;J104&amp;" "&amp;J106))</f>
        <v xml:space="preserve">Excavation, Plinth, RCC Slab, Brickwork Completed </v>
      </c>
      <c r="J104" s="43"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c>
      <c r="S104"/>
    </row>
    <row r="105" spans="1:19" x14ac:dyDescent="0.3">
      <c r="A105" s="15" t="s">
        <v>139</v>
      </c>
      <c r="B105" s="46">
        <f>IF(AND(ISNUMBER(SEARCH("1B",C104))),1,IF(AND(ISNUMBER(SEARCH("2B",C104))),2,IF(AND(ISNUMBER(SEARCH("3B",C104))),3,IF(AND(ISNUMBER(SEARCH("4B",C104))),4,IF(ISNUMBER(SEARCH("5B",C104)),5,0)))))</f>
        <v>0</v>
      </c>
      <c r="C105" s="46" t="s">
        <v>69</v>
      </c>
      <c r="D105" s="46">
        <v>1</v>
      </c>
      <c r="E105" s="46" t="s">
        <v>68</v>
      </c>
      <c r="F105" s="46">
        <v>0</v>
      </c>
      <c r="G105" s="46" t="s">
        <v>77</v>
      </c>
      <c r="H105" s="16">
        <f ca="1">--TRIM(RIGHT(SUBSTITUTE(LEFT(C104,_xlfn.AGGREGATE(16,6,FIND({0,1,2,3,4,5,6,7,8,9},C104,ROW(INDIRECT("1:"&amp;LEN(C104)))),1))," ",REPT(" ",LEN(C104))),LEN(C104)))</f>
        <v>7</v>
      </c>
      <c r="I105" s="44" t="str">
        <f ca="1">IF(D108=100%,"Excavation","")&amp;IF(D109=100%,", Plinth","")&amp;IF(D110=100%,", RCC Slab","")&amp;IF(D111=100%,", Brickwork","")&amp;IF(D112=100%,", Internal Plaster","")&amp;IF(D113=100%,", External Plaster","")&amp;IF(D114=100%,", Flooring","")&amp;IF(D115=100%,", Painting","")&amp;IF(D116=100%,", Building common Amenities","")</f>
        <v>Excavation, Plinth, RCC Slab, Brickwork</v>
      </c>
      <c r="J105" s="45"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c r="S105"/>
    </row>
    <row r="106" spans="1:19" ht="31.2" customHeight="1" x14ac:dyDescent="0.3">
      <c r="A106" s="102" t="s">
        <v>87</v>
      </c>
      <c r="B106" s="103"/>
      <c r="C106" s="104" t="str">
        <f ca="1">I104</f>
        <v xml:space="preserve">Excavation, Plinth, RCC Slab, Brickwork Completed </v>
      </c>
      <c r="D106" s="104"/>
      <c r="E106" s="104"/>
      <c r="F106" s="104"/>
      <c r="G106" s="104"/>
      <c r="H106" s="105"/>
      <c r="I106" s="44" t="str">
        <f ca="1">IF(I105&lt;&gt;""," Completed","")</f>
        <v xml:space="preserve"> Completed</v>
      </c>
      <c r="J106" s="45" t="str">
        <f ca="1">IF(J104&lt;&gt;"","Completed","")</f>
        <v/>
      </c>
      <c r="S106"/>
    </row>
    <row r="107" spans="1:19" ht="15.75" customHeight="1" x14ac:dyDescent="0.3">
      <c r="A107" s="89" t="s">
        <v>47</v>
      </c>
      <c r="B107" s="90"/>
      <c r="C107" s="69" t="s">
        <v>136</v>
      </c>
      <c r="D107" s="69" t="s">
        <v>80</v>
      </c>
      <c r="E107" s="90" t="s">
        <v>82</v>
      </c>
      <c r="F107" s="90"/>
      <c r="G107" s="90" t="s">
        <v>81</v>
      </c>
      <c r="H107" s="106"/>
      <c r="I107" s="13" t="s">
        <v>138</v>
      </c>
      <c r="J107" s="25">
        <f ca="1">H105*25%</f>
        <v>1.75</v>
      </c>
      <c r="S107"/>
    </row>
    <row r="108" spans="1:19" x14ac:dyDescent="0.3">
      <c r="A108" s="89" t="s">
        <v>125</v>
      </c>
      <c r="B108" s="90"/>
      <c r="C108" s="69">
        <f ca="1">J109</f>
        <v>7</v>
      </c>
      <c r="D108" s="70">
        <f ca="1">((100/H105)*C108)/100</f>
        <v>1</v>
      </c>
      <c r="E108" s="91">
        <f ca="1">(((C109/H105*10)+(40/(D105+F105+H105)*C110)+(7.5/(H105)*C111)+(7.5/(H105)*C112)+(10/H105*C113)+(10/H105*C114)+(5/H105*C115)+(5/H105*C116)+(5/H105*C117))/100)</f>
        <v>0.57499999999999996</v>
      </c>
      <c r="F108" s="92"/>
      <c r="G108" s="91">
        <f ca="1">((((C108/H105)*20)+((C109/H105)*25)+(30/(H105+F105+D105)*C110)+(5/H105*C111)+(5/H105*C112)+(5/H105*C113)+(5/H105*C114)+(0/H105*C115)+(0/H105*C116)+(5/H105*C117))/100)</f>
        <v>0.8</v>
      </c>
      <c r="H108" s="107"/>
      <c r="I108" s="13" t="s">
        <v>98</v>
      </c>
      <c r="J108" s="26">
        <f ca="1">H105*50%</f>
        <v>3.5</v>
      </c>
    </row>
    <row r="109" spans="1:19" x14ac:dyDescent="0.3">
      <c r="A109" s="89" t="s">
        <v>48</v>
      </c>
      <c r="B109" s="90"/>
      <c r="C109" s="69">
        <f ca="1">J117</f>
        <v>7</v>
      </c>
      <c r="D109" s="70">
        <f ca="1">((100/H105)*C109)/100</f>
        <v>1</v>
      </c>
      <c r="E109" s="93"/>
      <c r="F109" s="94"/>
      <c r="G109" s="93"/>
      <c r="H109" s="108"/>
      <c r="I109" s="13" t="s">
        <v>99</v>
      </c>
      <c r="J109" s="26">
        <f ca="1">H105</f>
        <v>7</v>
      </c>
      <c r="S109"/>
    </row>
    <row r="110" spans="1:19" ht="15.75" customHeight="1" x14ac:dyDescent="0.3">
      <c r="A110" s="89" t="s">
        <v>126</v>
      </c>
      <c r="B110" s="90"/>
      <c r="C110" s="69">
        <v>8</v>
      </c>
      <c r="D110" s="70">
        <f ca="1">((100/(D105+F105+H105))*C110)/100</f>
        <v>1</v>
      </c>
      <c r="E110" s="93"/>
      <c r="F110" s="94"/>
      <c r="G110" s="93"/>
      <c r="H110" s="108"/>
      <c r="I110" s="13" t="s">
        <v>100</v>
      </c>
      <c r="J110" s="27">
        <f ca="1">(IF(B105&gt;1,(H105/(B105+2)),H105/4))</f>
        <v>1.75</v>
      </c>
      <c r="S110"/>
    </row>
    <row r="111" spans="1:19" ht="15.75" customHeight="1" x14ac:dyDescent="0.3">
      <c r="A111" s="89" t="s">
        <v>133</v>
      </c>
      <c r="B111" s="90" t="s">
        <v>127</v>
      </c>
      <c r="C111" s="69">
        <v>7</v>
      </c>
      <c r="D111" s="70">
        <f ca="1">((100/H105)*C111)/100</f>
        <v>1</v>
      </c>
      <c r="E111" s="93"/>
      <c r="F111" s="94"/>
      <c r="G111" s="93"/>
      <c r="H111" s="108"/>
      <c r="I111" s="13" t="s">
        <v>101</v>
      </c>
      <c r="J111" s="27">
        <f ca="1">(IF(B105&gt;1,(H105/(B105+2)+J110),H105/4+J110))</f>
        <v>3.5</v>
      </c>
    </row>
    <row r="112" spans="1:19" ht="15.75" customHeight="1" x14ac:dyDescent="0.3">
      <c r="A112" s="89" t="s">
        <v>134</v>
      </c>
      <c r="B112" s="90" t="s">
        <v>127</v>
      </c>
      <c r="C112" s="69">
        <v>0</v>
      </c>
      <c r="D112" s="70">
        <f ca="1">((100/H105)*C112)/100</f>
        <v>0</v>
      </c>
      <c r="E112" s="93"/>
      <c r="F112" s="94"/>
      <c r="G112" s="93"/>
      <c r="H112" s="108"/>
      <c r="I112" s="13" t="s">
        <v>145</v>
      </c>
      <c r="J112" s="27">
        <f>(IF(B105&gt;1,(H105/(B105+2)+J111),0))</f>
        <v>0</v>
      </c>
    </row>
    <row r="113" spans="1:19" ht="15" customHeight="1" x14ac:dyDescent="0.3">
      <c r="A113" s="89" t="s">
        <v>132</v>
      </c>
      <c r="B113" s="90" t="s">
        <v>129</v>
      </c>
      <c r="C113" s="69">
        <v>0</v>
      </c>
      <c r="D113" s="70">
        <f ca="1">((100/(H105))*C113)/100</f>
        <v>0</v>
      </c>
      <c r="E113" s="93"/>
      <c r="F113" s="94"/>
      <c r="G113" s="93"/>
      <c r="H113" s="108"/>
      <c r="I113" s="13" t="s">
        <v>140</v>
      </c>
      <c r="J113" s="27">
        <f>(IF(B105&gt;2,(H105/(B105+2)+J112),0))</f>
        <v>0</v>
      </c>
    </row>
    <row r="114" spans="1:19" ht="15.75" customHeight="1" x14ac:dyDescent="0.3">
      <c r="A114" s="89" t="s">
        <v>128</v>
      </c>
      <c r="B114" s="90" t="s">
        <v>128</v>
      </c>
      <c r="C114" s="69">
        <v>0</v>
      </c>
      <c r="D114" s="70">
        <f ca="1">((100/H105)*C114)/100</f>
        <v>0</v>
      </c>
      <c r="E114" s="93"/>
      <c r="F114" s="94"/>
      <c r="G114" s="93"/>
      <c r="H114" s="108"/>
      <c r="I114" s="13" t="s">
        <v>141</v>
      </c>
      <c r="J114" s="28">
        <f>(IF(B105&gt;3,(H105/(B105+2)+J113),0))</f>
        <v>0</v>
      </c>
    </row>
    <row r="115" spans="1:19" ht="15.75" customHeight="1" x14ac:dyDescent="0.3">
      <c r="A115" s="89" t="s">
        <v>135</v>
      </c>
      <c r="B115" s="90"/>
      <c r="C115" s="69">
        <v>0</v>
      </c>
      <c r="D115" s="70">
        <f ca="1">((100/H105)*C115)/100</f>
        <v>0</v>
      </c>
      <c r="E115" s="93"/>
      <c r="F115" s="94"/>
      <c r="G115" s="93"/>
      <c r="H115" s="108"/>
      <c r="I115" s="13" t="s">
        <v>142</v>
      </c>
      <c r="J115" s="27">
        <f>(IF(B105&gt;4,(H105/(B105+2)+J114),0))</f>
        <v>0</v>
      </c>
    </row>
    <row r="116" spans="1:19" ht="15.75" customHeight="1" x14ac:dyDescent="0.3">
      <c r="A116" s="89" t="s">
        <v>130</v>
      </c>
      <c r="B116" s="90" t="s">
        <v>130</v>
      </c>
      <c r="C116" s="69">
        <v>0</v>
      </c>
      <c r="D116" s="70">
        <f ca="1">((100/(H105))*C116)/100</f>
        <v>0</v>
      </c>
      <c r="E116" s="93"/>
      <c r="F116" s="94"/>
      <c r="G116" s="93"/>
      <c r="H116" s="108"/>
      <c r="I116" s="13" t="s">
        <v>146</v>
      </c>
      <c r="J116" s="27">
        <f ca="1">(IF(B105=1,(H105/(B105+3)+J111),IF(B105=0,(H105/4+J111),IF(B105&gt;1,0))))</f>
        <v>5.25</v>
      </c>
    </row>
    <row r="117" spans="1:19" ht="16.2" thickBot="1" x14ac:dyDescent="0.35">
      <c r="A117" s="127" t="s">
        <v>131</v>
      </c>
      <c r="B117" s="128"/>
      <c r="C117" s="72">
        <v>0</v>
      </c>
      <c r="D117" s="73">
        <f ca="1">((100/(H105))*C117)/100</f>
        <v>0</v>
      </c>
      <c r="E117" s="95"/>
      <c r="F117" s="96"/>
      <c r="G117" s="95"/>
      <c r="H117" s="109"/>
      <c r="I117" s="14" t="s">
        <v>102</v>
      </c>
      <c r="J117" s="29">
        <f ca="1">(IF(B105&gt;1.5,(H105/(B105+2)+J111+MAX(0,J112-J111)+MAX(0,J113-J112)+MAX(0,J114-J113)+MAX(0,J115-J114)+MAX(0,J116-J115)),IF(B105=1,(H105/(B105+3)+J116),IF(B105=0,H105/4+J116))))</f>
        <v>7</v>
      </c>
    </row>
    <row r="118" spans="1:19" ht="15.75" customHeight="1" x14ac:dyDescent="0.3">
      <c r="A118" s="97" t="s">
        <v>137</v>
      </c>
      <c r="B118" s="98"/>
      <c r="C118" s="99" t="s">
        <v>410</v>
      </c>
      <c r="D118" s="100"/>
      <c r="E118" s="100"/>
      <c r="F118" s="100"/>
      <c r="G118" s="100"/>
      <c r="H118" s="101"/>
      <c r="I118" s="42" t="str">
        <f ca="1">IF(D131=100%,"All work Completed. Possession granted to the Building.",IF(D130=100%,"All work Completed, Waiting for OC",I119&amp;""&amp;I120&amp;""&amp;J119&amp;""&amp;J118&amp;" "&amp;J120))</f>
        <v>Excavation, Plinth, RCC Slab, Brickwork Completed, Internal Plaster upto 4 Floor, External Plaster upto 4 Floor Completed</v>
      </c>
      <c r="J118" s="43" t="str">
        <f ca="1">(IF(C124=(D119+F119+H119),"",IF(C124&gt;0,", RCC upto "&amp;C124&amp;" Slab","")))&amp;(IF(C125=H119,"",IF(C125&gt;0,", Brickwork upto "&amp;C125&amp;" Floor","")))&amp;(IF(C126=H119,"",IF(C126&gt;0,", Internal Plaster upto "&amp;C126&amp;" Floor","")))&amp;(IF(C127=H119,"",IF(C127&gt;0,", External Plaster upto "&amp;C127&amp;" Floor","")))&amp;(IF(C128=H119,"",IF(C128&gt;0,", Flooring upto "&amp;C128&amp;" Floor","")))&amp;(IF(C129=H119,"",IF(C129&gt;0,", Painting upto "&amp;C129&amp;" Floor","")))&amp;(IF(C130=H119,"",IF(C130&gt;0,", Finishing upto "&amp;C130&amp;" Floor","")))&amp;(IF(C131=H119,"",IF(C131&gt;0,", Possession upto "&amp;C131&amp;" Floor","")))</f>
        <v>, Internal Plaster upto 4 Floor, External Plaster upto 4 Floor</v>
      </c>
      <c r="S118"/>
    </row>
    <row r="119" spans="1:19" x14ac:dyDescent="0.3">
      <c r="A119" s="15" t="s">
        <v>139</v>
      </c>
      <c r="B119" s="46">
        <f>IF(AND(ISNUMBER(SEARCH("1B",C118))),1,IF(AND(ISNUMBER(SEARCH("2B",C118))),2,IF(AND(ISNUMBER(SEARCH("3B",C118))),3,IF(AND(ISNUMBER(SEARCH("4B",C118))),4,IF(ISNUMBER(SEARCH("5B",C118)),5,0)))))</f>
        <v>0</v>
      </c>
      <c r="C119" s="46" t="s">
        <v>69</v>
      </c>
      <c r="D119" s="46">
        <v>1</v>
      </c>
      <c r="E119" s="46" t="s">
        <v>68</v>
      </c>
      <c r="F119" s="46">
        <v>0</v>
      </c>
      <c r="G119" s="46" t="s">
        <v>77</v>
      </c>
      <c r="H119" s="16">
        <f ca="1">--TRIM(RIGHT(SUBSTITUTE(LEFT(C118,_xlfn.AGGREGATE(16,6,FIND({0,1,2,3,4,5,6,7,8,9},C118,ROW(INDIRECT("1:"&amp;LEN(C118)))),1))," ",REPT(" ",LEN(C118))),LEN(C118)))</f>
        <v>7</v>
      </c>
      <c r="I119" s="44" t="str">
        <f ca="1">IF(D122=100%,"Excavation","")&amp;IF(D123=100%,", Plinth","")&amp;IF(D124=100%,", RCC Slab","")&amp;IF(D125=100%,", Brickwork","")&amp;IF(D126=100%,", Internal Plaster","")&amp;IF(D127=100%,", External Plaster","")&amp;IF(D128=100%,", Flooring","")&amp;IF(D129=100%,", Painting","")&amp;IF(D130=100%,", Building common Amenities","")</f>
        <v>Excavation, Plinth, RCC Slab, Brickwork</v>
      </c>
      <c r="J119" s="45" t="str">
        <f ca="1">(IF(C122=0,"Work not yet Started.",IF(D122=25%,"Piling work in process",IF(D122=50%,"Excavation work in process",IF(D122=100%,"","0")))))&amp;(IF(C123=0%,"",IF(C123=J124,", Footing work is process",IF(C123=J125,", Footing work Completed",IF(C123=J126,", 1st Basement Completed",IF(C123=J127,", 1st &amp; 2nd Basement Completed",IF(C123=J128,", 1st to 3rd Basement Completed",IF(C123=J129,", 1st to 4th Basement Completed",IF(C123=J130,", Plinth work is process",IF(C123=J131,"","0"))))))))))</f>
        <v/>
      </c>
      <c r="S119"/>
    </row>
    <row r="120" spans="1:19" ht="32.25" customHeight="1" x14ac:dyDescent="0.3">
      <c r="A120" s="102" t="s">
        <v>87</v>
      </c>
      <c r="B120" s="103"/>
      <c r="C120" s="104" t="str">
        <f ca="1">I118</f>
        <v>Excavation, Plinth, RCC Slab, Brickwork Completed, Internal Plaster upto 4 Floor, External Plaster upto 4 Floor Completed</v>
      </c>
      <c r="D120" s="104"/>
      <c r="E120" s="104"/>
      <c r="F120" s="104"/>
      <c r="G120" s="104"/>
      <c r="H120" s="105"/>
      <c r="I120" s="44" t="str">
        <f ca="1">IF(I119&lt;&gt;""," Completed","")</f>
        <v xml:space="preserve"> Completed</v>
      </c>
      <c r="J120" s="45" t="str">
        <f ca="1">IF(J118&lt;&gt;"","Completed","")</f>
        <v>Completed</v>
      </c>
      <c r="S120"/>
    </row>
    <row r="121" spans="1:19" ht="15.75" customHeight="1" x14ac:dyDescent="0.3">
      <c r="A121" s="89" t="s">
        <v>47</v>
      </c>
      <c r="B121" s="90"/>
      <c r="C121" s="69" t="s">
        <v>136</v>
      </c>
      <c r="D121" s="69" t="s">
        <v>80</v>
      </c>
      <c r="E121" s="90" t="s">
        <v>82</v>
      </c>
      <c r="F121" s="90"/>
      <c r="G121" s="90" t="s">
        <v>81</v>
      </c>
      <c r="H121" s="106"/>
      <c r="I121" s="13" t="s">
        <v>138</v>
      </c>
      <c r="J121" s="25">
        <f ca="1">H119*25%</f>
        <v>1.75</v>
      </c>
      <c r="S121"/>
    </row>
    <row r="122" spans="1:19" x14ac:dyDescent="0.3">
      <c r="A122" s="89" t="s">
        <v>125</v>
      </c>
      <c r="B122" s="90"/>
      <c r="C122" s="69">
        <f ca="1">J123</f>
        <v>7</v>
      </c>
      <c r="D122" s="70">
        <f ca="1">((100/H119)*C122)/100</f>
        <v>1</v>
      </c>
      <c r="E122" s="91">
        <f ca="1">(((C123/H119*10)+(40/(D119+F119+H119)*C124)+(7.5/(H119)*C125)+(7.5/(H119)*C126)+(10/H119*C127)+(10/H119*C128)+(5/H119*C129)+(5/H119*C130)+(5/H119*C131))/100)</f>
        <v>0.67500000000000004</v>
      </c>
      <c r="F122" s="92"/>
      <c r="G122" s="91">
        <f ca="1">((((C122/H119)*20)+((C123/H119)*25)+(30/(H119+F119+D119)*C124)+(5/H119*C125)+(5/H119*C126)+(5/H119*C127)+(5/H119*C128)+(0/H119*C129)+(0/H119*C130)+(5/H119*C131))/100)</f>
        <v>0.85714285714285721</v>
      </c>
      <c r="H122" s="107"/>
      <c r="I122" s="13" t="s">
        <v>98</v>
      </c>
      <c r="J122" s="26">
        <f ca="1">H119*50%</f>
        <v>3.5</v>
      </c>
    </row>
    <row r="123" spans="1:19" x14ac:dyDescent="0.3">
      <c r="A123" s="89" t="s">
        <v>48</v>
      </c>
      <c r="B123" s="90"/>
      <c r="C123" s="69">
        <f ca="1">J131</f>
        <v>7</v>
      </c>
      <c r="D123" s="70">
        <f ca="1">((100/H119)*C123)/100</f>
        <v>1</v>
      </c>
      <c r="E123" s="93"/>
      <c r="F123" s="94"/>
      <c r="G123" s="93"/>
      <c r="H123" s="108"/>
      <c r="I123" s="13" t="s">
        <v>99</v>
      </c>
      <c r="J123" s="26">
        <f ca="1">H119</f>
        <v>7</v>
      </c>
      <c r="S123"/>
    </row>
    <row r="124" spans="1:19" ht="15.75" customHeight="1" x14ac:dyDescent="0.3">
      <c r="A124" s="89" t="s">
        <v>126</v>
      </c>
      <c r="B124" s="90"/>
      <c r="C124" s="69">
        <v>8</v>
      </c>
      <c r="D124" s="70">
        <f ca="1">((100/(D119+F119+H119))*C124)/100</f>
        <v>1</v>
      </c>
      <c r="E124" s="93"/>
      <c r="F124" s="94"/>
      <c r="G124" s="93"/>
      <c r="H124" s="108"/>
      <c r="I124" s="13" t="s">
        <v>100</v>
      </c>
      <c r="J124" s="27">
        <f ca="1">(IF(B119&gt;1,(H119/(B119+2)),H119/4))</f>
        <v>1.75</v>
      </c>
      <c r="S124"/>
    </row>
    <row r="125" spans="1:19" ht="15.75" customHeight="1" x14ac:dyDescent="0.3">
      <c r="A125" s="89" t="s">
        <v>133</v>
      </c>
      <c r="B125" s="90" t="s">
        <v>127</v>
      </c>
      <c r="C125" s="69">
        <v>7</v>
      </c>
      <c r="D125" s="70">
        <f ca="1">((100/H119)*C125)/100</f>
        <v>1</v>
      </c>
      <c r="E125" s="93"/>
      <c r="F125" s="94"/>
      <c r="G125" s="93"/>
      <c r="H125" s="108"/>
      <c r="I125" s="13" t="s">
        <v>101</v>
      </c>
      <c r="J125" s="27">
        <f ca="1">(IF(B119&gt;1,(H119/(B119+2)+J124),H119/4+J124))</f>
        <v>3.5</v>
      </c>
    </row>
    <row r="126" spans="1:19" ht="15.75" customHeight="1" x14ac:dyDescent="0.3">
      <c r="A126" s="89" t="s">
        <v>134</v>
      </c>
      <c r="B126" s="90" t="s">
        <v>127</v>
      </c>
      <c r="C126" s="69">
        <v>4</v>
      </c>
      <c r="D126" s="70">
        <f ca="1">((100/H119)*C126)/100</f>
        <v>0.57142857142857151</v>
      </c>
      <c r="E126" s="93"/>
      <c r="F126" s="94"/>
      <c r="G126" s="93"/>
      <c r="H126" s="108"/>
      <c r="I126" s="13" t="s">
        <v>145</v>
      </c>
      <c r="J126" s="27">
        <f>(IF(B119&gt;1,(H119/(B119+2)+J125),0))</f>
        <v>0</v>
      </c>
    </row>
    <row r="127" spans="1:19" ht="15" customHeight="1" x14ac:dyDescent="0.3">
      <c r="A127" s="89" t="s">
        <v>132</v>
      </c>
      <c r="B127" s="90" t="s">
        <v>129</v>
      </c>
      <c r="C127" s="69">
        <v>4</v>
      </c>
      <c r="D127" s="70">
        <f ca="1">((100/(H119))*C127)/100</f>
        <v>0.57142857142857151</v>
      </c>
      <c r="E127" s="93"/>
      <c r="F127" s="94"/>
      <c r="G127" s="93"/>
      <c r="H127" s="108"/>
      <c r="I127" s="13" t="s">
        <v>140</v>
      </c>
      <c r="J127" s="27">
        <f>(IF(B119&gt;2,(H119/(B119+2)+J126),0))</f>
        <v>0</v>
      </c>
    </row>
    <row r="128" spans="1:19" ht="15.75" customHeight="1" x14ac:dyDescent="0.3">
      <c r="A128" s="89" t="s">
        <v>128</v>
      </c>
      <c r="B128" s="90" t="s">
        <v>128</v>
      </c>
      <c r="C128" s="69">
        <v>0</v>
      </c>
      <c r="D128" s="70">
        <f ca="1">((100/H119)*C128)/100</f>
        <v>0</v>
      </c>
      <c r="E128" s="93"/>
      <c r="F128" s="94"/>
      <c r="G128" s="93"/>
      <c r="H128" s="108"/>
      <c r="I128" s="13" t="s">
        <v>141</v>
      </c>
      <c r="J128" s="28">
        <f>(IF(B119&gt;3,(H119/(B119+2)+J127),0))</f>
        <v>0</v>
      </c>
    </row>
    <row r="129" spans="1:22" ht="15.75" customHeight="1" x14ac:dyDescent="0.3">
      <c r="A129" s="89" t="s">
        <v>135</v>
      </c>
      <c r="B129" s="90"/>
      <c r="C129" s="69">
        <v>0</v>
      </c>
      <c r="D129" s="70">
        <f ca="1">((100/H119)*C129)/100</f>
        <v>0</v>
      </c>
      <c r="E129" s="93"/>
      <c r="F129" s="94"/>
      <c r="G129" s="93"/>
      <c r="H129" s="108"/>
      <c r="I129" s="13" t="s">
        <v>142</v>
      </c>
      <c r="J129" s="27">
        <f>(IF(B119&gt;4,(H119/(B119+2)+J128),0))</f>
        <v>0</v>
      </c>
    </row>
    <row r="130" spans="1:22" ht="15.75" customHeight="1" x14ac:dyDescent="0.3">
      <c r="A130" s="89" t="s">
        <v>130</v>
      </c>
      <c r="B130" s="90" t="s">
        <v>130</v>
      </c>
      <c r="C130" s="69">
        <v>0</v>
      </c>
      <c r="D130" s="70">
        <f ca="1">((100/(H119))*C130)/100</f>
        <v>0</v>
      </c>
      <c r="E130" s="93"/>
      <c r="F130" s="94"/>
      <c r="G130" s="93"/>
      <c r="H130" s="108"/>
      <c r="I130" s="13" t="s">
        <v>146</v>
      </c>
      <c r="J130" s="27">
        <f ca="1">(IF(B119=1,(H119/(B119+3)+J125),IF(B119=0,(H119/4+J125),IF(B119&gt;1,0))))</f>
        <v>5.25</v>
      </c>
    </row>
    <row r="131" spans="1:22" ht="16.2" thickBot="1" x14ac:dyDescent="0.35">
      <c r="A131" s="127" t="s">
        <v>131</v>
      </c>
      <c r="B131" s="128"/>
      <c r="C131" s="72">
        <v>0</v>
      </c>
      <c r="D131" s="73">
        <f ca="1">((100/(H119))*C131)/100</f>
        <v>0</v>
      </c>
      <c r="E131" s="95"/>
      <c r="F131" s="96"/>
      <c r="G131" s="95"/>
      <c r="H131" s="109"/>
      <c r="I131" s="14" t="s">
        <v>102</v>
      </c>
      <c r="J131" s="29">
        <f ca="1">(IF(B119&gt;1.5,(H119/(B119+2)+J125+MAX(0,J126-J125)+MAX(0,J127-J126)+MAX(0,J128-J127)+MAX(0,J129-J128)+MAX(0,J130-J129)),IF(B119=1,(H119/(B119+3)+J130),IF(B119=0,H119/4+J130))))</f>
        <v>7</v>
      </c>
    </row>
    <row r="132" spans="1:22" x14ac:dyDescent="0.3">
      <c r="A132" s="195" t="s">
        <v>157</v>
      </c>
      <c r="B132" s="195"/>
      <c r="C132" s="195"/>
      <c r="D132" s="195"/>
      <c r="E132" s="195"/>
      <c r="F132" s="199" t="s">
        <v>161</v>
      </c>
      <c r="G132" s="199"/>
      <c r="H132" s="199"/>
      <c r="I132" s="80"/>
      <c r="L132" s="80"/>
      <c r="M132" s="80"/>
      <c r="N132" s="80"/>
      <c r="O132" s="80" t="s">
        <v>406</v>
      </c>
      <c r="R132" t="s">
        <v>253</v>
      </c>
      <c r="S132" t="s">
        <v>174</v>
      </c>
      <c r="T132" t="s">
        <v>181</v>
      </c>
      <c r="U132" t="s">
        <v>195</v>
      </c>
      <c r="V132" t="s">
        <v>190</v>
      </c>
    </row>
    <row r="133" spans="1:22" x14ac:dyDescent="0.3">
      <c r="A133" s="115" t="s">
        <v>159</v>
      </c>
      <c r="B133" s="115"/>
      <c r="C133" s="115"/>
      <c r="D133" s="115"/>
      <c r="E133" s="115"/>
      <c r="F133" s="146">
        <v>6000</v>
      </c>
      <c r="G133" s="146"/>
      <c r="H133" s="146"/>
      <c r="I133" s="18" t="s">
        <v>411</v>
      </c>
      <c r="L133" s="83"/>
      <c r="M133" s="83"/>
      <c r="N133" s="80"/>
      <c r="O133" s="80">
        <v>5500</v>
      </c>
      <c r="R133"/>
      <c r="S133">
        <v>800000</v>
      </c>
      <c r="T133">
        <v>150000</v>
      </c>
      <c r="U133">
        <v>100000</v>
      </c>
      <c r="V133">
        <v>100000</v>
      </c>
    </row>
    <row r="134" spans="1:22" x14ac:dyDescent="0.3">
      <c r="A134" s="115" t="s">
        <v>158</v>
      </c>
      <c r="B134" s="115"/>
      <c r="C134" s="115"/>
      <c r="D134" s="115"/>
      <c r="E134" s="115"/>
      <c r="F134" s="146">
        <v>9000</v>
      </c>
      <c r="G134" s="146"/>
      <c r="H134" s="146"/>
      <c r="I134" s="84" t="s">
        <v>412</v>
      </c>
      <c r="J134" s="85"/>
      <c r="K134" s="85"/>
      <c r="L134" s="85"/>
      <c r="M134" s="85"/>
      <c r="N134" s="85"/>
      <c r="R134"/>
      <c r="S134">
        <v>900000</v>
      </c>
      <c r="T134">
        <v>200000</v>
      </c>
      <c r="U134">
        <v>150000</v>
      </c>
      <c r="V134">
        <v>150000</v>
      </c>
    </row>
    <row r="135" spans="1:22" hidden="1" x14ac:dyDescent="0.3">
      <c r="A135" s="115" t="s">
        <v>160</v>
      </c>
      <c r="B135" s="115"/>
      <c r="C135" s="115"/>
      <c r="D135" s="115"/>
      <c r="E135" s="115"/>
      <c r="F135" s="146"/>
      <c r="G135" s="146"/>
      <c r="H135" s="146"/>
      <c r="I135" s="80"/>
      <c r="J135" s="80"/>
      <c r="K135" s="80"/>
      <c r="L135" s="80"/>
      <c r="M135" s="80"/>
      <c r="R135"/>
      <c r="S135">
        <v>1000000</v>
      </c>
      <c r="T135">
        <v>250000</v>
      </c>
      <c r="U135">
        <v>200000</v>
      </c>
      <c r="V135">
        <v>200000</v>
      </c>
    </row>
    <row r="136" spans="1:22" s="30" customFormat="1" x14ac:dyDescent="0.3">
      <c r="A136" s="115" t="s">
        <v>405</v>
      </c>
      <c r="B136" s="115"/>
      <c r="C136" s="115"/>
      <c r="D136" s="115"/>
      <c r="E136" s="115"/>
      <c r="F136" s="146">
        <v>200000</v>
      </c>
      <c r="G136" s="146"/>
      <c r="H136" s="146"/>
      <c r="I136" s="81"/>
      <c r="J136" s="81"/>
      <c r="K136" s="81"/>
      <c r="L136" s="81"/>
      <c r="M136" s="81"/>
      <c r="R136"/>
      <c r="S136">
        <v>1300000</v>
      </c>
      <c r="T136">
        <v>400000</v>
      </c>
      <c r="U136">
        <v>350000</v>
      </c>
      <c r="V136" s="20">
        <v>400000</v>
      </c>
    </row>
    <row r="137" spans="1:22" s="30" customFormat="1" hidden="1" x14ac:dyDescent="0.3">
      <c r="A137" s="115" t="s">
        <v>177</v>
      </c>
      <c r="B137" s="115"/>
      <c r="C137" s="115"/>
      <c r="D137" s="115"/>
      <c r="E137" s="115"/>
      <c r="F137" s="146"/>
      <c r="G137" s="146"/>
      <c r="H137" s="146"/>
      <c r="I137" s="81"/>
      <c r="J137" s="81"/>
      <c r="K137" s="81"/>
      <c r="L137" s="81"/>
      <c r="M137" s="81"/>
      <c r="R137"/>
      <c r="S137">
        <v>1100000</v>
      </c>
      <c r="T137">
        <v>300000</v>
      </c>
      <c r="U137">
        <v>250000</v>
      </c>
      <c r="V137" s="20">
        <v>250000</v>
      </c>
    </row>
    <row r="138" spans="1:22" s="30" customFormat="1" hidden="1" x14ac:dyDescent="0.3">
      <c r="A138" s="115" t="s">
        <v>92</v>
      </c>
      <c r="B138" s="115"/>
      <c r="C138" s="115"/>
      <c r="D138" s="115"/>
      <c r="E138" s="115"/>
      <c r="F138" s="146"/>
      <c r="G138" s="146"/>
      <c r="H138" s="146"/>
      <c r="I138" s="81"/>
      <c r="J138" s="81"/>
      <c r="K138" s="81"/>
      <c r="L138" s="81"/>
      <c r="M138" s="81"/>
      <c r="R138"/>
      <c r="S138">
        <v>1200000</v>
      </c>
      <c r="T138">
        <v>350000</v>
      </c>
      <c r="U138">
        <v>300000</v>
      </c>
      <c r="V138">
        <v>300000</v>
      </c>
    </row>
    <row r="139" spans="1:22" s="30" customFormat="1" hidden="1" x14ac:dyDescent="0.3">
      <c r="A139" s="115" t="s">
        <v>93</v>
      </c>
      <c r="B139" s="115"/>
      <c r="C139" s="115"/>
      <c r="D139" s="115"/>
      <c r="E139" s="115"/>
      <c r="F139" s="146"/>
      <c r="G139" s="146"/>
      <c r="H139" s="146"/>
      <c r="I139" s="81"/>
      <c r="J139" s="81"/>
      <c r="K139" s="81"/>
      <c r="L139" s="81"/>
      <c r="M139" s="81"/>
      <c r="R139"/>
      <c r="S139">
        <v>1300000</v>
      </c>
      <c r="T139">
        <v>400000</v>
      </c>
      <c r="U139">
        <v>350000</v>
      </c>
      <c r="V139" s="20">
        <v>400000</v>
      </c>
    </row>
    <row r="140" spans="1:22" s="30" customFormat="1" hidden="1" x14ac:dyDescent="0.3">
      <c r="A140" s="115" t="s">
        <v>94</v>
      </c>
      <c r="B140" s="115"/>
      <c r="C140" s="115"/>
      <c r="D140" s="115"/>
      <c r="E140" s="115"/>
      <c r="F140" s="146"/>
      <c r="G140" s="146"/>
      <c r="H140" s="146"/>
      <c r="I140" s="81"/>
      <c r="J140" s="81"/>
      <c r="K140" s="81"/>
      <c r="L140" s="81"/>
      <c r="M140" s="81"/>
      <c r="R140"/>
      <c r="S140">
        <v>1400000</v>
      </c>
      <c r="T140">
        <v>500000</v>
      </c>
      <c r="U140">
        <v>400000</v>
      </c>
      <c r="V140"/>
    </row>
    <row r="141" spans="1:22" s="30" customFormat="1" hidden="1" x14ac:dyDescent="0.3">
      <c r="A141" s="115" t="s">
        <v>95</v>
      </c>
      <c r="B141" s="115"/>
      <c r="C141" s="115"/>
      <c r="D141" s="115"/>
      <c r="E141" s="115"/>
      <c r="F141" s="146"/>
      <c r="G141" s="146"/>
      <c r="H141" s="146"/>
      <c r="I141" s="81"/>
      <c r="J141" s="81"/>
      <c r="K141" s="81"/>
      <c r="L141" s="81"/>
      <c r="M141" s="81"/>
      <c r="R141"/>
      <c r="S141">
        <v>1500000</v>
      </c>
      <c r="T141">
        <v>600000</v>
      </c>
      <c r="U141">
        <v>500000</v>
      </c>
      <c r="V141" s="20"/>
    </row>
    <row r="142" spans="1:22" s="30" customFormat="1" hidden="1" x14ac:dyDescent="0.3">
      <c r="A142" s="115" t="s">
        <v>96</v>
      </c>
      <c r="B142" s="115"/>
      <c r="C142" s="115"/>
      <c r="D142" s="115"/>
      <c r="E142" s="115"/>
      <c r="F142" s="146"/>
      <c r="G142" s="146"/>
      <c r="H142" s="146"/>
      <c r="I142" s="81"/>
      <c r="J142" s="81"/>
      <c r="K142" s="81"/>
      <c r="L142" s="81"/>
      <c r="M142" s="81"/>
      <c r="R142"/>
      <c r="S142">
        <v>1600000</v>
      </c>
      <c r="T142">
        <v>700000</v>
      </c>
      <c r="U142">
        <v>600000</v>
      </c>
      <c r="V142"/>
    </row>
    <row r="143" spans="1:22" s="30" customFormat="1" hidden="1" x14ac:dyDescent="0.3">
      <c r="A143" s="115" t="s">
        <v>97</v>
      </c>
      <c r="B143" s="115"/>
      <c r="C143" s="115"/>
      <c r="D143" s="115"/>
      <c r="E143" s="115"/>
      <c r="F143" s="146"/>
      <c r="G143" s="146"/>
      <c r="H143" s="146"/>
      <c r="I143" s="81"/>
      <c r="J143" s="81"/>
      <c r="K143" s="81"/>
      <c r="L143" s="81"/>
      <c r="M143" s="81"/>
      <c r="R143"/>
      <c r="S143">
        <v>1700000</v>
      </c>
      <c r="T143">
        <v>800000</v>
      </c>
      <c r="U143"/>
      <c r="V143" s="20"/>
    </row>
    <row r="144" spans="1:22" x14ac:dyDescent="0.3">
      <c r="A144" s="115" t="s">
        <v>49</v>
      </c>
      <c r="B144" s="115"/>
      <c r="C144" s="115"/>
      <c r="D144" s="115"/>
      <c r="E144" s="115"/>
      <c r="F144" s="146">
        <v>300000</v>
      </c>
      <c r="G144" s="146"/>
      <c r="H144" s="146"/>
      <c r="I144" s="80"/>
      <c r="J144" s="80"/>
      <c r="K144" s="80"/>
      <c r="L144" s="80"/>
      <c r="M144" s="80"/>
      <c r="R144"/>
      <c r="S144">
        <v>1800000</v>
      </c>
      <c r="T144">
        <v>900000</v>
      </c>
      <c r="U144"/>
    </row>
    <row r="145" spans="1:22" s="31" customFormat="1" x14ac:dyDescent="0.3">
      <c r="A145" s="152" t="s">
        <v>50</v>
      </c>
      <c r="B145" s="152"/>
      <c r="C145" s="152"/>
      <c r="D145" s="152"/>
      <c r="E145" s="152"/>
      <c r="F145" s="146">
        <f>F133*0.8</f>
        <v>4800</v>
      </c>
      <c r="G145" s="146"/>
      <c r="H145" s="146"/>
      <c r="I145" s="82"/>
      <c r="J145" s="82"/>
      <c r="K145" s="82"/>
      <c r="L145" s="82"/>
      <c r="M145" s="82"/>
      <c r="R145" s="18"/>
      <c r="S145" s="18"/>
      <c r="T145">
        <v>1000000</v>
      </c>
      <c r="U145"/>
      <c r="V145" s="18"/>
    </row>
    <row r="146" spans="1:22" s="32" customFormat="1" ht="15.75" customHeight="1" x14ac:dyDescent="0.3">
      <c r="A146" s="121" t="s">
        <v>72</v>
      </c>
      <c r="B146" s="121"/>
      <c r="C146" s="121"/>
      <c r="D146" s="121"/>
      <c r="E146" s="121"/>
      <c r="F146" s="121"/>
      <c r="G146" s="121"/>
      <c r="H146" s="121"/>
      <c r="R146"/>
      <c r="S146" s="18"/>
      <c r="T146"/>
      <c r="U146"/>
      <c r="V146" s="18"/>
    </row>
    <row r="147" spans="1:22" s="32" customFormat="1" ht="15.75" customHeight="1" x14ac:dyDescent="0.3">
      <c r="A147" s="110" t="s">
        <v>51</v>
      </c>
      <c r="B147" s="110"/>
      <c r="C147" s="123" t="s">
        <v>75</v>
      </c>
      <c r="D147" s="123"/>
      <c r="E147" s="125" t="s">
        <v>52</v>
      </c>
      <c r="F147" s="125"/>
      <c r="G147" s="110" t="s">
        <v>53</v>
      </c>
      <c r="H147" s="110"/>
      <c r="R147"/>
      <c r="S147" s="18"/>
      <c r="T147"/>
      <c r="U147" s="18"/>
      <c r="V147" s="18"/>
    </row>
    <row r="148" spans="1:22" s="32" customFormat="1" x14ac:dyDescent="0.3">
      <c r="A148" s="126" t="s">
        <v>395</v>
      </c>
      <c r="B148" s="126"/>
      <c r="C148" s="119">
        <f>COUNT(F166:F181)</f>
        <v>16</v>
      </c>
      <c r="D148" s="120"/>
      <c r="E148" s="119">
        <f>SUM(F166:F181)</f>
        <v>2179.8176400000002</v>
      </c>
      <c r="F148" s="120"/>
      <c r="G148" s="119">
        <f>SUM(H166:H181)</f>
        <v>3269.7264600000008</v>
      </c>
      <c r="H148" s="120"/>
      <c r="R148"/>
      <c r="S148" s="18"/>
      <c r="T148"/>
      <c r="U148" s="18"/>
      <c r="V148" s="18"/>
    </row>
    <row r="149" spans="1:22" s="32" customFormat="1" x14ac:dyDescent="0.3">
      <c r="A149" s="126" t="s">
        <v>396</v>
      </c>
      <c r="B149" s="126"/>
      <c r="C149" s="119">
        <f>COUNT(F184:F207)</f>
        <v>24</v>
      </c>
      <c r="D149" s="120"/>
      <c r="E149" s="119">
        <f>SUM(F184:F207)</f>
        <v>3222.9568800000002</v>
      </c>
      <c r="F149" s="120"/>
      <c r="G149" s="119">
        <f>SUM(H184:H207)</f>
        <v>4834.4353200000005</v>
      </c>
      <c r="H149" s="120"/>
      <c r="R149"/>
      <c r="S149" s="18"/>
      <c r="T149"/>
      <c r="U149" s="18"/>
      <c r="V149" s="18"/>
    </row>
    <row r="150" spans="1:22" s="32" customFormat="1" x14ac:dyDescent="0.3">
      <c r="A150" s="126" t="s">
        <v>397</v>
      </c>
      <c r="B150" s="126"/>
      <c r="C150" s="119">
        <f>COUNT(F210:F219)</f>
        <v>10</v>
      </c>
      <c r="D150" s="120"/>
      <c r="E150" s="119">
        <f>SUM(F210:F219)</f>
        <v>1337.8575599999999</v>
      </c>
      <c r="F150" s="120"/>
      <c r="G150" s="119">
        <f>SUM(H210:H219)</f>
        <v>2006.7863400000001</v>
      </c>
      <c r="H150" s="120"/>
      <c r="R150"/>
      <c r="S150" s="18"/>
      <c r="T150"/>
      <c r="U150" s="18"/>
      <c r="V150" s="18"/>
    </row>
    <row r="151" spans="1:22" s="32" customFormat="1" x14ac:dyDescent="0.3">
      <c r="A151" s="121" t="s">
        <v>150</v>
      </c>
      <c r="B151" s="121"/>
      <c r="C151" s="122">
        <f>SUM(C148:C150)</f>
        <v>50</v>
      </c>
      <c r="D151" s="123"/>
      <c r="E151" s="124">
        <f>SUM(E148:E150)</f>
        <v>6740.6320800000012</v>
      </c>
      <c r="F151" s="125"/>
      <c r="G151" s="110">
        <f>SUM(G148:G150)</f>
        <v>10110.948120000001</v>
      </c>
      <c r="H151" s="110"/>
      <c r="R151"/>
      <c r="S151" s="18"/>
      <c r="T151"/>
      <c r="U151" s="18"/>
      <c r="V151" s="18"/>
    </row>
    <row r="152" spans="1:22" s="32" customFormat="1" x14ac:dyDescent="0.3">
      <c r="A152" s="121" t="s">
        <v>67</v>
      </c>
      <c r="B152" s="121"/>
      <c r="C152" s="121"/>
      <c r="D152" s="121"/>
      <c r="E152" s="121"/>
      <c r="F152" s="121"/>
      <c r="G152" s="121"/>
      <c r="H152" s="121"/>
      <c r="T152"/>
    </row>
    <row r="153" spans="1:22" s="32" customFormat="1" ht="15.75" customHeight="1" x14ac:dyDescent="0.3">
      <c r="A153" s="110" t="s">
        <v>51</v>
      </c>
      <c r="B153" s="110"/>
      <c r="C153" s="123" t="s">
        <v>75</v>
      </c>
      <c r="D153" s="123"/>
      <c r="E153" s="125" t="s">
        <v>52</v>
      </c>
      <c r="F153" s="125"/>
      <c r="G153" s="110" t="s">
        <v>53</v>
      </c>
      <c r="H153" s="110"/>
      <c r="T153"/>
    </row>
    <row r="154" spans="1:22" s="32" customFormat="1" x14ac:dyDescent="0.3">
      <c r="A154" s="126" t="s">
        <v>395</v>
      </c>
      <c r="B154" s="126"/>
      <c r="C154" s="119">
        <f>COUNT(F225:F236)*6+COUNT(F238:F249)</f>
        <v>84</v>
      </c>
      <c r="D154" s="119"/>
      <c r="E154" s="119">
        <f>SUM(F225:F236)*6+SUM(F238:F249)</f>
        <v>33523.078680000006</v>
      </c>
      <c r="F154" s="119"/>
      <c r="G154" s="119">
        <f>SUM(H225:H236)*6+SUM(H238:H249)</f>
        <v>48632.987024499991</v>
      </c>
      <c r="H154" s="119"/>
      <c r="T154"/>
    </row>
    <row r="155" spans="1:22" s="32" customFormat="1" x14ac:dyDescent="0.3">
      <c r="A155" s="126" t="s">
        <v>396</v>
      </c>
      <c r="B155" s="126"/>
      <c r="C155" s="119">
        <f>COUNT(F252:F263)*7</f>
        <v>84</v>
      </c>
      <c r="D155" s="119"/>
      <c r="E155" s="119">
        <f>SUM(F252:F263)*7</f>
        <v>33523.078680000006</v>
      </c>
      <c r="F155" s="119"/>
      <c r="G155" s="119">
        <f>SUM(H252:H263)*7</f>
        <v>48608.464085999993</v>
      </c>
      <c r="H155" s="119"/>
      <c r="T155"/>
    </row>
    <row r="156" spans="1:22" s="32" customFormat="1" x14ac:dyDescent="0.3">
      <c r="A156" s="126" t="s">
        <v>397</v>
      </c>
      <c r="B156" s="126"/>
      <c r="C156" s="119">
        <f>COUNT(F266:F277)*7</f>
        <v>84</v>
      </c>
      <c r="D156" s="119"/>
      <c r="E156" s="119">
        <f>SUM(F266:F277)*7</f>
        <v>33523.078680000006</v>
      </c>
      <c r="F156" s="119"/>
      <c r="G156" s="119">
        <f>SUM(H266:H277)*7</f>
        <v>48608.464085999993</v>
      </c>
      <c r="H156" s="119"/>
      <c r="T156"/>
    </row>
    <row r="157" spans="1:22" s="32" customFormat="1" x14ac:dyDescent="0.3">
      <c r="A157" s="126" t="s">
        <v>398</v>
      </c>
      <c r="B157" s="126"/>
      <c r="C157" s="119">
        <f>COUNT(F281:F288)*7</f>
        <v>56</v>
      </c>
      <c r="D157" s="119"/>
      <c r="E157" s="119">
        <f>SUM(F281:F288)*7</f>
        <v>21722.074919999999</v>
      </c>
      <c r="F157" s="119"/>
      <c r="G157" s="119">
        <f>SUM(H281:H288)*7</f>
        <v>31497.008633999998</v>
      </c>
      <c r="H157" s="119"/>
      <c r="T157"/>
    </row>
    <row r="158" spans="1:22" s="32" customFormat="1" ht="16.2" thickBot="1" x14ac:dyDescent="0.35">
      <c r="A158" s="116" t="s">
        <v>150</v>
      </c>
      <c r="B158" s="116"/>
      <c r="C158" s="216">
        <f>SUM(C154:C157)</f>
        <v>308</v>
      </c>
      <c r="D158" s="217"/>
      <c r="E158" s="117">
        <f>SUM(E154:E157)</f>
        <v>122291.31096000002</v>
      </c>
      <c r="F158" s="117"/>
      <c r="G158" s="118">
        <f>SUM(G154:G157)</f>
        <v>177346.92383049996</v>
      </c>
      <c r="H158" s="118"/>
      <c r="T158"/>
    </row>
    <row r="159" spans="1:22" s="32" customFormat="1" ht="16.2" thickBot="1" x14ac:dyDescent="0.35">
      <c r="A159" s="209" t="s">
        <v>167</v>
      </c>
      <c r="B159" s="210"/>
      <c r="C159" s="211">
        <f>C151+C158</f>
        <v>358</v>
      </c>
      <c r="D159" s="212"/>
      <c r="E159" s="213">
        <f>E151+E158</f>
        <v>129031.94304000001</v>
      </c>
      <c r="F159" s="214"/>
      <c r="G159" s="138">
        <f>G151+G158</f>
        <v>187457.87195049995</v>
      </c>
      <c r="H159" s="139"/>
      <c r="T159"/>
    </row>
    <row r="160" spans="1:22" s="31" customFormat="1" x14ac:dyDescent="0.3">
      <c r="A160" s="203" t="s">
        <v>54</v>
      </c>
      <c r="B160" s="203"/>
      <c r="C160" s="203"/>
      <c r="D160" s="203"/>
      <c r="E160" s="203"/>
      <c r="F160" s="203"/>
      <c r="G160" s="203"/>
      <c r="H160" s="203"/>
      <c r="T160" s="32"/>
    </row>
    <row r="161" spans="1:20" x14ac:dyDescent="0.3">
      <c r="A161" s="193" t="s">
        <v>176</v>
      </c>
      <c r="B161" s="193"/>
      <c r="C161" s="193"/>
      <c r="D161" s="193"/>
      <c r="E161" s="193"/>
      <c r="F161" s="193"/>
      <c r="G161" s="193"/>
      <c r="H161" s="193"/>
      <c r="T161" s="32"/>
    </row>
    <row r="162" spans="1:20" ht="47.25" customHeight="1" x14ac:dyDescent="0.3">
      <c r="A162" s="136" t="s">
        <v>394</v>
      </c>
      <c r="B162" s="136" t="s">
        <v>178</v>
      </c>
      <c r="C162" s="136" t="s">
        <v>55</v>
      </c>
      <c r="D162" s="136" t="s">
        <v>383</v>
      </c>
      <c r="E162" s="111" t="s">
        <v>156</v>
      </c>
      <c r="F162" s="136" t="s">
        <v>56</v>
      </c>
      <c r="G162" s="111" t="s">
        <v>57</v>
      </c>
      <c r="H162" s="78" t="s">
        <v>148</v>
      </c>
      <c r="T162" s="32"/>
    </row>
    <row r="163" spans="1:20" s="34" customFormat="1" x14ac:dyDescent="0.3">
      <c r="A163" s="137"/>
      <c r="B163" s="137"/>
      <c r="C163" s="137"/>
      <c r="D163" s="137"/>
      <c r="E163" s="112"/>
      <c r="F163" s="137"/>
      <c r="G163" s="112"/>
      <c r="H163" s="79">
        <v>0.5</v>
      </c>
      <c r="T163" s="32"/>
    </row>
    <row r="164" spans="1:20" s="34" customFormat="1" x14ac:dyDescent="0.3">
      <c r="A164" s="143" t="s">
        <v>380</v>
      </c>
      <c r="B164" s="144"/>
      <c r="C164" s="144"/>
      <c r="D164" s="144"/>
      <c r="E164" s="144"/>
      <c r="F164" s="144"/>
      <c r="G164" s="144"/>
      <c r="H164" s="145"/>
      <c r="J164" s="75">
        <v>10.763999999999999</v>
      </c>
      <c r="T164" s="32"/>
    </row>
    <row r="165" spans="1:20" s="34" customFormat="1" x14ac:dyDescent="0.3">
      <c r="A165" s="143" t="s">
        <v>381</v>
      </c>
      <c r="B165" s="144"/>
      <c r="C165" s="144"/>
      <c r="D165" s="144"/>
      <c r="E165" s="144"/>
      <c r="F165" s="144"/>
      <c r="G165" s="144"/>
      <c r="H165" s="145"/>
      <c r="J165" s="33"/>
      <c r="T165" s="32"/>
    </row>
    <row r="166" spans="1:20" s="34" customFormat="1" ht="15.75" customHeight="1" x14ac:dyDescent="0.3">
      <c r="A166" s="200">
        <v>1</v>
      </c>
      <c r="B166" s="201"/>
      <c r="C166" s="76" t="s">
        <v>382</v>
      </c>
      <c r="D166" s="77">
        <f>(11.41)*10.764</f>
        <v>122.81724</v>
      </c>
      <c r="E166" s="76">
        <v>0</v>
      </c>
      <c r="F166" s="76">
        <f>D166+(IF(E166&lt;201,E166,IF(E166&lt;301,E166/2,E166/3)))</f>
        <v>122.81724</v>
      </c>
      <c r="G166" s="76">
        <v>0</v>
      </c>
      <c r="H166" s="76">
        <f>(F166+(IF(G166&lt;101,G166,IF(G166&lt;201,G166/2,IF(G166&lt;=301,G166/3,G166/4)))))*(($H$163)+1)</f>
        <v>184.22586000000001</v>
      </c>
      <c r="I166" s="74">
        <f>2.35*4.75</f>
        <v>11.1625</v>
      </c>
      <c r="L166" s="132"/>
      <c r="M166" s="132"/>
      <c r="N166" s="33"/>
      <c r="T166" s="32"/>
    </row>
    <row r="167" spans="1:20" s="34" customFormat="1" ht="15.75" customHeight="1" x14ac:dyDescent="0.3">
      <c r="A167" s="200">
        <f t="shared" ref="A167:A181" si="0">A166+1</f>
        <v>2</v>
      </c>
      <c r="B167" s="201"/>
      <c r="C167" s="76" t="s">
        <v>382</v>
      </c>
      <c r="D167" s="77">
        <f>(13.33)*10.764</f>
        <v>143.48411999999999</v>
      </c>
      <c r="E167" s="76">
        <v>0</v>
      </c>
      <c r="F167" s="76">
        <f t="shared" ref="F167:F169" si="1">D167+(IF(E167&lt;201,E167,IF(E167&lt;301,E167/2,E167/3)))</f>
        <v>143.48411999999999</v>
      </c>
      <c r="G167" s="76">
        <v>0</v>
      </c>
      <c r="H167" s="76">
        <f t="shared" ref="H167:H169" si="2">(F167+(IF(G167&lt;101,G167,IF(G167&lt;201,G167/2,IF(G167&lt;=301,G167/3,G167/4)))))*(($H$163)+1)</f>
        <v>215.22618</v>
      </c>
      <c r="I167" s="33"/>
      <c r="L167" s="132"/>
      <c r="M167" s="132"/>
      <c r="N167" s="33"/>
      <c r="T167" s="31"/>
    </row>
    <row r="168" spans="1:20" s="34" customFormat="1" ht="15.75" customHeight="1" x14ac:dyDescent="0.3">
      <c r="A168" s="200">
        <f t="shared" si="0"/>
        <v>3</v>
      </c>
      <c r="B168" s="201"/>
      <c r="C168" s="76" t="s">
        <v>382</v>
      </c>
      <c r="D168" s="77">
        <f>(13.33)*10.764</f>
        <v>143.48411999999999</v>
      </c>
      <c r="E168" s="76">
        <v>0</v>
      </c>
      <c r="F168" s="76">
        <f t="shared" si="1"/>
        <v>143.48411999999999</v>
      </c>
      <c r="G168" s="76">
        <v>0</v>
      </c>
      <c r="H168" s="76">
        <f t="shared" si="2"/>
        <v>215.22618</v>
      </c>
      <c r="I168" s="33"/>
      <c r="L168" s="132"/>
      <c r="M168" s="132"/>
      <c r="N168" s="33"/>
      <c r="T168" s="18"/>
    </row>
    <row r="169" spans="1:20" s="34" customFormat="1" ht="15.75" customHeight="1" x14ac:dyDescent="0.3">
      <c r="A169" s="113">
        <f t="shared" si="0"/>
        <v>4</v>
      </c>
      <c r="B169" s="114"/>
      <c r="C169" s="39" t="s">
        <v>382</v>
      </c>
      <c r="D169" s="75">
        <f>(13.33)*10.764</f>
        <v>143.48411999999999</v>
      </c>
      <c r="E169" s="39">
        <v>0</v>
      </c>
      <c r="F169" s="39">
        <f t="shared" si="1"/>
        <v>143.48411999999999</v>
      </c>
      <c r="G169" s="39">
        <v>0</v>
      </c>
      <c r="H169" s="39">
        <f t="shared" si="2"/>
        <v>215.22618</v>
      </c>
      <c r="I169" s="33"/>
      <c r="L169" s="132"/>
      <c r="M169" s="132"/>
      <c r="N169" s="33"/>
      <c r="T169" s="18"/>
    </row>
    <row r="170" spans="1:20" s="34" customFormat="1" ht="15.75" customHeight="1" x14ac:dyDescent="0.3">
      <c r="A170" s="113">
        <f t="shared" si="0"/>
        <v>5</v>
      </c>
      <c r="B170" s="114"/>
      <c r="C170" s="39" t="s">
        <v>382</v>
      </c>
      <c r="D170" s="75">
        <f>(13.33)*10.764</f>
        <v>143.48411999999999</v>
      </c>
      <c r="E170" s="39">
        <v>0</v>
      </c>
      <c r="F170" s="39">
        <f t="shared" ref="F170:F175" si="3">D170+(IF(E170&lt;201,E170,IF(E170&lt;301,E170/2,E170/3)))</f>
        <v>143.48411999999999</v>
      </c>
      <c r="G170" s="39">
        <v>0</v>
      </c>
      <c r="H170" s="39">
        <f t="shared" ref="H170:H175" si="4">(F170+(IF(G170&lt;101,G170,IF(G170&lt;201,G170/2,IF(G170&lt;=301,G170/3,G170/4)))))*(($H$163)+1)</f>
        <v>215.22618</v>
      </c>
      <c r="I170" s="33"/>
      <c r="L170" s="132"/>
      <c r="M170" s="132"/>
      <c r="N170" s="33"/>
      <c r="T170" s="31"/>
    </row>
    <row r="171" spans="1:20" s="34" customFormat="1" ht="15.75" customHeight="1" x14ac:dyDescent="0.3">
      <c r="A171" s="113">
        <f t="shared" si="0"/>
        <v>6</v>
      </c>
      <c r="B171" s="114"/>
      <c r="C171" s="39" t="s">
        <v>382</v>
      </c>
      <c r="D171" s="75">
        <f>(11.41)*10.764</f>
        <v>122.81724</v>
      </c>
      <c r="E171" s="39">
        <v>0</v>
      </c>
      <c r="F171" s="39">
        <f t="shared" si="3"/>
        <v>122.81724</v>
      </c>
      <c r="G171" s="39">
        <v>0</v>
      </c>
      <c r="H171" s="39">
        <f t="shared" si="4"/>
        <v>184.22586000000001</v>
      </c>
      <c r="I171" s="33"/>
      <c r="L171" s="132"/>
      <c r="M171" s="132"/>
      <c r="N171" s="33"/>
      <c r="T171" s="18"/>
    </row>
    <row r="172" spans="1:20" s="34" customFormat="1" ht="15.75" customHeight="1" x14ac:dyDescent="0.3">
      <c r="A172" s="113">
        <f t="shared" si="0"/>
        <v>7</v>
      </c>
      <c r="B172" s="114"/>
      <c r="C172" s="39" t="s">
        <v>382</v>
      </c>
      <c r="D172" s="75">
        <f>(13.33)*10.764</f>
        <v>143.48411999999999</v>
      </c>
      <c r="E172" s="39">
        <v>0</v>
      </c>
      <c r="F172" s="39">
        <f t="shared" si="3"/>
        <v>143.48411999999999</v>
      </c>
      <c r="G172" s="39">
        <v>0</v>
      </c>
      <c r="H172" s="39">
        <f t="shared" si="4"/>
        <v>215.22618</v>
      </c>
      <c r="I172" s="33"/>
      <c r="L172" s="132"/>
      <c r="M172" s="132"/>
      <c r="N172" s="33"/>
      <c r="T172" s="18"/>
    </row>
    <row r="173" spans="1:20" s="34" customFormat="1" ht="15.75" customHeight="1" x14ac:dyDescent="0.3">
      <c r="A173" s="113">
        <f t="shared" si="0"/>
        <v>8</v>
      </c>
      <c r="B173" s="114"/>
      <c r="C173" s="39" t="s">
        <v>382</v>
      </c>
      <c r="D173" s="75">
        <f>(13.33)*10.764</f>
        <v>143.48411999999999</v>
      </c>
      <c r="E173" s="39">
        <v>0</v>
      </c>
      <c r="F173" s="39">
        <f t="shared" si="3"/>
        <v>143.48411999999999</v>
      </c>
      <c r="G173" s="39">
        <v>0</v>
      </c>
      <c r="H173" s="39">
        <f t="shared" si="4"/>
        <v>215.22618</v>
      </c>
      <c r="I173" s="33"/>
      <c r="L173" s="132"/>
      <c r="M173" s="132"/>
      <c r="N173" s="33"/>
      <c r="T173" s="31"/>
    </row>
    <row r="174" spans="1:20" s="34" customFormat="1" ht="15.75" customHeight="1" x14ac:dyDescent="0.3">
      <c r="A174" s="113">
        <f t="shared" si="0"/>
        <v>9</v>
      </c>
      <c r="B174" s="114"/>
      <c r="C174" s="39" t="s">
        <v>382</v>
      </c>
      <c r="D174" s="75">
        <f>(11.41)*10.764</f>
        <v>122.81724</v>
      </c>
      <c r="E174" s="39">
        <v>0</v>
      </c>
      <c r="F174" s="39">
        <f t="shared" si="3"/>
        <v>122.81724</v>
      </c>
      <c r="G174" s="39">
        <v>0</v>
      </c>
      <c r="H174" s="39">
        <f t="shared" si="4"/>
        <v>184.22586000000001</v>
      </c>
      <c r="I174" s="33"/>
      <c r="L174" s="132"/>
      <c r="M174" s="132"/>
      <c r="N174" s="33"/>
      <c r="T174" s="18"/>
    </row>
    <row r="175" spans="1:20" s="34" customFormat="1" ht="15.75" customHeight="1" x14ac:dyDescent="0.3">
      <c r="A175" s="113">
        <f t="shared" si="0"/>
        <v>10</v>
      </c>
      <c r="B175" s="114"/>
      <c r="C175" s="39" t="s">
        <v>382</v>
      </c>
      <c r="D175" s="75">
        <f>(13.33)*10.764</f>
        <v>143.48411999999999</v>
      </c>
      <c r="E175" s="39">
        <v>0</v>
      </c>
      <c r="F175" s="39">
        <f t="shared" si="3"/>
        <v>143.48411999999999</v>
      </c>
      <c r="G175" s="39">
        <v>0</v>
      </c>
      <c r="H175" s="39">
        <f t="shared" si="4"/>
        <v>215.22618</v>
      </c>
      <c r="I175" s="33"/>
      <c r="L175" s="132"/>
      <c r="M175" s="132"/>
      <c r="N175" s="33"/>
      <c r="T175" s="18"/>
    </row>
    <row r="176" spans="1:20" s="34" customFormat="1" ht="15.75" customHeight="1" x14ac:dyDescent="0.3">
      <c r="A176" s="113">
        <f t="shared" si="0"/>
        <v>11</v>
      </c>
      <c r="B176" s="114"/>
      <c r="C176" s="39" t="s">
        <v>382</v>
      </c>
      <c r="D176" s="75">
        <f>(13.33)*10.764</f>
        <v>143.48411999999999</v>
      </c>
      <c r="E176" s="39">
        <v>0</v>
      </c>
      <c r="F176" s="39">
        <f t="shared" ref="F176:F178" si="5">D176+(IF(E176&lt;201,E176,IF(E176&lt;301,E176/2,E176/3)))</f>
        <v>143.48411999999999</v>
      </c>
      <c r="G176" s="39">
        <v>0</v>
      </c>
      <c r="H176" s="39">
        <f t="shared" ref="H176:H178" si="6">(F176+(IF(G176&lt;101,G176,IF(G176&lt;201,G176/2,IF(G176&lt;=301,G176/3,G176/4)))))*(($H$163)+1)</f>
        <v>215.22618</v>
      </c>
      <c r="I176" s="33"/>
      <c r="L176" s="132"/>
      <c r="M176" s="132"/>
      <c r="N176" s="33"/>
      <c r="T176" s="31"/>
    </row>
    <row r="177" spans="1:20" s="34" customFormat="1" ht="15.75" customHeight="1" x14ac:dyDescent="0.3">
      <c r="A177" s="113">
        <f t="shared" si="0"/>
        <v>12</v>
      </c>
      <c r="B177" s="114"/>
      <c r="C177" s="39" t="s">
        <v>382</v>
      </c>
      <c r="D177" s="75">
        <f>(11.41)*10.764</f>
        <v>122.81724</v>
      </c>
      <c r="E177" s="39">
        <v>0</v>
      </c>
      <c r="F177" s="39">
        <f t="shared" si="5"/>
        <v>122.81724</v>
      </c>
      <c r="G177" s="39">
        <v>0</v>
      </c>
      <c r="H177" s="39">
        <f t="shared" si="6"/>
        <v>184.22586000000001</v>
      </c>
      <c r="I177" s="33"/>
      <c r="L177" s="132"/>
      <c r="M177" s="132"/>
      <c r="N177" s="33"/>
      <c r="T177" s="18"/>
    </row>
    <row r="178" spans="1:20" s="34" customFormat="1" ht="15.75" customHeight="1" x14ac:dyDescent="0.3">
      <c r="A178" s="113">
        <f t="shared" si="0"/>
        <v>13</v>
      </c>
      <c r="B178" s="114"/>
      <c r="C178" s="39" t="s">
        <v>382</v>
      </c>
      <c r="D178" s="75">
        <f>(13.33)*10.764</f>
        <v>143.48411999999999</v>
      </c>
      <c r="E178" s="39">
        <v>0</v>
      </c>
      <c r="F178" s="39">
        <f t="shared" si="5"/>
        <v>143.48411999999999</v>
      </c>
      <c r="G178" s="39">
        <v>0</v>
      </c>
      <c r="H178" s="39">
        <f t="shared" si="6"/>
        <v>215.22618</v>
      </c>
      <c r="I178" s="33"/>
      <c r="L178" s="132"/>
      <c r="M178" s="132"/>
      <c r="N178" s="33"/>
      <c r="T178" s="18"/>
    </row>
    <row r="179" spans="1:20" s="34" customFormat="1" ht="15.75" customHeight="1" x14ac:dyDescent="0.3">
      <c r="A179" s="113">
        <f t="shared" si="0"/>
        <v>14</v>
      </c>
      <c r="B179" s="114"/>
      <c r="C179" s="39" t="s">
        <v>382</v>
      </c>
      <c r="D179" s="75">
        <f>(13.33)*10.764</f>
        <v>143.48411999999999</v>
      </c>
      <c r="E179" s="39">
        <v>0</v>
      </c>
      <c r="F179" s="39">
        <f t="shared" ref="F179:F181" si="7">D179+(IF(E179&lt;201,E179,IF(E179&lt;301,E179/2,E179/3)))</f>
        <v>143.48411999999999</v>
      </c>
      <c r="G179" s="39">
        <v>0</v>
      </c>
      <c r="H179" s="39">
        <f t="shared" ref="H179:H181" si="8">(F179+(IF(G179&lt;101,G179,IF(G179&lt;201,G179/2,IF(G179&lt;=301,G179/3,G179/4)))))*(($H$163)+1)</f>
        <v>215.22618</v>
      </c>
      <c r="I179" s="33"/>
      <c r="L179" s="132"/>
      <c r="M179" s="132"/>
      <c r="N179" s="33"/>
      <c r="T179" s="31"/>
    </row>
    <row r="180" spans="1:20" s="34" customFormat="1" ht="15.75" customHeight="1" x14ac:dyDescent="0.3">
      <c r="A180" s="113">
        <f t="shared" si="0"/>
        <v>15</v>
      </c>
      <c r="B180" s="114"/>
      <c r="C180" s="39" t="s">
        <v>382</v>
      </c>
      <c r="D180" s="75">
        <f>(10.24)*10.764</f>
        <v>110.22336</v>
      </c>
      <c r="E180" s="39">
        <v>0</v>
      </c>
      <c r="F180" s="39">
        <f t="shared" si="7"/>
        <v>110.22336</v>
      </c>
      <c r="G180" s="39">
        <v>0</v>
      </c>
      <c r="H180" s="39">
        <f t="shared" si="8"/>
        <v>165.33503999999999</v>
      </c>
      <c r="I180" s="33"/>
      <c r="L180" s="132"/>
      <c r="M180" s="132"/>
      <c r="N180" s="33"/>
      <c r="T180" s="18"/>
    </row>
    <row r="181" spans="1:20" s="34" customFormat="1" ht="15.75" customHeight="1" x14ac:dyDescent="0.3">
      <c r="A181" s="113">
        <f t="shared" si="0"/>
        <v>16</v>
      </c>
      <c r="B181" s="114"/>
      <c r="C181" s="39" t="s">
        <v>382</v>
      </c>
      <c r="D181" s="75">
        <f>(13.33)*10.764</f>
        <v>143.48411999999999</v>
      </c>
      <c r="E181" s="39">
        <v>0</v>
      </c>
      <c r="F181" s="39">
        <f t="shared" si="7"/>
        <v>143.48411999999999</v>
      </c>
      <c r="G181" s="39">
        <v>0</v>
      </c>
      <c r="H181" s="39">
        <f t="shared" si="8"/>
        <v>215.22618</v>
      </c>
      <c r="I181" s="33"/>
      <c r="L181" s="132"/>
      <c r="M181" s="132"/>
      <c r="N181" s="33"/>
      <c r="T181" s="18"/>
    </row>
    <row r="182" spans="1:20" s="34" customFormat="1" x14ac:dyDescent="0.3">
      <c r="A182" s="206" t="s">
        <v>387</v>
      </c>
      <c r="B182" s="207"/>
      <c r="C182" s="207"/>
      <c r="D182" s="207"/>
      <c r="E182" s="207"/>
      <c r="F182" s="207"/>
      <c r="G182" s="207"/>
      <c r="H182" s="208"/>
      <c r="J182" s="33"/>
      <c r="T182" s="32"/>
    </row>
    <row r="183" spans="1:20" s="34" customFormat="1" x14ac:dyDescent="0.3">
      <c r="A183" s="206" t="s">
        <v>389</v>
      </c>
      <c r="B183" s="207"/>
      <c r="C183" s="207"/>
      <c r="D183" s="207"/>
      <c r="E183" s="207"/>
      <c r="F183" s="207"/>
      <c r="G183" s="207"/>
      <c r="H183" s="208"/>
      <c r="J183" s="33"/>
      <c r="T183" s="32"/>
    </row>
    <row r="184" spans="1:20" s="34" customFormat="1" ht="15.75" customHeight="1" x14ac:dyDescent="0.3">
      <c r="A184" s="113">
        <v>17</v>
      </c>
      <c r="B184" s="114"/>
      <c r="C184" s="39" t="s">
        <v>382</v>
      </c>
      <c r="D184" s="75">
        <f>(13.33)*10.764</f>
        <v>143.48411999999999</v>
      </c>
      <c r="E184" s="39">
        <v>0</v>
      </c>
      <c r="F184" s="39">
        <f>D184+(IF(E184&lt;201,E184,IF(E184&lt;301,E184/2,E184/3)))</f>
        <v>143.48411999999999</v>
      </c>
      <c r="G184" s="39">
        <v>0</v>
      </c>
      <c r="H184" s="39">
        <f>(F184+(IF(G184&lt;101,G184,IF(G184&lt;201,G184/2,IF(G184&lt;=301,G184/3,G184/4)))))*(($H$163)+1)</f>
        <v>215.22618</v>
      </c>
      <c r="I184" s="74"/>
      <c r="L184" s="132"/>
      <c r="M184" s="132"/>
      <c r="N184" s="33"/>
      <c r="T184" s="32"/>
    </row>
    <row r="185" spans="1:20" s="34" customFormat="1" ht="15.75" customHeight="1" x14ac:dyDescent="0.3">
      <c r="A185" s="113">
        <f t="shared" ref="A185:A207" si="9">A184+1</f>
        <v>18</v>
      </c>
      <c r="B185" s="114"/>
      <c r="C185" s="39" t="s">
        <v>382</v>
      </c>
      <c r="D185" s="75">
        <f>(10.24)*10.764</f>
        <v>110.22336</v>
      </c>
      <c r="E185" s="39">
        <v>0</v>
      </c>
      <c r="F185" s="39">
        <f t="shared" ref="F185:F199" si="10">D185+(IF(E185&lt;201,E185,IF(E185&lt;301,E185/2,E185/3)))</f>
        <v>110.22336</v>
      </c>
      <c r="G185" s="39">
        <v>0</v>
      </c>
      <c r="H185" s="39">
        <f t="shared" ref="H185:H199" si="11">(F185+(IF(G185&lt;101,G185,IF(G185&lt;201,G185/2,IF(G185&lt;=301,G185/3,G185/4)))))*(($H$163)+1)</f>
        <v>165.33503999999999</v>
      </c>
      <c r="I185" s="33"/>
      <c r="L185" s="132"/>
      <c r="M185" s="132"/>
      <c r="N185" s="33"/>
      <c r="T185" s="31"/>
    </row>
    <row r="186" spans="1:20" s="34" customFormat="1" ht="15.75" customHeight="1" x14ac:dyDescent="0.3">
      <c r="A186" s="113">
        <f t="shared" si="9"/>
        <v>19</v>
      </c>
      <c r="B186" s="114"/>
      <c r="C186" s="39" t="s">
        <v>382</v>
      </c>
      <c r="D186" s="75">
        <f>(13.33)*10.764</f>
        <v>143.48411999999999</v>
      </c>
      <c r="E186" s="39">
        <v>0</v>
      </c>
      <c r="F186" s="39">
        <f t="shared" si="10"/>
        <v>143.48411999999999</v>
      </c>
      <c r="G186" s="39">
        <v>0</v>
      </c>
      <c r="H186" s="39">
        <f t="shared" si="11"/>
        <v>215.22618</v>
      </c>
      <c r="I186" s="33"/>
      <c r="L186" s="132"/>
      <c r="M186" s="132"/>
      <c r="N186" s="33"/>
      <c r="T186" s="18"/>
    </row>
    <row r="187" spans="1:20" s="34" customFormat="1" ht="15.75" customHeight="1" x14ac:dyDescent="0.3">
      <c r="A187" s="113">
        <f t="shared" si="9"/>
        <v>20</v>
      </c>
      <c r="B187" s="114"/>
      <c r="C187" s="39" t="s">
        <v>382</v>
      </c>
      <c r="D187" s="75">
        <f>(13.33)*10.764</f>
        <v>143.48411999999999</v>
      </c>
      <c r="E187" s="39">
        <v>0</v>
      </c>
      <c r="F187" s="39">
        <f t="shared" si="10"/>
        <v>143.48411999999999</v>
      </c>
      <c r="G187" s="39">
        <v>0</v>
      </c>
      <c r="H187" s="39">
        <f t="shared" si="11"/>
        <v>215.22618</v>
      </c>
      <c r="I187" s="33"/>
      <c r="L187" s="132"/>
      <c r="M187" s="132"/>
      <c r="N187" s="33"/>
      <c r="T187" s="18"/>
    </row>
    <row r="188" spans="1:20" s="34" customFormat="1" ht="15.75" customHeight="1" x14ac:dyDescent="0.3">
      <c r="A188" s="113">
        <f t="shared" si="9"/>
        <v>21</v>
      </c>
      <c r="B188" s="114"/>
      <c r="C188" s="39" t="s">
        <v>382</v>
      </c>
      <c r="D188" s="75">
        <f>(11.41)*10.764</f>
        <v>122.81724</v>
      </c>
      <c r="E188" s="39">
        <v>0</v>
      </c>
      <c r="F188" s="39">
        <f t="shared" si="10"/>
        <v>122.81724</v>
      </c>
      <c r="G188" s="39">
        <v>0</v>
      </c>
      <c r="H188" s="39">
        <f t="shared" si="11"/>
        <v>184.22586000000001</v>
      </c>
      <c r="I188" s="33"/>
      <c r="L188" s="132"/>
      <c r="M188" s="132"/>
      <c r="N188" s="33"/>
      <c r="T188" s="31"/>
    </row>
    <row r="189" spans="1:20" s="34" customFormat="1" ht="15.75" customHeight="1" x14ac:dyDescent="0.3">
      <c r="A189" s="113">
        <f t="shared" si="9"/>
        <v>22</v>
      </c>
      <c r="B189" s="114"/>
      <c r="C189" s="39" t="s">
        <v>382</v>
      </c>
      <c r="D189" s="75">
        <f>(13.33)*10.764</f>
        <v>143.48411999999999</v>
      </c>
      <c r="E189" s="39">
        <v>0</v>
      </c>
      <c r="F189" s="39">
        <f t="shared" si="10"/>
        <v>143.48411999999999</v>
      </c>
      <c r="G189" s="39">
        <v>0</v>
      </c>
      <c r="H189" s="39">
        <f t="shared" si="11"/>
        <v>215.22618</v>
      </c>
      <c r="I189" s="33"/>
      <c r="L189" s="132"/>
      <c r="M189" s="132"/>
      <c r="N189" s="33"/>
      <c r="T189" s="18"/>
    </row>
    <row r="190" spans="1:20" s="34" customFormat="1" ht="15.75" customHeight="1" x14ac:dyDescent="0.3">
      <c r="A190" s="113">
        <f t="shared" si="9"/>
        <v>23</v>
      </c>
      <c r="B190" s="114"/>
      <c r="C190" s="39" t="s">
        <v>382</v>
      </c>
      <c r="D190" s="75">
        <f>(13.33)*10.764</f>
        <v>143.48411999999999</v>
      </c>
      <c r="E190" s="39">
        <v>0</v>
      </c>
      <c r="F190" s="39">
        <f t="shared" si="10"/>
        <v>143.48411999999999</v>
      </c>
      <c r="G190" s="39">
        <v>0</v>
      </c>
      <c r="H190" s="39">
        <f t="shared" si="11"/>
        <v>215.22618</v>
      </c>
      <c r="I190" s="33"/>
      <c r="L190" s="132"/>
      <c r="M190" s="132"/>
      <c r="N190" s="33"/>
      <c r="T190" s="18"/>
    </row>
    <row r="191" spans="1:20" s="34" customFormat="1" ht="15.75" customHeight="1" x14ac:dyDescent="0.3">
      <c r="A191" s="113">
        <f t="shared" si="9"/>
        <v>24</v>
      </c>
      <c r="B191" s="114"/>
      <c r="C191" s="39" t="s">
        <v>382</v>
      </c>
      <c r="D191" s="75">
        <f>(13.33)*10.764</f>
        <v>143.48411999999999</v>
      </c>
      <c r="E191" s="39">
        <v>0</v>
      </c>
      <c r="F191" s="39">
        <f t="shared" si="10"/>
        <v>143.48411999999999</v>
      </c>
      <c r="G191" s="39">
        <v>0</v>
      </c>
      <c r="H191" s="39">
        <f t="shared" si="11"/>
        <v>215.22618</v>
      </c>
      <c r="I191" s="33"/>
      <c r="L191" s="132"/>
      <c r="M191" s="132"/>
      <c r="N191" s="33"/>
      <c r="T191" s="31"/>
    </row>
    <row r="192" spans="1:20" s="34" customFormat="1" ht="15.75" customHeight="1" x14ac:dyDescent="0.3">
      <c r="A192" s="113">
        <f t="shared" si="9"/>
        <v>25</v>
      </c>
      <c r="B192" s="114"/>
      <c r="C192" s="39" t="s">
        <v>382</v>
      </c>
      <c r="D192" s="75">
        <f>(13.33)*10.764</f>
        <v>143.48411999999999</v>
      </c>
      <c r="E192" s="39">
        <v>0</v>
      </c>
      <c r="F192" s="39">
        <f t="shared" si="10"/>
        <v>143.48411999999999</v>
      </c>
      <c r="G192" s="39">
        <v>0</v>
      </c>
      <c r="H192" s="39">
        <f t="shared" si="11"/>
        <v>215.22618</v>
      </c>
      <c r="I192" s="33"/>
      <c r="L192" s="132"/>
      <c r="M192" s="132"/>
      <c r="N192" s="33"/>
      <c r="T192" s="18"/>
    </row>
    <row r="193" spans="1:20" s="34" customFormat="1" ht="15.75" customHeight="1" x14ac:dyDescent="0.3">
      <c r="A193" s="113">
        <f t="shared" si="9"/>
        <v>26</v>
      </c>
      <c r="B193" s="114"/>
      <c r="C193" s="39" t="s">
        <v>382</v>
      </c>
      <c r="D193" s="75">
        <f>(11.41)*10.764</f>
        <v>122.81724</v>
      </c>
      <c r="E193" s="39">
        <v>0</v>
      </c>
      <c r="F193" s="39">
        <f t="shared" si="10"/>
        <v>122.81724</v>
      </c>
      <c r="G193" s="39">
        <v>0</v>
      </c>
      <c r="H193" s="39">
        <f t="shared" si="11"/>
        <v>184.22586000000001</v>
      </c>
      <c r="I193" s="33"/>
      <c r="L193" s="132"/>
      <c r="M193" s="132"/>
      <c r="N193" s="33"/>
      <c r="T193" s="18"/>
    </row>
    <row r="194" spans="1:20" s="34" customFormat="1" ht="15.75" customHeight="1" x14ac:dyDescent="0.3">
      <c r="A194" s="113">
        <f t="shared" si="9"/>
        <v>27</v>
      </c>
      <c r="B194" s="114"/>
      <c r="C194" s="39" t="s">
        <v>382</v>
      </c>
      <c r="D194" s="75">
        <f>(13.33)*10.764</f>
        <v>143.48411999999999</v>
      </c>
      <c r="E194" s="39">
        <v>0</v>
      </c>
      <c r="F194" s="39">
        <f t="shared" si="10"/>
        <v>143.48411999999999</v>
      </c>
      <c r="G194" s="39">
        <v>0</v>
      </c>
      <c r="H194" s="39">
        <f t="shared" si="11"/>
        <v>215.22618</v>
      </c>
      <c r="I194" s="33"/>
      <c r="L194" s="132"/>
      <c r="M194" s="132"/>
      <c r="N194" s="33"/>
      <c r="T194" s="31"/>
    </row>
    <row r="195" spans="1:20" s="34" customFormat="1" ht="15.75" customHeight="1" x14ac:dyDescent="0.3">
      <c r="A195" s="113">
        <f t="shared" si="9"/>
        <v>28</v>
      </c>
      <c r="B195" s="114"/>
      <c r="C195" s="39" t="s">
        <v>382</v>
      </c>
      <c r="D195" s="75">
        <f>(13.33)*10.764</f>
        <v>143.48411999999999</v>
      </c>
      <c r="E195" s="39">
        <v>0</v>
      </c>
      <c r="F195" s="39">
        <f t="shared" si="10"/>
        <v>143.48411999999999</v>
      </c>
      <c r="G195" s="39">
        <v>0</v>
      </c>
      <c r="H195" s="39">
        <f t="shared" si="11"/>
        <v>215.22618</v>
      </c>
      <c r="I195" s="33"/>
      <c r="L195" s="132"/>
      <c r="M195" s="132"/>
      <c r="N195" s="33"/>
      <c r="T195" s="18"/>
    </row>
    <row r="196" spans="1:20" s="34" customFormat="1" ht="15.75" customHeight="1" x14ac:dyDescent="0.3">
      <c r="A196" s="113">
        <f t="shared" si="9"/>
        <v>29</v>
      </c>
      <c r="B196" s="114"/>
      <c r="C196" s="39" t="s">
        <v>382</v>
      </c>
      <c r="D196" s="75">
        <f>(10.24)*10.764</f>
        <v>110.22336</v>
      </c>
      <c r="E196" s="39">
        <v>0</v>
      </c>
      <c r="F196" s="39">
        <f t="shared" si="10"/>
        <v>110.22336</v>
      </c>
      <c r="G196" s="39">
        <v>0</v>
      </c>
      <c r="H196" s="39">
        <f t="shared" si="11"/>
        <v>165.33503999999999</v>
      </c>
      <c r="I196" s="33"/>
      <c r="L196" s="132"/>
      <c r="M196" s="132"/>
      <c r="N196" s="33"/>
      <c r="T196" s="18"/>
    </row>
    <row r="197" spans="1:20" s="34" customFormat="1" ht="15.75" customHeight="1" x14ac:dyDescent="0.3">
      <c r="A197" s="113">
        <f t="shared" si="9"/>
        <v>30</v>
      </c>
      <c r="B197" s="114"/>
      <c r="C197" s="39" t="s">
        <v>382</v>
      </c>
      <c r="D197" s="75">
        <f>(11.86)*10.764</f>
        <v>127.66103999999999</v>
      </c>
      <c r="E197" s="39">
        <v>0</v>
      </c>
      <c r="F197" s="39">
        <f t="shared" si="10"/>
        <v>127.66103999999999</v>
      </c>
      <c r="G197" s="39">
        <v>0</v>
      </c>
      <c r="H197" s="39">
        <f t="shared" si="11"/>
        <v>191.49155999999999</v>
      </c>
      <c r="I197" s="33"/>
      <c r="L197" s="132"/>
      <c r="M197" s="132"/>
      <c r="N197" s="33"/>
      <c r="T197" s="31"/>
    </row>
    <row r="198" spans="1:20" s="34" customFormat="1" ht="15.75" customHeight="1" x14ac:dyDescent="0.3">
      <c r="A198" s="113">
        <f t="shared" si="9"/>
        <v>31</v>
      </c>
      <c r="B198" s="114"/>
      <c r="C198" s="39" t="s">
        <v>382</v>
      </c>
      <c r="D198" s="75">
        <f>(11.71)*10.764</f>
        <v>126.04644</v>
      </c>
      <c r="E198" s="39">
        <v>0</v>
      </c>
      <c r="F198" s="39">
        <f t="shared" si="10"/>
        <v>126.04644</v>
      </c>
      <c r="G198" s="39">
        <v>0</v>
      </c>
      <c r="H198" s="39">
        <f t="shared" si="11"/>
        <v>189.06966</v>
      </c>
      <c r="I198" s="33"/>
      <c r="L198" s="132"/>
      <c r="M198" s="132"/>
      <c r="N198" s="33"/>
      <c r="T198" s="18"/>
    </row>
    <row r="199" spans="1:20" s="34" customFormat="1" ht="15.75" customHeight="1" x14ac:dyDescent="0.3">
      <c r="A199" s="113">
        <f t="shared" si="9"/>
        <v>32</v>
      </c>
      <c r="B199" s="114"/>
      <c r="C199" s="39" t="s">
        <v>382</v>
      </c>
      <c r="D199" s="75">
        <f>(9.78)*10.764</f>
        <v>105.27191999999998</v>
      </c>
      <c r="E199" s="39">
        <v>0</v>
      </c>
      <c r="F199" s="39">
        <f t="shared" si="10"/>
        <v>105.27191999999998</v>
      </c>
      <c r="G199" s="39">
        <v>0</v>
      </c>
      <c r="H199" s="39">
        <f t="shared" si="11"/>
        <v>157.90787999999998</v>
      </c>
      <c r="I199" s="33"/>
      <c r="L199" s="132"/>
      <c r="M199" s="132"/>
      <c r="N199" s="33"/>
      <c r="T199" s="18"/>
    </row>
    <row r="200" spans="1:20" s="34" customFormat="1" ht="15.75" customHeight="1" x14ac:dyDescent="0.3">
      <c r="A200" s="113">
        <f t="shared" si="9"/>
        <v>33</v>
      </c>
      <c r="B200" s="114"/>
      <c r="C200" s="39" t="s">
        <v>382</v>
      </c>
      <c r="D200" s="75">
        <f>(13.33)*10.764</f>
        <v>143.48411999999999</v>
      </c>
      <c r="E200" s="39">
        <v>0</v>
      </c>
      <c r="F200" s="39">
        <f t="shared" ref="F200:F207" si="12">D200+(IF(E200&lt;201,E200,IF(E200&lt;301,E200/2,E200/3)))</f>
        <v>143.48411999999999</v>
      </c>
      <c r="G200" s="39">
        <v>0</v>
      </c>
      <c r="H200" s="39">
        <f t="shared" ref="H200:H207" si="13">(F200+(IF(G200&lt;101,G200,IF(G200&lt;201,G200/2,IF(G200&lt;=301,G200/3,G200/4)))))*(($H$163)+1)</f>
        <v>215.22618</v>
      </c>
      <c r="I200" s="33"/>
      <c r="L200" s="132"/>
      <c r="M200" s="132"/>
      <c r="N200" s="33"/>
      <c r="T200" s="18"/>
    </row>
    <row r="201" spans="1:20" s="34" customFormat="1" ht="15.75" customHeight="1" x14ac:dyDescent="0.3">
      <c r="A201" s="113">
        <f t="shared" si="9"/>
        <v>34</v>
      </c>
      <c r="B201" s="114"/>
      <c r="C201" s="39" t="s">
        <v>382</v>
      </c>
      <c r="D201" s="75">
        <f>(13.33)*10.764</f>
        <v>143.48411999999999</v>
      </c>
      <c r="E201" s="39">
        <v>0</v>
      </c>
      <c r="F201" s="39">
        <f t="shared" si="12"/>
        <v>143.48411999999999</v>
      </c>
      <c r="G201" s="39">
        <v>0</v>
      </c>
      <c r="H201" s="39">
        <f t="shared" si="13"/>
        <v>215.22618</v>
      </c>
      <c r="I201" s="33"/>
      <c r="L201" s="132"/>
      <c r="M201" s="132"/>
      <c r="N201" s="33"/>
      <c r="T201" s="18"/>
    </row>
    <row r="202" spans="1:20" s="34" customFormat="1" ht="15.75" customHeight="1" x14ac:dyDescent="0.3">
      <c r="A202" s="113">
        <f t="shared" si="9"/>
        <v>35</v>
      </c>
      <c r="B202" s="114"/>
      <c r="C202" s="39" t="s">
        <v>382</v>
      </c>
      <c r="D202" s="75">
        <f>(11.41)*10.764</f>
        <v>122.81724</v>
      </c>
      <c r="E202" s="39">
        <v>0</v>
      </c>
      <c r="F202" s="39">
        <f t="shared" si="12"/>
        <v>122.81724</v>
      </c>
      <c r="G202" s="39">
        <v>0</v>
      </c>
      <c r="H202" s="39">
        <f t="shared" si="13"/>
        <v>184.22586000000001</v>
      </c>
      <c r="I202" s="33"/>
      <c r="L202" s="132"/>
      <c r="M202" s="132"/>
      <c r="N202" s="33"/>
      <c r="T202" s="31"/>
    </row>
    <row r="203" spans="1:20" s="34" customFormat="1" ht="15.75" customHeight="1" x14ac:dyDescent="0.3">
      <c r="A203" s="113">
        <f t="shared" si="9"/>
        <v>36</v>
      </c>
      <c r="B203" s="114"/>
      <c r="C203" s="39" t="s">
        <v>382</v>
      </c>
      <c r="D203" s="75">
        <f>(13.33)*10.764</f>
        <v>143.48411999999999</v>
      </c>
      <c r="E203" s="39">
        <v>0</v>
      </c>
      <c r="F203" s="39">
        <f t="shared" si="12"/>
        <v>143.48411999999999</v>
      </c>
      <c r="G203" s="39">
        <v>0</v>
      </c>
      <c r="H203" s="39">
        <f t="shared" si="13"/>
        <v>215.22618</v>
      </c>
      <c r="I203" s="33"/>
      <c r="L203" s="132"/>
      <c r="M203" s="132"/>
      <c r="N203" s="33"/>
      <c r="T203" s="18"/>
    </row>
    <row r="204" spans="1:20" s="34" customFormat="1" ht="15.75" customHeight="1" x14ac:dyDescent="0.3">
      <c r="A204" s="113">
        <f t="shared" si="9"/>
        <v>37</v>
      </c>
      <c r="B204" s="114"/>
      <c r="C204" s="39" t="s">
        <v>382</v>
      </c>
      <c r="D204" s="75">
        <f>(13.33)*10.764</f>
        <v>143.48411999999999</v>
      </c>
      <c r="E204" s="39">
        <v>0</v>
      </c>
      <c r="F204" s="39">
        <f t="shared" si="12"/>
        <v>143.48411999999999</v>
      </c>
      <c r="G204" s="39">
        <v>0</v>
      </c>
      <c r="H204" s="39">
        <f t="shared" si="13"/>
        <v>215.22618</v>
      </c>
      <c r="I204" s="33"/>
      <c r="L204" s="132"/>
      <c r="M204" s="132"/>
      <c r="N204" s="33"/>
      <c r="T204" s="18"/>
    </row>
    <row r="205" spans="1:20" s="34" customFormat="1" ht="15.75" customHeight="1" x14ac:dyDescent="0.3">
      <c r="A205" s="113">
        <f t="shared" si="9"/>
        <v>38</v>
      </c>
      <c r="B205" s="114"/>
      <c r="C205" s="39" t="s">
        <v>382</v>
      </c>
      <c r="D205" s="75">
        <f>(13.33)*10.764</f>
        <v>143.48411999999999</v>
      </c>
      <c r="E205" s="39">
        <v>0</v>
      </c>
      <c r="F205" s="39">
        <f t="shared" si="12"/>
        <v>143.48411999999999</v>
      </c>
      <c r="G205" s="39">
        <v>0</v>
      </c>
      <c r="H205" s="39">
        <f t="shared" si="13"/>
        <v>215.22618</v>
      </c>
      <c r="I205" s="33"/>
      <c r="L205" s="132"/>
      <c r="M205" s="132"/>
      <c r="N205" s="33"/>
      <c r="T205" s="31"/>
    </row>
    <row r="206" spans="1:20" s="34" customFormat="1" ht="15.75" customHeight="1" x14ac:dyDescent="0.3">
      <c r="A206" s="113">
        <f t="shared" si="9"/>
        <v>39</v>
      </c>
      <c r="B206" s="114"/>
      <c r="C206" s="39" t="s">
        <v>382</v>
      </c>
      <c r="D206" s="75">
        <f>(13.33)*10.764</f>
        <v>143.48411999999999</v>
      </c>
      <c r="E206" s="39">
        <v>0</v>
      </c>
      <c r="F206" s="39">
        <f t="shared" si="12"/>
        <v>143.48411999999999</v>
      </c>
      <c r="G206" s="39">
        <v>0</v>
      </c>
      <c r="H206" s="39">
        <f t="shared" si="13"/>
        <v>215.22618</v>
      </c>
      <c r="I206" s="33"/>
      <c r="L206" s="132"/>
      <c r="M206" s="132"/>
      <c r="N206" s="33"/>
      <c r="T206" s="18"/>
    </row>
    <row r="207" spans="1:20" s="34" customFormat="1" ht="15.75" customHeight="1" x14ac:dyDescent="0.3">
      <c r="A207" s="113">
        <f t="shared" si="9"/>
        <v>40</v>
      </c>
      <c r="B207" s="114"/>
      <c r="C207" s="39" t="s">
        <v>382</v>
      </c>
      <c r="D207" s="75">
        <f>(11.41)*10.764</f>
        <v>122.81724</v>
      </c>
      <c r="E207" s="39">
        <v>0</v>
      </c>
      <c r="F207" s="39">
        <f t="shared" si="12"/>
        <v>122.81724</v>
      </c>
      <c r="G207" s="39">
        <v>0</v>
      </c>
      <c r="H207" s="39">
        <f t="shared" si="13"/>
        <v>184.22586000000001</v>
      </c>
      <c r="I207" s="33"/>
      <c r="L207" s="132"/>
      <c r="M207" s="132"/>
      <c r="N207" s="33"/>
      <c r="T207" s="18"/>
    </row>
    <row r="208" spans="1:20" s="34" customFormat="1" x14ac:dyDescent="0.3">
      <c r="A208" s="206" t="s">
        <v>388</v>
      </c>
      <c r="B208" s="207"/>
      <c r="C208" s="207"/>
      <c r="D208" s="207"/>
      <c r="E208" s="207"/>
      <c r="F208" s="207"/>
      <c r="G208" s="207"/>
      <c r="H208" s="208"/>
      <c r="J208" s="33"/>
      <c r="T208" s="32"/>
    </row>
    <row r="209" spans="1:20" s="34" customFormat="1" ht="15.6" customHeight="1" x14ac:dyDescent="0.3">
      <c r="A209" s="206" t="s">
        <v>389</v>
      </c>
      <c r="B209" s="207"/>
      <c r="C209" s="207"/>
      <c r="D209" s="207"/>
      <c r="E209" s="207"/>
      <c r="F209" s="207"/>
      <c r="G209" s="207"/>
      <c r="H209" s="208"/>
      <c r="J209" s="33"/>
      <c r="T209" s="32"/>
    </row>
    <row r="210" spans="1:20" s="34" customFormat="1" ht="15.75" customHeight="1" x14ac:dyDescent="0.3">
      <c r="A210" s="113">
        <v>1</v>
      </c>
      <c r="B210" s="114"/>
      <c r="C210" s="39" t="s">
        <v>382</v>
      </c>
      <c r="D210" s="75">
        <f>(11.41)*10.764</f>
        <v>122.81724</v>
      </c>
      <c r="E210" s="39">
        <v>0</v>
      </c>
      <c r="F210" s="39">
        <f>D210+(IF(E210&lt;201,E210,IF(E210&lt;301,E210/2,E210/3)))</f>
        <v>122.81724</v>
      </c>
      <c r="G210" s="39">
        <v>0</v>
      </c>
      <c r="H210" s="39">
        <f>(F210+(IF(G210&lt;101,G210,IF(G210&lt;201,G210/2,IF(G210&lt;=301,G210/3,G210/4)))))*(($H$163)+1)</f>
        <v>184.22586000000001</v>
      </c>
      <c r="I210" s="74"/>
      <c r="L210" s="132"/>
      <c r="M210" s="132"/>
      <c r="N210" s="33"/>
      <c r="T210" s="32"/>
    </row>
    <row r="211" spans="1:20" s="34" customFormat="1" ht="15.75" customHeight="1" x14ac:dyDescent="0.3">
      <c r="A211" s="113">
        <f t="shared" ref="A211:A219" si="14">A210+1</f>
        <v>2</v>
      </c>
      <c r="B211" s="114"/>
      <c r="C211" s="39" t="s">
        <v>382</v>
      </c>
      <c r="D211" s="75">
        <f>(13.33)*10.764</f>
        <v>143.48411999999999</v>
      </c>
      <c r="E211" s="39">
        <v>0</v>
      </c>
      <c r="F211" s="39">
        <f t="shared" ref="F211:F219" si="15">D211+(IF(E211&lt;201,E211,IF(E211&lt;301,E211/2,E211/3)))</f>
        <v>143.48411999999999</v>
      </c>
      <c r="G211" s="39">
        <v>0</v>
      </c>
      <c r="H211" s="39">
        <f t="shared" ref="H211:H219" si="16">(F211+(IF(G211&lt;101,G211,IF(G211&lt;201,G211/2,IF(G211&lt;=301,G211/3,G211/4)))))*(($H$163)+1)</f>
        <v>215.22618</v>
      </c>
      <c r="I211" s="33"/>
      <c r="L211" s="132"/>
      <c r="M211" s="132"/>
      <c r="N211" s="33"/>
      <c r="T211" s="31"/>
    </row>
    <row r="212" spans="1:20" s="34" customFormat="1" ht="15.75" customHeight="1" x14ac:dyDescent="0.3">
      <c r="A212" s="113">
        <f t="shared" si="14"/>
        <v>3</v>
      </c>
      <c r="B212" s="114"/>
      <c r="C212" s="39" t="s">
        <v>382</v>
      </c>
      <c r="D212" s="75">
        <f>(13.33)*10.764</f>
        <v>143.48411999999999</v>
      </c>
      <c r="E212" s="39">
        <v>0</v>
      </c>
      <c r="F212" s="39">
        <f t="shared" si="15"/>
        <v>143.48411999999999</v>
      </c>
      <c r="G212" s="39">
        <v>0</v>
      </c>
      <c r="H212" s="39">
        <f t="shared" si="16"/>
        <v>215.22618</v>
      </c>
      <c r="I212" s="33"/>
      <c r="L212" s="132"/>
      <c r="M212" s="132"/>
      <c r="N212" s="33"/>
      <c r="T212" s="18"/>
    </row>
    <row r="213" spans="1:20" s="34" customFormat="1" ht="15.75" customHeight="1" x14ac:dyDescent="0.3">
      <c r="A213" s="113">
        <f t="shared" si="14"/>
        <v>4</v>
      </c>
      <c r="B213" s="114"/>
      <c r="C213" s="39" t="s">
        <v>382</v>
      </c>
      <c r="D213" s="75">
        <f>(13.33)*10.764</f>
        <v>143.48411999999999</v>
      </c>
      <c r="E213" s="39">
        <v>0</v>
      </c>
      <c r="F213" s="39">
        <f t="shared" si="15"/>
        <v>143.48411999999999</v>
      </c>
      <c r="G213" s="39">
        <v>0</v>
      </c>
      <c r="H213" s="39">
        <f t="shared" si="16"/>
        <v>215.22618</v>
      </c>
      <c r="I213" s="33"/>
      <c r="L213" s="132"/>
      <c r="M213" s="132"/>
      <c r="N213" s="33"/>
      <c r="T213" s="18"/>
    </row>
    <row r="214" spans="1:20" s="34" customFormat="1" ht="15.75" customHeight="1" x14ac:dyDescent="0.3">
      <c r="A214" s="113">
        <f t="shared" si="14"/>
        <v>5</v>
      </c>
      <c r="B214" s="114"/>
      <c r="C214" s="39" t="s">
        <v>382</v>
      </c>
      <c r="D214" s="75">
        <f>(13.33)*10.764</f>
        <v>143.48411999999999</v>
      </c>
      <c r="E214" s="39">
        <v>0</v>
      </c>
      <c r="F214" s="39">
        <f t="shared" si="15"/>
        <v>143.48411999999999</v>
      </c>
      <c r="G214" s="39">
        <v>0</v>
      </c>
      <c r="H214" s="39">
        <f t="shared" si="16"/>
        <v>215.22618</v>
      </c>
      <c r="I214" s="33"/>
      <c r="L214" s="132"/>
      <c r="M214" s="132"/>
      <c r="N214" s="33"/>
      <c r="T214" s="31"/>
    </row>
    <row r="215" spans="1:20" s="34" customFormat="1" ht="15.75" customHeight="1" x14ac:dyDescent="0.3">
      <c r="A215" s="113">
        <f t="shared" si="14"/>
        <v>6</v>
      </c>
      <c r="B215" s="114"/>
      <c r="C215" s="39" t="s">
        <v>382</v>
      </c>
      <c r="D215" s="75">
        <f>(11.41)*10.764</f>
        <v>122.81724</v>
      </c>
      <c r="E215" s="39">
        <v>0</v>
      </c>
      <c r="F215" s="39">
        <f t="shared" si="15"/>
        <v>122.81724</v>
      </c>
      <c r="G215" s="39">
        <v>0</v>
      </c>
      <c r="H215" s="39">
        <f t="shared" si="16"/>
        <v>184.22586000000001</v>
      </c>
      <c r="I215" s="33"/>
      <c r="L215" s="132"/>
      <c r="M215" s="132"/>
      <c r="N215" s="33"/>
      <c r="T215" s="18"/>
    </row>
    <row r="216" spans="1:20" s="34" customFormat="1" ht="15.75" customHeight="1" x14ac:dyDescent="0.3">
      <c r="A216" s="113">
        <f t="shared" si="14"/>
        <v>7</v>
      </c>
      <c r="B216" s="114"/>
      <c r="C216" s="39" t="s">
        <v>382</v>
      </c>
      <c r="D216" s="75">
        <f>(13.33)*10.764</f>
        <v>143.48411999999999</v>
      </c>
      <c r="E216" s="39">
        <v>0</v>
      </c>
      <c r="F216" s="39">
        <f t="shared" si="15"/>
        <v>143.48411999999999</v>
      </c>
      <c r="G216" s="39">
        <v>0</v>
      </c>
      <c r="H216" s="39">
        <f t="shared" si="16"/>
        <v>215.22618</v>
      </c>
      <c r="I216" s="33"/>
      <c r="L216" s="132"/>
      <c r="M216" s="132"/>
      <c r="N216" s="33"/>
      <c r="T216" s="18"/>
    </row>
    <row r="217" spans="1:20" s="34" customFormat="1" ht="15.75" customHeight="1" x14ac:dyDescent="0.3">
      <c r="A217" s="113">
        <f t="shared" si="14"/>
        <v>8</v>
      </c>
      <c r="B217" s="114"/>
      <c r="C217" s="39" t="s">
        <v>382</v>
      </c>
      <c r="D217" s="75">
        <f>(13.33)*10.764</f>
        <v>143.48411999999999</v>
      </c>
      <c r="E217" s="39">
        <v>0</v>
      </c>
      <c r="F217" s="39">
        <f t="shared" si="15"/>
        <v>143.48411999999999</v>
      </c>
      <c r="G217" s="39">
        <v>0</v>
      </c>
      <c r="H217" s="39">
        <f t="shared" si="16"/>
        <v>215.22618</v>
      </c>
      <c r="I217" s="33"/>
      <c r="L217" s="132"/>
      <c r="M217" s="132"/>
      <c r="N217" s="33"/>
      <c r="T217" s="31"/>
    </row>
    <row r="218" spans="1:20" s="34" customFormat="1" ht="15.75" customHeight="1" x14ac:dyDescent="0.3">
      <c r="A218" s="113">
        <f t="shared" si="14"/>
        <v>9</v>
      </c>
      <c r="B218" s="114"/>
      <c r="C218" s="39" t="s">
        <v>382</v>
      </c>
      <c r="D218" s="75">
        <f>(9.78)*10.764</f>
        <v>105.27191999999998</v>
      </c>
      <c r="E218" s="39">
        <v>0</v>
      </c>
      <c r="F218" s="39">
        <f t="shared" si="15"/>
        <v>105.27191999999998</v>
      </c>
      <c r="G218" s="39">
        <v>0</v>
      </c>
      <c r="H218" s="39">
        <f t="shared" si="16"/>
        <v>157.90787999999998</v>
      </c>
      <c r="I218" s="33"/>
      <c r="L218" s="132"/>
      <c r="M218" s="132"/>
      <c r="N218" s="33"/>
      <c r="T218" s="18"/>
    </row>
    <row r="219" spans="1:20" s="34" customFormat="1" ht="15.75" customHeight="1" x14ac:dyDescent="0.3">
      <c r="A219" s="200">
        <f t="shared" si="14"/>
        <v>10</v>
      </c>
      <c r="B219" s="201"/>
      <c r="C219" s="76" t="s">
        <v>382</v>
      </c>
      <c r="D219" s="77">
        <f>(11.71)*10.764</f>
        <v>126.04644</v>
      </c>
      <c r="E219" s="76">
        <v>0</v>
      </c>
      <c r="F219" s="76">
        <f t="shared" si="15"/>
        <v>126.04644</v>
      </c>
      <c r="G219" s="76">
        <v>0</v>
      </c>
      <c r="H219" s="76">
        <f t="shared" si="16"/>
        <v>189.06966</v>
      </c>
      <c r="I219" s="33"/>
      <c r="L219" s="132"/>
      <c r="M219" s="132"/>
      <c r="N219" s="33"/>
      <c r="T219" s="18"/>
    </row>
    <row r="220" spans="1:20" s="34" customFormat="1" x14ac:dyDescent="0.3">
      <c r="A220" s="200"/>
      <c r="B220" s="202"/>
      <c r="C220" s="202"/>
      <c r="D220" s="202"/>
      <c r="E220" s="202"/>
      <c r="F220" s="202"/>
      <c r="G220" s="202"/>
      <c r="H220" s="201"/>
      <c r="I220" s="33"/>
      <c r="N220" s="33"/>
    </row>
    <row r="221" spans="1:20" ht="47.25" customHeight="1" x14ac:dyDescent="0.3">
      <c r="A221" s="204" t="s">
        <v>393</v>
      </c>
      <c r="B221" s="136" t="s">
        <v>179</v>
      </c>
      <c r="C221" s="136" t="s">
        <v>55</v>
      </c>
      <c r="D221" s="136" t="s">
        <v>383</v>
      </c>
      <c r="E221" s="136" t="s">
        <v>392</v>
      </c>
      <c r="F221" s="136" t="s">
        <v>56</v>
      </c>
      <c r="G221" s="111" t="s">
        <v>57</v>
      </c>
      <c r="H221" s="78" t="s">
        <v>148</v>
      </c>
      <c r="I221" s="33"/>
      <c r="T221" s="34"/>
    </row>
    <row r="222" spans="1:20" s="34" customFormat="1" x14ac:dyDescent="0.3">
      <c r="A222" s="205"/>
      <c r="B222" s="137"/>
      <c r="C222" s="137"/>
      <c r="D222" s="137"/>
      <c r="E222" s="137"/>
      <c r="F222" s="137"/>
      <c r="G222" s="112"/>
      <c r="H222" s="79">
        <v>0.45</v>
      </c>
      <c r="I222" s="33"/>
    </row>
    <row r="223" spans="1:20" s="34" customFormat="1" x14ac:dyDescent="0.3">
      <c r="A223" s="143" t="s">
        <v>380</v>
      </c>
      <c r="B223" s="144"/>
      <c r="C223" s="144"/>
      <c r="D223" s="144"/>
      <c r="E223" s="144"/>
      <c r="F223" s="144"/>
      <c r="G223" s="144"/>
      <c r="H223" s="145"/>
      <c r="J223" s="33"/>
      <c r="T223" s="32"/>
    </row>
    <row r="224" spans="1:20" s="34" customFormat="1" x14ac:dyDescent="0.3">
      <c r="A224" s="143" t="s">
        <v>414</v>
      </c>
      <c r="B224" s="144"/>
      <c r="C224" s="144"/>
      <c r="D224" s="144"/>
      <c r="E224" s="144"/>
      <c r="F224" s="144"/>
      <c r="G224" s="144"/>
      <c r="H224" s="145"/>
      <c r="I224" s="33"/>
    </row>
    <row r="225" spans="1:12" s="34" customFormat="1" ht="15.75" customHeight="1" x14ac:dyDescent="0.3">
      <c r="A225" s="113" t="str">
        <f ca="1">(SUMPRODUCT(MID(0&amp;(LEFT(A224,SUM(LEN(A224)-LEN(SUBSTITUTE(A224,{"0","1","2"},""))))), LARGE(INDEX(ISNUMBER(--MID((LEFT(A224,SUM(LEN(A224)-LEN(SUBSTITUTE(A224,{"0","1","2"},""))))), ROW(INDIRECT("1:"&amp;LEN((LEFT(A224,SUM(LEN(A224)-LEN(SUBSTITUTE(A224,{"0","1","2"},"")))))))), 1)) * ROW(INDIRECT("1:"&amp;LEN((LEFT(A224,SUM(LEN(A224)-LEN(SUBSTITUTE(A224,{"0","1","2"},"")))))))), 0), ROW(INDIRECT("1:"&amp;LEN((LEFT(A224,SUM(LEN(A224)-LEN(SUBSTITUTE(A224,{"0","1","2"},"")))))))))+1, 1) * 10^ROW(INDIRECT("1:"&amp;LEN((LEFT(A224,SUM(LEN(A224)-LEN(SUBSTITUTE(A224,{"0","1","2"},""))))))))/10))*100+1&amp;""&amp;" to "&amp;""&amp;(SUMPRODUCT(MID(0&amp;(--TRIM(RIGHT(SUBSTITUTE(LEFT(A224,_xlfn.AGGREGATE(16,6,FIND({0,1,2,3,4,5,6,7,8,9},A224,ROW(INDIRECT("1:"&amp;LEN(A224)))),1))," ",REPT(" ",LEN(A224))),LEN(A224)))), LARGE(INDEX(ISNUMBER(--MID((--TRIM(RIGHT(SUBSTITUTE(LEFT(A224,_xlfn.AGGREGATE(16,6,FIND({0,1,2,3,4,5,6,7,8,9},A224,ROW(INDIRECT("1:"&amp;LEN(A224)))),1))," ",REPT(" ",LEN(A224))),LEN(A224)))), ROW(INDIRECT("1:"&amp;LEN((--TRIM(RIGHT(SUBSTITUTE(LEFT(A224,_xlfn.AGGREGATE(16,6,FIND({0,1,2,3,4,5,6,7,8,9},A224,ROW(INDIRECT("1:"&amp;LEN(A224)))),1))," ",REPT(" ",LEN(A224))),LEN(A224))))))), 1)) * ROW(INDIRECT("1:"&amp;LEN((--TRIM(RIGHT(SUBSTITUTE(LEFT(A224,_xlfn.AGGREGATE(16,6,FIND({0,1,2,3,4,5,6,7,8,9},A224,ROW(INDIRECT("1:"&amp;LEN(A224)))),1))," ",REPT(" ",LEN(A224))),LEN(A224))))))), 0), ROW(INDIRECT("1:"&amp;LEN((--TRIM(RIGHT(SUBSTITUTE(LEFT(A224,_xlfn.AGGREGATE(16,6,FIND({0,1,2,3,4,5,6,7,8,9},A224,ROW(INDIRECT("1:"&amp;LEN(A224)))),1))," ",REPT(" ",LEN(A224))),LEN(A224))))))))+1, 1) * 10^ROW(INDIRECT("1:"&amp;LEN((--TRIM(RIGHT(SUBSTITUTE(LEFT(A224,_xlfn.AGGREGATE(16,6,FIND({0,1,2,3,4,5,6,7,8,9},A224,ROW(INDIRECT("1:"&amp;LEN(A224)))),1))," ",REPT(" ",LEN(A224))),LEN(A224)))))))/10))*100+1</f>
        <v>101 to 701</v>
      </c>
      <c r="B225" s="114"/>
      <c r="C225" s="39" t="s">
        <v>385</v>
      </c>
      <c r="D225" s="75">
        <f>(27.03)*10.764</f>
        <v>290.95092</v>
      </c>
      <c r="E225" s="75">
        <f>(0.75*(2.75+2.35+2.75))*10.764</f>
        <v>63.373049999999985</v>
      </c>
      <c r="F225" s="39">
        <f t="shared" ref="F225:F236" si="17">D225+E225</f>
        <v>354.32396999999997</v>
      </c>
      <c r="G225" s="39">
        <v>0</v>
      </c>
      <c r="H225" s="39">
        <f t="shared" ref="H225:H236" si="18">F225*(($H$222)+1)+(IF(G225&lt;101,G225,IF(G225&lt;201,G225/2,IF(G225&lt;=301,G225/3,G225/4))))</f>
        <v>513.76975649999997</v>
      </c>
      <c r="I225" s="33">
        <f>3.67*2.75+1.67*2.35+2.75*2.75+1.85*1.05+1.85*1.05+0.7*(2.75+2.35+2.75)</f>
        <v>30.959499999999998</v>
      </c>
      <c r="K225" s="33">
        <f>3100000/H225</f>
        <v>6033.8312264980514</v>
      </c>
      <c r="L225" s="34">
        <f>2800000/H225</f>
        <v>5449.9120755466274</v>
      </c>
    </row>
    <row r="226" spans="1:12" s="34" customFormat="1" ht="15.75" customHeight="1" x14ac:dyDescent="0.3">
      <c r="A226" s="113" t="str">
        <f ca="1">(SUMPRODUCT(MID(0&amp;(LEFT(A225,SUM(LEN(A225)-LEN(SUBSTITUTE(A225,{"0","1","2"},""))))), LARGE(INDEX(ISNUMBER(--MID((LEFT(A225,SUM(LEN(A225)-LEN(SUBSTITUTE(A225,{"0","1","2"},""))))), ROW(INDIRECT("1:"&amp;LEN((LEFT(A225,SUM(LEN(A225)-LEN(SUBSTITUTE(A225,{"0","1","2"},"")))))))), 1)) * ROW(INDIRECT("1:"&amp;LEN((LEFT(A225,SUM(LEN(A225)-LEN(SUBSTITUTE(A225,{"0","1","2"},"")))))))), 0), ROW(INDIRECT("1:"&amp;LEN((LEFT(A225,SUM(LEN(A225)-LEN(SUBSTITUTE(A225,{"0","1","2"},"")))))))))+1, 1) * 10^ROW(INDIRECT("1:"&amp;LEN((LEFT(A225,SUM(LEN(A225)-LEN(SUBSTITUTE(A225,{"0","1","2"},""))))))))/10))*1+1&amp;""&amp;" to "&amp;""&amp;(SUMPRODUCT(MID(0&amp;(--TRIM(RIGHT(SUBSTITUTE(LEFT(A225,_xlfn.AGGREGATE(16,6,FIND({0,1,2,3,4,5,6,7,8,9},A225,ROW(INDIRECT("1:"&amp;LEN(A225)))),1))," ",REPT(" ",LEN(A225))),LEN(A225)))), LARGE(INDEX(ISNUMBER(--MID((--TRIM(RIGHT(SUBSTITUTE(LEFT(A225,_xlfn.AGGREGATE(16,6,FIND({0,1,2,3,4,5,6,7,8,9},A225,ROW(INDIRECT("1:"&amp;LEN(A225)))),1))," ",REPT(" ",LEN(A225))),LEN(A225)))), ROW(INDIRECT("1:"&amp;LEN((--TRIM(RIGHT(SUBSTITUTE(LEFT(A225,_xlfn.AGGREGATE(16,6,FIND({0,1,2,3,4,5,6,7,8,9},A225,ROW(INDIRECT("1:"&amp;LEN(A225)))),1))," ",REPT(" ",LEN(A225))),LEN(A225))))))), 1)) * ROW(INDIRECT("1:"&amp;LEN((--TRIM(RIGHT(SUBSTITUTE(LEFT(A225,_xlfn.AGGREGATE(16,6,FIND({0,1,2,3,4,5,6,7,8,9},A225,ROW(INDIRECT("1:"&amp;LEN(A225)))),1))," ",REPT(" ",LEN(A225))),LEN(A225))))))), 0), ROW(INDIRECT("1:"&amp;LEN((--TRIM(RIGHT(SUBSTITUTE(LEFT(A225,_xlfn.AGGREGATE(16,6,FIND({0,1,2,3,4,5,6,7,8,9},A225,ROW(INDIRECT("1:"&amp;LEN(A225)))),1))," ",REPT(" ",LEN(A225))),LEN(A225))))))))+1, 1) * 10^ROW(INDIRECT("1:"&amp;LEN((--TRIM(RIGHT(SUBSTITUTE(LEFT(A225,_xlfn.AGGREGATE(16,6,FIND({0,1,2,3,4,5,6,7,8,9},A225,ROW(INDIRECT("1:"&amp;LEN(A225)))),1))," ",REPT(" ",LEN(A225))),LEN(A225)))))))/10))*1+1</f>
        <v>102 to 702</v>
      </c>
      <c r="B226" s="114"/>
      <c r="C226" s="39" t="s">
        <v>386</v>
      </c>
      <c r="D226" s="75">
        <f>(37.63)*10.764</f>
        <v>405.04932000000002</v>
      </c>
      <c r="E226" s="75">
        <f>(0.75*(2.75+2.1+2.75+2.75))*10.764</f>
        <v>83.555549999999982</v>
      </c>
      <c r="F226" s="39">
        <f t="shared" si="17"/>
        <v>488.60487000000001</v>
      </c>
      <c r="G226" s="39">
        <v>0</v>
      </c>
      <c r="H226" s="39">
        <f t="shared" si="18"/>
        <v>708.47706149999999</v>
      </c>
      <c r="I226" s="33"/>
    </row>
    <row r="227" spans="1:12" s="34" customFormat="1" ht="15.75" customHeight="1" x14ac:dyDescent="0.3">
      <c r="A227" s="113" t="str">
        <f ca="1">(SUMPRODUCT(MID(0&amp;(LEFT(A226,SUM(LEN(A226)-LEN(SUBSTITUTE(A226,{"0","1","2"},""))))), LARGE(INDEX(ISNUMBER(--MID((LEFT(A226,SUM(LEN(A226)-LEN(SUBSTITUTE(A226,{"0","1","2"},""))))), ROW(INDIRECT("1:"&amp;LEN((LEFT(A226,SUM(LEN(A226)-LEN(SUBSTITUTE(A226,{"0","1","2"},"")))))))), 1)) * ROW(INDIRECT("1:"&amp;LEN((LEFT(A226,SUM(LEN(A226)-LEN(SUBSTITUTE(A226,{"0","1","2"},"")))))))), 0), ROW(INDIRECT("1:"&amp;LEN((LEFT(A226,SUM(LEN(A226)-LEN(SUBSTITUTE(A226,{"0","1","2"},"")))))))))+1, 1) * 10^ROW(INDIRECT("1:"&amp;LEN((LEFT(A226,SUM(LEN(A226)-LEN(SUBSTITUTE(A226,{"0","1","2"},""))))))))/10))*1+1&amp;""&amp;" to "&amp;""&amp;(SUMPRODUCT(MID(0&amp;(--TRIM(RIGHT(SUBSTITUTE(LEFT(A226,_xlfn.AGGREGATE(16,6,FIND({0,1,2,3,4,5,6,7,8,9},A226,ROW(INDIRECT("1:"&amp;LEN(A226)))),1))," ",REPT(" ",LEN(A226))),LEN(A226)))), LARGE(INDEX(ISNUMBER(--MID((--TRIM(RIGHT(SUBSTITUTE(LEFT(A226,_xlfn.AGGREGATE(16,6,FIND({0,1,2,3,4,5,6,7,8,9},A226,ROW(INDIRECT("1:"&amp;LEN(A226)))),1))," ",REPT(" ",LEN(A226))),LEN(A226)))), ROW(INDIRECT("1:"&amp;LEN((--TRIM(RIGHT(SUBSTITUTE(LEFT(A226,_xlfn.AGGREGATE(16,6,FIND({0,1,2,3,4,5,6,7,8,9},A226,ROW(INDIRECT("1:"&amp;LEN(A226)))),1))," ",REPT(" ",LEN(A226))),LEN(A226))))))), 1)) * ROW(INDIRECT("1:"&amp;LEN((--TRIM(RIGHT(SUBSTITUTE(LEFT(A226,_xlfn.AGGREGATE(16,6,FIND({0,1,2,3,4,5,6,7,8,9},A226,ROW(INDIRECT("1:"&amp;LEN(A226)))),1))," ",REPT(" ",LEN(A226))),LEN(A226))))))), 0), ROW(INDIRECT("1:"&amp;LEN((--TRIM(RIGHT(SUBSTITUTE(LEFT(A226,_xlfn.AGGREGATE(16,6,FIND({0,1,2,3,4,5,6,7,8,9},A226,ROW(INDIRECT("1:"&amp;LEN(A226)))),1))," ",REPT(" ",LEN(A226))),LEN(A226))))))))+1, 1) * 10^ROW(INDIRECT("1:"&amp;LEN((--TRIM(RIGHT(SUBSTITUTE(LEFT(A226,_xlfn.AGGREGATE(16,6,FIND({0,1,2,3,4,5,6,7,8,9},A226,ROW(INDIRECT("1:"&amp;LEN(A226)))),1))," ",REPT(" ",LEN(A226))),LEN(A226)))))))/10))*1+1</f>
        <v>103 to 703</v>
      </c>
      <c r="B227" s="114"/>
      <c r="C227" s="39" t="s">
        <v>386</v>
      </c>
      <c r="D227" s="75">
        <f>(37.63)*10.764</f>
        <v>405.04932000000002</v>
      </c>
      <c r="E227" s="75">
        <f>(0.75*(2.75+2.1+2.75+2.75))*10.764</f>
        <v>83.555549999999982</v>
      </c>
      <c r="F227" s="39">
        <f t="shared" si="17"/>
        <v>488.60487000000001</v>
      </c>
      <c r="G227" s="39">
        <v>0</v>
      </c>
      <c r="H227" s="39">
        <f t="shared" si="18"/>
        <v>708.47706149999999</v>
      </c>
      <c r="I227" s="33"/>
    </row>
    <row r="228" spans="1:12" s="34" customFormat="1" ht="15.75" customHeight="1" x14ac:dyDescent="0.3">
      <c r="A228" s="113" t="str">
        <f ca="1">(SUMPRODUCT(MID(0&amp;(LEFT(A227,SUM(LEN(A227)-LEN(SUBSTITUTE(A227,{"0","1","2"},""))))), LARGE(INDEX(ISNUMBER(--MID((LEFT(A227,SUM(LEN(A227)-LEN(SUBSTITUTE(A227,{"0","1","2"},""))))), ROW(INDIRECT("1:"&amp;LEN((LEFT(A227,SUM(LEN(A227)-LEN(SUBSTITUTE(A227,{"0","1","2"},"")))))))), 1)) * ROW(INDIRECT("1:"&amp;LEN((LEFT(A227,SUM(LEN(A227)-LEN(SUBSTITUTE(A227,{"0","1","2"},"")))))))), 0), ROW(INDIRECT("1:"&amp;LEN((LEFT(A227,SUM(LEN(A227)-LEN(SUBSTITUTE(A227,{"0","1","2"},"")))))))))+1, 1) * 10^ROW(INDIRECT("1:"&amp;LEN((LEFT(A227,SUM(LEN(A227)-LEN(SUBSTITUTE(A227,{"0","1","2"},""))))))))/10))*1+1&amp;""&amp;" to "&amp;""&amp;(SUMPRODUCT(MID(0&amp;(--TRIM(RIGHT(SUBSTITUTE(LEFT(A227,_xlfn.AGGREGATE(16,6,FIND({0,1,2,3,4,5,6,7,8,9},A227,ROW(INDIRECT("1:"&amp;LEN(A227)))),1))," ",REPT(" ",LEN(A227))),LEN(A227)))), LARGE(INDEX(ISNUMBER(--MID((--TRIM(RIGHT(SUBSTITUTE(LEFT(A227,_xlfn.AGGREGATE(16,6,FIND({0,1,2,3,4,5,6,7,8,9},A227,ROW(INDIRECT("1:"&amp;LEN(A227)))),1))," ",REPT(" ",LEN(A227))),LEN(A227)))), ROW(INDIRECT("1:"&amp;LEN((--TRIM(RIGHT(SUBSTITUTE(LEFT(A227,_xlfn.AGGREGATE(16,6,FIND({0,1,2,3,4,5,6,7,8,9},A227,ROW(INDIRECT("1:"&amp;LEN(A227)))),1))," ",REPT(" ",LEN(A227))),LEN(A227))))))), 1)) * ROW(INDIRECT("1:"&amp;LEN((--TRIM(RIGHT(SUBSTITUTE(LEFT(A227,_xlfn.AGGREGATE(16,6,FIND({0,1,2,3,4,5,6,7,8,9},A227,ROW(INDIRECT("1:"&amp;LEN(A227)))),1))," ",REPT(" ",LEN(A227))),LEN(A227))))))), 0), ROW(INDIRECT("1:"&amp;LEN((--TRIM(RIGHT(SUBSTITUTE(LEFT(A227,_xlfn.AGGREGATE(16,6,FIND({0,1,2,3,4,5,6,7,8,9},A227,ROW(INDIRECT("1:"&amp;LEN(A227)))),1))," ",REPT(" ",LEN(A227))),LEN(A227))))))))+1, 1) * 10^ROW(INDIRECT("1:"&amp;LEN((--TRIM(RIGHT(SUBSTITUTE(LEFT(A227,_xlfn.AGGREGATE(16,6,FIND({0,1,2,3,4,5,6,7,8,9},A227,ROW(INDIRECT("1:"&amp;LEN(A227)))),1))," ",REPT(" ",LEN(A227))),LEN(A227)))))))/10))*1+1</f>
        <v>104 to 704</v>
      </c>
      <c r="B228" s="114"/>
      <c r="C228" s="39" t="s">
        <v>385</v>
      </c>
      <c r="D228" s="75">
        <f>(27.03)*10.764</f>
        <v>290.95092</v>
      </c>
      <c r="E228" s="75">
        <f>(0.75*(2.75+2.35+2.75))*10.764</f>
        <v>63.373049999999985</v>
      </c>
      <c r="F228" s="39">
        <f t="shared" si="17"/>
        <v>354.32396999999997</v>
      </c>
      <c r="G228" s="39">
        <v>0</v>
      </c>
      <c r="H228" s="39">
        <f t="shared" si="18"/>
        <v>513.76975649999997</v>
      </c>
      <c r="I228" s="33"/>
      <c r="L228" s="33">
        <f>2891000/H228</f>
        <v>5627.0342180018924</v>
      </c>
    </row>
    <row r="229" spans="1:12" s="34" customFormat="1" ht="15.75" customHeight="1" x14ac:dyDescent="0.3">
      <c r="A229" s="113" t="str">
        <f ca="1">(SUMPRODUCT(MID(0&amp;(LEFT(A228,SUM(LEN(A228)-LEN(SUBSTITUTE(A228,{"0","1","2"},""))))), LARGE(INDEX(ISNUMBER(--MID((LEFT(A228,SUM(LEN(A228)-LEN(SUBSTITUTE(A228,{"0","1","2"},""))))), ROW(INDIRECT("1:"&amp;LEN((LEFT(A228,SUM(LEN(A228)-LEN(SUBSTITUTE(A228,{"0","1","2"},"")))))))), 1)) * ROW(INDIRECT("1:"&amp;LEN((LEFT(A228,SUM(LEN(A228)-LEN(SUBSTITUTE(A228,{"0","1","2"},"")))))))), 0), ROW(INDIRECT("1:"&amp;LEN((LEFT(A228,SUM(LEN(A228)-LEN(SUBSTITUTE(A228,{"0","1","2"},"")))))))))+1, 1) * 10^ROW(INDIRECT("1:"&amp;LEN((LEFT(A228,SUM(LEN(A228)-LEN(SUBSTITUTE(A228,{"0","1","2"},""))))))))/10))*1+1&amp;""&amp;" to "&amp;""&amp;(SUMPRODUCT(MID(0&amp;(--TRIM(RIGHT(SUBSTITUTE(LEFT(A228,_xlfn.AGGREGATE(16,6,FIND({0,1,2,3,4,5,6,7,8,9},A228,ROW(INDIRECT("1:"&amp;LEN(A228)))),1))," ",REPT(" ",LEN(A228))),LEN(A228)))), LARGE(INDEX(ISNUMBER(--MID((--TRIM(RIGHT(SUBSTITUTE(LEFT(A228,_xlfn.AGGREGATE(16,6,FIND({0,1,2,3,4,5,6,7,8,9},A228,ROW(INDIRECT("1:"&amp;LEN(A228)))),1))," ",REPT(" ",LEN(A228))),LEN(A228)))), ROW(INDIRECT("1:"&amp;LEN((--TRIM(RIGHT(SUBSTITUTE(LEFT(A228,_xlfn.AGGREGATE(16,6,FIND({0,1,2,3,4,5,6,7,8,9},A228,ROW(INDIRECT("1:"&amp;LEN(A228)))),1))," ",REPT(" ",LEN(A228))),LEN(A228))))))), 1)) * ROW(INDIRECT("1:"&amp;LEN((--TRIM(RIGHT(SUBSTITUTE(LEFT(A228,_xlfn.AGGREGATE(16,6,FIND({0,1,2,3,4,5,6,7,8,9},A228,ROW(INDIRECT("1:"&amp;LEN(A228)))),1))," ",REPT(" ",LEN(A228))),LEN(A228))))))), 0), ROW(INDIRECT("1:"&amp;LEN((--TRIM(RIGHT(SUBSTITUTE(LEFT(A228,_xlfn.AGGREGATE(16,6,FIND({0,1,2,3,4,5,6,7,8,9},A228,ROW(INDIRECT("1:"&amp;LEN(A228)))),1))," ",REPT(" ",LEN(A228))),LEN(A228))))))))+1, 1) * 10^ROW(INDIRECT("1:"&amp;LEN((--TRIM(RIGHT(SUBSTITUTE(LEFT(A228,_xlfn.AGGREGATE(16,6,FIND({0,1,2,3,4,5,6,7,8,9},A228,ROW(INDIRECT("1:"&amp;LEN(A228)))),1))," ",REPT(" ",LEN(A228))),LEN(A228)))))))/10))*1+1</f>
        <v>105 to 705</v>
      </c>
      <c r="B229" s="114"/>
      <c r="C229" s="39" t="s">
        <v>386</v>
      </c>
      <c r="D229" s="75">
        <f>(37.63)*10.764</f>
        <v>405.04932000000002</v>
      </c>
      <c r="E229" s="75">
        <f>(0.75*(2.75+2.1+2.75+2.75))*10.764</f>
        <v>83.555549999999982</v>
      </c>
      <c r="F229" s="39">
        <f t="shared" si="17"/>
        <v>488.60487000000001</v>
      </c>
      <c r="G229" s="39">
        <v>0</v>
      </c>
      <c r="H229" s="39">
        <f t="shared" si="18"/>
        <v>708.47706149999999</v>
      </c>
      <c r="I229" s="33"/>
      <c r="L229" s="33">
        <f>3949000/H229</f>
        <v>5573.9278158690249</v>
      </c>
    </row>
    <row r="230" spans="1:12" s="34" customFormat="1" ht="15.75" customHeight="1" x14ac:dyDescent="0.3">
      <c r="A230" s="113" t="str">
        <f ca="1">(SUMPRODUCT(MID(0&amp;(LEFT(A229,SUM(LEN(A229)-LEN(SUBSTITUTE(A229,{"0","1","2"},""))))), LARGE(INDEX(ISNUMBER(--MID((LEFT(A229,SUM(LEN(A229)-LEN(SUBSTITUTE(A229,{"0","1","2"},""))))), ROW(INDIRECT("1:"&amp;LEN((LEFT(A229,SUM(LEN(A229)-LEN(SUBSTITUTE(A229,{"0","1","2"},"")))))))), 1)) * ROW(INDIRECT("1:"&amp;LEN((LEFT(A229,SUM(LEN(A229)-LEN(SUBSTITUTE(A229,{"0","1","2"},"")))))))), 0), ROW(INDIRECT("1:"&amp;LEN((LEFT(A229,SUM(LEN(A229)-LEN(SUBSTITUTE(A229,{"0","1","2"},"")))))))))+1, 1) * 10^ROW(INDIRECT("1:"&amp;LEN((LEFT(A229,SUM(LEN(A229)-LEN(SUBSTITUTE(A229,{"0","1","2"},""))))))))/10))*1+1&amp;""&amp;" to "&amp;""&amp;(SUMPRODUCT(MID(0&amp;(--TRIM(RIGHT(SUBSTITUTE(LEFT(A229,_xlfn.AGGREGATE(16,6,FIND({0,1,2,3,4,5,6,7,8,9},A229,ROW(INDIRECT("1:"&amp;LEN(A229)))),1))," ",REPT(" ",LEN(A229))),LEN(A229)))), LARGE(INDEX(ISNUMBER(--MID((--TRIM(RIGHT(SUBSTITUTE(LEFT(A229,_xlfn.AGGREGATE(16,6,FIND({0,1,2,3,4,5,6,7,8,9},A229,ROW(INDIRECT("1:"&amp;LEN(A229)))),1))," ",REPT(" ",LEN(A229))),LEN(A229)))), ROW(INDIRECT("1:"&amp;LEN((--TRIM(RIGHT(SUBSTITUTE(LEFT(A229,_xlfn.AGGREGATE(16,6,FIND({0,1,2,3,4,5,6,7,8,9},A229,ROW(INDIRECT("1:"&amp;LEN(A229)))),1))," ",REPT(" ",LEN(A229))),LEN(A229))))))), 1)) * ROW(INDIRECT("1:"&amp;LEN((--TRIM(RIGHT(SUBSTITUTE(LEFT(A229,_xlfn.AGGREGATE(16,6,FIND({0,1,2,3,4,5,6,7,8,9},A229,ROW(INDIRECT("1:"&amp;LEN(A229)))),1))," ",REPT(" ",LEN(A229))),LEN(A229))))))), 0), ROW(INDIRECT("1:"&amp;LEN((--TRIM(RIGHT(SUBSTITUTE(LEFT(A229,_xlfn.AGGREGATE(16,6,FIND({0,1,2,3,4,5,6,7,8,9},A229,ROW(INDIRECT("1:"&amp;LEN(A229)))),1))," ",REPT(" ",LEN(A229))),LEN(A229))))))))+1, 1) * 10^ROW(INDIRECT("1:"&amp;LEN((--TRIM(RIGHT(SUBSTITUTE(LEFT(A229,_xlfn.AGGREGATE(16,6,FIND({0,1,2,3,4,5,6,7,8,9},A229,ROW(INDIRECT("1:"&amp;LEN(A229)))),1))," ",REPT(" ",LEN(A229))),LEN(A229)))))))/10))*1+1</f>
        <v>106 to 706</v>
      </c>
      <c r="B230" s="114"/>
      <c r="C230" s="39" t="s">
        <v>386</v>
      </c>
      <c r="D230" s="75">
        <f>(37.63)*10.764</f>
        <v>405.04932000000002</v>
      </c>
      <c r="E230" s="75">
        <f>(0.75*(2.75+2.1+2.75+2.75))*10.764</f>
        <v>83.555549999999982</v>
      </c>
      <c r="F230" s="39">
        <f t="shared" si="17"/>
        <v>488.60487000000001</v>
      </c>
      <c r="G230" s="39">
        <v>0</v>
      </c>
      <c r="H230" s="39">
        <f t="shared" si="18"/>
        <v>708.47706149999999</v>
      </c>
      <c r="I230" s="33"/>
    </row>
    <row r="231" spans="1:12" s="34" customFormat="1" ht="15.75" customHeight="1" x14ac:dyDescent="0.3">
      <c r="A231" s="113" t="str">
        <f ca="1">(SUMPRODUCT(MID(0&amp;(LEFT(A230,SUM(LEN(A230)-LEN(SUBSTITUTE(A230,{"0","1","2"},""))))), LARGE(INDEX(ISNUMBER(--MID((LEFT(A230,SUM(LEN(A230)-LEN(SUBSTITUTE(A230,{"0","1","2"},""))))), ROW(INDIRECT("1:"&amp;LEN((LEFT(A230,SUM(LEN(A230)-LEN(SUBSTITUTE(A230,{"0","1","2"},"")))))))), 1)) * ROW(INDIRECT("1:"&amp;LEN((LEFT(A230,SUM(LEN(A230)-LEN(SUBSTITUTE(A230,{"0","1","2"},"")))))))), 0), ROW(INDIRECT("1:"&amp;LEN((LEFT(A230,SUM(LEN(A230)-LEN(SUBSTITUTE(A230,{"0","1","2"},"")))))))))+1, 1) * 10^ROW(INDIRECT("1:"&amp;LEN((LEFT(A230,SUM(LEN(A230)-LEN(SUBSTITUTE(A230,{"0","1","2"},""))))))))/10))*1+1&amp;""&amp;" to "&amp;""&amp;(SUMPRODUCT(MID(0&amp;(--TRIM(RIGHT(SUBSTITUTE(LEFT(A230,_xlfn.AGGREGATE(16,6,FIND({0,1,2,3,4,5,6,7,8,9},A230,ROW(INDIRECT("1:"&amp;LEN(A230)))),1))," ",REPT(" ",LEN(A230))),LEN(A230)))), LARGE(INDEX(ISNUMBER(--MID((--TRIM(RIGHT(SUBSTITUTE(LEFT(A230,_xlfn.AGGREGATE(16,6,FIND({0,1,2,3,4,5,6,7,8,9},A230,ROW(INDIRECT("1:"&amp;LEN(A230)))),1))," ",REPT(" ",LEN(A230))),LEN(A230)))), ROW(INDIRECT("1:"&amp;LEN((--TRIM(RIGHT(SUBSTITUTE(LEFT(A230,_xlfn.AGGREGATE(16,6,FIND({0,1,2,3,4,5,6,7,8,9},A230,ROW(INDIRECT("1:"&amp;LEN(A230)))),1))," ",REPT(" ",LEN(A230))),LEN(A230))))))), 1)) * ROW(INDIRECT("1:"&amp;LEN((--TRIM(RIGHT(SUBSTITUTE(LEFT(A230,_xlfn.AGGREGATE(16,6,FIND({0,1,2,3,4,5,6,7,8,9},A230,ROW(INDIRECT("1:"&amp;LEN(A230)))),1))," ",REPT(" ",LEN(A230))),LEN(A230))))))), 0), ROW(INDIRECT("1:"&amp;LEN((--TRIM(RIGHT(SUBSTITUTE(LEFT(A230,_xlfn.AGGREGATE(16,6,FIND({0,1,2,3,4,5,6,7,8,9},A230,ROW(INDIRECT("1:"&amp;LEN(A230)))),1))," ",REPT(" ",LEN(A230))),LEN(A230))))))))+1, 1) * 10^ROW(INDIRECT("1:"&amp;LEN((--TRIM(RIGHT(SUBSTITUTE(LEFT(A230,_xlfn.AGGREGATE(16,6,FIND({0,1,2,3,4,5,6,7,8,9},A230,ROW(INDIRECT("1:"&amp;LEN(A230)))),1))," ",REPT(" ",LEN(A230))),LEN(A230)))))))/10))*1+1</f>
        <v>107 to 707</v>
      </c>
      <c r="B231" s="114"/>
      <c r="C231" s="39" t="s">
        <v>385</v>
      </c>
      <c r="D231" s="75">
        <f t="shared" ref="D231:D236" si="19">(27.03)*10.764</f>
        <v>290.95092</v>
      </c>
      <c r="E231" s="75">
        <f t="shared" ref="E231:E236" si="20">(0.75*(2.75+2.35+2.75))*10.764</f>
        <v>63.373049999999985</v>
      </c>
      <c r="F231" s="39">
        <f t="shared" si="17"/>
        <v>354.32396999999997</v>
      </c>
      <c r="G231" s="39">
        <v>0</v>
      </c>
      <c r="H231" s="39">
        <f t="shared" si="18"/>
        <v>513.76975649999997</v>
      </c>
      <c r="I231" s="33"/>
    </row>
    <row r="232" spans="1:12" s="34" customFormat="1" ht="15.75" customHeight="1" x14ac:dyDescent="0.3">
      <c r="A232" s="113" t="str">
        <f ca="1">(SUMPRODUCT(MID(0&amp;(LEFT(A231,SUM(LEN(A231)-LEN(SUBSTITUTE(A231,{"0","1","2"},""))))), LARGE(INDEX(ISNUMBER(--MID((LEFT(A231,SUM(LEN(A231)-LEN(SUBSTITUTE(A231,{"0","1","2"},""))))), ROW(INDIRECT("1:"&amp;LEN((LEFT(A231,SUM(LEN(A231)-LEN(SUBSTITUTE(A231,{"0","1","2"},"")))))))), 1)) * ROW(INDIRECT("1:"&amp;LEN((LEFT(A231,SUM(LEN(A231)-LEN(SUBSTITUTE(A231,{"0","1","2"},"")))))))), 0), ROW(INDIRECT("1:"&amp;LEN((LEFT(A231,SUM(LEN(A231)-LEN(SUBSTITUTE(A231,{"0","1","2"},"")))))))))+1, 1) * 10^ROW(INDIRECT("1:"&amp;LEN((LEFT(A231,SUM(LEN(A231)-LEN(SUBSTITUTE(A231,{"0","1","2"},""))))))))/10))*1+1&amp;""&amp;" to "&amp;""&amp;(SUMPRODUCT(MID(0&amp;(--TRIM(RIGHT(SUBSTITUTE(LEFT(A231,_xlfn.AGGREGATE(16,6,FIND({0,1,2,3,4,5,6,7,8,9},A231,ROW(INDIRECT("1:"&amp;LEN(A231)))),1))," ",REPT(" ",LEN(A231))),LEN(A231)))), LARGE(INDEX(ISNUMBER(--MID((--TRIM(RIGHT(SUBSTITUTE(LEFT(A231,_xlfn.AGGREGATE(16,6,FIND({0,1,2,3,4,5,6,7,8,9},A231,ROW(INDIRECT("1:"&amp;LEN(A231)))),1))," ",REPT(" ",LEN(A231))),LEN(A231)))), ROW(INDIRECT("1:"&amp;LEN((--TRIM(RIGHT(SUBSTITUTE(LEFT(A231,_xlfn.AGGREGATE(16,6,FIND({0,1,2,3,4,5,6,7,8,9},A231,ROW(INDIRECT("1:"&amp;LEN(A231)))),1))," ",REPT(" ",LEN(A231))),LEN(A231))))))), 1)) * ROW(INDIRECT("1:"&amp;LEN((--TRIM(RIGHT(SUBSTITUTE(LEFT(A231,_xlfn.AGGREGATE(16,6,FIND({0,1,2,3,4,5,6,7,8,9},A231,ROW(INDIRECT("1:"&amp;LEN(A231)))),1))," ",REPT(" ",LEN(A231))),LEN(A231))))))), 0), ROW(INDIRECT("1:"&amp;LEN((--TRIM(RIGHT(SUBSTITUTE(LEFT(A231,_xlfn.AGGREGATE(16,6,FIND({0,1,2,3,4,5,6,7,8,9},A231,ROW(INDIRECT("1:"&amp;LEN(A231)))),1))," ",REPT(" ",LEN(A231))),LEN(A231))))))))+1, 1) * 10^ROW(INDIRECT("1:"&amp;LEN((--TRIM(RIGHT(SUBSTITUTE(LEFT(A231,_xlfn.AGGREGATE(16,6,FIND({0,1,2,3,4,5,6,7,8,9},A231,ROW(INDIRECT("1:"&amp;LEN(A231)))),1))," ",REPT(" ",LEN(A231))),LEN(A231)))))))/10))*1+1</f>
        <v>108 to 708</v>
      </c>
      <c r="B232" s="114"/>
      <c r="C232" s="39" t="s">
        <v>385</v>
      </c>
      <c r="D232" s="75">
        <f t="shared" si="19"/>
        <v>290.95092</v>
      </c>
      <c r="E232" s="75">
        <f t="shared" si="20"/>
        <v>63.373049999999985</v>
      </c>
      <c r="F232" s="39">
        <f t="shared" si="17"/>
        <v>354.32396999999997</v>
      </c>
      <c r="G232" s="39">
        <v>0</v>
      </c>
      <c r="H232" s="39">
        <f t="shared" si="18"/>
        <v>513.76975649999997</v>
      </c>
      <c r="I232" s="33"/>
    </row>
    <row r="233" spans="1:12" s="34" customFormat="1" ht="15.75" customHeight="1" x14ac:dyDescent="0.3">
      <c r="A233" s="113" t="str">
        <f ca="1">(SUMPRODUCT(MID(0&amp;(LEFT(A232,SUM(LEN(A232)-LEN(SUBSTITUTE(A232,{"0","1","2"},""))))), LARGE(INDEX(ISNUMBER(--MID((LEFT(A232,SUM(LEN(A232)-LEN(SUBSTITUTE(A232,{"0","1","2"},""))))), ROW(INDIRECT("1:"&amp;LEN((LEFT(A232,SUM(LEN(A232)-LEN(SUBSTITUTE(A232,{"0","1","2"},"")))))))), 1)) * ROW(INDIRECT("1:"&amp;LEN((LEFT(A232,SUM(LEN(A232)-LEN(SUBSTITUTE(A232,{"0","1","2"},"")))))))), 0), ROW(INDIRECT("1:"&amp;LEN((LEFT(A232,SUM(LEN(A232)-LEN(SUBSTITUTE(A232,{"0","1","2"},"")))))))))+1, 1) * 10^ROW(INDIRECT("1:"&amp;LEN((LEFT(A232,SUM(LEN(A232)-LEN(SUBSTITUTE(A232,{"0","1","2"},""))))))))/10))*1+1&amp;""&amp;" to "&amp;""&amp;(SUMPRODUCT(MID(0&amp;(--TRIM(RIGHT(SUBSTITUTE(LEFT(A232,_xlfn.AGGREGATE(16,6,FIND({0,1,2,3,4,5,6,7,8,9},A232,ROW(INDIRECT("1:"&amp;LEN(A232)))),1))," ",REPT(" ",LEN(A232))),LEN(A232)))), LARGE(INDEX(ISNUMBER(--MID((--TRIM(RIGHT(SUBSTITUTE(LEFT(A232,_xlfn.AGGREGATE(16,6,FIND({0,1,2,3,4,5,6,7,8,9},A232,ROW(INDIRECT("1:"&amp;LEN(A232)))),1))," ",REPT(" ",LEN(A232))),LEN(A232)))), ROW(INDIRECT("1:"&amp;LEN((--TRIM(RIGHT(SUBSTITUTE(LEFT(A232,_xlfn.AGGREGATE(16,6,FIND({0,1,2,3,4,5,6,7,8,9},A232,ROW(INDIRECT("1:"&amp;LEN(A232)))),1))," ",REPT(" ",LEN(A232))),LEN(A232))))))), 1)) * ROW(INDIRECT("1:"&amp;LEN((--TRIM(RIGHT(SUBSTITUTE(LEFT(A232,_xlfn.AGGREGATE(16,6,FIND({0,1,2,3,4,5,6,7,8,9},A232,ROW(INDIRECT("1:"&amp;LEN(A232)))),1))," ",REPT(" ",LEN(A232))),LEN(A232))))))), 0), ROW(INDIRECT("1:"&amp;LEN((--TRIM(RIGHT(SUBSTITUTE(LEFT(A232,_xlfn.AGGREGATE(16,6,FIND({0,1,2,3,4,5,6,7,8,9},A232,ROW(INDIRECT("1:"&amp;LEN(A232)))),1))," ",REPT(" ",LEN(A232))),LEN(A232))))))))+1, 1) * 10^ROW(INDIRECT("1:"&amp;LEN((--TRIM(RIGHT(SUBSTITUTE(LEFT(A232,_xlfn.AGGREGATE(16,6,FIND({0,1,2,3,4,5,6,7,8,9},A232,ROW(INDIRECT("1:"&amp;LEN(A232)))),1))," ",REPT(" ",LEN(A232))),LEN(A232)))))))/10))*1+1</f>
        <v>109 to 709</v>
      </c>
      <c r="B233" s="114"/>
      <c r="C233" s="39" t="s">
        <v>385</v>
      </c>
      <c r="D233" s="75">
        <f t="shared" si="19"/>
        <v>290.95092</v>
      </c>
      <c r="E233" s="75">
        <f t="shared" si="20"/>
        <v>63.373049999999985</v>
      </c>
      <c r="F233" s="39">
        <f t="shared" si="17"/>
        <v>354.32396999999997</v>
      </c>
      <c r="G233" s="39">
        <v>0</v>
      </c>
      <c r="H233" s="39">
        <f t="shared" si="18"/>
        <v>513.76975649999997</v>
      </c>
      <c r="I233" s="33"/>
    </row>
    <row r="234" spans="1:12" s="34" customFormat="1" ht="15.75" customHeight="1" x14ac:dyDescent="0.3">
      <c r="A234" s="113" t="str">
        <f ca="1">(SUMPRODUCT(MID(0&amp;(LEFT(A233,SUM(LEN(A233)-LEN(SUBSTITUTE(A233,{"0","1","2"},""))))), LARGE(INDEX(ISNUMBER(--MID((LEFT(A233,SUM(LEN(A233)-LEN(SUBSTITUTE(A233,{"0","1","2"},""))))), ROW(INDIRECT("1:"&amp;LEN((LEFT(A233,SUM(LEN(A233)-LEN(SUBSTITUTE(A233,{"0","1","2"},"")))))))), 1)) * ROW(INDIRECT("1:"&amp;LEN((LEFT(A233,SUM(LEN(A233)-LEN(SUBSTITUTE(A233,{"0","1","2"},"")))))))), 0), ROW(INDIRECT("1:"&amp;LEN((LEFT(A233,SUM(LEN(A233)-LEN(SUBSTITUTE(A233,{"0","1","2"},"")))))))))+1, 1) * 10^ROW(INDIRECT("1:"&amp;LEN((LEFT(A233,SUM(LEN(A233)-LEN(SUBSTITUTE(A233,{"0","1","2"},""))))))))/10))*1+1&amp;""&amp;" to "&amp;""&amp;(SUMPRODUCT(MID(0&amp;(--TRIM(RIGHT(SUBSTITUTE(LEFT(A233,_xlfn.AGGREGATE(16,6,FIND({0,1,2,3,4,5,6,7,8,9},A233,ROW(INDIRECT("1:"&amp;LEN(A233)))),1))," ",REPT(" ",LEN(A233))),LEN(A233)))), LARGE(INDEX(ISNUMBER(--MID((--TRIM(RIGHT(SUBSTITUTE(LEFT(A233,_xlfn.AGGREGATE(16,6,FIND({0,1,2,3,4,5,6,7,8,9},A233,ROW(INDIRECT("1:"&amp;LEN(A233)))),1))," ",REPT(" ",LEN(A233))),LEN(A233)))), ROW(INDIRECT("1:"&amp;LEN((--TRIM(RIGHT(SUBSTITUTE(LEFT(A233,_xlfn.AGGREGATE(16,6,FIND({0,1,2,3,4,5,6,7,8,9},A233,ROW(INDIRECT("1:"&amp;LEN(A233)))),1))," ",REPT(" ",LEN(A233))),LEN(A233))))))), 1)) * ROW(INDIRECT("1:"&amp;LEN((--TRIM(RIGHT(SUBSTITUTE(LEFT(A233,_xlfn.AGGREGATE(16,6,FIND({0,1,2,3,4,5,6,7,8,9},A233,ROW(INDIRECT("1:"&amp;LEN(A233)))),1))," ",REPT(" ",LEN(A233))),LEN(A233))))))), 0), ROW(INDIRECT("1:"&amp;LEN((--TRIM(RIGHT(SUBSTITUTE(LEFT(A233,_xlfn.AGGREGATE(16,6,FIND({0,1,2,3,4,5,6,7,8,9},A233,ROW(INDIRECT("1:"&amp;LEN(A233)))),1))," ",REPT(" ",LEN(A233))),LEN(A233))))))))+1, 1) * 10^ROW(INDIRECT("1:"&amp;LEN((--TRIM(RIGHT(SUBSTITUTE(LEFT(A233,_xlfn.AGGREGATE(16,6,FIND({0,1,2,3,4,5,6,7,8,9},A233,ROW(INDIRECT("1:"&amp;LEN(A233)))),1))," ",REPT(" ",LEN(A233))),LEN(A233)))))))/10))*1+1</f>
        <v>110 to 710</v>
      </c>
      <c r="B234" s="114"/>
      <c r="C234" s="39" t="s">
        <v>385</v>
      </c>
      <c r="D234" s="75">
        <f t="shared" si="19"/>
        <v>290.95092</v>
      </c>
      <c r="E234" s="75">
        <f t="shared" si="20"/>
        <v>63.373049999999985</v>
      </c>
      <c r="F234" s="39">
        <f t="shared" si="17"/>
        <v>354.32396999999997</v>
      </c>
      <c r="G234" s="39">
        <v>0</v>
      </c>
      <c r="H234" s="39">
        <f t="shared" si="18"/>
        <v>513.76975649999997</v>
      </c>
      <c r="I234" s="33"/>
    </row>
    <row r="235" spans="1:12" s="34" customFormat="1" ht="15.75" customHeight="1" x14ac:dyDescent="0.3">
      <c r="A235" s="113" t="str">
        <f ca="1">(SUMPRODUCT(MID(0&amp;(LEFT(A234,SUM(LEN(A234)-LEN(SUBSTITUTE(A234,{"0","1","2"},""))))), LARGE(INDEX(ISNUMBER(--MID((LEFT(A234,SUM(LEN(A234)-LEN(SUBSTITUTE(A234,{"0","1","2"},""))))), ROW(INDIRECT("1:"&amp;LEN((LEFT(A234,SUM(LEN(A234)-LEN(SUBSTITUTE(A234,{"0","1","2"},"")))))))), 1)) * ROW(INDIRECT("1:"&amp;LEN((LEFT(A234,SUM(LEN(A234)-LEN(SUBSTITUTE(A234,{"0","1","2"},"")))))))), 0), ROW(INDIRECT("1:"&amp;LEN((LEFT(A234,SUM(LEN(A234)-LEN(SUBSTITUTE(A234,{"0","1","2"},"")))))))))+1, 1) * 10^ROW(INDIRECT("1:"&amp;LEN((LEFT(A234,SUM(LEN(A234)-LEN(SUBSTITUTE(A234,{"0","1","2"},""))))))))/10))*1+1&amp;""&amp;" to "&amp;""&amp;(SUMPRODUCT(MID(0&amp;(--TRIM(RIGHT(SUBSTITUTE(LEFT(A234,_xlfn.AGGREGATE(16,6,FIND({0,1,2,3,4,5,6,7,8,9},A234,ROW(INDIRECT("1:"&amp;LEN(A234)))),1))," ",REPT(" ",LEN(A234))),LEN(A234)))), LARGE(INDEX(ISNUMBER(--MID((--TRIM(RIGHT(SUBSTITUTE(LEFT(A234,_xlfn.AGGREGATE(16,6,FIND({0,1,2,3,4,5,6,7,8,9},A234,ROW(INDIRECT("1:"&amp;LEN(A234)))),1))," ",REPT(" ",LEN(A234))),LEN(A234)))), ROW(INDIRECT("1:"&amp;LEN((--TRIM(RIGHT(SUBSTITUTE(LEFT(A234,_xlfn.AGGREGATE(16,6,FIND({0,1,2,3,4,5,6,7,8,9},A234,ROW(INDIRECT("1:"&amp;LEN(A234)))),1))," ",REPT(" ",LEN(A234))),LEN(A234))))))), 1)) * ROW(INDIRECT("1:"&amp;LEN((--TRIM(RIGHT(SUBSTITUTE(LEFT(A234,_xlfn.AGGREGATE(16,6,FIND({0,1,2,3,4,5,6,7,8,9},A234,ROW(INDIRECT("1:"&amp;LEN(A234)))),1))," ",REPT(" ",LEN(A234))),LEN(A234))))))), 0), ROW(INDIRECT("1:"&amp;LEN((--TRIM(RIGHT(SUBSTITUTE(LEFT(A234,_xlfn.AGGREGATE(16,6,FIND({0,1,2,3,4,5,6,7,8,9},A234,ROW(INDIRECT("1:"&amp;LEN(A234)))),1))," ",REPT(" ",LEN(A234))),LEN(A234))))))))+1, 1) * 10^ROW(INDIRECT("1:"&amp;LEN((--TRIM(RIGHT(SUBSTITUTE(LEFT(A234,_xlfn.AGGREGATE(16,6,FIND({0,1,2,3,4,5,6,7,8,9},A234,ROW(INDIRECT("1:"&amp;LEN(A234)))),1))," ",REPT(" ",LEN(A234))),LEN(A234)))))))/10))*1+1</f>
        <v>111 to 711</v>
      </c>
      <c r="B235" s="114"/>
      <c r="C235" s="39" t="s">
        <v>385</v>
      </c>
      <c r="D235" s="75">
        <f t="shared" si="19"/>
        <v>290.95092</v>
      </c>
      <c r="E235" s="75">
        <f t="shared" si="20"/>
        <v>63.373049999999985</v>
      </c>
      <c r="F235" s="39">
        <f t="shared" si="17"/>
        <v>354.32396999999997</v>
      </c>
      <c r="G235" s="39">
        <v>0</v>
      </c>
      <c r="H235" s="39">
        <f t="shared" si="18"/>
        <v>513.76975649999997</v>
      </c>
      <c r="I235" s="33"/>
    </row>
    <row r="236" spans="1:12" s="34" customFormat="1" ht="15.75" customHeight="1" x14ac:dyDescent="0.3">
      <c r="A236" s="113" t="str">
        <f ca="1">(SUMPRODUCT(MID(0&amp;(LEFT(A235,SUM(LEN(A235)-LEN(SUBSTITUTE(A235,{"0","1","2"},""))))), LARGE(INDEX(ISNUMBER(--MID((LEFT(A235,SUM(LEN(A235)-LEN(SUBSTITUTE(A235,{"0","1","2"},""))))), ROW(INDIRECT("1:"&amp;LEN((LEFT(A235,SUM(LEN(A235)-LEN(SUBSTITUTE(A235,{"0","1","2"},"")))))))), 1)) * ROW(INDIRECT("1:"&amp;LEN((LEFT(A235,SUM(LEN(A235)-LEN(SUBSTITUTE(A235,{"0","1","2"},"")))))))), 0), ROW(INDIRECT("1:"&amp;LEN((LEFT(A235,SUM(LEN(A235)-LEN(SUBSTITUTE(A235,{"0","1","2"},"")))))))))+1, 1) * 10^ROW(INDIRECT("1:"&amp;LEN((LEFT(A235,SUM(LEN(A235)-LEN(SUBSTITUTE(A235,{"0","1","2"},""))))))))/10))*1+1&amp;""&amp;" to "&amp;""&amp;(SUMPRODUCT(MID(0&amp;(--TRIM(RIGHT(SUBSTITUTE(LEFT(A235,_xlfn.AGGREGATE(16,6,FIND({0,1,2,3,4,5,6,7,8,9},A235,ROW(INDIRECT("1:"&amp;LEN(A235)))),1))," ",REPT(" ",LEN(A235))),LEN(A235)))), LARGE(INDEX(ISNUMBER(--MID((--TRIM(RIGHT(SUBSTITUTE(LEFT(A235,_xlfn.AGGREGATE(16,6,FIND({0,1,2,3,4,5,6,7,8,9},A235,ROW(INDIRECT("1:"&amp;LEN(A235)))),1))," ",REPT(" ",LEN(A235))),LEN(A235)))), ROW(INDIRECT("1:"&amp;LEN((--TRIM(RIGHT(SUBSTITUTE(LEFT(A235,_xlfn.AGGREGATE(16,6,FIND({0,1,2,3,4,5,6,7,8,9},A235,ROW(INDIRECT("1:"&amp;LEN(A235)))),1))," ",REPT(" ",LEN(A235))),LEN(A235))))))), 1)) * ROW(INDIRECT("1:"&amp;LEN((--TRIM(RIGHT(SUBSTITUTE(LEFT(A235,_xlfn.AGGREGATE(16,6,FIND({0,1,2,3,4,5,6,7,8,9},A235,ROW(INDIRECT("1:"&amp;LEN(A235)))),1))," ",REPT(" ",LEN(A235))),LEN(A235))))))), 0), ROW(INDIRECT("1:"&amp;LEN((--TRIM(RIGHT(SUBSTITUTE(LEFT(A235,_xlfn.AGGREGATE(16,6,FIND({0,1,2,3,4,5,6,7,8,9},A235,ROW(INDIRECT("1:"&amp;LEN(A235)))),1))," ",REPT(" ",LEN(A235))),LEN(A235))))))))+1, 1) * 10^ROW(INDIRECT("1:"&amp;LEN((--TRIM(RIGHT(SUBSTITUTE(LEFT(A235,_xlfn.AGGREGATE(16,6,FIND({0,1,2,3,4,5,6,7,8,9},A235,ROW(INDIRECT("1:"&amp;LEN(A235)))),1))," ",REPT(" ",LEN(A235))),LEN(A235)))))))/10))*1+1</f>
        <v>112 to 712</v>
      </c>
      <c r="B236" s="114"/>
      <c r="C236" s="39" t="s">
        <v>385</v>
      </c>
      <c r="D236" s="75">
        <f t="shared" si="19"/>
        <v>290.95092</v>
      </c>
      <c r="E236" s="75">
        <f t="shared" si="20"/>
        <v>63.373049999999985</v>
      </c>
      <c r="F236" s="39">
        <f t="shared" si="17"/>
        <v>354.32396999999997</v>
      </c>
      <c r="G236" s="39">
        <v>0</v>
      </c>
      <c r="H236" s="39">
        <f t="shared" si="18"/>
        <v>513.76975649999997</v>
      </c>
      <c r="I236" s="33"/>
    </row>
    <row r="237" spans="1:12" s="34" customFormat="1" x14ac:dyDescent="0.3">
      <c r="A237" s="143" t="s">
        <v>118</v>
      </c>
      <c r="B237" s="144"/>
      <c r="C237" s="144"/>
      <c r="D237" s="144"/>
      <c r="E237" s="144"/>
      <c r="F237" s="144"/>
      <c r="G237" s="144"/>
      <c r="H237" s="145"/>
      <c r="I237" s="33"/>
    </row>
    <row r="238" spans="1:12" s="34" customFormat="1" ht="15.75" customHeight="1" x14ac:dyDescent="0.3">
      <c r="A238" s="113">
        <v>201</v>
      </c>
      <c r="B238" s="114"/>
      <c r="C238" s="39" t="s">
        <v>385</v>
      </c>
      <c r="D238" s="75">
        <f>(27.03)*10.764</f>
        <v>290.95092</v>
      </c>
      <c r="E238" s="75">
        <f>(0.75*(2.75+2.35+2.75))*10.764</f>
        <v>63.373049999999985</v>
      </c>
      <c r="F238" s="39">
        <f t="shared" ref="F238:F249" si="21">D238+E238</f>
        <v>354.32396999999997</v>
      </c>
      <c r="G238" s="39">
        <v>0</v>
      </c>
      <c r="H238" s="39">
        <f t="shared" ref="H238:H249" si="22">F238*(($H$222)+1)+(IF(G238&lt;101,G238,IF(G238&lt;201,G238/2,IF(G238&lt;=301,G238/3,G238/4))))</f>
        <v>513.76975649999997</v>
      </c>
      <c r="I238" s="33">
        <f>3.67*2.75+1.67*2.35+2.75*2.75+1.85*1.05+1.85*1.05+0.7*(2.75+2.35+2.75)</f>
        <v>30.959499999999998</v>
      </c>
      <c r="K238" s="33">
        <f>3100000/H238</f>
        <v>6033.8312264980514</v>
      </c>
      <c r="L238" s="34">
        <f>2800000/H238</f>
        <v>5449.9120755466274</v>
      </c>
    </row>
    <row r="239" spans="1:12" s="34" customFormat="1" ht="15.75" customHeight="1" x14ac:dyDescent="0.3">
      <c r="A239" s="113">
        <v>202</v>
      </c>
      <c r="B239" s="114"/>
      <c r="C239" s="39" t="s">
        <v>386</v>
      </c>
      <c r="D239" s="75">
        <f>(37.63)*10.764</f>
        <v>405.04932000000002</v>
      </c>
      <c r="E239" s="75">
        <f>(0.75*(2.75+2.1+2.75+2.75))*10.764</f>
        <v>83.555549999999982</v>
      </c>
      <c r="F239" s="39">
        <f t="shared" si="21"/>
        <v>488.60487000000001</v>
      </c>
      <c r="G239" s="39">
        <v>0</v>
      </c>
      <c r="H239" s="39">
        <f t="shared" si="22"/>
        <v>708.47706149999999</v>
      </c>
      <c r="I239" s="33"/>
    </row>
    <row r="240" spans="1:12" s="34" customFormat="1" ht="15.75" customHeight="1" x14ac:dyDescent="0.3">
      <c r="A240" s="113">
        <v>203</v>
      </c>
      <c r="B240" s="114"/>
      <c r="C240" s="39" t="s">
        <v>386</v>
      </c>
      <c r="D240" s="75">
        <f>(37.63)*10.764</f>
        <v>405.04932000000002</v>
      </c>
      <c r="E240" s="75">
        <f>(0.75*(2.75+2.1+2.75+2.75))*10.764</f>
        <v>83.555549999999982</v>
      </c>
      <c r="F240" s="39">
        <f t="shared" si="21"/>
        <v>488.60487000000001</v>
      </c>
      <c r="G240" s="39">
        <v>0</v>
      </c>
      <c r="H240" s="39">
        <f t="shared" si="22"/>
        <v>708.47706149999999</v>
      </c>
      <c r="I240" s="33"/>
    </row>
    <row r="241" spans="1:20" s="34" customFormat="1" ht="15.75" customHeight="1" x14ac:dyDescent="0.3">
      <c r="A241" s="113">
        <v>204</v>
      </c>
      <c r="B241" s="114"/>
      <c r="C241" s="39" t="s">
        <v>385</v>
      </c>
      <c r="D241" s="75">
        <f>(27.03)*10.764</f>
        <v>290.95092</v>
      </c>
      <c r="E241" s="75">
        <f>(0.75*(2.75+2.35+2.75))*10.764</f>
        <v>63.373049999999985</v>
      </c>
      <c r="F241" s="39">
        <f t="shared" si="21"/>
        <v>354.32396999999997</v>
      </c>
      <c r="G241" s="39">
        <v>0</v>
      </c>
      <c r="H241" s="39">
        <f t="shared" si="22"/>
        <v>513.76975649999997</v>
      </c>
      <c r="I241" s="33"/>
      <c r="L241" s="33">
        <f>2891000/H241</f>
        <v>5627.0342180018924</v>
      </c>
    </row>
    <row r="242" spans="1:20" s="34" customFormat="1" ht="15.75" customHeight="1" x14ac:dyDescent="0.3">
      <c r="A242" s="113">
        <v>205</v>
      </c>
      <c r="B242" s="114"/>
      <c r="C242" s="39" t="s">
        <v>386</v>
      </c>
      <c r="D242" s="75">
        <f>(37.63)*10.764</f>
        <v>405.04932000000002</v>
      </c>
      <c r="E242" s="75">
        <f>(0.75*(2.75+2.1+2.75+2.75))*10.764</f>
        <v>83.555549999999982</v>
      </c>
      <c r="F242" s="39">
        <f t="shared" si="21"/>
        <v>488.60487000000001</v>
      </c>
      <c r="G242" s="39">
        <v>0</v>
      </c>
      <c r="H242" s="39">
        <f t="shared" si="22"/>
        <v>708.47706149999999</v>
      </c>
      <c r="I242" s="33"/>
      <c r="L242" s="33">
        <f>3949000/H242</f>
        <v>5573.9278158690249</v>
      </c>
    </row>
    <row r="243" spans="1:20" s="34" customFormat="1" ht="15.75" customHeight="1" x14ac:dyDescent="0.3">
      <c r="A243" s="113">
        <v>206</v>
      </c>
      <c r="B243" s="114"/>
      <c r="C243" s="39" t="s">
        <v>386</v>
      </c>
      <c r="D243" s="75">
        <f>(37.63)*10.764</f>
        <v>405.04932000000002</v>
      </c>
      <c r="E243" s="75">
        <f>(0.75*(2.75+2.1+2.75+2.75))*10.764</f>
        <v>83.555549999999982</v>
      </c>
      <c r="F243" s="39">
        <f t="shared" si="21"/>
        <v>488.60487000000001</v>
      </c>
      <c r="G243" s="39">
        <v>0</v>
      </c>
      <c r="H243" s="39">
        <v>733</v>
      </c>
      <c r="I243" s="84" t="s">
        <v>412</v>
      </c>
      <c r="J243" s="85"/>
      <c r="K243" s="85"/>
      <c r="L243" s="85"/>
      <c r="M243" s="85"/>
      <c r="N243" s="85"/>
    </row>
    <row r="244" spans="1:20" s="34" customFormat="1" ht="15.75" customHeight="1" x14ac:dyDescent="0.3">
      <c r="A244" s="113">
        <v>207</v>
      </c>
      <c r="B244" s="114"/>
      <c r="C244" s="39" t="s">
        <v>385</v>
      </c>
      <c r="D244" s="75">
        <f t="shared" ref="D244:D249" si="23">(27.03)*10.764</f>
        <v>290.95092</v>
      </c>
      <c r="E244" s="75">
        <f t="shared" ref="E244:E249" si="24">(0.75*(2.75+2.35+2.75))*10.764</f>
        <v>63.373049999999985</v>
      </c>
      <c r="F244" s="39">
        <f t="shared" si="21"/>
        <v>354.32396999999997</v>
      </c>
      <c r="G244" s="39">
        <v>0</v>
      </c>
      <c r="H244" s="39">
        <f t="shared" si="22"/>
        <v>513.76975649999997</v>
      </c>
      <c r="I244" s="33"/>
    </row>
    <row r="245" spans="1:20" s="34" customFormat="1" ht="15.75" customHeight="1" x14ac:dyDescent="0.3">
      <c r="A245" s="113">
        <v>208</v>
      </c>
      <c r="B245" s="114"/>
      <c r="C245" s="39" t="s">
        <v>385</v>
      </c>
      <c r="D245" s="75">
        <f t="shared" si="23"/>
        <v>290.95092</v>
      </c>
      <c r="E245" s="75">
        <f t="shared" si="24"/>
        <v>63.373049999999985</v>
      </c>
      <c r="F245" s="39">
        <f t="shared" si="21"/>
        <v>354.32396999999997</v>
      </c>
      <c r="G245" s="39">
        <v>0</v>
      </c>
      <c r="H245" s="39">
        <f t="shared" si="22"/>
        <v>513.76975649999997</v>
      </c>
      <c r="I245" s="33"/>
    </row>
    <row r="246" spans="1:20" s="34" customFormat="1" ht="15.75" customHeight="1" x14ac:dyDescent="0.3">
      <c r="A246" s="113">
        <v>209</v>
      </c>
      <c r="B246" s="114"/>
      <c r="C246" s="39" t="s">
        <v>385</v>
      </c>
      <c r="D246" s="75">
        <f t="shared" si="23"/>
        <v>290.95092</v>
      </c>
      <c r="E246" s="75">
        <f t="shared" si="24"/>
        <v>63.373049999999985</v>
      </c>
      <c r="F246" s="39">
        <f t="shared" si="21"/>
        <v>354.32396999999997</v>
      </c>
      <c r="G246" s="39">
        <v>0</v>
      </c>
      <c r="H246" s="39">
        <f t="shared" si="22"/>
        <v>513.76975649999997</v>
      </c>
      <c r="I246" s="33"/>
    </row>
    <row r="247" spans="1:20" s="34" customFormat="1" ht="15.75" customHeight="1" x14ac:dyDescent="0.3">
      <c r="A247" s="113">
        <v>210</v>
      </c>
      <c r="B247" s="114"/>
      <c r="C247" s="39" t="s">
        <v>385</v>
      </c>
      <c r="D247" s="75">
        <f t="shared" si="23"/>
        <v>290.95092</v>
      </c>
      <c r="E247" s="75">
        <f t="shared" si="24"/>
        <v>63.373049999999985</v>
      </c>
      <c r="F247" s="39">
        <f t="shared" si="21"/>
        <v>354.32396999999997</v>
      </c>
      <c r="G247" s="39">
        <v>0</v>
      </c>
      <c r="H247" s="39">
        <f t="shared" si="22"/>
        <v>513.76975649999997</v>
      </c>
      <c r="I247" s="33"/>
    </row>
    <row r="248" spans="1:20" s="34" customFormat="1" ht="15.75" customHeight="1" x14ac:dyDescent="0.3">
      <c r="A248" s="113">
        <v>211</v>
      </c>
      <c r="B248" s="114"/>
      <c r="C248" s="39" t="s">
        <v>385</v>
      </c>
      <c r="D248" s="75">
        <f t="shared" si="23"/>
        <v>290.95092</v>
      </c>
      <c r="E248" s="75">
        <f t="shared" si="24"/>
        <v>63.373049999999985</v>
      </c>
      <c r="F248" s="39">
        <f t="shared" si="21"/>
        <v>354.32396999999997</v>
      </c>
      <c r="G248" s="39">
        <v>0</v>
      </c>
      <c r="H248" s="39">
        <f t="shared" si="22"/>
        <v>513.76975649999997</v>
      </c>
      <c r="I248" s="33"/>
    </row>
    <row r="249" spans="1:20" s="34" customFormat="1" ht="15.75" customHeight="1" x14ac:dyDescent="0.3">
      <c r="A249" s="113">
        <v>212</v>
      </c>
      <c r="B249" s="114"/>
      <c r="C249" s="39" t="s">
        <v>385</v>
      </c>
      <c r="D249" s="75">
        <f t="shared" si="23"/>
        <v>290.95092</v>
      </c>
      <c r="E249" s="75">
        <f t="shared" si="24"/>
        <v>63.373049999999985</v>
      </c>
      <c r="F249" s="39">
        <f t="shared" si="21"/>
        <v>354.32396999999997</v>
      </c>
      <c r="G249" s="39">
        <v>0</v>
      </c>
      <c r="H249" s="39">
        <f t="shared" si="22"/>
        <v>513.76975649999997</v>
      </c>
      <c r="I249" s="33"/>
    </row>
    <row r="250" spans="1:20" s="34" customFormat="1" x14ac:dyDescent="0.3">
      <c r="A250" s="206" t="s">
        <v>387</v>
      </c>
      <c r="B250" s="207"/>
      <c r="C250" s="207"/>
      <c r="D250" s="207"/>
      <c r="E250" s="207"/>
      <c r="F250" s="207"/>
      <c r="G250" s="207"/>
      <c r="H250" s="208"/>
      <c r="J250" s="33"/>
      <c r="T250" s="32"/>
    </row>
    <row r="251" spans="1:20" s="34" customFormat="1" x14ac:dyDescent="0.3">
      <c r="A251" s="206" t="s">
        <v>384</v>
      </c>
      <c r="B251" s="207"/>
      <c r="C251" s="207"/>
      <c r="D251" s="207"/>
      <c r="E251" s="207"/>
      <c r="F251" s="207"/>
      <c r="G251" s="207"/>
      <c r="H251" s="208"/>
      <c r="I251" s="33"/>
    </row>
    <row r="252" spans="1:20" s="34" customFormat="1" ht="15.75" customHeight="1" x14ac:dyDescent="0.3">
      <c r="A252" s="113" t="str">
        <f ca="1">(SUMPRODUCT(MID(0&amp;(LEFT(A251,SUM(LEN(A251)-LEN(SUBSTITUTE(A251,{"0","1","2"},""))))), LARGE(INDEX(ISNUMBER(--MID((LEFT(A251,SUM(LEN(A251)-LEN(SUBSTITUTE(A251,{"0","1","2"},""))))), ROW(INDIRECT("1:"&amp;LEN((LEFT(A251,SUM(LEN(A251)-LEN(SUBSTITUTE(A251,{"0","1","2"},"")))))))), 1)) * ROW(INDIRECT("1:"&amp;LEN((LEFT(A251,SUM(LEN(A251)-LEN(SUBSTITUTE(A251,{"0","1","2"},"")))))))), 0), ROW(INDIRECT("1:"&amp;LEN((LEFT(A251,SUM(LEN(A251)-LEN(SUBSTITUTE(A251,{"0","1","2"},"")))))))))+1, 1) * 10^ROW(INDIRECT("1:"&amp;LEN((LEFT(A251,SUM(LEN(A251)-LEN(SUBSTITUTE(A251,{"0","1","2"},""))))))))/10))*100+1&amp;""&amp;" to "&amp;""&amp;(SUMPRODUCT(MID(0&amp;(--TRIM(RIGHT(SUBSTITUTE(LEFT(A251,_xlfn.AGGREGATE(16,6,FIND({0,1,2,3,4,5,6,7,8,9},A251,ROW(INDIRECT("1:"&amp;LEN(A251)))),1))," ",REPT(" ",LEN(A251))),LEN(A251)))), LARGE(INDEX(ISNUMBER(--MID((--TRIM(RIGHT(SUBSTITUTE(LEFT(A251,_xlfn.AGGREGATE(16,6,FIND({0,1,2,3,4,5,6,7,8,9},A251,ROW(INDIRECT("1:"&amp;LEN(A251)))),1))," ",REPT(" ",LEN(A251))),LEN(A251)))), ROW(INDIRECT("1:"&amp;LEN((--TRIM(RIGHT(SUBSTITUTE(LEFT(A251,_xlfn.AGGREGATE(16,6,FIND({0,1,2,3,4,5,6,7,8,9},A251,ROW(INDIRECT("1:"&amp;LEN(A251)))),1))," ",REPT(" ",LEN(A251))),LEN(A251))))))), 1)) * ROW(INDIRECT("1:"&amp;LEN((--TRIM(RIGHT(SUBSTITUTE(LEFT(A251,_xlfn.AGGREGATE(16,6,FIND({0,1,2,3,4,5,6,7,8,9},A251,ROW(INDIRECT("1:"&amp;LEN(A251)))),1))," ",REPT(" ",LEN(A251))),LEN(A251))))))), 0), ROW(INDIRECT("1:"&amp;LEN((--TRIM(RIGHT(SUBSTITUTE(LEFT(A251,_xlfn.AGGREGATE(16,6,FIND({0,1,2,3,4,5,6,7,8,9},A251,ROW(INDIRECT("1:"&amp;LEN(A251)))),1))," ",REPT(" ",LEN(A251))),LEN(A251))))))))+1, 1) * 10^ROW(INDIRECT("1:"&amp;LEN((--TRIM(RIGHT(SUBSTITUTE(LEFT(A251,_xlfn.AGGREGATE(16,6,FIND({0,1,2,3,4,5,6,7,8,9},A251,ROW(INDIRECT("1:"&amp;LEN(A251)))),1))," ",REPT(" ",LEN(A251))),LEN(A251)))))))/10))*100+1</f>
        <v>101 to 701</v>
      </c>
      <c r="B252" s="114"/>
      <c r="C252" s="39" t="s">
        <v>385</v>
      </c>
      <c r="D252" s="75">
        <f>(27.03)*10.764</f>
        <v>290.95092</v>
      </c>
      <c r="E252" s="75">
        <f>(0.75*(2.75+2.35+2.75))*10.764</f>
        <v>63.373049999999985</v>
      </c>
      <c r="F252" s="39">
        <f t="shared" ref="F252:F263" si="25">D252+E252</f>
        <v>354.32396999999997</v>
      </c>
      <c r="G252" s="39">
        <v>0</v>
      </c>
      <c r="H252" s="39">
        <f t="shared" ref="H252:H263" si="26">F252*(($H$222)+1)+(IF(G252&lt;101,G252,IF(G252&lt;201,G252/2,IF(G252&lt;=301,G252/3,G252/4))))</f>
        <v>513.76975649999997</v>
      </c>
      <c r="I252" s="33"/>
      <c r="J252" s="33">
        <f>2799000/H252</f>
        <v>5447.9656783767887</v>
      </c>
    </row>
    <row r="253" spans="1:20" s="34" customFormat="1" ht="15.75" customHeight="1" x14ac:dyDescent="0.3">
      <c r="A253" s="113" t="str">
        <f ca="1">(SUMPRODUCT(MID(0&amp;(LEFT(A252,SUM(LEN(A252)-LEN(SUBSTITUTE(A252,{"0","1","2"},""))))), LARGE(INDEX(ISNUMBER(--MID((LEFT(A252,SUM(LEN(A252)-LEN(SUBSTITUTE(A252,{"0","1","2"},""))))), ROW(INDIRECT("1:"&amp;LEN((LEFT(A252,SUM(LEN(A252)-LEN(SUBSTITUTE(A252,{"0","1","2"},"")))))))), 1)) * ROW(INDIRECT("1:"&amp;LEN((LEFT(A252,SUM(LEN(A252)-LEN(SUBSTITUTE(A252,{"0","1","2"},"")))))))), 0), ROW(INDIRECT("1:"&amp;LEN((LEFT(A252,SUM(LEN(A252)-LEN(SUBSTITUTE(A252,{"0","1","2"},"")))))))))+1, 1) * 10^ROW(INDIRECT("1:"&amp;LEN((LEFT(A252,SUM(LEN(A252)-LEN(SUBSTITUTE(A252,{"0","1","2"},""))))))))/10))*1+1&amp;""&amp;" to "&amp;""&amp;(SUMPRODUCT(MID(0&amp;(--TRIM(RIGHT(SUBSTITUTE(LEFT(A252,_xlfn.AGGREGATE(16,6,FIND({0,1,2,3,4,5,6,7,8,9},A252,ROW(INDIRECT("1:"&amp;LEN(A252)))),1))," ",REPT(" ",LEN(A252))),LEN(A252)))), LARGE(INDEX(ISNUMBER(--MID((--TRIM(RIGHT(SUBSTITUTE(LEFT(A252,_xlfn.AGGREGATE(16,6,FIND({0,1,2,3,4,5,6,7,8,9},A252,ROW(INDIRECT("1:"&amp;LEN(A252)))),1))," ",REPT(" ",LEN(A252))),LEN(A252)))), ROW(INDIRECT("1:"&amp;LEN((--TRIM(RIGHT(SUBSTITUTE(LEFT(A252,_xlfn.AGGREGATE(16,6,FIND({0,1,2,3,4,5,6,7,8,9},A252,ROW(INDIRECT("1:"&amp;LEN(A252)))),1))," ",REPT(" ",LEN(A252))),LEN(A252))))))), 1)) * ROW(INDIRECT("1:"&amp;LEN((--TRIM(RIGHT(SUBSTITUTE(LEFT(A252,_xlfn.AGGREGATE(16,6,FIND({0,1,2,3,4,5,6,7,8,9},A252,ROW(INDIRECT("1:"&amp;LEN(A252)))),1))," ",REPT(" ",LEN(A252))),LEN(A252))))))), 0), ROW(INDIRECT("1:"&amp;LEN((--TRIM(RIGHT(SUBSTITUTE(LEFT(A252,_xlfn.AGGREGATE(16,6,FIND({0,1,2,3,4,5,6,7,8,9},A252,ROW(INDIRECT("1:"&amp;LEN(A252)))),1))," ",REPT(" ",LEN(A252))),LEN(A252))))))))+1, 1) * 10^ROW(INDIRECT("1:"&amp;LEN((--TRIM(RIGHT(SUBSTITUTE(LEFT(A252,_xlfn.AGGREGATE(16,6,FIND({0,1,2,3,4,5,6,7,8,9},A252,ROW(INDIRECT("1:"&amp;LEN(A252)))),1))," ",REPT(" ",LEN(A252))),LEN(A252)))))))/10))*1+1</f>
        <v>102 to 702</v>
      </c>
      <c r="B253" s="114"/>
      <c r="C253" s="39" t="s">
        <v>385</v>
      </c>
      <c r="D253" s="75">
        <f>(27.03)*10.764</f>
        <v>290.95092</v>
      </c>
      <c r="E253" s="75">
        <f t="shared" ref="E253:E255" si="27">(0.75*(2.75+2.35+2.75))*10.764</f>
        <v>63.373049999999985</v>
      </c>
      <c r="F253" s="39">
        <f t="shared" si="25"/>
        <v>354.32396999999997</v>
      </c>
      <c r="G253" s="39">
        <v>0</v>
      </c>
      <c r="H253" s="39">
        <f t="shared" si="26"/>
        <v>513.76975649999997</v>
      </c>
      <c r="I253" s="33"/>
      <c r="J253" s="33">
        <f>2043000/H253</f>
        <v>3976.4894179791995</v>
      </c>
    </row>
    <row r="254" spans="1:20" s="34" customFormat="1" ht="15.75" customHeight="1" x14ac:dyDescent="0.3">
      <c r="A254" s="113" t="str">
        <f ca="1">(SUMPRODUCT(MID(0&amp;(LEFT(A253,SUM(LEN(A253)-LEN(SUBSTITUTE(A253,{"0","1","2"},""))))), LARGE(INDEX(ISNUMBER(--MID((LEFT(A253,SUM(LEN(A253)-LEN(SUBSTITUTE(A253,{"0","1","2"},""))))), ROW(INDIRECT("1:"&amp;LEN((LEFT(A253,SUM(LEN(A253)-LEN(SUBSTITUTE(A253,{"0","1","2"},"")))))))), 1)) * ROW(INDIRECT("1:"&amp;LEN((LEFT(A253,SUM(LEN(A253)-LEN(SUBSTITUTE(A253,{"0","1","2"},"")))))))), 0), ROW(INDIRECT("1:"&amp;LEN((LEFT(A253,SUM(LEN(A253)-LEN(SUBSTITUTE(A253,{"0","1","2"},"")))))))))+1, 1) * 10^ROW(INDIRECT("1:"&amp;LEN((LEFT(A253,SUM(LEN(A253)-LEN(SUBSTITUTE(A253,{"0","1","2"},""))))))))/10))*1+1&amp;""&amp;" to "&amp;""&amp;(SUMPRODUCT(MID(0&amp;(--TRIM(RIGHT(SUBSTITUTE(LEFT(A253,_xlfn.AGGREGATE(16,6,FIND({0,1,2,3,4,5,6,7,8,9},A253,ROW(INDIRECT("1:"&amp;LEN(A253)))),1))," ",REPT(" ",LEN(A253))),LEN(A253)))), LARGE(INDEX(ISNUMBER(--MID((--TRIM(RIGHT(SUBSTITUTE(LEFT(A253,_xlfn.AGGREGATE(16,6,FIND({0,1,2,3,4,5,6,7,8,9},A253,ROW(INDIRECT("1:"&amp;LEN(A253)))),1))," ",REPT(" ",LEN(A253))),LEN(A253)))), ROW(INDIRECT("1:"&amp;LEN((--TRIM(RIGHT(SUBSTITUTE(LEFT(A253,_xlfn.AGGREGATE(16,6,FIND({0,1,2,3,4,5,6,7,8,9},A253,ROW(INDIRECT("1:"&amp;LEN(A253)))),1))," ",REPT(" ",LEN(A253))),LEN(A253))))))), 1)) * ROW(INDIRECT("1:"&amp;LEN((--TRIM(RIGHT(SUBSTITUTE(LEFT(A253,_xlfn.AGGREGATE(16,6,FIND({0,1,2,3,4,5,6,7,8,9},A253,ROW(INDIRECT("1:"&amp;LEN(A253)))),1))," ",REPT(" ",LEN(A253))),LEN(A253))))))), 0), ROW(INDIRECT("1:"&amp;LEN((--TRIM(RIGHT(SUBSTITUTE(LEFT(A253,_xlfn.AGGREGATE(16,6,FIND({0,1,2,3,4,5,6,7,8,9},A253,ROW(INDIRECT("1:"&amp;LEN(A253)))),1))," ",REPT(" ",LEN(A253))),LEN(A253))))))))+1, 1) * 10^ROW(INDIRECT("1:"&amp;LEN((--TRIM(RIGHT(SUBSTITUTE(LEFT(A253,_xlfn.AGGREGATE(16,6,FIND({0,1,2,3,4,5,6,7,8,9},A253,ROW(INDIRECT("1:"&amp;LEN(A253)))),1))," ",REPT(" ",LEN(A253))),LEN(A253)))))))/10))*1+1</f>
        <v>103 to 703</v>
      </c>
      <c r="B254" s="114"/>
      <c r="C254" s="39" t="s">
        <v>385</v>
      </c>
      <c r="D254" s="75">
        <f>(27.03)*10.764</f>
        <v>290.95092</v>
      </c>
      <c r="E254" s="75">
        <f t="shared" si="27"/>
        <v>63.373049999999985</v>
      </c>
      <c r="F254" s="39">
        <f t="shared" si="25"/>
        <v>354.32396999999997</v>
      </c>
      <c r="G254" s="39">
        <v>0</v>
      </c>
      <c r="H254" s="39">
        <f t="shared" si="26"/>
        <v>513.76975649999997</v>
      </c>
      <c r="I254" s="33"/>
    </row>
    <row r="255" spans="1:20" s="34" customFormat="1" ht="15.75" customHeight="1" x14ac:dyDescent="0.3">
      <c r="A255" s="113" t="str">
        <f ca="1">(SUMPRODUCT(MID(0&amp;(LEFT(A254,SUM(LEN(A254)-LEN(SUBSTITUTE(A254,{"0","1","2"},""))))), LARGE(INDEX(ISNUMBER(--MID((LEFT(A254,SUM(LEN(A254)-LEN(SUBSTITUTE(A254,{"0","1","2"},""))))), ROW(INDIRECT("1:"&amp;LEN((LEFT(A254,SUM(LEN(A254)-LEN(SUBSTITUTE(A254,{"0","1","2"},"")))))))), 1)) * ROW(INDIRECT("1:"&amp;LEN((LEFT(A254,SUM(LEN(A254)-LEN(SUBSTITUTE(A254,{"0","1","2"},"")))))))), 0), ROW(INDIRECT("1:"&amp;LEN((LEFT(A254,SUM(LEN(A254)-LEN(SUBSTITUTE(A254,{"0","1","2"},"")))))))))+1, 1) * 10^ROW(INDIRECT("1:"&amp;LEN((LEFT(A254,SUM(LEN(A254)-LEN(SUBSTITUTE(A254,{"0","1","2"},""))))))))/10))*1+1&amp;""&amp;" to "&amp;""&amp;(SUMPRODUCT(MID(0&amp;(--TRIM(RIGHT(SUBSTITUTE(LEFT(A254,_xlfn.AGGREGATE(16,6,FIND({0,1,2,3,4,5,6,7,8,9},A254,ROW(INDIRECT("1:"&amp;LEN(A254)))),1))," ",REPT(" ",LEN(A254))),LEN(A254)))), LARGE(INDEX(ISNUMBER(--MID((--TRIM(RIGHT(SUBSTITUTE(LEFT(A254,_xlfn.AGGREGATE(16,6,FIND({0,1,2,3,4,5,6,7,8,9},A254,ROW(INDIRECT("1:"&amp;LEN(A254)))),1))," ",REPT(" ",LEN(A254))),LEN(A254)))), ROW(INDIRECT("1:"&amp;LEN((--TRIM(RIGHT(SUBSTITUTE(LEFT(A254,_xlfn.AGGREGATE(16,6,FIND({0,1,2,3,4,5,6,7,8,9},A254,ROW(INDIRECT("1:"&amp;LEN(A254)))),1))," ",REPT(" ",LEN(A254))),LEN(A254))))))), 1)) * ROW(INDIRECT("1:"&amp;LEN((--TRIM(RIGHT(SUBSTITUTE(LEFT(A254,_xlfn.AGGREGATE(16,6,FIND({0,1,2,3,4,5,6,7,8,9},A254,ROW(INDIRECT("1:"&amp;LEN(A254)))),1))," ",REPT(" ",LEN(A254))),LEN(A254))))))), 0), ROW(INDIRECT("1:"&amp;LEN((--TRIM(RIGHT(SUBSTITUTE(LEFT(A254,_xlfn.AGGREGATE(16,6,FIND({0,1,2,3,4,5,6,7,8,9},A254,ROW(INDIRECT("1:"&amp;LEN(A254)))),1))," ",REPT(" ",LEN(A254))),LEN(A254))))))))+1, 1) * 10^ROW(INDIRECT("1:"&amp;LEN((--TRIM(RIGHT(SUBSTITUTE(LEFT(A254,_xlfn.AGGREGATE(16,6,FIND({0,1,2,3,4,5,6,7,8,9},A254,ROW(INDIRECT("1:"&amp;LEN(A254)))),1))," ",REPT(" ",LEN(A254))),LEN(A254)))))))/10))*1+1</f>
        <v>104 to 704</v>
      </c>
      <c r="B255" s="114"/>
      <c r="C255" s="39" t="s">
        <v>385</v>
      </c>
      <c r="D255" s="75">
        <f>(27.03)*10.764</f>
        <v>290.95092</v>
      </c>
      <c r="E255" s="75">
        <f t="shared" si="27"/>
        <v>63.373049999999985</v>
      </c>
      <c r="F255" s="39">
        <f t="shared" si="25"/>
        <v>354.32396999999997</v>
      </c>
      <c r="G255" s="39">
        <v>0</v>
      </c>
      <c r="H255" s="39">
        <f t="shared" si="26"/>
        <v>513.76975649999997</v>
      </c>
      <c r="I255" s="33"/>
    </row>
    <row r="256" spans="1:20" s="34" customFormat="1" ht="15.75" customHeight="1" x14ac:dyDescent="0.3">
      <c r="A256" s="113" t="str">
        <f ca="1">(SUMPRODUCT(MID(0&amp;(LEFT(A255,SUM(LEN(A255)-LEN(SUBSTITUTE(A255,{"0","1","2"},""))))), LARGE(INDEX(ISNUMBER(--MID((LEFT(A255,SUM(LEN(A255)-LEN(SUBSTITUTE(A255,{"0","1","2"},""))))), ROW(INDIRECT("1:"&amp;LEN((LEFT(A255,SUM(LEN(A255)-LEN(SUBSTITUTE(A255,{"0","1","2"},"")))))))), 1)) * ROW(INDIRECT("1:"&amp;LEN((LEFT(A255,SUM(LEN(A255)-LEN(SUBSTITUTE(A255,{"0","1","2"},"")))))))), 0), ROW(INDIRECT("1:"&amp;LEN((LEFT(A255,SUM(LEN(A255)-LEN(SUBSTITUTE(A255,{"0","1","2"},"")))))))))+1, 1) * 10^ROW(INDIRECT("1:"&amp;LEN((LEFT(A255,SUM(LEN(A255)-LEN(SUBSTITUTE(A255,{"0","1","2"},""))))))))/10))*1+1&amp;""&amp;" to "&amp;""&amp;(SUMPRODUCT(MID(0&amp;(--TRIM(RIGHT(SUBSTITUTE(LEFT(A255,_xlfn.AGGREGATE(16,6,FIND({0,1,2,3,4,5,6,7,8,9},A255,ROW(INDIRECT("1:"&amp;LEN(A255)))),1))," ",REPT(" ",LEN(A255))),LEN(A255)))), LARGE(INDEX(ISNUMBER(--MID((--TRIM(RIGHT(SUBSTITUTE(LEFT(A255,_xlfn.AGGREGATE(16,6,FIND({0,1,2,3,4,5,6,7,8,9},A255,ROW(INDIRECT("1:"&amp;LEN(A255)))),1))," ",REPT(" ",LEN(A255))),LEN(A255)))), ROW(INDIRECT("1:"&amp;LEN((--TRIM(RIGHT(SUBSTITUTE(LEFT(A255,_xlfn.AGGREGATE(16,6,FIND({0,1,2,3,4,5,6,7,8,9},A255,ROW(INDIRECT("1:"&amp;LEN(A255)))),1))," ",REPT(" ",LEN(A255))),LEN(A255))))))), 1)) * ROW(INDIRECT("1:"&amp;LEN((--TRIM(RIGHT(SUBSTITUTE(LEFT(A255,_xlfn.AGGREGATE(16,6,FIND({0,1,2,3,4,5,6,7,8,9},A255,ROW(INDIRECT("1:"&amp;LEN(A255)))),1))," ",REPT(" ",LEN(A255))),LEN(A255))))))), 0), ROW(INDIRECT("1:"&amp;LEN((--TRIM(RIGHT(SUBSTITUTE(LEFT(A255,_xlfn.AGGREGATE(16,6,FIND({0,1,2,3,4,5,6,7,8,9},A255,ROW(INDIRECT("1:"&amp;LEN(A255)))),1))," ",REPT(" ",LEN(A255))),LEN(A255))))))))+1, 1) * 10^ROW(INDIRECT("1:"&amp;LEN((--TRIM(RIGHT(SUBSTITUTE(LEFT(A255,_xlfn.AGGREGATE(16,6,FIND({0,1,2,3,4,5,6,7,8,9},A255,ROW(INDIRECT("1:"&amp;LEN(A255)))),1))," ",REPT(" ",LEN(A255))),LEN(A255)))))))/10))*1+1</f>
        <v>105 to 705</v>
      </c>
      <c r="B256" s="114"/>
      <c r="C256" s="39" t="s">
        <v>386</v>
      </c>
      <c r="D256" s="75">
        <f>(37.63)*10.764</f>
        <v>405.04932000000002</v>
      </c>
      <c r="E256" s="75">
        <f>(0.75*(2.75+2.1+2.75+2.75))*10.764</f>
        <v>83.555549999999982</v>
      </c>
      <c r="F256" s="39">
        <f t="shared" si="25"/>
        <v>488.60487000000001</v>
      </c>
      <c r="G256" s="39">
        <v>0</v>
      </c>
      <c r="H256" s="39">
        <f t="shared" si="26"/>
        <v>708.47706149999999</v>
      </c>
      <c r="I256" s="33"/>
      <c r="J256" s="33">
        <f>3799000/H256</f>
        <v>5362.2060705207459</v>
      </c>
    </row>
    <row r="257" spans="1:20" s="34" customFormat="1" ht="15.75" customHeight="1" x14ac:dyDescent="0.3">
      <c r="A257" s="113" t="str">
        <f ca="1">(SUMPRODUCT(MID(0&amp;(LEFT(A256,SUM(LEN(A256)-LEN(SUBSTITUTE(A256,{"0","1","2"},""))))), LARGE(INDEX(ISNUMBER(--MID((LEFT(A256,SUM(LEN(A256)-LEN(SUBSTITUTE(A256,{"0","1","2"},""))))), ROW(INDIRECT("1:"&amp;LEN((LEFT(A256,SUM(LEN(A256)-LEN(SUBSTITUTE(A256,{"0","1","2"},"")))))))), 1)) * ROW(INDIRECT("1:"&amp;LEN((LEFT(A256,SUM(LEN(A256)-LEN(SUBSTITUTE(A256,{"0","1","2"},"")))))))), 0), ROW(INDIRECT("1:"&amp;LEN((LEFT(A256,SUM(LEN(A256)-LEN(SUBSTITUTE(A256,{"0","1","2"},"")))))))))+1, 1) * 10^ROW(INDIRECT("1:"&amp;LEN((LEFT(A256,SUM(LEN(A256)-LEN(SUBSTITUTE(A256,{"0","1","2"},""))))))))/10))*1+1&amp;""&amp;" to "&amp;""&amp;(SUMPRODUCT(MID(0&amp;(--TRIM(RIGHT(SUBSTITUTE(LEFT(A256,_xlfn.AGGREGATE(16,6,FIND({0,1,2,3,4,5,6,7,8,9},A256,ROW(INDIRECT("1:"&amp;LEN(A256)))),1))," ",REPT(" ",LEN(A256))),LEN(A256)))), LARGE(INDEX(ISNUMBER(--MID((--TRIM(RIGHT(SUBSTITUTE(LEFT(A256,_xlfn.AGGREGATE(16,6,FIND({0,1,2,3,4,5,6,7,8,9},A256,ROW(INDIRECT("1:"&amp;LEN(A256)))),1))," ",REPT(" ",LEN(A256))),LEN(A256)))), ROW(INDIRECT("1:"&amp;LEN((--TRIM(RIGHT(SUBSTITUTE(LEFT(A256,_xlfn.AGGREGATE(16,6,FIND({0,1,2,3,4,5,6,7,8,9},A256,ROW(INDIRECT("1:"&amp;LEN(A256)))),1))," ",REPT(" ",LEN(A256))),LEN(A256))))))), 1)) * ROW(INDIRECT("1:"&amp;LEN((--TRIM(RIGHT(SUBSTITUTE(LEFT(A256,_xlfn.AGGREGATE(16,6,FIND({0,1,2,3,4,5,6,7,8,9},A256,ROW(INDIRECT("1:"&amp;LEN(A256)))),1))," ",REPT(" ",LEN(A256))),LEN(A256))))))), 0), ROW(INDIRECT("1:"&amp;LEN((--TRIM(RIGHT(SUBSTITUTE(LEFT(A256,_xlfn.AGGREGATE(16,6,FIND({0,1,2,3,4,5,6,7,8,9},A256,ROW(INDIRECT("1:"&amp;LEN(A256)))),1))," ",REPT(" ",LEN(A256))),LEN(A256))))))))+1, 1) * 10^ROW(INDIRECT("1:"&amp;LEN((--TRIM(RIGHT(SUBSTITUTE(LEFT(A256,_xlfn.AGGREGATE(16,6,FIND({0,1,2,3,4,5,6,7,8,9},A256,ROW(INDIRECT("1:"&amp;LEN(A256)))),1))," ",REPT(" ",LEN(A256))),LEN(A256)))))))/10))*1+1</f>
        <v>106 to 706</v>
      </c>
      <c r="B257" s="114"/>
      <c r="C257" s="39" t="s">
        <v>386</v>
      </c>
      <c r="D257" s="75">
        <f>(37.63)*10.764</f>
        <v>405.04932000000002</v>
      </c>
      <c r="E257" s="75">
        <f>(0.75*(2.75+2.1+2.75+2.75))*10.764</f>
        <v>83.555549999999982</v>
      </c>
      <c r="F257" s="39">
        <f t="shared" si="25"/>
        <v>488.60487000000001</v>
      </c>
      <c r="G257" s="39">
        <v>0</v>
      </c>
      <c r="H257" s="39">
        <f t="shared" si="26"/>
        <v>708.47706149999999</v>
      </c>
      <c r="I257" s="33"/>
      <c r="J257" s="33">
        <f>3599000/H257</f>
        <v>5079.9104100563745</v>
      </c>
    </row>
    <row r="258" spans="1:20" s="34" customFormat="1" ht="15.75" customHeight="1" x14ac:dyDescent="0.3">
      <c r="A258" s="113" t="str">
        <f ca="1">(SUMPRODUCT(MID(0&amp;(LEFT(A257,SUM(LEN(A257)-LEN(SUBSTITUTE(A257,{"0","1","2"},""))))), LARGE(INDEX(ISNUMBER(--MID((LEFT(A257,SUM(LEN(A257)-LEN(SUBSTITUTE(A257,{"0","1","2"},""))))), ROW(INDIRECT("1:"&amp;LEN((LEFT(A257,SUM(LEN(A257)-LEN(SUBSTITUTE(A257,{"0","1","2"},"")))))))), 1)) * ROW(INDIRECT("1:"&amp;LEN((LEFT(A257,SUM(LEN(A257)-LEN(SUBSTITUTE(A257,{"0","1","2"},"")))))))), 0), ROW(INDIRECT("1:"&amp;LEN((LEFT(A257,SUM(LEN(A257)-LEN(SUBSTITUTE(A257,{"0","1","2"},"")))))))))+1, 1) * 10^ROW(INDIRECT("1:"&amp;LEN((LEFT(A257,SUM(LEN(A257)-LEN(SUBSTITUTE(A257,{"0","1","2"},""))))))))/10))*1+1&amp;""&amp;" to "&amp;""&amp;(SUMPRODUCT(MID(0&amp;(--TRIM(RIGHT(SUBSTITUTE(LEFT(A257,_xlfn.AGGREGATE(16,6,FIND({0,1,2,3,4,5,6,7,8,9},A257,ROW(INDIRECT("1:"&amp;LEN(A257)))),1))," ",REPT(" ",LEN(A257))),LEN(A257)))), LARGE(INDEX(ISNUMBER(--MID((--TRIM(RIGHT(SUBSTITUTE(LEFT(A257,_xlfn.AGGREGATE(16,6,FIND({0,1,2,3,4,5,6,7,8,9},A257,ROW(INDIRECT("1:"&amp;LEN(A257)))),1))," ",REPT(" ",LEN(A257))),LEN(A257)))), ROW(INDIRECT("1:"&amp;LEN((--TRIM(RIGHT(SUBSTITUTE(LEFT(A257,_xlfn.AGGREGATE(16,6,FIND({0,1,2,3,4,5,6,7,8,9},A257,ROW(INDIRECT("1:"&amp;LEN(A257)))),1))," ",REPT(" ",LEN(A257))),LEN(A257))))))), 1)) * ROW(INDIRECT("1:"&amp;LEN((--TRIM(RIGHT(SUBSTITUTE(LEFT(A257,_xlfn.AGGREGATE(16,6,FIND({0,1,2,3,4,5,6,7,8,9},A257,ROW(INDIRECT("1:"&amp;LEN(A257)))),1))," ",REPT(" ",LEN(A257))),LEN(A257))))))), 0), ROW(INDIRECT("1:"&amp;LEN((--TRIM(RIGHT(SUBSTITUTE(LEFT(A257,_xlfn.AGGREGATE(16,6,FIND({0,1,2,3,4,5,6,7,8,9},A257,ROW(INDIRECT("1:"&amp;LEN(A257)))),1))," ",REPT(" ",LEN(A257))),LEN(A257))))))))+1, 1) * 10^ROW(INDIRECT("1:"&amp;LEN((--TRIM(RIGHT(SUBSTITUTE(LEFT(A257,_xlfn.AGGREGATE(16,6,FIND({0,1,2,3,4,5,6,7,8,9},A257,ROW(INDIRECT("1:"&amp;LEN(A257)))),1))," ",REPT(" ",LEN(A257))),LEN(A257)))))))/10))*1+1</f>
        <v>107 to 707</v>
      </c>
      <c r="B258" s="114"/>
      <c r="C258" s="39" t="s">
        <v>385</v>
      </c>
      <c r="D258" s="75">
        <f>(27.03)*10.764</f>
        <v>290.95092</v>
      </c>
      <c r="E258" s="75">
        <f t="shared" ref="E258:E259" si="28">(0.75*(2.75+2.35+2.75))*10.764</f>
        <v>63.373049999999985</v>
      </c>
      <c r="F258" s="39">
        <f t="shared" si="25"/>
        <v>354.32396999999997</v>
      </c>
      <c r="G258" s="39">
        <v>0</v>
      </c>
      <c r="H258" s="39">
        <f t="shared" si="26"/>
        <v>513.76975649999997</v>
      </c>
      <c r="I258" s="33"/>
    </row>
    <row r="259" spans="1:20" s="34" customFormat="1" ht="15.75" customHeight="1" x14ac:dyDescent="0.3">
      <c r="A259" s="113" t="str">
        <f ca="1">(SUMPRODUCT(MID(0&amp;(LEFT(A258,SUM(LEN(A258)-LEN(SUBSTITUTE(A258,{"0","1","2"},""))))), LARGE(INDEX(ISNUMBER(--MID((LEFT(A258,SUM(LEN(A258)-LEN(SUBSTITUTE(A258,{"0","1","2"},""))))), ROW(INDIRECT("1:"&amp;LEN((LEFT(A258,SUM(LEN(A258)-LEN(SUBSTITUTE(A258,{"0","1","2"},"")))))))), 1)) * ROW(INDIRECT("1:"&amp;LEN((LEFT(A258,SUM(LEN(A258)-LEN(SUBSTITUTE(A258,{"0","1","2"},"")))))))), 0), ROW(INDIRECT("1:"&amp;LEN((LEFT(A258,SUM(LEN(A258)-LEN(SUBSTITUTE(A258,{"0","1","2"},"")))))))))+1, 1) * 10^ROW(INDIRECT("1:"&amp;LEN((LEFT(A258,SUM(LEN(A258)-LEN(SUBSTITUTE(A258,{"0","1","2"},""))))))))/10))*1+1&amp;""&amp;" to "&amp;""&amp;(SUMPRODUCT(MID(0&amp;(--TRIM(RIGHT(SUBSTITUTE(LEFT(A258,_xlfn.AGGREGATE(16,6,FIND({0,1,2,3,4,5,6,7,8,9},A258,ROW(INDIRECT("1:"&amp;LEN(A258)))),1))," ",REPT(" ",LEN(A258))),LEN(A258)))), LARGE(INDEX(ISNUMBER(--MID((--TRIM(RIGHT(SUBSTITUTE(LEFT(A258,_xlfn.AGGREGATE(16,6,FIND({0,1,2,3,4,5,6,7,8,9},A258,ROW(INDIRECT("1:"&amp;LEN(A258)))),1))," ",REPT(" ",LEN(A258))),LEN(A258)))), ROW(INDIRECT("1:"&amp;LEN((--TRIM(RIGHT(SUBSTITUTE(LEFT(A258,_xlfn.AGGREGATE(16,6,FIND({0,1,2,3,4,5,6,7,8,9},A258,ROW(INDIRECT("1:"&amp;LEN(A258)))),1))," ",REPT(" ",LEN(A258))),LEN(A258))))))), 1)) * ROW(INDIRECT("1:"&amp;LEN((--TRIM(RIGHT(SUBSTITUTE(LEFT(A258,_xlfn.AGGREGATE(16,6,FIND({0,1,2,3,4,5,6,7,8,9},A258,ROW(INDIRECT("1:"&amp;LEN(A258)))),1))," ",REPT(" ",LEN(A258))),LEN(A258))))))), 0), ROW(INDIRECT("1:"&amp;LEN((--TRIM(RIGHT(SUBSTITUTE(LEFT(A258,_xlfn.AGGREGATE(16,6,FIND({0,1,2,3,4,5,6,7,8,9},A258,ROW(INDIRECT("1:"&amp;LEN(A258)))),1))," ",REPT(" ",LEN(A258))),LEN(A258))))))))+1, 1) * 10^ROW(INDIRECT("1:"&amp;LEN((--TRIM(RIGHT(SUBSTITUTE(LEFT(A258,_xlfn.AGGREGATE(16,6,FIND({0,1,2,3,4,5,6,7,8,9},A258,ROW(INDIRECT("1:"&amp;LEN(A258)))),1))," ",REPT(" ",LEN(A258))),LEN(A258)))))))/10))*1+1</f>
        <v>108 to 708</v>
      </c>
      <c r="B259" s="114"/>
      <c r="C259" s="39" t="s">
        <v>385</v>
      </c>
      <c r="D259" s="75">
        <f>(27.03)*10.764</f>
        <v>290.95092</v>
      </c>
      <c r="E259" s="75">
        <f t="shared" si="28"/>
        <v>63.373049999999985</v>
      </c>
      <c r="F259" s="39">
        <f t="shared" si="25"/>
        <v>354.32396999999997</v>
      </c>
      <c r="G259" s="39">
        <v>0</v>
      </c>
      <c r="H259" s="39">
        <f t="shared" si="26"/>
        <v>513.76975649999997</v>
      </c>
      <c r="I259" s="33"/>
    </row>
    <row r="260" spans="1:20" s="34" customFormat="1" ht="15.75" customHeight="1" x14ac:dyDescent="0.3">
      <c r="A260" s="113" t="str">
        <f ca="1">(SUMPRODUCT(MID(0&amp;(LEFT(A259,SUM(LEN(A259)-LEN(SUBSTITUTE(A259,{"0","1","2"},""))))), LARGE(INDEX(ISNUMBER(--MID((LEFT(A259,SUM(LEN(A259)-LEN(SUBSTITUTE(A259,{"0","1","2"},""))))), ROW(INDIRECT("1:"&amp;LEN((LEFT(A259,SUM(LEN(A259)-LEN(SUBSTITUTE(A259,{"0","1","2"},"")))))))), 1)) * ROW(INDIRECT("1:"&amp;LEN((LEFT(A259,SUM(LEN(A259)-LEN(SUBSTITUTE(A259,{"0","1","2"},"")))))))), 0), ROW(INDIRECT("1:"&amp;LEN((LEFT(A259,SUM(LEN(A259)-LEN(SUBSTITUTE(A259,{"0","1","2"},"")))))))))+1, 1) * 10^ROW(INDIRECT("1:"&amp;LEN((LEFT(A259,SUM(LEN(A259)-LEN(SUBSTITUTE(A259,{"0","1","2"},""))))))))/10))*1+1&amp;""&amp;" to "&amp;""&amp;(SUMPRODUCT(MID(0&amp;(--TRIM(RIGHT(SUBSTITUTE(LEFT(A259,_xlfn.AGGREGATE(16,6,FIND({0,1,2,3,4,5,6,7,8,9},A259,ROW(INDIRECT("1:"&amp;LEN(A259)))),1))," ",REPT(" ",LEN(A259))),LEN(A259)))), LARGE(INDEX(ISNUMBER(--MID((--TRIM(RIGHT(SUBSTITUTE(LEFT(A259,_xlfn.AGGREGATE(16,6,FIND({0,1,2,3,4,5,6,7,8,9},A259,ROW(INDIRECT("1:"&amp;LEN(A259)))),1))," ",REPT(" ",LEN(A259))),LEN(A259)))), ROW(INDIRECT("1:"&amp;LEN((--TRIM(RIGHT(SUBSTITUTE(LEFT(A259,_xlfn.AGGREGATE(16,6,FIND({0,1,2,3,4,5,6,7,8,9},A259,ROW(INDIRECT("1:"&amp;LEN(A259)))),1))," ",REPT(" ",LEN(A259))),LEN(A259))))))), 1)) * ROW(INDIRECT("1:"&amp;LEN((--TRIM(RIGHT(SUBSTITUTE(LEFT(A259,_xlfn.AGGREGATE(16,6,FIND({0,1,2,3,4,5,6,7,8,9},A259,ROW(INDIRECT("1:"&amp;LEN(A259)))),1))," ",REPT(" ",LEN(A259))),LEN(A259))))))), 0), ROW(INDIRECT("1:"&amp;LEN((--TRIM(RIGHT(SUBSTITUTE(LEFT(A259,_xlfn.AGGREGATE(16,6,FIND({0,1,2,3,4,5,6,7,8,9},A259,ROW(INDIRECT("1:"&amp;LEN(A259)))),1))," ",REPT(" ",LEN(A259))),LEN(A259))))))))+1, 1) * 10^ROW(INDIRECT("1:"&amp;LEN((--TRIM(RIGHT(SUBSTITUTE(LEFT(A259,_xlfn.AGGREGATE(16,6,FIND({0,1,2,3,4,5,6,7,8,9},A259,ROW(INDIRECT("1:"&amp;LEN(A259)))),1))," ",REPT(" ",LEN(A259))),LEN(A259)))))))/10))*1+1</f>
        <v>109 to 709</v>
      </c>
      <c r="B260" s="114"/>
      <c r="C260" s="39" t="s">
        <v>386</v>
      </c>
      <c r="D260" s="75">
        <f>(37.63)*10.764</f>
        <v>405.04932000000002</v>
      </c>
      <c r="E260" s="75">
        <f>(0.75*(2.75+2.1+2.75+2.75))*10.764</f>
        <v>83.555549999999982</v>
      </c>
      <c r="F260" s="39">
        <f t="shared" si="25"/>
        <v>488.60487000000001</v>
      </c>
      <c r="G260" s="39">
        <v>0</v>
      </c>
      <c r="H260" s="39">
        <f t="shared" si="26"/>
        <v>708.47706149999999</v>
      </c>
      <c r="I260" s="33"/>
    </row>
    <row r="261" spans="1:20" s="34" customFormat="1" ht="15.75" customHeight="1" x14ac:dyDescent="0.3">
      <c r="A261" s="113" t="str">
        <f ca="1">(SUMPRODUCT(MID(0&amp;(LEFT(A260,SUM(LEN(A260)-LEN(SUBSTITUTE(A260,{"0","1","2"},""))))), LARGE(INDEX(ISNUMBER(--MID((LEFT(A260,SUM(LEN(A260)-LEN(SUBSTITUTE(A260,{"0","1","2"},""))))), ROW(INDIRECT("1:"&amp;LEN((LEFT(A260,SUM(LEN(A260)-LEN(SUBSTITUTE(A260,{"0","1","2"},"")))))))), 1)) * ROW(INDIRECT("1:"&amp;LEN((LEFT(A260,SUM(LEN(A260)-LEN(SUBSTITUTE(A260,{"0","1","2"},"")))))))), 0), ROW(INDIRECT("1:"&amp;LEN((LEFT(A260,SUM(LEN(A260)-LEN(SUBSTITUTE(A260,{"0","1","2"},"")))))))))+1, 1) * 10^ROW(INDIRECT("1:"&amp;LEN((LEFT(A260,SUM(LEN(A260)-LEN(SUBSTITUTE(A260,{"0","1","2"},""))))))))/10))*1+1&amp;""&amp;" to "&amp;""&amp;(SUMPRODUCT(MID(0&amp;(--TRIM(RIGHT(SUBSTITUTE(LEFT(A260,_xlfn.AGGREGATE(16,6,FIND({0,1,2,3,4,5,6,7,8,9},A260,ROW(INDIRECT("1:"&amp;LEN(A260)))),1))," ",REPT(" ",LEN(A260))),LEN(A260)))), LARGE(INDEX(ISNUMBER(--MID((--TRIM(RIGHT(SUBSTITUTE(LEFT(A260,_xlfn.AGGREGATE(16,6,FIND({0,1,2,3,4,5,6,7,8,9},A260,ROW(INDIRECT("1:"&amp;LEN(A260)))),1))," ",REPT(" ",LEN(A260))),LEN(A260)))), ROW(INDIRECT("1:"&amp;LEN((--TRIM(RIGHT(SUBSTITUTE(LEFT(A260,_xlfn.AGGREGATE(16,6,FIND({0,1,2,3,4,5,6,7,8,9},A260,ROW(INDIRECT("1:"&amp;LEN(A260)))),1))," ",REPT(" ",LEN(A260))),LEN(A260))))))), 1)) * ROW(INDIRECT("1:"&amp;LEN((--TRIM(RIGHT(SUBSTITUTE(LEFT(A260,_xlfn.AGGREGATE(16,6,FIND({0,1,2,3,4,5,6,7,8,9},A260,ROW(INDIRECT("1:"&amp;LEN(A260)))),1))," ",REPT(" ",LEN(A260))),LEN(A260))))))), 0), ROW(INDIRECT("1:"&amp;LEN((--TRIM(RIGHT(SUBSTITUTE(LEFT(A260,_xlfn.AGGREGATE(16,6,FIND({0,1,2,3,4,5,6,7,8,9},A260,ROW(INDIRECT("1:"&amp;LEN(A260)))),1))," ",REPT(" ",LEN(A260))),LEN(A260))))))))+1, 1) * 10^ROW(INDIRECT("1:"&amp;LEN((--TRIM(RIGHT(SUBSTITUTE(LEFT(A260,_xlfn.AGGREGATE(16,6,FIND({0,1,2,3,4,5,6,7,8,9},A260,ROW(INDIRECT("1:"&amp;LEN(A260)))),1))," ",REPT(" ",LEN(A260))),LEN(A260)))))))/10))*1+1</f>
        <v>110 to 710</v>
      </c>
      <c r="B261" s="114"/>
      <c r="C261" s="39" t="s">
        <v>386</v>
      </c>
      <c r="D261" s="75">
        <f>(37.63)*10.764</f>
        <v>405.04932000000002</v>
      </c>
      <c r="E261" s="75">
        <f>(0.75*(2.75+2.1+2.75+2.75))*10.764</f>
        <v>83.555549999999982</v>
      </c>
      <c r="F261" s="39">
        <f t="shared" si="25"/>
        <v>488.60487000000001</v>
      </c>
      <c r="G261" s="39">
        <v>0</v>
      </c>
      <c r="H261" s="39">
        <f t="shared" si="26"/>
        <v>708.47706149999999</v>
      </c>
      <c r="I261" s="33"/>
    </row>
    <row r="262" spans="1:20" s="34" customFormat="1" ht="15.75" customHeight="1" x14ac:dyDescent="0.3">
      <c r="A262" s="113" t="str">
        <f ca="1">(SUMPRODUCT(MID(0&amp;(LEFT(A261,SUM(LEN(A261)-LEN(SUBSTITUTE(A261,{"0","1","2"},""))))), LARGE(INDEX(ISNUMBER(--MID((LEFT(A261,SUM(LEN(A261)-LEN(SUBSTITUTE(A261,{"0","1","2"},""))))), ROW(INDIRECT("1:"&amp;LEN((LEFT(A261,SUM(LEN(A261)-LEN(SUBSTITUTE(A261,{"0","1","2"},"")))))))), 1)) * ROW(INDIRECT("1:"&amp;LEN((LEFT(A261,SUM(LEN(A261)-LEN(SUBSTITUTE(A261,{"0","1","2"},"")))))))), 0), ROW(INDIRECT("1:"&amp;LEN((LEFT(A261,SUM(LEN(A261)-LEN(SUBSTITUTE(A261,{"0","1","2"},"")))))))))+1, 1) * 10^ROW(INDIRECT("1:"&amp;LEN((LEFT(A261,SUM(LEN(A261)-LEN(SUBSTITUTE(A261,{"0","1","2"},""))))))))/10))*1+1&amp;""&amp;" to "&amp;""&amp;(SUMPRODUCT(MID(0&amp;(--TRIM(RIGHT(SUBSTITUTE(LEFT(A261,_xlfn.AGGREGATE(16,6,FIND({0,1,2,3,4,5,6,7,8,9},A261,ROW(INDIRECT("1:"&amp;LEN(A261)))),1))," ",REPT(" ",LEN(A261))),LEN(A261)))), LARGE(INDEX(ISNUMBER(--MID((--TRIM(RIGHT(SUBSTITUTE(LEFT(A261,_xlfn.AGGREGATE(16,6,FIND({0,1,2,3,4,5,6,7,8,9},A261,ROW(INDIRECT("1:"&amp;LEN(A261)))),1))," ",REPT(" ",LEN(A261))),LEN(A261)))), ROW(INDIRECT("1:"&amp;LEN((--TRIM(RIGHT(SUBSTITUTE(LEFT(A261,_xlfn.AGGREGATE(16,6,FIND({0,1,2,3,4,5,6,7,8,9},A261,ROW(INDIRECT("1:"&amp;LEN(A261)))),1))," ",REPT(" ",LEN(A261))),LEN(A261))))))), 1)) * ROW(INDIRECT("1:"&amp;LEN((--TRIM(RIGHT(SUBSTITUTE(LEFT(A261,_xlfn.AGGREGATE(16,6,FIND({0,1,2,3,4,5,6,7,8,9},A261,ROW(INDIRECT("1:"&amp;LEN(A261)))),1))," ",REPT(" ",LEN(A261))),LEN(A261))))))), 0), ROW(INDIRECT("1:"&amp;LEN((--TRIM(RIGHT(SUBSTITUTE(LEFT(A261,_xlfn.AGGREGATE(16,6,FIND({0,1,2,3,4,5,6,7,8,9},A261,ROW(INDIRECT("1:"&amp;LEN(A261)))),1))," ",REPT(" ",LEN(A261))),LEN(A261))))))))+1, 1) * 10^ROW(INDIRECT("1:"&amp;LEN((--TRIM(RIGHT(SUBSTITUTE(LEFT(A261,_xlfn.AGGREGATE(16,6,FIND({0,1,2,3,4,5,6,7,8,9},A261,ROW(INDIRECT("1:"&amp;LEN(A261)))),1))," ",REPT(" ",LEN(A261))),LEN(A261)))))))/10))*1+1</f>
        <v>111 to 711</v>
      </c>
      <c r="B262" s="114"/>
      <c r="C262" s="39" t="s">
        <v>385</v>
      </c>
      <c r="D262" s="75">
        <f>(27.03)*10.764</f>
        <v>290.95092</v>
      </c>
      <c r="E262" s="75">
        <f>(0.75*(2.75+2.35+2.75))*10.764</f>
        <v>63.373049999999985</v>
      </c>
      <c r="F262" s="39">
        <f t="shared" si="25"/>
        <v>354.32396999999997</v>
      </c>
      <c r="G262" s="39">
        <v>0</v>
      </c>
      <c r="H262" s="39">
        <f t="shared" si="26"/>
        <v>513.76975649999997</v>
      </c>
      <c r="I262" s="33"/>
    </row>
    <row r="263" spans="1:20" s="34" customFormat="1" ht="15.75" customHeight="1" x14ac:dyDescent="0.3">
      <c r="A263" s="113" t="str">
        <f ca="1">(SUMPRODUCT(MID(0&amp;(LEFT(A262,SUM(LEN(A262)-LEN(SUBSTITUTE(A262,{"0","1","2"},""))))), LARGE(INDEX(ISNUMBER(--MID((LEFT(A262,SUM(LEN(A262)-LEN(SUBSTITUTE(A262,{"0","1","2"},""))))), ROW(INDIRECT("1:"&amp;LEN((LEFT(A262,SUM(LEN(A262)-LEN(SUBSTITUTE(A262,{"0","1","2"},"")))))))), 1)) * ROW(INDIRECT("1:"&amp;LEN((LEFT(A262,SUM(LEN(A262)-LEN(SUBSTITUTE(A262,{"0","1","2"},"")))))))), 0), ROW(INDIRECT("1:"&amp;LEN((LEFT(A262,SUM(LEN(A262)-LEN(SUBSTITUTE(A262,{"0","1","2"},"")))))))))+1, 1) * 10^ROW(INDIRECT("1:"&amp;LEN((LEFT(A262,SUM(LEN(A262)-LEN(SUBSTITUTE(A262,{"0","1","2"},""))))))))/10))*1+1&amp;""&amp;" to "&amp;""&amp;(SUMPRODUCT(MID(0&amp;(--TRIM(RIGHT(SUBSTITUTE(LEFT(A262,_xlfn.AGGREGATE(16,6,FIND({0,1,2,3,4,5,6,7,8,9},A262,ROW(INDIRECT("1:"&amp;LEN(A262)))),1))," ",REPT(" ",LEN(A262))),LEN(A262)))), LARGE(INDEX(ISNUMBER(--MID((--TRIM(RIGHT(SUBSTITUTE(LEFT(A262,_xlfn.AGGREGATE(16,6,FIND({0,1,2,3,4,5,6,7,8,9},A262,ROW(INDIRECT("1:"&amp;LEN(A262)))),1))," ",REPT(" ",LEN(A262))),LEN(A262)))), ROW(INDIRECT("1:"&amp;LEN((--TRIM(RIGHT(SUBSTITUTE(LEFT(A262,_xlfn.AGGREGATE(16,6,FIND({0,1,2,3,4,5,6,7,8,9},A262,ROW(INDIRECT("1:"&amp;LEN(A262)))),1))," ",REPT(" ",LEN(A262))),LEN(A262))))))), 1)) * ROW(INDIRECT("1:"&amp;LEN((--TRIM(RIGHT(SUBSTITUTE(LEFT(A262,_xlfn.AGGREGATE(16,6,FIND({0,1,2,3,4,5,6,7,8,9},A262,ROW(INDIRECT("1:"&amp;LEN(A262)))),1))," ",REPT(" ",LEN(A262))),LEN(A262))))))), 0), ROW(INDIRECT("1:"&amp;LEN((--TRIM(RIGHT(SUBSTITUTE(LEFT(A262,_xlfn.AGGREGATE(16,6,FIND({0,1,2,3,4,5,6,7,8,9},A262,ROW(INDIRECT("1:"&amp;LEN(A262)))),1))," ",REPT(" ",LEN(A262))),LEN(A262))))))))+1, 1) * 10^ROW(INDIRECT("1:"&amp;LEN((--TRIM(RIGHT(SUBSTITUTE(LEFT(A262,_xlfn.AGGREGATE(16,6,FIND({0,1,2,3,4,5,6,7,8,9},A262,ROW(INDIRECT("1:"&amp;LEN(A262)))),1))," ",REPT(" ",LEN(A262))),LEN(A262)))))))/10))*1+1</f>
        <v>112 to 712</v>
      </c>
      <c r="B263" s="114"/>
      <c r="C263" s="39" t="s">
        <v>385</v>
      </c>
      <c r="D263" s="75">
        <f>(27.03)*10.764</f>
        <v>290.95092</v>
      </c>
      <c r="E263" s="75">
        <f t="shared" ref="E263" si="29">(0.75*(2.75+2.35+2.75))*10.764</f>
        <v>63.373049999999985</v>
      </c>
      <c r="F263" s="39">
        <f t="shared" si="25"/>
        <v>354.32396999999997</v>
      </c>
      <c r="G263" s="39">
        <v>0</v>
      </c>
      <c r="H263" s="39">
        <f t="shared" si="26"/>
        <v>513.76975649999997</v>
      </c>
      <c r="I263" s="33"/>
    </row>
    <row r="264" spans="1:20" s="34" customFormat="1" x14ac:dyDescent="0.3">
      <c r="A264" s="206" t="s">
        <v>388</v>
      </c>
      <c r="B264" s="207"/>
      <c r="C264" s="207"/>
      <c r="D264" s="207"/>
      <c r="E264" s="207"/>
      <c r="F264" s="207"/>
      <c r="G264" s="207"/>
      <c r="H264" s="208"/>
      <c r="J264" s="33"/>
      <c r="T264" s="32"/>
    </row>
    <row r="265" spans="1:20" s="34" customFormat="1" x14ac:dyDescent="0.3">
      <c r="A265" s="206" t="s">
        <v>384</v>
      </c>
      <c r="B265" s="207"/>
      <c r="C265" s="207"/>
      <c r="D265" s="207"/>
      <c r="E265" s="207"/>
      <c r="F265" s="207"/>
      <c r="G265" s="207"/>
      <c r="H265" s="208"/>
      <c r="I265" s="33"/>
    </row>
    <row r="266" spans="1:20" s="34" customFormat="1" ht="15.75" customHeight="1" x14ac:dyDescent="0.3">
      <c r="A266" s="113" t="str">
        <f ca="1">(SUMPRODUCT(MID(0&amp;(LEFT(A265,SUM(LEN(A265)-LEN(SUBSTITUTE(A265,{"0","1","2"},""))))), LARGE(INDEX(ISNUMBER(--MID((LEFT(A265,SUM(LEN(A265)-LEN(SUBSTITUTE(A265,{"0","1","2"},""))))), ROW(INDIRECT("1:"&amp;LEN((LEFT(A265,SUM(LEN(A265)-LEN(SUBSTITUTE(A265,{"0","1","2"},"")))))))), 1)) * ROW(INDIRECT("1:"&amp;LEN((LEFT(A265,SUM(LEN(A265)-LEN(SUBSTITUTE(A265,{"0","1","2"},"")))))))), 0), ROW(INDIRECT("1:"&amp;LEN((LEFT(A265,SUM(LEN(A265)-LEN(SUBSTITUTE(A265,{"0","1","2"},"")))))))))+1, 1) * 10^ROW(INDIRECT("1:"&amp;LEN((LEFT(A265,SUM(LEN(A265)-LEN(SUBSTITUTE(A265,{"0","1","2"},""))))))))/10))*100+1&amp;""&amp;" to "&amp;""&amp;(SUMPRODUCT(MID(0&amp;(--TRIM(RIGHT(SUBSTITUTE(LEFT(A265,_xlfn.AGGREGATE(16,6,FIND({0,1,2,3,4,5,6,7,8,9},A265,ROW(INDIRECT("1:"&amp;LEN(A265)))),1))," ",REPT(" ",LEN(A265))),LEN(A265)))), LARGE(INDEX(ISNUMBER(--MID((--TRIM(RIGHT(SUBSTITUTE(LEFT(A265,_xlfn.AGGREGATE(16,6,FIND({0,1,2,3,4,5,6,7,8,9},A265,ROW(INDIRECT("1:"&amp;LEN(A265)))),1))," ",REPT(" ",LEN(A265))),LEN(A265)))), ROW(INDIRECT("1:"&amp;LEN((--TRIM(RIGHT(SUBSTITUTE(LEFT(A265,_xlfn.AGGREGATE(16,6,FIND({0,1,2,3,4,5,6,7,8,9},A265,ROW(INDIRECT("1:"&amp;LEN(A265)))),1))," ",REPT(" ",LEN(A265))),LEN(A265))))))), 1)) * ROW(INDIRECT("1:"&amp;LEN((--TRIM(RIGHT(SUBSTITUTE(LEFT(A265,_xlfn.AGGREGATE(16,6,FIND({0,1,2,3,4,5,6,7,8,9},A265,ROW(INDIRECT("1:"&amp;LEN(A265)))),1))," ",REPT(" ",LEN(A265))),LEN(A265))))))), 0), ROW(INDIRECT("1:"&amp;LEN((--TRIM(RIGHT(SUBSTITUTE(LEFT(A265,_xlfn.AGGREGATE(16,6,FIND({0,1,2,3,4,5,6,7,8,9},A265,ROW(INDIRECT("1:"&amp;LEN(A265)))),1))," ",REPT(" ",LEN(A265))),LEN(A265))))))))+1, 1) * 10^ROW(INDIRECT("1:"&amp;LEN((--TRIM(RIGHT(SUBSTITUTE(LEFT(A265,_xlfn.AGGREGATE(16,6,FIND({0,1,2,3,4,5,6,7,8,9},A265,ROW(INDIRECT("1:"&amp;LEN(A265)))),1))," ",REPT(" ",LEN(A265))),LEN(A265)))))))/10))*100+1</f>
        <v>101 to 701</v>
      </c>
      <c r="B266" s="114"/>
      <c r="C266" s="39" t="s">
        <v>385</v>
      </c>
      <c r="D266" s="75">
        <f>(27.03)*10.764</f>
        <v>290.95092</v>
      </c>
      <c r="E266" s="75">
        <f>(0.75*(2.75+2.35+2.75))*10.764</f>
        <v>63.373049999999985</v>
      </c>
      <c r="F266" s="39">
        <f t="shared" ref="F266:F277" si="30">D266+E266</f>
        <v>354.32396999999997</v>
      </c>
      <c r="G266" s="39">
        <v>0</v>
      </c>
      <c r="H266" s="39">
        <f t="shared" ref="H266:H277" si="31">F266*(($H$222)+1)+(IF(G266&lt;101,G266,IF(G266&lt;201,G266/2,IF(G266&lt;=301,G266/3,G266/4))))</f>
        <v>513.76975649999997</v>
      </c>
      <c r="I266" s="33"/>
    </row>
    <row r="267" spans="1:20" s="34" customFormat="1" ht="15.75" customHeight="1" x14ac:dyDescent="0.3">
      <c r="A267" s="113" t="str">
        <f ca="1">(SUMPRODUCT(MID(0&amp;(LEFT(A266,SUM(LEN(A266)-LEN(SUBSTITUTE(A266,{"0","1","2"},""))))), LARGE(INDEX(ISNUMBER(--MID((LEFT(A266,SUM(LEN(A266)-LEN(SUBSTITUTE(A266,{"0","1","2"},""))))), ROW(INDIRECT("1:"&amp;LEN((LEFT(A266,SUM(LEN(A266)-LEN(SUBSTITUTE(A266,{"0","1","2"},"")))))))), 1)) * ROW(INDIRECT("1:"&amp;LEN((LEFT(A266,SUM(LEN(A266)-LEN(SUBSTITUTE(A266,{"0","1","2"},"")))))))), 0), ROW(INDIRECT("1:"&amp;LEN((LEFT(A266,SUM(LEN(A266)-LEN(SUBSTITUTE(A266,{"0","1","2"},"")))))))))+1, 1) * 10^ROW(INDIRECT("1:"&amp;LEN((LEFT(A266,SUM(LEN(A266)-LEN(SUBSTITUTE(A266,{"0","1","2"},""))))))))/10))*1+1&amp;""&amp;" to "&amp;""&amp;(SUMPRODUCT(MID(0&amp;(--TRIM(RIGHT(SUBSTITUTE(LEFT(A266,_xlfn.AGGREGATE(16,6,FIND({0,1,2,3,4,5,6,7,8,9},A266,ROW(INDIRECT("1:"&amp;LEN(A266)))),1))," ",REPT(" ",LEN(A266))),LEN(A266)))), LARGE(INDEX(ISNUMBER(--MID((--TRIM(RIGHT(SUBSTITUTE(LEFT(A266,_xlfn.AGGREGATE(16,6,FIND({0,1,2,3,4,5,6,7,8,9},A266,ROW(INDIRECT("1:"&amp;LEN(A266)))),1))," ",REPT(" ",LEN(A266))),LEN(A266)))), ROW(INDIRECT("1:"&amp;LEN((--TRIM(RIGHT(SUBSTITUTE(LEFT(A266,_xlfn.AGGREGATE(16,6,FIND({0,1,2,3,4,5,6,7,8,9},A266,ROW(INDIRECT("1:"&amp;LEN(A266)))),1))," ",REPT(" ",LEN(A266))),LEN(A266))))))), 1)) * ROW(INDIRECT("1:"&amp;LEN((--TRIM(RIGHT(SUBSTITUTE(LEFT(A266,_xlfn.AGGREGATE(16,6,FIND({0,1,2,3,4,5,6,7,8,9},A266,ROW(INDIRECT("1:"&amp;LEN(A266)))),1))," ",REPT(" ",LEN(A266))),LEN(A266))))))), 0), ROW(INDIRECT("1:"&amp;LEN((--TRIM(RIGHT(SUBSTITUTE(LEFT(A266,_xlfn.AGGREGATE(16,6,FIND({0,1,2,3,4,5,6,7,8,9},A266,ROW(INDIRECT("1:"&amp;LEN(A266)))),1))," ",REPT(" ",LEN(A266))),LEN(A266))))))))+1, 1) * 10^ROW(INDIRECT("1:"&amp;LEN((--TRIM(RIGHT(SUBSTITUTE(LEFT(A266,_xlfn.AGGREGATE(16,6,FIND({0,1,2,3,4,5,6,7,8,9},A266,ROW(INDIRECT("1:"&amp;LEN(A266)))),1))," ",REPT(" ",LEN(A266))),LEN(A266)))))))/10))*1+1</f>
        <v>102 to 702</v>
      </c>
      <c r="B267" s="114"/>
      <c r="C267" s="39" t="s">
        <v>385</v>
      </c>
      <c r="D267" s="75">
        <f>(27.03)*10.764</f>
        <v>290.95092</v>
      </c>
      <c r="E267" s="75">
        <f>(0.75*(2.75+2.35+2.75))*10.764</f>
        <v>63.373049999999985</v>
      </c>
      <c r="F267" s="39">
        <f t="shared" si="30"/>
        <v>354.32396999999997</v>
      </c>
      <c r="G267" s="39">
        <v>0</v>
      </c>
      <c r="H267" s="39">
        <f t="shared" si="31"/>
        <v>513.76975649999997</v>
      </c>
      <c r="I267" s="33"/>
    </row>
    <row r="268" spans="1:20" s="34" customFormat="1" ht="15.75" customHeight="1" x14ac:dyDescent="0.3">
      <c r="A268" s="113" t="str">
        <f ca="1">(SUMPRODUCT(MID(0&amp;(LEFT(A267,SUM(LEN(A267)-LEN(SUBSTITUTE(A267,{"0","1","2"},""))))), LARGE(INDEX(ISNUMBER(--MID((LEFT(A267,SUM(LEN(A267)-LEN(SUBSTITUTE(A267,{"0","1","2"},""))))), ROW(INDIRECT("1:"&amp;LEN((LEFT(A267,SUM(LEN(A267)-LEN(SUBSTITUTE(A267,{"0","1","2"},"")))))))), 1)) * ROW(INDIRECT("1:"&amp;LEN((LEFT(A267,SUM(LEN(A267)-LEN(SUBSTITUTE(A267,{"0","1","2"},"")))))))), 0), ROW(INDIRECT("1:"&amp;LEN((LEFT(A267,SUM(LEN(A267)-LEN(SUBSTITUTE(A267,{"0","1","2"},"")))))))))+1, 1) * 10^ROW(INDIRECT("1:"&amp;LEN((LEFT(A267,SUM(LEN(A267)-LEN(SUBSTITUTE(A267,{"0","1","2"},""))))))))/10))*1+1&amp;""&amp;" to "&amp;""&amp;(SUMPRODUCT(MID(0&amp;(--TRIM(RIGHT(SUBSTITUTE(LEFT(A267,_xlfn.AGGREGATE(16,6,FIND({0,1,2,3,4,5,6,7,8,9},A267,ROW(INDIRECT("1:"&amp;LEN(A267)))),1))," ",REPT(" ",LEN(A267))),LEN(A267)))), LARGE(INDEX(ISNUMBER(--MID((--TRIM(RIGHT(SUBSTITUTE(LEFT(A267,_xlfn.AGGREGATE(16,6,FIND({0,1,2,3,4,5,6,7,8,9},A267,ROW(INDIRECT("1:"&amp;LEN(A267)))),1))," ",REPT(" ",LEN(A267))),LEN(A267)))), ROW(INDIRECT("1:"&amp;LEN((--TRIM(RIGHT(SUBSTITUTE(LEFT(A267,_xlfn.AGGREGATE(16,6,FIND({0,1,2,3,4,5,6,7,8,9},A267,ROW(INDIRECT("1:"&amp;LEN(A267)))),1))," ",REPT(" ",LEN(A267))),LEN(A267))))))), 1)) * ROW(INDIRECT("1:"&amp;LEN((--TRIM(RIGHT(SUBSTITUTE(LEFT(A267,_xlfn.AGGREGATE(16,6,FIND({0,1,2,3,4,5,6,7,8,9},A267,ROW(INDIRECT("1:"&amp;LEN(A267)))),1))," ",REPT(" ",LEN(A267))),LEN(A267))))))), 0), ROW(INDIRECT("1:"&amp;LEN((--TRIM(RIGHT(SUBSTITUTE(LEFT(A267,_xlfn.AGGREGATE(16,6,FIND({0,1,2,3,4,5,6,7,8,9},A267,ROW(INDIRECT("1:"&amp;LEN(A267)))),1))," ",REPT(" ",LEN(A267))),LEN(A267))))))))+1, 1) * 10^ROW(INDIRECT("1:"&amp;LEN((--TRIM(RIGHT(SUBSTITUTE(LEFT(A267,_xlfn.AGGREGATE(16,6,FIND({0,1,2,3,4,5,6,7,8,9},A267,ROW(INDIRECT("1:"&amp;LEN(A267)))),1))," ",REPT(" ",LEN(A267))),LEN(A267)))))))/10))*1+1</f>
        <v>103 to 703</v>
      </c>
      <c r="B268" s="114"/>
      <c r="C268" s="39" t="s">
        <v>386</v>
      </c>
      <c r="D268" s="75">
        <f>(37.63)*10.764</f>
        <v>405.04932000000002</v>
      </c>
      <c r="E268" s="75">
        <f>(0.75*(2.75+2.1+2.75+2.75))*10.764</f>
        <v>83.555549999999982</v>
      </c>
      <c r="F268" s="39">
        <f t="shared" si="30"/>
        <v>488.60487000000001</v>
      </c>
      <c r="G268" s="39">
        <v>0</v>
      </c>
      <c r="H268" s="39">
        <f t="shared" si="31"/>
        <v>708.47706149999999</v>
      </c>
      <c r="I268" s="33"/>
    </row>
    <row r="269" spans="1:20" s="34" customFormat="1" ht="15.75" customHeight="1" x14ac:dyDescent="0.3">
      <c r="A269" s="113" t="str">
        <f ca="1">(SUMPRODUCT(MID(0&amp;(LEFT(A268,SUM(LEN(A268)-LEN(SUBSTITUTE(A268,{"0","1","2"},""))))), LARGE(INDEX(ISNUMBER(--MID((LEFT(A268,SUM(LEN(A268)-LEN(SUBSTITUTE(A268,{"0","1","2"},""))))), ROW(INDIRECT("1:"&amp;LEN((LEFT(A268,SUM(LEN(A268)-LEN(SUBSTITUTE(A268,{"0","1","2"},"")))))))), 1)) * ROW(INDIRECT("1:"&amp;LEN((LEFT(A268,SUM(LEN(A268)-LEN(SUBSTITUTE(A268,{"0","1","2"},"")))))))), 0), ROW(INDIRECT("1:"&amp;LEN((LEFT(A268,SUM(LEN(A268)-LEN(SUBSTITUTE(A268,{"0","1","2"},"")))))))))+1, 1) * 10^ROW(INDIRECT("1:"&amp;LEN((LEFT(A268,SUM(LEN(A268)-LEN(SUBSTITUTE(A268,{"0","1","2"},""))))))))/10))*1+1&amp;""&amp;" to "&amp;""&amp;(SUMPRODUCT(MID(0&amp;(--TRIM(RIGHT(SUBSTITUTE(LEFT(A268,_xlfn.AGGREGATE(16,6,FIND({0,1,2,3,4,5,6,7,8,9},A268,ROW(INDIRECT("1:"&amp;LEN(A268)))),1))," ",REPT(" ",LEN(A268))),LEN(A268)))), LARGE(INDEX(ISNUMBER(--MID((--TRIM(RIGHT(SUBSTITUTE(LEFT(A268,_xlfn.AGGREGATE(16,6,FIND({0,1,2,3,4,5,6,7,8,9},A268,ROW(INDIRECT("1:"&amp;LEN(A268)))),1))," ",REPT(" ",LEN(A268))),LEN(A268)))), ROW(INDIRECT("1:"&amp;LEN((--TRIM(RIGHT(SUBSTITUTE(LEFT(A268,_xlfn.AGGREGATE(16,6,FIND({0,1,2,3,4,5,6,7,8,9},A268,ROW(INDIRECT("1:"&amp;LEN(A268)))),1))," ",REPT(" ",LEN(A268))),LEN(A268))))))), 1)) * ROW(INDIRECT("1:"&amp;LEN((--TRIM(RIGHT(SUBSTITUTE(LEFT(A268,_xlfn.AGGREGATE(16,6,FIND({0,1,2,3,4,5,6,7,8,9},A268,ROW(INDIRECT("1:"&amp;LEN(A268)))),1))," ",REPT(" ",LEN(A268))),LEN(A268))))))), 0), ROW(INDIRECT("1:"&amp;LEN((--TRIM(RIGHT(SUBSTITUTE(LEFT(A268,_xlfn.AGGREGATE(16,6,FIND({0,1,2,3,4,5,6,7,8,9},A268,ROW(INDIRECT("1:"&amp;LEN(A268)))),1))," ",REPT(" ",LEN(A268))),LEN(A268))))))))+1, 1) * 10^ROW(INDIRECT("1:"&amp;LEN((--TRIM(RIGHT(SUBSTITUTE(LEFT(A268,_xlfn.AGGREGATE(16,6,FIND({0,1,2,3,4,5,6,7,8,9},A268,ROW(INDIRECT("1:"&amp;LEN(A268)))),1))," ",REPT(" ",LEN(A268))),LEN(A268)))))))/10))*1+1</f>
        <v>104 to 704</v>
      </c>
      <c r="B269" s="114"/>
      <c r="C269" s="39" t="s">
        <v>386</v>
      </c>
      <c r="D269" s="75">
        <f>(37.63)*10.764</f>
        <v>405.04932000000002</v>
      </c>
      <c r="E269" s="75">
        <f>(0.75*(2.75+2.1+2.75+2.75))*10.764</f>
        <v>83.555549999999982</v>
      </c>
      <c r="F269" s="39">
        <f t="shared" si="30"/>
        <v>488.60487000000001</v>
      </c>
      <c r="G269" s="39">
        <v>0</v>
      </c>
      <c r="H269" s="39">
        <f t="shared" si="31"/>
        <v>708.47706149999999</v>
      </c>
      <c r="I269" s="33"/>
    </row>
    <row r="270" spans="1:20" s="34" customFormat="1" ht="15.75" customHeight="1" x14ac:dyDescent="0.3">
      <c r="A270" s="113" t="str">
        <f ca="1">(SUMPRODUCT(MID(0&amp;(LEFT(A269,SUM(LEN(A269)-LEN(SUBSTITUTE(A269,{"0","1","2"},""))))), LARGE(INDEX(ISNUMBER(--MID((LEFT(A269,SUM(LEN(A269)-LEN(SUBSTITUTE(A269,{"0","1","2"},""))))), ROW(INDIRECT("1:"&amp;LEN((LEFT(A269,SUM(LEN(A269)-LEN(SUBSTITUTE(A269,{"0","1","2"},"")))))))), 1)) * ROW(INDIRECT("1:"&amp;LEN((LEFT(A269,SUM(LEN(A269)-LEN(SUBSTITUTE(A269,{"0","1","2"},"")))))))), 0), ROW(INDIRECT("1:"&amp;LEN((LEFT(A269,SUM(LEN(A269)-LEN(SUBSTITUTE(A269,{"0","1","2"},"")))))))))+1, 1) * 10^ROW(INDIRECT("1:"&amp;LEN((LEFT(A269,SUM(LEN(A269)-LEN(SUBSTITUTE(A269,{"0","1","2"},""))))))))/10))*1+1&amp;""&amp;" to "&amp;""&amp;(SUMPRODUCT(MID(0&amp;(--TRIM(RIGHT(SUBSTITUTE(LEFT(A269,_xlfn.AGGREGATE(16,6,FIND({0,1,2,3,4,5,6,7,8,9},A269,ROW(INDIRECT("1:"&amp;LEN(A269)))),1))," ",REPT(" ",LEN(A269))),LEN(A269)))), LARGE(INDEX(ISNUMBER(--MID((--TRIM(RIGHT(SUBSTITUTE(LEFT(A269,_xlfn.AGGREGATE(16,6,FIND({0,1,2,3,4,5,6,7,8,9},A269,ROW(INDIRECT("1:"&amp;LEN(A269)))),1))," ",REPT(" ",LEN(A269))),LEN(A269)))), ROW(INDIRECT("1:"&amp;LEN((--TRIM(RIGHT(SUBSTITUTE(LEFT(A269,_xlfn.AGGREGATE(16,6,FIND({0,1,2,3,4,5,6,7,8,9},A269,ROW(INDIRECT("1:"&amp;LEN(A269)))),1))," ",REPT(" ",LEN(A269))),LEN(A269))))))), 1)) * ROW(INDIRECT("1:"&amp;LEN((--TRIM(RIGHT(SUBSTITUTE(LEFT(A269,_xlfn.AGGREGATE(16,6,FIND({0,1,2,3,4,5,6,7,8,9},A269,ROW(INDIRECT("1:"&amp;LEN(A269)))),1))," ",REPT(" ",LEN(A269))),LEN(A269))))))), 0), ROW(INDIRECT("1:"&amp;LEN((--TRIM(RIGHT(SUBSTITUTE(LEFT(A269,_xlfn.AGGREGATE(16,6,FIND({0,1,2,3,4,5,6,7,8,9},A269,ROW(INDIRECT("1:"&amp;LEN(A269)))),1))," ",REPT(" ",LEN(A269))),LEN(A269))))))))+1, 1) * 10^ROW(INDIRECT("1:"&amp;LEN((--TRIM(RIGHT(SUBSTITUTE(LEFT(A269,_xlfn.AGGREGATE(16,6,FIND({0,1,2,3,4,5,6,7,8,9},A269,ROW(INDIRECT("1:"&amp;LEN(A269)))),1))," ",REPT(" ",LEN(A269))),LEN(A269)))))))/10))*1+1</f>
        <v>105 to 705</v>
      </c>
      <c r="B270" s="114"/>
      <c r="C270" s="39" t="s">
        <v>385</v>
      </c>
      <c r="D270" s="75">
        <f>(27.03)*10.764</f>
        <v>290.95092</v>
      </c>
      <c r="E270" s="75">
        <f>(0.75*(2.75+2.35+2.75))*10.764</f>
        <v>63.373049999999985</v>
      </c>
      <c r="F270" s="39">
        <f t="shared" si="30"/>
        <v>354.32396999999997</v>
      </c>
      <c r="G270" s="39">
        <v>0</v>
      </c>
      <c r="H270" s="39">
        <f t="shared" si="31"/>
        <v>513.76975649999997</v>
      </c>
      <c r="I270" s="33"/>
    </row>
    <row r="271" spans="1:20" s="34" customFormat="1" ht="15.75" customHeight="1" x14ac:dyDescent="0.3">
      <c r="A271" s="113" t="str">
        <f ca="1">(SUMPRODUCT(MID(0&amp;(LEFT(A270,SUM(LEN(A270)-LEN(SUBSTITUTE(A270,{"0","1","2"},""))))), LARGE(INDEX(ISNUMBER(--MID((LEFT(A270,SUM(LEN(A270)-LEN(SUBSTITUTE(A270,{"0","1","2"},""))))), ROW(INDIRECT("1:"&amp;LEN((LEFT(A270,SUM(LEN(A270)-LEN(SUBSTITUTE(A270,{"0","1","2"},"")))))))), 1)) * ROW(INDIRECT("1:"&amp;LEN((LEFT(A270,SUM(LEN(A270)-LEN(SUBSTITUTE(A270,{"0","1","2"},"")))))))), 0), ROW(INDIRECT("1:"&amp;LEN((LEFT(A270,SUM(LEN(A270)-LEN(SUBSTITUTE(A270,{"0","1","2"},"")))))))))+1, 1) * 10^ROW(INDIRECT("1:"&amp;LEN((LEFT(A270,SUM(LEN(A270)-LEN(SUBSTITUTE(A270,{"0","1","2"},""))))))))/10))*1+1&amp;""&amp;" to "&amp;""&amp;(SUMPRODUCT(MID(0&amp;(--TRIM(RIGHT(SUBSTITUTE(LEFT(A270,_xlfn.AGGREGATE(16,6,FIND({0,1,2,3,4,5,6,7,8,9},A270,ROW(INDIRECT("1:"&amp;LEN(A270)))),1))," ",REPT(" ",LEN(A270))),LEN(A270)))), LARGE(INDEX(ISNUMBER(--MID((--TRIM(RIGHT(SUBSTITUTE(LEFT(A270,_xlfn.AGGREGATE(16,6,FIND({0,1,2,3,4,5,6,7,8,9},A270,ROW(INDIRECT("1:"&amp;LEN(A270)))),1))," ",REPT(" ",LEN(A270))),LEN(A270)))), ROW(INDIRECT("1:"&amp;LEN((--TRIM(RIGHT(SUBSTITUTE(LEFT(A270,_xlfn.AGGREGATE(16,6,FIND({0,1,2,3,4,5,6,7,8,9},A270,ROW(INDIRECT("1:"&amp;LEN(A270)))),1))," ",REPT(" ",LEN(A270))),LEN(A270))))))), 1)) * ROW(INDIRECT("1:"&amp;LEN((--TRIM(RIGHT(SUBSTITUTE(LEFT(A270,_xlfn.AGGREGATE(16,6,FIND({0,1,2,3,4,5,6,7,8,9},A270,ROW(INDIRECT("1:"&amp;LEN(A270)))),1))," ",REPT(" ",LEN(A270))),LEN(A270))))))), 0), ROW(INDIRECT("1:"&amp;LEN((--TRIM(RIGHT(SUBSTITUTE(LEFT(A270,_xlfn.AGGREGATE(16,6,FIND({0,1,2,3,4,5,6,7,8,9},A270,ROW(INDIRECT("1:"&amp;LEN(A270)))),1))," ",REPT(" ",LEN(A270))),LEN(A270))))))))+1, 1) * 10^ROW(INDIRECT("1:"&amp;LEN((--TRIM(RIGHT(SUBSTITUTE(LEFT(A270,_xlfn.AGGREGATE(16,6,FIND({0,1,2,3,4,5,6,7,8,9},A270,ROW(INDIRECT("1:"&amp;LEN(A270)))),1))," ",REPT(" ",LEN(A270))),LEN(A270)))))))/10))*1+1</f>
        <v>106 to 706</v>
      </c>
      <c r="B271" s="114"/>
      <c r="C271" s="39" t="s">
        <v>385</v>
      </c>
      <c r="D271" s="75">
        <f>(27.03)*10.764</f>
        <v>290.95092</v>
      </c>
      <c r="E271" s="75">
        <f>(0.75*(2.75+2.35+2.75))*10.764</f>
        <v>63.373049999999985</v>
      </c>
      <c r="F271" s="39">
        <f t="shared" si="30"/>
        <v>354.32396999999997</v>
      </c>
      <c r="G271" s="39">
        <v>0</v>
      </c>
      <c r="H271" s="39">
        <f t="shared" si="31"/>
        <v>513.76975649999997</v>
      </c>
      <c r="I271" s="33"/>
    </row>
    <row r="272" spans="1:20" s="34" customFormat="1" ht="15.75" customHeight="1" x14ac:dyDescent="0.3">
      <c r="A272" s="113" t="str">
        <f ca="1">(SUMPRODUCT(MID(0&amp;(LEFT(A271,SUM(LEN(A271)-LEN(SUBSTITUTE(A271,{"0","1","2"},""))))), LARGE(INDEX(ISNUMBER(--MID((LEFT(A271,SUM(LEN(A271)-LEN(SUBSTITUTE(A271,{"0","1","2"},""))))), ROW(INDIRECT("1:"&amp;LEN((LEFT(A271,SUM(LEN(A271)-LEN(SUBSTITUTE(A271,{"0","1","2"},"")))))))), 1)) * ROW(INDIRECT("1:"&amp;LEN((LEFT(A271,SUM(LEN(A271)-LEN(SUBSTITUTE(A271,{"0","1","2"},"")))))))), 0), ROW(INDIRECT("1:"&amp;LEN((LEFT(A271,SUM(LEN(A271)-LEN(SUBSTITUTE(A271,{"0","1","2"},"")))))))))+1, 1) * 10^ROW(INDIRECT("1:"&amp;LEN((LEFT(A271,SUM(LEN(A271)-LEN(SUBSTITUTE(A271,{"0","1","2"},""))))))))/10))*1+1&amp;""&amp;" to "&amp;""&amp;(SUMPRODUCT(MID(0&amp;(--TRIM(RIGHT(SUBSTITUTE(LEFT(A271,_xlfn.AGGREGATE(16,6,FIND({0,1,2,3,4,5,6,7,8,9},A271,ROW(INDIRECT("1:"&amp;LEN(A271)))),1))," ",REPT(" ",LEN(A271))),LEN(A271)))), LARGE(INDEX(ISNUMBER(--MID((--TRIM(RIGHT(SUBSTITUTE(LEFT(A271,_xlfn.AGGREGATE(16,6,FIND({0,1,2,3,4,5,6,7,8,9},A271,ROW(INDIRECT("1:"&amp;LEN(A271)))),1))," ",REPT(" ",LEN(A271))),LEN(A271)))), ROW(INDIRECT("1:"&amp;LEN((--TRIM(RIGHT(SUBSTITUTE(LEFT(A271,_xlfn.AGGREGATE(16,6,FIND({0,1,2,3,4,5,6,7,8,9},A271,ROW(INDIRECT("1:"&amp;LEN(A271)))),1))," ",REPT(" ",LEN(A271))),LEN(A271))))))), 1)) * ROW(INDIRECT("1:"&amp;LEN((--TRIM(RIGHT(SUBSTITUTE(LEFT(A271,_xlfn.AGGREGATE(16,6,FIND({0,1,2,3,4,5,6,7,8,9},A271,ROW(INDIRECT("1:"&amp;LEN(A271)))),1))," ",REPT(" ",LEN(A271))),LEN(A271))))))), 0), ROW(INDIRECT("1:"&amp;LEN((--TRIM(RIGHT(SUBSTITUTE(LEFT(A271,_xlfn.AGGREGATE(16,6,FIND({0,1,2,3,4,5,6,7,8,9},A271,ROW(INDIRECT("1:"&amp;LEN(A271)))),1))," ",REPT(" ",LEN(A271))),LEN(A271))))))))+1, 1) * 10^ROW(INDIRECT("1:"&amp;LEN((--TRIM(RIGHT(SUBSTITUTE(LEFT(A271,_xlfn.AGGREGATE(16,6,FIND({0,1,2,3,4,5,6,7,8,9},A271,ROW(INDIRECT("1:"&amp;LEN(A271)))),1))," ",REPT(" ",LEN(A271))),LEN(A271)))))))/10))*1+1</f>
        <v>107 to 707</v>
      </c>
      <c r="B272" s="114"/>
      <c r="C272" s="39" t="s">
        <v>386</v>
      </c>
      <c r="D272" s="75">
        <f>(37.63)*10.764</f>
        <v>405.04932000000002</v>
      </c>
      <c r="E272" s="75">
        <f>(0.75*(2.75+2.1+2.75+2.75))*10.764</f>
        <v>83.555549999999982</v>
      </c>
      <c r="F272" s="39">
        <f t="shared" si="30"/>
        <v>488.60487000000001</v>
      </c>
      <c r="G272" s="39">
        <v>0</v>
      </c>
      <c r="H272" s="39">
        <f t="shared" si="31"/>
        <v>708.47706149999999</v>
      </c>
      <c r="I272" s="33"/>
    </row>
    <row r="273" spans="1:20" s="34" customFormat="1" ht="15.75" customHeight="1" x14ac:dyDescent="0.3">
      <c r="A273" s="113" t="str">
        <f ca="1">(SUMPRODUCT(MID(0&amp;(LEFT(A272,SUM(LEN(A272)-LEN(SUBSTITUTE(A272,{"0","1","2"},""))))), LARGE(INDEX(ISNUMBER(--MID((LEFT(A272,SUM(LEN(A272)-LEN(SUBSTITUTE(A272,{"0","1","2"},""))))), ROW(INDIRECT("1:"&amp;LEN((LEFT(A272,SUM(LEN(A272)-LEN(SUBSTITUTE(A272,{"0","1","2"},"")))))))), 1)) * ROW(INDIRECT("1:"&amp;LEN((LEFT(A272,SUM(LEN(A272)-LEN(SUBSTITUTE(A272,{"0","1","2"},"")))))))), 0), ROW(INDIRECT("1:"&amp;LEN((LEFT(A272,SUM(LEN(A272)-LEN(SUBSTITUTE(A272,{"0","1","2"},"")))))))))+1, 1) * 10^ROW(INDIRECT("1:"&amp;LEN((LEFT(A272,SUM(LEN(A272)-LEN(SUBSTITUTE(A272,{"0","1","2"},""))))))))/10))*1+1&amp;""&amp;" to "&amp;""&amp;(SUMPRODUCT(MID(0&amp;(--TRIM(RIGHT(SUBSTITUTE(LEFT(A272,_xlfn.AGGREGATE(16,6,FIND({0,1,2,3,4,5,6,7,8,9},A272,ROW(INDIRECT("1:"&amp;LEN(A272)))),1))," ",REPT(" ",LEN(A272))),LEN(A272)))), LARGE(INDEX(ISNUMBER(--MID((--TRIM(RIGHT(SUBSTITUTE(LEFT(A272,_xlfn.AGGREGATE(16,6,FIND({0,1,2,3,4,5,6,7,8,9},A272,ROW(INDIRECT("1:"&amp;LEN(A272)))),1))," ",REPT(" ",LEN(A272))),LEN(A272)))), ROW(INDIRECT("1:"&amp;LEN((--TRIM(RIGHT(SUBSTITUTE(LEFT(A272,_xlfn.AGGREGATE(16,6,FIND({0,1,2,3,4,5,6,7,8,9},A272,ROW(INDIRECT("1:"&amp;LEN(A272)))),1))," ",REPT(" ",LEN(A272))),LEN(A272))))))), 1)) * ROW(INDIRECT("1:"&amp;LEN((--TRIM(RIGHT(SUBSTITUTE(LEFT(A272,_xlfn.AGGREGATE(16,6,FIND({0,1,2,3,4,5,6,7,8,9},A272,ROW(INDIRECT("1:"&amp;LEN(A272)))),1))," ",REPT(" ",LEN(A272))),LEN(A272))))))), 0), ROW(INDIRECT("1:"&amp;LEN((--TRIM(RIGHT(SUBSTITUTE(LEFT(A272,_xlfn.AGGREGATE(16,6,FIND({0,1,2,3,4,5,6,7,8,9},A272,ROW(INDIRECT("1:"&amp;LEN(A272)))),1))," ",REPT(" ",LEN(A272))),LEN(A272))))))))+1, 1) * 10^ROW(INDIRECT("1:"&amp;LEN((--TRIM(RIGHT(SUBSTITUTE(LEFT(A272,_xlfn.AGGREGATE(16,6,FIND({0,1,2,3,4,5,6,7,8,9},A272,ROW(INDIRECT("1:"&amp;LEN(A272)))),1))," ",REPT(" ",LEN(A272))),LEN(A272)))))))/10))*1+1</f>
        <v>108 to 708</v>
      </c>
      <c r="B273" s="114"/>
      <c r="C273" s="39" t="s">
        <v>386</v>
      </c>
      <c r="D273" s="75">
        <f>(37.63)*10.764</f>
        <v>405.04932000000002</v>
      </c>
      <c r="E273" s="75">
        <f>(0.75*(2.75+2.1+2.75+2.75))*10.764</f>
        <v>83.555549999999982</v>
      </c>
      <c r="F273" s="39">
        <f t="shared" si="30"/>
        <v>488.60487000000001</v>
      </c>
      <c r="G273" s="39">
        <v>0</v>
      </c>
      <c r="H273" s="39">
        <f t="shared" si="31"/>
        <v>708.47706149999999</v>
      </c>
      <c r="I273" s="33"/>
    </row>
    <row r="274" spans="1:20" s="34" customFormat="1" ht="15.75" customHeight="1" x14ac:dyDescent="0.3">
      <c r="A274" s="113" t="str">
        <f ca="1">(SUMPRODUCT(MID(0&amp;(LEFT(A273,SUM(LEN(A273)-LEN(SUBSTITUTE(A273,{"0","1","2"},""))))), LARGE(INDEX(ISNUMBER(--MID((LEFT(A273,SUM(LEN(A273)-LEN(SUBSTITUTE(A273,{"0","1","2"},""))))), ROW(INDIRECT("1:"&amp;LEN((LEFT(A273,SUM(LEN(A273)-LEN(SUBSTITUTE(A273,{"0","1","2"},"")))))))), 1)) * ROW(INDIRECT("1:"&amp;LEN((LEFT(A273,SUM(LEN(A273)-LEN(SUBSTITUTE(A273,{"0","1","2"},"")))))))), 0), ROW(INDIRECT("1:"&amp;LEN((LEFT(A273,SUM(LEN(A273)-LEN(SUBSTITUTE(A273,{"0","1","2"},"")))))))))+1, 1) * 10^ROW(INDIRECT("1:"&amp;LEN((LEFT(A273,SUM(LEN(A273)-LEN(SUBSTITUTE(A273,{"0","1","2"},""))))))))/10))*1+1&amp;""&amp;" to "&amp;""&amp;(SUMPRODUCT(MID(0&amp;(--TRIM(RIGHT(SUBSTITUTE(LEFT(A273,_xlfn.AGGREGATE(16,6,FIND({0,1,2,3,4,5,6,7,8,9},A273,ROW(INDIRECT("1:"&amp;LEN(A273)))),1))," ",REPT(" ",LEN(A273))),LEN(A273)))), LARGE(INDEX(ISNUMBER(--MID((--TRIM(RIGHT(SUBSTITUTE(LEFT(A273,_xlfn.AGGREGATE(16,6,FIND({0,1,2,3,4,5,6,7,8,9},A273,ROW(INDIRECT("1:"&amp;LEN(A273)))),1))," ",REPT(" ",LEN(A273))),LEN(A273)))), ROW(INDIRECT("1:"&amp;LEN((--TRIM(RIGHT(SUBSTITUTE(LEFT(A273,_xlfn.AGGREGATE(16,6,FIND({0,1,2,3,4,5,6,7,8,9},A273,ROW(INDIRECT("1:"&amp;LEN(A273)))),1))," ",REPT(" ",LEN(A273))),LEN(A273))))))), 1)) * ROW(INDIRECT("1:"&amp;LEN((--TRIM(RIGHT(SUBSTITUTE(LEFT(A273,_xlfn.AGGREGATE(16,6,FIND({0,1,2,3,4,5,6,7,8,9},A273,ROW(INDIRECT("1:"&amp;LEN(A273)))),1))," ",REPT(" ",LEN(A273))),LEN(A273))))))), 0), ROW(INDIRECT("1:"&amp;LEN((--TRIM(RIGHT(SUBSTITUTE(LEFT(A273,_xlfn.AGGREGATE(16,6,FIND({0,1,2,3,4,5,6,7,8,9},A273,ROW(INDIRECT("1:"&amp;LEN(A273)))),1))," ",REPT(" ",LEN(A273))),LEN(A273))))))))+1, 1) * 10^ROW(INDIRECT("1:"&amp;LEN((--TRIM(RIGHT(SUBSTITUTE(LEFT(A273,_xlfn.AGGREGATE(16,6,FIND({0,1,2,3,4,5,6,7,8,9},A273,ROW(INDIRECT("1:"&amp;LEN(A273)))),1))," ",REPT(" ",LEN(A273))),LEN(A273)))))))/10))*1+1</f>
        <v>109 to 709</v>
      </c>
      <c r="B274" s="114"/>
      <c r="C274" s="39" t="s">
        <v>385</v>
      </c>
      <c r="D274" s="75">
        <f t="shared" ref="D274:D275" si="32">(27.03)*10.764</f>
        <v>290.95092</v>
      </c>
      <c r="E274" s="75">
        <f t="shared" ref="E274:E275" si="33">(0.75*(2.75+2.35+2.75))*10.764</f>
        <v>63.373049999999985</v>
      </c>
      <c r="F274" s="39">
        <f t="shared" si="30"/>
        <v>354.32396999999997</v>
      </c>
      <c r="G274" s="39">
        <v>0</v>
      </c>
      <c r="H274" s="39">
        <f t="shared" si="31"/>
        <v>513.76975649999997</v>
      </c>
      <c r="I274" s="33"/>
    </row>
    <row r="275" spans="1:20" s="34" customFormat="1" ht="15.75" customHeight="1" x14ac:dyDescent="0.3">
      <c r="A275" s="113" t="str">
        <f ca="1">(SUMPRODUCT(MID(0&amp;(LEFT(A274,SUM(LEN(A274)-LEN(SUBSTITUTE(A274,{"0","1","2"},""))))), LARGE(INDEX(ISNUMBER(--MID((LEFT(A274,SUM(LEN(A274)-LEN(SUBSTITUTE(A274,{"0","1","2"},""))))), ROW(INDIRECT("1:"&amp;LEN((LEFT(A274,SUM(LEN(A274)-LEN(SUBSTITUTE(A274,{"0","1","2"},"")))))))), 1)) * ROW(INDIRECT("1:"&amp;LEN((LEFT(A274,SUM(LEN(A274)-LEN(SUBSTITUTE(A274,{"0","1","2"},"")))))))), 0), ROW(INDIRECT("1:"&amp;LEN((LEFT(A274,SUM(LEN(A274)-LEN(SUBSTITUTE(A274,{"0","1","2"},"")))))))))+1, 1) * 10^ROW(INDIRECT("1:"&amp;LEN((LEFT(A274,SUM(LEN(A274)-LEN(SUBSTITUTE(A274,{"0","1","2"},""))))))))/10))*1+1&amp;""&amp;" to "&amp;""&amp;(SUMPRODUCT(MID(0&amp;(--TRIM(RIGHT(SUBSTITUTE(LEFT(A274,_xlfn.AGGREGATE(16,6,FIND({0,1,2,3,4,5,6,7,8,9},A274,ROW(INDIRECT("1:"&amp;LEN(A274)))),1))," ",REPT(" ",LEN(A274))),LEN(A274)))), LARGE(INDEX(ISNUMBER(--MID((--TRIM(RIGHT(SUBSTITUTE(LEFT(A274,_xlfn.AGGREGATE(16,6,FIND({0,1,2,3,4,5,6,7,8,9},A274,ROW(INDIRECT("1:"&amp;LEN(A274)))),1))," ",REPT(" ",LEN(A274))),LEN(A274)))), ROW(INDIRECT("1:"&amp;LEN((--TRIM(RIGHT(SUBSTITUTE(LEFT(A274,_xlfn.AGGREGATE(16,6,FIND({0,1,2,3,4,5,6,7,8,9},A274,ROW(INDIRECT("1:"&amp;LEN(A274)))),1))," ",REPT(" ",LEN(A274))),LEN(A274))))))), 1)) * ROW(INDIRECT("1:"&amp;LEN((--TRIM(RIGHT(SUBSTITUTE(LEFT(A274,_xlfn.AGGREGATE(16,6,FIND({0,1,2,3,4,5,6,7,8,9},A274,ROW(INDIRECT("1:"&amp;LEN(A274)))),1))," ",REPT(" ",LEN(A274))),LEN(A274))))))), 0), ROW(INDIRECT("1:"&amp;LEN((--TRIM(RIGHT(SUBSTITUTE(LEFT(A274,_xlfn.AGGREGATE(16,6,FIND({0,1,2,3,4,5,6,7,8,9},A274,ROW(INDIRECT("1:"&amp;LEN(A274)))),1))," ",REPT(" ",LEN(A274))),LEN(A274))))))))+1, 1) * 10^ROW(INDIRECT("1:"&amp;LEN((--TRIM(RIGHT(SUBSTITUTE(LEFT(A274,_xlfn.AGGREGATE(16,6,FIND({0,1,2,3,4,5,6,7,8,9},A274,ROW(INDIRECT("1:"&amp;LEN(A274)))),1))," ",REPT(" ",LEN(A274))),LEN(A274)))))))/10))*1+1</f>
        <v>110 to 710</v>
      </c>
      <c r="B275" s="114"/>
      <c r="C275" s="39" t="s">
        <v>385</v>
      </c>
      <c r="D275" s="75">
        <f t="shared" si="32"/>
        <v>290.95092</v>
      </c>
      <c r="E275" s="75">
        <f t="shared" si="33"/>
        <v>63.373049999999985</v>
      </c>
      <c r="F275" s="39">
        <f t="shared" si="30"/>
        <v>354.32396999999997</v>
      </c>
      <c r="G275" s="39">
        <v>0</v>
      </c>
      <c r="H275" s="39">
        <f t="shared" si="31"/>
        <v>513.76975649999997</v>
      </c>
      <c r="I275" s="33"/>
    </row>
    <row r="276" spans="1:20" s="34" customFormat="1" ht="15.75" customHeight="1" x14ac:dyDescent="0.3">
      <c r="A276" s="113" t="str">
        <f ca="1">(SUMPRODUCT(MID(0&amp;(LEFT(A275,SUM(LEN(A275)-LEN(SUBSTITUTE(A275,{"0","1","2"},""))))), LARGE(INDEX(ISNUMBER(--MID((LEFT(A275,SUM(LEN(A275)-LEN(SUBSTITUTE(A275,{"0","1","2"},""))))), ROW(INDIRECT("1:"&amp;LEN((LEFT(A275,SUM(LEN(A275)-LEN(SUBSTITUTE(A275,{"0","1","2"},"")))))))), 1)) * ROW(INDIRECT("1:"&amp;LEN((LEFT(A275,SUM(LEN(A275)-LEN(SUBSTITUTE(A275,{"0","1","2"},"")))))))), 0), ROW(INDIRECT("1:"&amp;LEN((LEFT(A275,SUM(LEN(A275)-LEN(SUBSTITUTE(A275,{"0","1","2"},"")))))))))+1, 1) * 10^ROW(INDIRECT("1:"&amp;LEN((LEFT(A275,SUM(LEN(A275)-LEN(SUBSTITUTE(A275,{"0","1","2"},""))))))))/10))*1+1&amp;""&amp;" to "&amp;""&amp;(SUMPRODUCT(MID(0&amp;(--TRIM(RIGHT(SUBSTITUTE(LEFT(A275,_xlfn.AGGREGATE(16,6,FIND({0,1,2,3,4,5,6,7,8,9},A275,ROW(INDIRECT("1:"&amp;LEN(A275)))),1))," ",REPT(" ",LEN(A275))),LEN(A275)))), LARGE(INDEX(ISNUMBER(--MID((--TRIM(RIGHT(SUBSTITUTE(LEFT(A275,_xlfn.AGGREGATE(16,6,FIND({0,1,2,3,4,5,6,7,8,9},A275,ROW(INDIRECT("1:"&amp;LEN(A275)))),1))," ",REPT(" ",LEN(A275))),LEN(A275)))), ROW(INDIRECT("1:"&amp;LEN((--TRIM(RIGHT(SUBSTITUTE(LEFT(A275,_xlfn.AGGREGATE(16,6,FIND({0,1,2,3,4,5,6,7,8,9},A275,ROW(INDIRECT("1:"&amp;LEN(A275)))),1))," ",REPT(" ",LEN(A275))),LEN(A275))))))), 1)) * ROW(INDIRECT("1:"&amp;LEN((--TRIM(RIGHT(SUBSTITUTE(LEFT(A275,_xlfn.AGGREGATE(16,6,FIND({0,1,2,3,4,5,6,7,8,9},A275,ROW(INDIRECT("1:"&amp;LEN(A275)))),1))," ",REPT(" ",LEN(A275))),LEN(A275))))))), 0), ROW(INDIRECT("1:"&amp;LEN((--TRIM(RIGHT(SUBSTITUTE(LEFT(A275,_xlfn.AGGREGATE(16,6,FIND({0,1,2,3,4,5,6,7,8,9},A275,ROW(INDIRECT("1:"&amp;LEN(A275)))),1))," ",REPT(" ",LEN(A275))),LEN(A275))))))))+1, 1) * 10^ROW(INDIRECT("1:"&amp;LEN((--TRIM(RIGHT(SUBSTITUTE(LEFT(A275,_xlfn.AGGREGATE(16,6,FIND({0,1,2,3,4,5,6,7,8,9},A275,ROW(INDIRECT("1:"&amp;LEN(A275)))),1))," ",REPT(" ",LEN(A275))),LEN(A275)))))))/10))*1+1</f>
        <v>111 to 711</v>
      </c>
      <c r="B276" s="114"/>
      <c r="C276" s="39" t="s">
        <v>385</v>
      </c>
      <c r="D276" s="75">
        <f>(27.03)*10.764</f>
        <v>290.95092</v>
      </c>
      <c r="E276" s="75">
        <f>(0.75*(2.75+2.35+2.75))*10.764</f>
        <v>63.373049999999985</v>
      </c>
      <c r="F276" s="39">
        <f t="shared" si="30"/>
        <v>354.32396999999997</v>
      </c>
      <c r="G276" s="39">
        <v>0</v>
      </c>
      <c r="H276" s="39">
        <f t="shared" si="31"/>
        <v>513.76975649999997</v>
      </c>
      <c r="I276" s="33"/>
    </row>
    <row r="277" spans="1:20" s="34" customFormat="1" ht="15.75" customHeight="1" x14ac:dyDescent="0.3">
      <c r="A277" s="113" t="str">
        <f ca="1">(SUMPRODUCT(MID(0&amp;(LEFT(A276,SUM(LEN(A276)-LEN(SUBSTITUTE(A276,{"0","1","2"},""))))), LARGE(INDEX(ISNUMBER(--MID((LEFT(A276,SUM(LEN(A276)-LEN(SUBSTITUTE(A276,{"0","1","2"},""))))), ROW(INDIRECT("1:"&amp;LEN((LEFT(A276,SUM(LEN(A276)-LEN(SUBSTITUTE(A276,{"0","1","2"},"")))))))), 1)) * ROW(INDIRECT("1:"&amp;LEN((LEFT(A276,SUM(LEN(A276)-LEN(SUBSTITUTE(A276,{"0","1","2"},"")))))))), 0), ROW(INDIRECT("1:"&amp;LEN((LEFT(A276,SUM(LEN(A276)-LEN(SUBSTITUTE(A276,{"0","1","2"},"")))))))))+1, 1) * 10^ROW(INDIRECT("1:"&amp;LEN((LEFT(A276,SUM(LEN(A276)-LEN(SUBSTITUTE(A276,{"0","1","2"},""))))))))/10))*1+1&amp;""&amp;" to "&amp;""&amp;(SUMPRODUCT(MID(0&amp;(--TRIM(RIGHT(SUBSTITUTE(LEFT(A276,_xlfn.AGGREGATE(16,6,FIND({0,1,2,3,4,5,6,7,8,9},A276,ROW(INDIRECT("1:"&amp;LEN(A276)))),1))," ",REPT(" ",LEN(A276))),LEN(A276)))), LARGE(INDEX(ISNUMBER(--MID((--TRIM(RIGHT(SUBSTITUTE(LEFT(A276,_xlfn.AGGREGATE(16,6,FIND({0,1,2,3,4,5,6,7,8,9},A276,ROW(INDIRECT("1:"&amp;LEN(A276)))),1))," ",REPT(" ",LEN(A276))),LEN(A276)))), ROW(INDIRECT("1:"&amp;LEN((--TRIM(RIGHT(SUBSTITUTE(LEFT(A276,_xlfn.AGGREGATE(16,6,FIND({0,1,2,3,4,5,6,7,8,9},A276,ROW(INDIRECT("1:"&amp;LEN(A276)))),1))," ",REPT(" ",LEN(A276))),LEN(A276))))))), 1)) * ROW(INDIRECT("1:"&amp;LEN((--TRIM(RIGHT(SUBSTITUTE(LEFT(A276,_xlfn.AGGREGATE(16,6,FIND({0,1,2,3,4,5,6,7,8,9},A276,ROW(INDIRECT("1:"&amp;LEN(A276)))),1))," ",REPT(" ",LEN(A276))),LEN(A276))))))), 0), ROW(INDIRECT("1:"&amp;LEN((--TRIM(RIGHT(SUBSTITUTE(LEFT(A276,_xlfn.AGGREGATE(16,6,FIND({0,1,2,3,4,5,6,7,8,9},A276,ROW(INDIRECT("1:"&amp;LEN(A276)))),1))," ",REPT(" ",LEN(A276))),LEN(A276))))))))+1, 1) * 10^ROW(INDIRECT("1:"&amp;LEN((--TRIM(RIGHT(SUBSTITUTE(LEFT(A276,_xlfn.AGGREGATE(16,6,FIND({0,1,2,3,4,5,6,7,8,9},A276,ROW(INDIRECT("1:"&amp;LEN(A276)))),1))," ",REPT(" ",LEN(A276))),LEN(A276)))))))/10))*1+1</f>
        <v>112 to 712</v>
      </c>
      <c r="B277" s="114"/>
      <c r="C277" s="39" t="s">
        <v>385</v>
      </c>
      <c r="D277" s="75">
        <f>(27.03)*10.764</f>
        <v>290.95092</v>
      </c>
      <c r="E277" s="75">
        <f>(0.75*(2.75+2.35+2.75))*10.764</f>
        <v>63.373049999999985</v>
      </c>
      <c r="F277" s="39">
        <f t="shared" si="30"/>
        <v>354.32396999999997</v>
      </c>
      <c r="G277" s="39">
        <v>0</v>
      </c>
      <c r="H277" s="39">
        <f t="shared" si="31"/>
        <v>513.76975649999997</v>
      </c>
      <c r="I277" s="33"/>
    </row>
    <row r="278" spans="1:20" s="34" customFormat="1" x14ac:dyDescent="0.3">
      <c r="A278" s="206" t="s">
        <v>390</v>
      </c>
      <c r="B278" s="207"/>
      <c r="C278" s="207"/>
      <c r="D278" s="207"/>
      <c r="E278" s="207"/>
      <c r="F278" s="207"/>
      <c r="G278" s="207"/>
      <c r="H278" s="208"/>
      <c r="J278" s="33"/>
      <c r="T278" s="32"/>
    </row>
    <row r="279" spans="1:20" s="34" customFormat="1" x14ac:dyDescent="0.3">
      <c r="A279" s="206" t="s">
        <v>391</v>
      </c>
      <c r="B279" s="207"/>
      <c r="C279" s="207"/>
      <c r="D279" s="207"/>
      <c r="E279" s="207"/>
      <c r="F279" s="207"/>
      <c r="G279" s="207"/>
      <c r="H279" s="208"/>
      <c r="J279" s="33"/>
    </row>
    <row r="280" spans="1:20" s="34" customFormat="1" x14ac:dyDescent="0.3">
      <c r="A280" s="206" t="s">
        <v>384</v>
      </c>
      <c r="B280" s="207"/>
      <c r="C280" s="207"/>
      <c r="D280" s="207"/>
      <c r="E280" s="207"/>
      <c r="F280" s="207"/>
      <c r="G280" s="207"/>
      <c r="H280" s="208"/>
      <c r="I280" s="33"/>
    </row>
    <row r="281" spans="1:20" s="34" customFormat="1" ht="15.75" customHeight="1" x14ac:dyDescent="0.3">
      <c r="A281" s="113" t="str">
        <f ca="1">(SUMPRODUCT(MID(0&amp;(LEFT(A280,SUM(LEN(A280)-LEN(SUBSTITUTE(A280,{"0","1","2"},""))))), LARGE(INDEX(ISNUMBER(--MID((LEFT(A280,SUM(LEN(A280)-LEN(SUBSTITUTE(A280,{"0","1","2"},""))))), ROW(INDIRECT("1:"&amp;LEN((LEFT(A280,SUM(LEN(A280)-LEN(SUBSTITUTE(A280,{"0","1","2"},"")))))))), 1)) * ROW(INDIRECT("1:"&amp;LEN((LEFT(A280,SUM(LEN(A280)-LEN(SUBSTITUTE(A280,{"0","1","2"},"")))))))), 0), ROW(INDIRECT("1:"&amp;LEN((LEFT(A280,SUM(LEN(A280)-LEN(SUBSTITUTE(A280,{"0","1","2"},"")))))))))+1, 1) * 10^ROW(INDIRECT("1:"&amp;LEN((LEFT(A280,SUM(LEN(A280)-LEN(SUBSTITUTE(A280,{"0","1","2"},""))))))))/10))*100+1&amp;""&amp;" to "&amp;""&amp;(SUMPRODUCT(MID(0&amp;(--TRIM(RIGHT(SUBSTITUTE(LEFT(A280,_xlfn.AGGREGATE(16,6,FIND({0,1,2,3,4,5,6,7,8,9},A280,ROW(INDIRECT("1:"&amp;LEN(A280)))),1))," ",REPT(" ",LEN(A280))),LEN(A280)))), LARGE(INDEX(ISNUMBER(--MID((--TRIM(RIGHT(SUBSTITUTE(LEFT(A280,_xlfn.AGGREGATE(16,6,FIND({0,1,2,3,4,5,6,7,8,9},A280,ROW(INDIRECT("1:"&amp;LEN(A280)))),1))," ",REPT(" ",LEN(A280))),LEN(A280)))), ROW(INDIRECT("1:"&amp;LEN((--TRIM(RIGHT(SUBSTITUTE(LEFT(A280,_xlfn.AGGREGATE(16,6,FIND({0,1,2,3,4,5,6,7,8,9},A280,ROW(INDIRECT("1:"&amp;LEN(A280)))),1))," ",REPT(" ",LEN(A280))),LEN(A280))))))), 1)) * ROW(INDIRECT("1:"&amp;LEN((--TRIM(RIGHT(SUBSTITUTE(LEFT(A280,_xlfn.AGGREGATE(16,6,FIND({0,1,2,3,4,5,6,7,8,9},A280,ROW(INDIRECT("1:"&amp;LEN(A280)))),1))," ",REPT(" ",LEN(A280))),LEN(A280))))))), 0), ROW(INDIRECT("1:"&amp;LEN((--TRIM(RIGHT(SUBSTITUTE(LEFT(A280,_xlfn.AGGREGATE(16,6,FIND({0,1,2,3,4,5,6,7,8,9},A280,ROW(INDIRECT("1:"&amp;LEN(A280)))),1))," ",REPT(" ",LEN(A280))),LEN(A280))))))))+1, 1) * 10^ROW(INDIRECT("1:"&amp;LEN((--TRIM(RIGHT(SUBSTITUTE(LEFT(A280,_xlfn.AGGREGATE(16,6,FIND({0,1,2,3,4,5,6,7,8,9},A280,ROW(INDIRECT("1:"&amp;LEN(A280)))),1))," ",REPT(" ",LEN(A280))),LEN(A280)))))))/10))*100+1</f>
        <v>101 to 701</v>
      </c>
      <c r="B281" s="114"/>
      <c r="C281" s="39" t="s">
        <v>385</v>
      </c>
      <c r="D281" s="75">
        <f>(27.03)*10.764</f>
        <v>290.95092</v>
      </c>
      <c r="E281" s="75">
        <f t="shared" ref="E281:E282" si="34">(0.75*(2.75+2.35+2.75))*10.764</f>
        <v>63.373049999999985</v>
      </c>
      <c r="F281" s="39">
        <f t="shared" ref="F281:F288" si="35">D281+E281</f>
        <v>354.32396999999997</v>
      </c>
      <c r="G281" s="39">
        <v>0</v>
      </c>
      <c r="H281" s="39">
        <f t="shared" ref="H281:H288" si="36">F281*(($H$222)+1)+(IF(G281&lt;101,G281,IF(G281&lt;201,G281/2,IF(G281&lt;=301,G281/3,G281/4))))</f>
        <v>513.76975649999997</v>
      </c>
      <c r="I281" s="33"/>
    </row>
    <row r="282" spans="1:20" s="34" customFormat="1" ht="15.75" customHeight="1" x14ac:dyDescent="0.3">
      <c r="A282" s="113" t="str">
        <f ca="1">(SUMPRODUCT(MID(0&amp;(LEFT(A281,SUM(LEN(A281)-LEN(SUBSTITUTE(A281,{"0","1","2"},""))))), LARGE(INDEX(ISNUMBER(--MID((LEFT(A281,SUM(LEN(A281)-LEN(SUBSTITUTE(A281,{"0","1","2"},""))))), ROW(INDIRECT("1:"&amp;LEN((LEFT(A281,SUM(LEN(A281)-LEN(SUBSTITUTE(A281,{"0","1","2"},"")))))))), 1)) * ROW(INDIRECT("1:"&amp;LEN((LEFT(A281,SUM(LEN(A281)-LEN(SUBSTITUTE(A281,{"0","1","2"},"")))))))), 0), ROW(INDIRECT("1:"&amp;LEN((LEFT(A281,SUM(LEN(A281)-LEN(SUBSTITUTE(A281,{"0","1","2"},"")))))))))+1, 1) * 10^ROW(INDIRECT("1:"&amp;LEN((LEFT(A281,SUM(LEN(A281)-LEN(SUBSTITUTE(A281,{"0","1","2"},""))))))))/10))*1+1&amp;""&amp;" to "&amp;""&amp;(SUMPRODUCT(MID(0&amp;(--TRIM(RIGHT(SUBSTITUTE(LEFT(A281,_xlfn.AGGREGATE(16,6,FIND({0,1,2,3,4,5,6,7,8,9},A281,ROW(INDIRECT("1:"&amp;LEN(A281)))),1))," ",REPT(" ",LEN(A281))),LEN(A281)))), LARGE(INDEX(ISNUMBER(--MID((--TRIM(RIGHT(SUBSTITUTE(LEFT(A281,_xlfn.AGGREGATE(16,6,FIND({0,1,2,3,4,5,6,7,8,9},A281,ROW(INDIRECT("1:"&amp;LEN(A281)))),1))," ",REPT(" ",LEN(A281))),LEN(A281)))), ROW(INDIRECT("1:"&amp;LEN((--TRIM(RIGHT(SUBSTITUTE(LEFT(A281,_xlfn.AGGREGATE(16,6,FIND({0,1,2,3,4,5,6,7,8,9},A281,ROW(INDIRECT("1:"&amp;LEN(A281)))),1))," ",REPT(" ",LEN(A281))),LEN(A281))))))), 1)) * ROW(INDIRECT("1:"&amp;LEN((--TRIM(RIGHT(SUBSTITUTE(LEFT(A281,_xlfn.AGGREGATE(16,6,FIND({0,1,2,3,4,5,6,7,8,9},A281,ROW(INDIRECT("1:"&amp;LEN(A281)))),1))," ",REPT(" ",LEN(A281))),LEN(A281))))))), 0), ROW(INDIRECT("1:"&amp;LEN((--TRIM(RIGHT(SUBSTITUTE(LEFT(A281,_xlfn.AGGREGATE(16,6,FIND({0,1,2,3,4,5,6,7,8,9},A281,ROW(INDIRECT("1:"&amp;LEN(A281)))),1))," ",REPT(" ",LEN(A281))),LEN(A281))))))))+1, 1) * 10^ROW(INDIRECT("1:"&amp;LEN((--TRIM(RIGHT(SUBSTITUTE(LEFT(A281,_xlfn.AGGREGATE(16,6,FIND({0,1,2,3,4,5,6,7,8,9},A281,ROW(INDIRECT("1:"&amp;LEN(A281)))),1))," ",REPT(" ",LEN(A281))),LEN(A281)))))))/10))*1+1</f>
        <v>102 to 702</v>
      </c>
      <c r="B282" s="114"/>
      <c r="C282" s="39" t="s">
        <v>385</v>
      </c>
      <c r="D282" s="75">
        <f>(27.03)*10.764</f>
        <v>290.95092</v>
      </c>
      <c r="E282" s="75">
        <f t="shared" si="34"/>
        <v>63.373049999999985</v>
      </c>
      <c r="F282" s="39">
        <f t="shared" si="35"/>
        <v>354.32396999999997</v>
      </c>
      <c r="G282" s="39">
        <v>0</v>
      </c>
      <c r="H282" s="39">
        <f t="shared" si="36"/>
        <v>513.76975649999997</v>
      </c>
      <c r="I282" s="33"/>
    </row>
    <row r="283" spans="1:20" s="34" customFormat="1" ht="15.75" customHeight="1" x14ac:dyDescent="0.3">
      <c r="A283" s="113" t="str">
        <f ca="1">(SUMPRODUCT(MID(0&amp;(LEFT(A282,SUM(LEN(A282)-LEN(SUBSTITUTE(A282,{"0","1","2"},""))))), LARGE(INDEX(ISNUMBER(--MID((LEFT(A282,SUM(LEN(A282)-LEN(SUBSTITUTE(A282,{"0","1","2"},""))))), ROW(INDIRECT("1:"&amp;LEN((LEFT(A282,SUM(LEN(A282)-LEN(SUBSTITUTE(A282,{"0","1","2"},"")))))))), 1)) * ROW(INDIRECT("1:"&amp;LEN((LEFT(A282,SUM(LEN(A282)-LEN(SUBSTITUTE(A282,{"0","1","2"},"")))))))), 0), ROW(INDIRECT("1:"&amp;LEN((LEFT(A282,SUM(LEN(A282)-LEN(SUBSTITUTE(A282,{"0","1","2"},"")))))))))+1, 1) * 10^ROW(INDIRECT("1:"&amp;LEN((LEFT(A282,SUM(LEN(A282)-LEN(SUBSTITUTE(A282,{"0","1","2"},""))))))))/10))*1+1&amp;""&amp;" to "&amp;""&amp;(SUMPRODUCT(MID(0&amp;(--TRIM(RIGHT(SUBSTITUTE(LEFT(A282,_xlfn.AGGREGATE(16,6,FIND({0,1,2,3,4,5,6,7,8,9},A282,ROW(INDIRECT("1:"&amp;LEN(A282)))),1))," ",REPT(" ",LEN(A282))),LEN(A282)))), LARGE(INDEX(ISNUMBER(--MID((--TRIM(RIGHT(SUBSTITUTE(LEFT(A282,_xlfn.AGGREGATE(16,6,FIND({0,1,2,3,4,5,6,7,8,9},A282,ROW(INDIRECT("1:"&amp;LEN(A282)))),1))," ",REPT(" ",LEN(A282))),LEN(A282)))), ROW(INDIRECT("1:"&amp;LEN((--TRIM(RIGHT(SUBSTITUTE(LEFT(A282,_xlfn.AGGREGATE(16,6,FIND({0,1,2,3,4,5,6,7,8,9},A282,ROW(INDIRECT("1:"&amp;LEN(A282)))),1))," ",REPT(" ",LEN(A282))),LEN(A282))))))), 1)) * ROW(INDIRECT("1:"&amp;LEN((--TRIM(RIGHT(SUBSTITUTE(LEFT(A282,_xlfn.AGGREGATE(16,6,FIND({0,1,2,3,4,5,6,7,8,9},A282,ROW(INDIRECT("1:"&amp;LEN(A282)))),1))," ",REPT(" ",LEN(A282))),LEN(A282))))))), 0), ROW(INDIRECT("1:"&amp;LEN((--TRIM(RIGHT(SUBSTITUTE(LEFT(A282,_xlfn.AGGREGATE(16,6,FIND({0,1,2,3,4,5,6,7,8,9},A282,ROW(INDIRECT("1:"&amp;LEN(A282)))),1))," ",REPT(" ",LEN(A282))),LEN(A282))))))))+1, 1) * 10^ROW(INDIRECT("1:"&amp;LEN((--TRIM(RIGHT(SUBSTITUTE(LEFT(A282,_xlfn.AGGREGATE(16,6,FIND({0,1,2,3,4,5,6,7,8,9},A282,ROW(INDIRECT("1:"&amp;LEN(A282)))),1))," ",REPT(" ",LEN(A282))),LEN(A282)))))))/10))*1+1</f>
        <v>103 to 703</v>
      </c>
      <c r="B283" s="114"/>
      <c r="C283" s="39" t="s">
        <v>385</v>
      </c>
      <c r="D283" s="75">
        <f>(27.03)*10.764</f>
        <v>290.95092</v>
      </c>
      <c r="E283" s="75">
        <f>(0.75*(2.75+2.35+2.75))*10.764</f>
        <v>63.373049999999985</v>
      </c>
      <c r="F283" s="39">
        <f t="shared" si="35"/>
        <v>354.32396999999997</v>
      </c>
      <c r="G283" s="39">
        <v>0</v>
      </c>
      <c r="H283" s="39">
        <f t="shared" si="36"/>
        <v>513.76975649999997</v>
      </c>
      <c r="I283" s="33"/>
    </row>
    <row r="284" spans="1:20" s="34" customFormat="1" ht="15.75" customHeight="1" x14ac:dyDescent="0.3">
      <c r="A284" s="113" t="str">
        <f ca="1">(SUMPRODUCT(MID(0&amp;(LEFT(A283,SUM(LEN(A283)-LEN(SUBSTITUTE(A283,{"0","1","2"},""))))), LARGE(INDEX(ISNUMBER(--MID((LEFT(A283,SUM(LEN(A283)-LEN(SUBSTITUTE(A283,{"0","1","2"},""))))), ROW(INDIRECT("1:"&amp;LEN((LEFT(A283,SUM(LEN(A283)-LEN(SUBSTITUTE(A283,{"0","1","2"},"")))))))), 1)) * ROW(INDIRECT("1:"&amp;LEN((LEFT(A283,SUM(LEN(A283)-LEN(SUBSTITUTE(A283,{"0","1","2"},"")))))))), 0), ROW(INDIRECT("1:"&amp;LEN((LEFT(A283,SUM(LEN(A283)-LEN(SUBSTITUTE(A283,{"0","1","2"},"")))))))))+1, 1) * 10^ROW(INDIRECT("1:"&amp;LEN((LEFT(A283,SUM(LEN(A283)-LEN(SUBSTITUTE(A283,{"0","1","2"},""))))))))/10))*1+1&amp;""&amp;" to "&amp;""&amp;(SUMPRODUCT(MID(0&amp;(--TRIM(RIGHT(SUBSTITUTE(LEFT(A283,_xlfn.AGGREGATE(16,6,FIND({0,1,2,3,4,5,6,7,8,9},A283,ROW(INDIRECT("1:"&amp;LEN(A283)))),1))," ",REPT(" ",LEN(A283))),LEN(A283)))), LARGE(INDEX(ISNUMBER(--MID((--TRIM(RIGHT(SUBSTITUTE(LEFT(A283,_xlfn.AGGREGATE(16,6,FIND({0,1,2,3,4,5,6,7,8,9},A283,ROW(INDIRECT("1:"&amp;LEN(A283)))),1))," ",REPT(" ",LEN(A283))),LEN(A283)))), ROW(INDIRECT("1:"&amp;LEN((--TRIM(RIGHT(SUBSTITUTE(LEFT(A283,_xlfn.AGGREGATE(16,6,FIND({0,1,2,3,4,5,6,7,8,9},A283,ROW(INDIRECT("1:"&amp;LEN(A283)))),1))," ",REPT(" ",LEN(A283))),LEN(A283))))))), 1)) * ROW(INDIRECT("1:"&amp;LEN((--TRIM(RIGHT(SUBSTITUTE(LEFT(A283,_xlfn.AGGREGATE(16,6,FIND({0,1,2,3,4,5,6,7,8,9},A283,ROW(INDIRECT("1:"&amp;LEN(A283)))),1))," ",REPT(" ",LEN(A283))),LEN(A283))))))), 0), ROW(INDIRECT("1:"&amp;LEN((--TRIM(RIGHT(SUBSTITUTE(LEFT(A283,_xlfn.AGGREGATE(16,6,FIND({0,1,2,3,4,5,6,7,8,9},A283,ROW(INDIRECT("1:"&amp;LEN(A283)))),1))," ",REPT(" ",LEN(A283))),LEN(A283))))))))+1, 1) * 10^ROW(INDIRECT("1:"&amp;LEN((--TRIM(RIGHT(SUBSTITUTE(LEFT(A283,_xlfn.AGGREGATE(16,6,FIND({0,1,2,3,4,5,6,7,8,9},A283,ROW(INDIRECT("1:"&amp;LEN(A283)))),1))," ",REPT(" ",LEN(A283))),LEN(A283)))))))/10))*1+1</f>
        <v>104 to 704</v>
      </c>
      <c r="B284" s="114"/>
      <c r="C284" s="39" t="s">
        <v>385</v>
      </c>
      <c r="D284" s="75">
        <f>(27.03)*10.764</f>
        <v>290.95092</v>
      </c>
      <c r="E284" s="75">
        <f>(0.75*(2.75+2.35+2.75))*10.764</f>
        <v>63.373049999999985</v>
      </c>
      <c r="F284" s="39">
        <f t="shared" si="35"/>
        <v>354.32396999999997</v>
      </c>
      <c r="G284" s="39">
        <v>0</v>
      </c>
      <c r="H284" s="39">
        <f t="shared" si="36"/>
        <v>513.76975649999997</v>
      </c>
      <c r="I284" s="33"/>
    </row>
    <row r="285" spans="1:20" s="34" customFormat="1" ht="15.75" customHeight="1" x14ac:dyDescent="0.3">
      <c r="A285" s="113" t="str">
        <f ca="1">(SUMPRODUCT(MID(0&amp;(LEFT(A284,SUM(LEN(A284)-LEN(SUBSTITUTE(A284,{"0","1","2"},""))))), LARGE(INDEX(ISNUMBER(--MID((LEFT(A284,SUM(LEN(A284)-LEN(SUBSTITUTE(A284,{"0","1","2"},""))))), ROW(INDIRECT("1:"&amp;LEN((LEFT(A284,SUM(LEN(A284)-LEN(SUBSTITUTE(A284,{"0","1","2"},"")))))))), 1)) * ROW(INDIRECT("1:"&amp;LEN((LEFT(A284,SUM(LEN(A284)-LEN(SUBSTITUTE(A284,{"0","1","2"},"")))))))), 0), ROW(INDIRECT("1:"&amp;LEN((LEFT(A284,SUM(LEN(A284)-LEN(SUBSTITUTE(A284,{"0","1","2"},"")))))))))+1, 1) * 10^ROW(INDIRECT("1:"&amp;LEN((LEFT(A284,SUM(LEN(A284)-LEN(SUBSTITUTE(A284,{"0","1","2"},""))))))))/10))*1+1&amp;""&amp;" to "&amp;""&amp;(SUMPRODUCT(MID(0&amp;(--TRIM(RIGHT(SUBSTITUTE(LEFT(A284,_xlfn.AGGREGATE(16,6,FIND({0,1,2,3,4,5,6,7,8,9},A284,ROW(INDIRECT("1:"&amp;LEN(A284)))),1))," ",REPT(" ",LEN(A284))),LEN(A284)))), LARGE(INDEX(ISNUMBER(--MID((--TRIM(RIGHT(SUBSTITUTE(LEFT(A284,_xlfn.AGGREGATE(16,6,FIND({0,1,2,3,4,5,6,7,8,9},A284,ROW(INDIRECT("1:"&amp;LEN(A284)))),1))," ",REPT(" ",LEN(A284))),LEN(A284)))), ROW(INDIRECT("1:"&amp;LEN((--TRIM(RIGHT(SUBSTITUTE(LEFT(A284,_xlfn.AGGREGATE(16,6,FIND({0,1,2,3,4,5,6,7,8,9},A284,ROW(INDIRECT("1:"&amp;LEN(A284)))),1))," ",REPT(" ",LEN(A284))),LEN(A284))))))), 1)) * ROW(INDIRECT("1:"&amp;LEN((--TRIM(RIGHT(SUBSTITUTE(LEFT(A284,_xlfn.AGGREGATE(16,6,FIND({0,1,2,3,4,5,6,7,8,9},A284,ROW(INDIRECT("1:"&amp;LEN(A284)))),1))," ",REPT(" ",LEN(A284))),LEN(A284))))))), 0), ROW(INDIRECT("1:"&amp;LEN((--TRIM(RIGHT(SUBSTITUTE(LEFT(A284,_xlfn.AGGREGATE(16,6,FIND({0,1,2,3,4,5,6,7,8,9},A284,ROW(INDIRECT("1:"&amp;LEN(A284)))),1))," ",REPT(" ",LEN(A284))),LEN(A284))))))))+1, 1) * 10^ROW(INDIRECT("1:"&amp;LEN((--TRIM(RIGHT(SUBSTITUTE(LEFT(A284,_xlfn.AGGREGATE(16,6,FIND({0,1,2,3,4,5,6,7,8,9},A284,ROW(INDIRECT("1:"&amp;LEN(A284)))),1))," ",REPT(" ",LEN(A284))),LEN(A284)))))))/10))*1+1</f>
        <v>105 to 705</v>
      </c>
      <c r="B285" s="114"/>
      <c r="C285" s="39" t="s">
        <v>386</v>
      </c>
      <c r="D285" s="75">
        <f>(37.63)*10.764</f>
        <v>405.04932000000002</v>
      </c>
      <c r="E285" s="75">
        <f>(0.75*(2.75+2.1+2.75+2.75))*10.764</f>
        <v>83.555549999999982</v>
      </c>
      <c r="F285" s="39">
        <f t="shared" si="35"/>
        <v>488.60487000000001</v>
      </c>
      <c r="G285" s="39">
        <v>0</v>
      </c>
      <c r="H285" s="39">
        <f t="shared" si="36"/>
        <v>708.47706149999999</v>
      </c>
      <c r="I285" s="33"/>
    </row>
    <row r="286" spans="1:20" s="34" customFormat="1" ht="15.75" customHeight="1" x14ac:dyDescent="0.3">
      <c r="A286" s="113" t="str">
        <f ca="1">(SUMPRODUCT(MID(0&amp;(LEFT(A285,SUM(LEN(A285)-LEN(SUBSTITUTE(A285,{"0","1","2"},""))))), LARGE(INDEX(ISNUMBER(--MID((LEFT(A285,SUM(LEN(A285)-LEN(SUBSTITUTE(A285,{"0","1","2"},""))))), ROW(INDIRECT("1:"&amp;LEN((LEFT(A285,SUM(LEN(A285)-LEN(SUBSTITUTE(A285,{"0","1","2"},"")))))))), 1)) * ROW(INDIRECT("1:"&amp;LEN((LEFT(A285,SUM(LEN(A285)-LEN(SUBSTITUTE(A285,{"0","1","2"},"")))))))), 0), ROW(INDIRECT("1:"&amp;LEN((LEFT(A285,SUM(LEN(A285)-LEN(SUBSTITUTE(A285,{"0","1","2"},"")))))))))+1, 1) * 10^ROW(INDIRECT("1:"&amp;LEN((LEFT(A285,SUM(LEN(A285)-LEN(SUBSTITUTE(A285,{"0","1","2"},""))))))))/10))*1+1&amp;""&amp;" to "&amp;""&amp;(SUMPRODUCT(MID(0&amp;(--TRIM(RIGHT(SUBSTITUTE(LEFT(A285,_xlfn.AGGREGATE(16,6,FIND({0,1,2,3,4,5,6,7,8,9},A285,ROW(INDIRECT("1:"&amp;LEN(A285)))),1))," ",REPT(" ",LEN(A285))),LEN(A285)))), LARGE(INDEX(ISNUMBER(--MID((--TRIM(RIGHT(SUBSTITUTE(LEFT(A285,_xlfn.AGGREGATE(16,6,FIND({0,1,2,3,4,5,6,7,8,9},A285,ROW(INDIRECT("1:"&amp;LEN(A285)))),1))," ",REPT(" ",LEN(A285))),LEN(A285)))), ROW(INDIRECT("1:"&amp;LEN((--TRIM(RIGHT(SUBSTITUTE(LEFT(A285,_xlfn.AGGREGATE(16,6,FIND({0,1,2,3,4,5,6,7,8,9},A285,ROW(INDIRECT("1:"&amp;LEN(A285)))),1))," ",REPT(" ",LEN(A285))),LEN(A285))))))), 1)) * ROW(INDIRECT("1:"&amp;LEN((--TRIM(RIGHT(SUBSTITUTE(LEFT(A285,_xlfn.AGGREGATE(16,6,FIND({0,1,2,3,4,5,6,7,8,9},A285,ROW(INDIRECT("1:"&amp;LEN(A285)))),1))," ",REPT(" ",LEN(A285))),LEN(A285))))))), 0), ROW(INDIRECT("1:"&amp;LEN((--TRIM(RIGHT(SUBSTITUTE(LEFT(A285,_xlfn.AGGREGATE(16,6,FIND({0,1,2,3,4,5,6,7,8,9},A285,ROW(INDIRECT("1:"&amp;LEN(A285)))),1))," ",REPT(" ",LEN(A285))),LEN(A285))))))))+1, 1) * 10^ROW(INDIRECT("1:"&amp;LEN((--TRIM(RIGHT(SUBSTITUTE(LEFT(A285,_xlfn.AGGREGATE(16,6,FIND({0,1,2,3,4,5,6,7,8,9},A285,ROW(INDIRECT("1:"&amp;LEN(A285)))),1))," ",REPT(" ",LEN(A285))),LEN(A285)))))))/10))*1+1</f>
        <v>106 to 706</v>
      </c>
      <c r="B286" s="114"/>
      <c r="C286" s="39" t="s">
        <v>386</v>
      </c>
      <c r="D286" s="75">
        <f>(37.63)*10.764</f>
        <v>405.04932000000002</v>
      </c>
      <c r="E286" s="75">
        <f>(0.75*(2.75+2.1+2.75+2.75))*10.764</f>
        <v>83.555549999999982</v>
      </c>
      <c r="F286" s="39">
        <f t="shared" si="35"/>
        <v>488.60487000000001</v>
      </c>
      <c r="G286" s="39">
        <v>0</v>
      </c>
      <c r="H286" s="39">
        <f t="shared" si="36"/>
        <v>708.47706149999999</v>
      </c>
      <c r="I286" s="33"/>
    </row>
    <row r="287" spans="1:20" s="34" customFormat="1" ht="15.75" customHeight="1" x14ac:dyDescent="0.3">
      <c r="A287" s="113" t="str">
        <f ca="1">(SUMPRODUCT(MID(0&amp;(LEFT(A286,SUM(LEN(A286)-LEN(SUBSTITUTE(A286,{"0","1","2"},""))))), LARGE(INDEX(ISNUMBER(--MID((LEFT(A286,SUM(LEN(A286)-LEN(SUBSTITUTE(A286,{"0","1","2"},""))))), ROW(INDIRECT("1:"&amp;LEN((LEFT(A286,SUM(LEN(A286)-LEN(SUBSTITUTE(A286,{"0","1","2"},"")))))))), 1)) * ROW(INDIRECT("1:"&amp;LEN((LEFT(A286,SUM(LEN(A286)-LEN(SUBSTITUTE(A286,{"0","1","2"},"")))))))), 0), ROW(INDIRECT("1:"&amp;LEN((LEFT(A286,SUM(LEN(A286)-LEN(SUBSTITUTE(A286,{"0","1","2"},"")))))))))+1, 1) * 10^ROW(INDIRECT("1:"&amp;LEN((LEFT(A286,SUM(LEN(A286)-LEN(SUBSTITUTE(A286,{"0","1","2"},""))))))))/10))*1+1&amp;""&amp;" to "&amp;""&amp;(SUMPRODUCT(MID(0&amp;(--TRIM(RIGHT(SUBSTITUTE(LEFT(A286,_xlfn.AGGREGATE(16,6,FIND({0,1,2,3,4,5,6,7,8,9},A286,ROW(INDIRECT("1:"&amp;LEN(A286)))),1))," ",REPT(" ",LEN(A286))),LEN(A286)))), LARGE(INDEX(ISNUMBER(--MID((--TRIM(RIGHT(SUBSTITUTE(LEFT(A286,_xlfn.AGGREGATE(16,6,FIND({0,1,2,3,4,5,6,7,8,9},A286,ROW(INDIRECT("1:"&amp;LEN(A286)))),1))," ",REPT(" ",LEN(A286))),LEN(A286)))), ROW(INDIRECT("1:"&amp;LEN((--TRIM(RIGHT(SUBSTITUTE(LEFT(A286,_xlfn.AGGREGATE(16,6,FIND({0,1,2,3,4,5,6,7,8,9},A286,ROW(INDIRECT("1:"&amp;LEN(A286)))),1))," ",REPT(" ",LEN(A286))),LEN(A286))))))), 1)) * ROW(INDIRECT("1:"&amp;LEN((--TRIM(RIGHT(SUBSTITUTE(LEFT(A286,_xlfn.AGGREGATE(16,6,FIND({0,1,2,3,4,5,6,7,8,9},A286,ROW(INDIRECT("1:"&amp;LEN(A286)))),1))," ",REPT(" ",LEN(A286))),LEN(A286))))))), 0), ROW(INDIRECT("1:"&amp;LEN((--TRIM(RIGHT(SUBSTITUTE(LEFT(A286,_xlfn.AGGREGATE(16,6,FIND({0,1,2,3,4,5,6,7,8,9},A286,ROW(INDIRECT("1:"&amp;LEN(A286)))),1))," ",REPT(" ",LEN(A286))),LEN(A286))))))))+1, 1) * 10^ROW(INDIRECT("1:"&amp;LEN((--TRIM(RIGHT(SUBSTITUTE(LEFT(A286,_xlfn.AGGREGATE(16,6,FIND({0,1,2,3,4,5,6,7,8,9},A286,ROW(INDIRECT("1:"&amp;LEN(A286)))),1))," ",REPT(" ",LEN(A286))),LEN(A286)))))))/10))*1+1</f>
        <v>107 to 707</v>
      </c>
      <c r="B287" s="114"/>
      <c r="C287" s="39" t="s">
        <v>385</v>
      </c>
      <c r="D287" s="75">
        <f>(27.03)*10.764</f>
        <v>290.95092</v>
      </c>
      <c r="E287" s="75">
        <f t="shared" ref="E287:E288" si="37">(0.75*(2.75+2.35+2.75))*10.764</f>
        <v>63.373049999999985</v>
      </c>
      <c r="F287" s="39">
        <f t="shared" si="35"/>
        <v>354.32396999999997</v>
      </c>
      <c r="G287" s="39">
        <v>0</v>
      </c>
      <c r="H287" s="39">
        <f t="shared" si="36"/>
        <v>513.76975649999997</v>
      </c>
      <c r="I287" s="33"/>
    </row>
    <row r="288" spans="1:20" s="34" customFormat="1" ht="15.75" customHeight="1" x14ac:dyDescent="0.3">
      <c r="A288" s="113" t="str">
        <f ca="1">(SUMPRODUCT(MID(0&amp;(LEFT(A287,SUM(LEN(A287)-LEN(SUBSTITUTE(A287,{"0","1","2"},""))))), LARGE(INDEX(ISNUMBER(--MID((LEFT(A287,SUM(LEN(A287)-LEN(SUBSTITUTE(A287,{"0","1","2"},""))))), ROW(INDIRECT("1:"&amp;LEN((LEFT(A287,SUM(LEN(A287)-LEN(SUBSTITUTE(A287,{"0","1","2"},"")))))))), 1)) * ROW(INDIRECT("1:"&amp;LEN((LEFT(A287,SUM(LEN(A287)-LEN(SUBSTITUTE(A287,{"0","1","2"},"")))))))), 0), ROW(INDIRECT("1:"&amp;LEN((LEFT(A287,SUM(LEN(A287)-LEN(SUBSTITUTE(A287,{"0","1","2"},"")))))))))+1, 1) * 10^ROW(INDIRECT("1:"&amp;LEN((LEFT(A287,SUM(LEN(A287)-LEN(SUBSTITUTE(A287,{"0","1","2"},""))))))))/10))*1+1&amp;""&amp;" to "&amp;""&amp;(SUMPRODUCT(MID(0&amp;(--TRIM(RIGHT(SUBSTITUTE(LEFT(A287,_xlfn.AGGREGATE(16,6,FIND({0,1,2,3,4,5,6,7,8,9},A287,ROW(INDIRECT("1:"&amp;LEN(A287)))),1))," ",REPT(" ",LEN(A287))),LEN(A287)))), LARGE(INDEX(ISNUMBER(--MID((--TRIM(RIGHT(SUBSTITUTE(LEFT(A287,_xlfn.AGGREGATE(16,6,FIND({0,1,2,3,4,5,6,7,8,9},A287,ROW(INDIRECT("1:"&amp;LEN(A287)))),1))," ",REPT(" ",LEN(A287))),LEN(A287)))), ROW(INDIRECT("1:"&amp;LEN((--TRIM(RIGHT(SUBSTITUTE(LEFT(A287,_xlfn.AGGREGATE(16,6,FIND({0,1,2,3,4,5,6,7,8,9},A287,ROW(INDIRECT("1:"&amp;LEN(A287)))),1))," ",REPT(" ",LEN(A287))),LEN(A287))))))), 1)) * ROW(INDIRECT("1:"&amp;LEN((--TRIM(RIGHT(SUBSTITUTE(LEFT(A287,_xlfn.AGGREGATE(16,6,FIND({0,1,2,3,4,5,6,7,8,9},A287,ROW(INDIRECT("1:"&amp;LEN(A287)))),1))," ",REPT(" ",LEN(A287))),LEN(A287))))))), 0), ROW(INDIRECT("1:"&amp;LEN((--TRIM(RIGHT(SUBSTITUTE(LEFT(A287,_xlfn.AGGREGATE(16,6,FIND({0,1,2,3,4,5,6,7,8,9},A287,ROW(INDIRECT("1:"&amp;LEN(A287)))),1))," ",REPT(" ",LEN(A287))),LEN(A287))))))))+1, 1) * 10^ROW(INDIRECT("1:"&amp;LEN((--TRIM(RIGHT(SUBSTITUTE(LEFT(A287,_xlfn.AGGREGATE(16,6,FIND({0,1,2,3,4,5,6,7,8,9},A287,ROW(INDIRECT("1:"&amp;LEN(A287)))),1))," ",REPT(" ",LEN(A287))),LEN(A287)))))))/10))*1+1</f>
        <v>108 to 708</v>
      </c>
      <c r="B288" s="114"/>
      <c r="C288" s="39" t="s">
        <v>385</v>
      </c>
      <c r="D288" s="75">
        <f>(27.03)*10.764</f>
        <v>290.95092</v>
      </c>
      <c r="E288" s="75">
        <f t="shared" si="37"/>
        <v>63.373049999999985</v>
      </c>
      <c r="F288" s="39">
        <f t="shared" si="35"/>
        <v>354.32396999999997</v>
      </c>
      <c r="G288" s="39">
        <v>0</v>
      </c>
      <c r="H288" s="39">
        <f t="shared" si="36"/>
        <v>513.76975649999997</v>
      </c>
      <c r="I288" s="33"/>
    </row>
    <row r="289" spans="1:20" s="34" customFormat="1" hidden="1" x14ac:dyDescent="0.3">
      <c r="A289" s="206" t="s">
        <v>117</v>
      </c>
      <c r="B289" s="207"/>
      <c r="C289" s="207"/>
      <c r="D289" s="207"/>
      <c r="E289" s="207"/>
      <c r="F289" s="207"/>
      <c r="G289" s="207"/>
      <c r="H289" s="208"/>
      <c r="J289" s="33"/>
    </row>
    <row r="290" spans="1:20" s="34" customFormat="1" ht="15.75" hidden="1" customHeight="1" x14ac:dyDescent="0.3">
      <c r="A290" s="113">
        <v>1</v>
      </c>
      <c r="B290" s="114"/>
      <c r="C290" s="39"/>
      <c r="D290" s="39"/>
      <c r="E290" s="39">
        <v>0</v>
      </c>
      <c r="F290" s="39">
        <f>D290+E290</f>
        <v>0</v>
      </c>
      <c r="G290" s="39">
        <v>0</v>
      </c>
      <c r="H290" s="39">
        <f>F290*(($H$222)+1)+(IF(G290&lt;101,G290,IF(G290&lt;201,G290/2,IF(G290&lt;=301,G290/3,G290/4))))</f>
        <v>0</v>
      </c>
      <c r="I290" s="33"/>
      <c r="L290" s="132"/>
      <c r="M290" s="132"/>
      <c r="N290" s="33"/>
    </row>
    <row r="291" spans="1:20" s="34" customFormat="1" ht="15.75" hidden="1" customHeight="1" x14ac:dyDescent="0.3">
      <c r="A291" s="113">
        <f>A290+1</f>
        <v>2</v>
      </c>
      <c r="B291" s="114"/>
      <c r="C291" s="39"/>
      <c r="D291" s="39"/>
      <c r="E291" s="39">
        <v>0</v>
      </c>
      <c r="F291" s="39">
        <f>D291+E291</f>
        <v>0</v>
      </c>
      <c r="G291" s="39">
        <v>0</v>
      </c>
      <c r="H291" s="39">
        <f>F291*(($H$222)+1)+(IF(G291&lt;101,G291,IF(G291&lt;201,G291/2,IF(G291&lt;=301,G291/3,G291/4))))</f>
        <v>0</v>
      </c>
      <c r="I291" s="33"/>
      <c r="L291" s="132"/>
      <c r="M291" s="132"/>
      <c r="N291" s="33"/>
    </row>
    <row r="292" spans="1:20" s="34" customFormat="1" ht="15.75" hidden="1" customHeight="1" x14ac:dyDescent="0.3">
      <c r="A292" s="113">
        <f>A291+1</f>
        <v>3</v>
      </c>
      <c r="B292" s="114"/>
      <c r="C292" s="39"/>
      <c r="D292" s="39"/>
      <c r="E292" s="39">
        <v>0</v>
      </c>
      <c r="F292" s="39">
        <f>D292+E292</f>
        <v>0</v>
      </c>
      <c r="G292" s="39">
        <v>0</v>
      </c>
      <c r="H292" s="39">
        <f>F292*(($H$222)+1)+(IF(G292&lt;101,G292,IF(G292&lt;201,G292/2,IF(G292&lt;=301,G292/3,G292/4))))</f>
        <v>0</v>
      </c>
      <c r="I292" s="33"/>
      <c r="L292" s="132"/>
      <c r="M292" s="132"/>
      <c r="N292" s="33"/>
    </row>
    <row r="293" spans="1:20" s="34" customFormat="1" ht="15.75" hidden="1" customHeight="1" x14ac:dyDescent="0.3">
      <c r="A293" s="113">
        <f>A292+1</f>
        <v>4</v>
      </c>
      <c r="B293" s="114"/>
      <c r="C293" s="39"/>
      <c r="D293" s="39"/>
      <c r="E293" s="39">
        <v>0</v>
      </c>
      <c r="F293" s="39">
        <f>D293+E293</f>
        <v>0</v>
      </c>
      <c r="G293" s="39">
        <v>0</v>
      </c>
      <c r="H293" s="39">
        <f>F293*(($H$222)+1)+(IF(G293&lt;101,G293,IF(G293&lt;201,G293/2,IF(G293&lt;=301,G293/3,G293/4))))</f>
        <v>0</v>
      </c>
      <c r="I293" s="33"/>
      <c r="L293" s="132"/>
      <c r="M293" s="132"/>
      <c r="N293" s="33"/>
      <c r="T293" s="18"/>
    </row>
    <row r="294" spans="1:20" s="34" customFormat="1" hidden="1" x14ac:dyDescent="0.3">
      <c r="A294" s="198" t="s">
        <v>118</v>
      </c>
      <c r="B294" s="198"/>
      <c r="C294" s="198"/>
      <c r="D294" s="198"/>
      <c r="E294" s="198"/>
      <c r="F294" s="198"/>
      <c r="G294" s="198"/>
      <c r="H294" s="198"/>
      <c r="I294" s="33"/>
      <c r="L294" s="132"/>
      <c r="M294" s="132"/>
    </row>
    <row r="295" spans="1:20" s="34" customFormat="1" hidden="1" x14ac:dyDescent="0.3">
      <c r="A295" s="133">
        <f>LEFT(A294,SUM(LEN(A294)-LEN(SUBSTITUTE(A294,{"0","1","2","3","4","5","6","7","8","9"},""))))*100+1</f>
        <v>201</v>
      </c>
      <c r="B295" s="133"/>
      <c r="C295" s="39"/>
      <c r="D295" s="39"/>
      <c r="E295" s="39">
        <v>0</v>
      </c>
      <c r="F295" s="39">
        <f>D295+E295</f>
        <v>0</v>
      </c>
      <c r="G295" s="39">
        <v>0</v>
      </c>
      <c r="H295" s="39">
        <f>F295*(($H$222)+1)+(IF(G295&lt;101,G295,IF(G295&lt;201,G295/2,IF(G295&lt;=301,G295/3,G295/4))))</f>
        <v>0</v>
      </c>
      <c r="I295" s="33"/>
      <c r="N295" s="33"/>
    </row>
    <row r="296" spans="1:20" s="34" customFormat="1" hidden="1" x14ac:dyDescent="0.3">
      <c r="A296" s="133">
        <f>A295+1</f>
        <v>202</v>
      </c>
      <c r="B296" s="133"/>
      <c r="C296" s="39"/>
      <c r="D296" s="39"/>
      <c r="E296" s="39">
        <v>0</v>
      </c>
      <c r="F296" s="39">
        <f>D296+E296</f>
        <v>0</v>
      </c>
      <c r="G296" s="39">
        <v>0</v>
      </c>
      <c r="H296" s="39">
        <f>F296*(($H$222)+1)+(IF(G296&lt;101,G296,IF(G296&lt;201,G296/2,IF(G296&lt;=301,G296/3,G296/4))))</f>
        <v>0</v>
      </c>
      <c r="I296" s="33"/>
      <c r="N296" s="33"/>
    </row>
    <row r="297" spans="1:20" s="34" customFormat="1" hidden="1" x14ac:dyDescent="0.3">
      <c r="A297" s="133">
        <f>A296+1</f>
        <v>203</v>
      </c>
      <c r="B297" s="133"/>
      <c r="C297" s="39"/>
      <c r="D297" s="39"/>
      <c r="E297" s="39">
        <v>0</v>
      </c>
      <c r="F297" s="39">
        <f>D297+E297</f>
        <v>0</v>
      </c>
      <c r="G297" s="39">
        <v>0</v>
      </c>
      <c r="H297" s="39">
        <f>F297*(($H$222)+1)+(IF(G297&lt;101,G297,IF(G297&lt;201,G297/2,IF(G297&lt;=301,G297/3,G297/4))))</f>
        <v>0</v>
      </c>
      <c r="I297" s="33"/>
      <c r="N297" s="33"/>
    </row>
    <row r="298" spans="1:20" s="34" customFormat="1" hidden="1" x14ac:dyDescent="0.3">
      <c r="A298" s="133">
        <f>A297+1</f>
        <v>204</v>
      </c>
      <c r="B298" s="133"/>
      <c r="C298" s="39"/>
      <c r="D298" s="39"/>
      <c r="E298" s="39">
        <v>0</v>
      </c>
      <c r="F298" s="39">
        <f>D298+E298</f>
        <v>0</v>
      </c>
      <c r="G298" s="39">
        <v>0</v>
      </c>
      <c r="H298" s="39">
        <f>F298*(($H$222)+1)+(IF(G298&lt;101,G298,IF(G298&lt;201,G298/2,IF(G298&lt;=301,G298/3,G298/4))))</f>
        <v>0</v>
      </c>
      <c r="I298" s="33"/>
      <c r="N298" s="33"/>
    </row>
    <row r="299" spans="1:20" s="34" customFormat="1" hidden="1" x14ac:dyDescent="0.3">
      <c r="A299" s="133">
        <f>A298+1</f>
        <v>205</v>
      </c>
      <c r="B299" s="133"/>
      <c r="C299" s="39"/>
      <c r="D299" s="39"/>
      <c r="E299" s="39">
        <v>0</v>
      </c>
      <c r="F299" s="39">
        <f>D299+E299</f>
        <v>0</v>
      </c>
      <c r="G299" s="39">
        <v>0</v>
      </c>
      <c r="H299" s="39">
        <f>F299*(($H$222)+1)+(IF(G299&lt;101,G299,IF(G299&lt;201,G299/2,IF(G299&lt;=301,G299/3,G299/4))))</f>
        <v>0</v>
      </c>
      <c r="I299" s="33"/>
      <c r="N299" s="33"/>
    </row>
    <row r="300" spans="1:20" s="34" customFormat="1" ht="15.75" hidden="1" customHeight="1" x14ac:dyDescent="0.3">
      <c r="A300" s="206" t="s">
        <v>149</v>
      </c>
      <c r="B300" s="207"/>
      <c r="C300" s="207"/>
      <c r="D300" s="207"/>
      <c r="E300" s="207"/>
      <c r="F300" s="207"/>
      <c r="G300" s="207"/>
      <c r="H300" s="208"/>
      <c r="I300" s="33"/>
    </row>
    <row r="301" spans="1:20" s="34" customFormat="1" ht="15.75" hidden="1" customHeight="1" x14ac:dyDescent="0.3">
      <c r="A301" s="113" t="str">
        <f ca="1">(SUMPRODUCT(MID(0&amp;(LEFT(A300,SUM(LEN(A300)-LEN(SUBSTITUTE(A300,{"0","1","2"},""))))), LARGE(INDEX(ISNUMBER(--MID((LEFT(A300,SUM(LEN(A300)-LEN(SUBSTITUTE(A300,{"0","1","2"},""))))), ROW(INDIRECT("1:"&amp;LEN((LEFT(A300,SUM(LEN(A300)-LEN(SUBSTITUTE(A300,{"0","1","2"},"")))))))), 1)) * ROW(INDIRECT("1:"&amp;LEN((LEFT(A300,SUM(LEN(A300)-LEN(SUBSTITUTE(A300,{"0","1","2"},"")))))))), 0), ROW(INDIRECT("1:"&amp;LEN((LEFT(A300,SUM(LEN(A300)-LEN(SUBSTITUTE(A300,{"0","1","2"},"")))))))))+1, 1) * 10^ROW(INDIRECT("1:"&amp;LEN((LEFT(A300,SUM(LEN(A300)-LEN(SUBSTITUTE(A300,{"0","1","2"},""))))))))/10))*100+1&amp;""&amp;" ,.., "&amp;""&amp;(SUMPRODUCT(MID(0&amp;(--TRIM(RIGHT(SUBSTITUTE(LEFT(A300,_xlfn.AGGREGATE(16,6,FIND({0,1,2,3,4,5,6,7,8,9},A300,ROW(INDIRECT("1:"&amp;LEN(A300)))),1))," ",REPT(" ",LEN(A300))),LEN(A300)))), LARGE(INDEX(ISNUMBER(--MID((--TRIM(RIGHT(SUBSTITUTE(LEFT(A300,_xlfn.AGGREGATE(16,6,FIND({0,1,2,3,4,5,6,7,8,9},A300,ROW(INDIRECT("1:"&amp;LEN(A300)))),1))," ",REPT(" ",LEN(A300))),LEN(A300)))), ROW(INDIRECT("1:"&amp;LEN((--TRIM(RIGHT(SUBSTITUTE(LEFT(A300,_xlfn.AGGREGATE(16,6,FIND({0,1,2,3,4,5,6,7,8,9},A300,ROW(INDIRECT("1:"&amp;LEN(A300)))),1))," ",REPT(" ",LEN(A300))),LEN(A300))))))), 1)) * ROW(INDIRECT("1:"&amp;LEN((--TRIM(RIGHT(SUBSTITUTE(LEFT(A300,_xlfn.AGGREGATE(16,6,FIND({0,1,2,3,4,5,6,7,8,9},A300,ROW(INDIRECT("1:"&amp;LEN(A300)))),1))," ",REPT(" ",LEN(A300))),LEN(A300))))))), 0), ROW(INDIRECT("1:"&amp;LEN((--TRIM(RIGHT(SUBSTITUTE(LEFT(A300,_xlfn.AGGREGATE(16,6,FIND({0,1,2,3,4,5,6,7,8,9},A300,ROW(INDIRECT("1:"&amp;LEN(A300)))),1))," ",REPT(" ",LEN(A300))),LEN(A300))))))))+1, 1) * 10^ROW(INDIRECT("1:"&amp;LEN((--TRIM(RIGHT(SUBSTITUTE(LEFT(A300,_xlfn.AGGREGATE(16,6,FIND({0,1,2,3,4,5,6,7,8,9},A300,ROW(INDIRECT("1:"&amp;LEN(A300)))),1))," ",REPT(" ",LEN(A300))),LEN(A300)))))))/10))*100+1</f>
        <v>301 ,.., 1501</v>
      </c>
      <c r="B301" s="114"/>
      <c r="C301" s="39"/>
      <c r="D301" s="39"/>
      <c r="E301" s="39">
        <v>0</v>
      </c>
      <c r="F301" s="39">
        <f>D301+E301</f>
        <v>0</v>
      </c>
      <c r="G301" s="39">
        <v>0</v>
      </c>
      <c r="H301" s="39">
        <f>F301*(($H$222)+1)+(IF(G301&lt;101,G301,IF(G301&lt;201,G301/2,IF(G301&lt;=301,G301/3,G301/4))))</f>
        <v>0</v>
      </c>
      <c r="I301" s="33"/>
    </row>
    <row r="302" spans="1:20" s="34" customFormat="1" ht="15.75" hidden="1" customHeight="1" x14ac:dyDescent="0.3">
      <c r="A302" s="113" t="str">
        <f ca="1">(SUMPRODUCT(MID(0&amp;(LEFT(A301,SUM(LEN(A301)-LEN(SUBSTITUTE(A301,{"0","1","2"},""))))), LARGE(INDEX(ISNUMBER(--MID((LEFT(A301,SUM(LEN(A301)-LEN(SUBSTITUTE(A301,{"0","1","2"},""))))), ROW(INDIRECT("1:"&amp;LEN((LEFT(A301,SUM(LEN(A301)-LEN(SUBSTITUTE(A301,{"0","1","2"},"")))))))), 1)) * ROW(INDIRECT("1:"&amp;LEN((LEFT(A301,SUM(LEN(A301)-LEN(SUBSTITUTE(A301,{"0","1","2"},"")))))))), 0), ROW(INDIRECT("1:"&amp;LEN((LEFT(A301,SUM(LEN(A301)-LEN(SUBSTITUTE(A301,{"0","1","2"},"")))))))))+1, 1) * 10^ROW(INDIRECT("1:"&amp;LEN((LEFT(A301,SUM(LEN(A301)-LEN(SUBSTITUTE(A301,{"0","1","2"},""))))))))/10))*1+1&amp;""&amp;" ,.., "&amp;""&amp;(SUMPRODUCT(MID(0&amp;(--TRIM(RIGHT(SUBSTITUTE(LEFT(A301,_xlfn.AGGREGATE(16,6,FIND({0,1,2,3,4,5,6,7,8,9},A301,ROW(INDIRECT("1:"&amp;LEN(A301)))),1))," ",REPT(" ",LEN(A301))),LEN(A301)))), LARGE(INDEX(ISNUMBER(--MID((--TRIM(RIGHT(SUBSTITUTE(LEFT(A301,_xlfn.AGGREGATE(16,6,FIND({0,1,2,3,4,5,6,7,8,9},A301,ROW(INDIRECT("1:"&amp;LEN(A301)))),1))," ",REPT(" ",LEN(A301))),LEN(A301)))), ROW(INDIRECT("1:"&amp;LEN((--TRIM(RIGHT(SUBSTITUTE(LEFT(A301,_xlfn.AGGREGATE(16,6,FIND({0,1,2,3,4,5,6,7,8,9},A301,ROW(INDIRECT("1:"&amp;LEN(A301)))),1))," ",REPT(" ",LEN(A301))),LEN(A301))))))), 1)) * ROW(INDIRECT("1:"&amp;LEN((--TRIM(RIGHT(SUBSTITUTE(LEFT(A301,_xlfn.AGGREGATE(16,6,FIND({0,1,2,3,4,5,6,7,8,9},A301,ROW(INDIRECT("1:"&amp;LEN(A301)))),1))," ",REPT(" ",LEN(A301))),LEN(A301))))))), 0), ROW(INDIRECT("1:"&amp;LEN((--TRIM(RIGHT(SUBSTITUTE(LEFT(A301,_xlfn.AGGREGATE(16,6,FIND({0,1,2,3,4,5,6,7,8,9},A301,ROW(INDIRECT("1:"&amp;LEN(A301)))),1))," ",REPT(" ",LEN(A301))),LEN(A301))))))))+1, 1) * 10^ROW(INDIRECT("1:"&amp;LEN((--TRIM(RIGHT(SUBSTITUTE(LEFT(A301,_xlfn.AGGREGATE(16,6,FIND({0,1,2,3,4,5,6,7,8,9},A301,ROW(INDIRECT("1:"&amp;LEN(A301)))),1))," ",REPT(" ",LEN(A301))),LEN(A301)))))))/10))*1+1</f>
        <v>302 ,.., 1502</v>
      </c>
      <c r="B302" s="114"/>
      <c r="C302" s="39"/>
      <c r="D302" s="39"/>
      <c r="E302" s="39">
        <v>0</v>
      </c>
      <c r="F302" s="39">
        <f>D302+E302</f>
        <v>0</v>
      </c>
      <c r="G302" s="39">
        <v>0</v>
      </c>
      <c r="H302" s="39">
        <f>F302*(($H$222)+1)+(IF(G302&lt;101,G302,IF(G302&lt;201,G302/2,IF(G302&lt;=301,G302/3,G302/4))))</f>
        <v>0</v>
      </c>
      <c r="I302" s="33"/>
    </row>
    <row r="303" spans="1:20" s="34" customFormat="1" ht="15.75" hidden="1" customHeight="1" x14ac:dyDescent="0.3">
      <c r="A303" s="113" t="str">
        <f ca="1">(SUMPRODUCT(MID(0&amp;(LEFT(A302,SUM(LEN(A302)-LEN(SUBSTITUTE(A302,{"0","1","2"},""))))), LARGE(INDEX(ISNUMBER(--MID((LEFT(A302,SUM(LEN(A302)-LEN(SUBSTITUTE(A302,{"0","1","2"},""))))), ROW(INDIRECT("1:"&amp;LEN((LEFT(A302,SUM(LEN(A302)-LEN(SUBSTITUTE(A302,{"0","1","2"},"")))))))), 1)) * ROW(INDIRECT("1:"&amp;LEN((LEFT(A302,SUM(LEN(A302)-LEN(SUBSTITUTE(A302,{"0","1","2"},"")))))))), 0), ROW(INDIRECT("1:"&amp;LEN((LEFT(A302,SUM(LEN(A302)-LEN(SUBSTITUTE(A302,{"0","1","2"},"")))))))))+1, 1) * 10^ROW(INDIRECT("1:"&amp;LEN((LEFT(A302,SUM(LEN(A302)-LEN(SUBSTITUTE(A302,{"0","1","2"},""))))))))/10))*1+1&amp;""&amp;" ,.., "&amp;""&amp;(SUMPRODUCT(MID(0&amp;(--TRIM(RIGHT(SUBSTITUTE(LEFT(A302,_xlfn.AGGREGATE(16,6,FIND({0,1,2,3,4,5,6,7,8,9},A302,ROW(INDIRECT("1:"&amp;LEN(A302)))),1))," ",REPT(" ",LEN(A302))),LEN(A302)))), LARGE(INDEX(ISNUMBER(--MID((--TRIM(RIGHT(SUBSTITUTE(LEFT(A302,_xlfn.AGGREGATE(16,6,FIND({0,1,2,3,4,5,6,7,8,9},A302,ROW(INDIRECT("1:"&amp;LEN(A302)))),1))," ",REPT(" ",LEN(A302))),LEN(A302)))), ROW(INDIRECT("1:"&amp;LEN((--TRIM(RIGHT(SUBSTITUTE(LEFT(A302,_xlfn.AGGREGATE(16,6,FIND({0,1,2,3,4,5,6,7,8,9},A302,ROW(INDIRECT("1:"&amp;LEN(A302)))),1))," ",REPT(" ",LEN(A302))),LEN(A302))))))), 1)) * ROW(INDIRECT("1:"&amp;LEN((--TRIM(RIGHT(SUBSTITUTE(LEFT(A302,_xlfn.AGGREGATE(16,6,FIND({0,1,2,3,4,5,6,7,8,9},A302,ROW(INDIRECT("1:"&amp;LEN(A302)))),1))," ",REPT(" ",LEN(A302))),LEN(A302))))))), 0), ROW(INDIRECT("1:"&amp;LEN((--TRIM(RIGHT(SUBSTITUTE(LEFT(A302,_xlfn.AGGREGATE(16,6,FIND({0,1,2,3,4,5,6,7,8,9},A302,ROW(INDIRECT("1:"&amp;LEN(A302)))),1))," ",REPT(" ",LEN(A302))),LEN(A302))))))))+1, 1) * 10^ROW(INDIRECT("1:"&amp;LEN((--TRIM(RIGHT(SUBSTITUTE(LEFT(A302,_xlfn.AGGREGATE(16,6,FIND({0,1,2,3,4,5,6,7,8,9},A302,ROW(INDIRECT("1:"&amp;LEN(A302)))),1))," ",REPT(" ",LEN(A302))),LEN(A302)))))))/10))*1+1</f>
        <v>303 ,.., 1503</v>
      </c>
      <c r="B303" s="114"/>
      <c r="C303" s="39"/>
      <c r="D303" s="39"/>
      <c r="E303" s="39">
        <v>0</v>
      </c>
      <c r="F303" s="39">
        <f>D303+E303</f>
        <v>0</v>
      </c>
      <c r="G303" s="39">
        <v>0</v>
      </c>
      <c r="H303" s="39">
        <f>F303*(($H$222)+1)+(IF(G303&lt;101,G303,IF(G303&lt;201,G303/2,IF(G303&lt;=301,G303/3,G303/4))))</f>
        <v>0</v>
      </c>
      <c r="I303" s="33"/>
    </row>
    <row r="304" spans="1:20" s="34" customFormat="1" ht="15.75" hidden="1" customHeight="1" x14ac:dyDescent="0.3">
      <c r="A304" s="113" t="str">
        <f ca="1">(SUMPRODUCT(MID(0&amp;(LEFT(A303,SUM(LEN(A303)-LEN(SUBSTITUTE(A303,{"0","1","2"},""))))), LARGE(INDEX(ISNUMBER(--MID((LEFT(A303,SUM(LEN(A303)-LEN(SUBSTITUTE(A303,{"0","1","2"},""))))), ROW(INDIRECT("1:"&amp;LEN((LEFT(A303,SUM(LEN(A303)-LEN(SUBSTITUTE(A303,{"0","1","2"},"")))))))), 1)) * ROW(INDIRECT("1:"&amp;LEN((LEFT(A303,SUM(LEN(A303)-LEN(SUBSTITUTE(A303,{"0","1","2"},"")))))))), 0), ROW(INDIRECT("1:"&amp;LEN((LEFT(A303,SUM(LEN(A303)-LEN(SUBSTITUTE(A303,{"0","1","2"},"")))))))))+1, 1) * 10^ROW(INDIRECT("1:"&amp;LEN((LEFT(A303,SUM(LEN(A303)-LEN(SUBSTITUTE(A303,{"0","1","2"},""))))))))/10))*1+1&amp;""&amp;" ,.., "&amp;""&amp;(SUMPRODUCT(MID(0&amp;(--TRIM(RIGHT(SUBSTITUTE(LEFT(A303,_xlfn.AGGREGATE(16,6,FIND({0,1,2,3,4,5,6,7,8,9},A303,ROW(INDIRECT("1:"&amp;LEN(A303)))),1))," ",REPT(" ",LEN(A303))),LEN(A303)))), LARGE(INDEX(ISNUMBER(--MID((--TRIM(RIGHT(SUBSTITUTE(LEFT(A303,_xlfn.AGGREGATE(16,6,FIND({0,1,2,3,4,5,6,7,8,9},A303,ROW(INDIRECT("1:"&amp;LEN(A303)))),1))," ",REPT(" ",LEN(A303))),LEN(A303)))), ROW(INDIRECT("1:"&amp;LEN((--TRIM(RIGHT(SUBSTITUTE(LEFT(A303,_xlfn.AGGREGATE(16,6,FIND({0,1,2,3,4,5,6,7,8,9},A303,ROW(INDIRECT("1:"&amp;LEN(A303)))),1))," ",REPT(" ",LEN(A303))),LEN(A303))))))), 1)) * ROW(INDIRECT("1:"&amp;LEN((--TRIM(RIGHT(SUBSTITUTE(LEFT(A303,_xlfn.AGGREGATE(16,6,FIND({0,1,2,3,4,5,6,7,8,9},A303,ROW(INDIRECT("1:"&amp;LEN(A303)))),1))," ",REPT(" ",LEN(A303))),LEN(A303))))))), 0), ROW(INDIRECT("1:"&amp;LEN((--TRIM(RIGHT(SUBSTITUTE(LEFT(A303,_xlfn.AGGREGATE(16,6,FIND({0,1,2,3,4,5,6,7,8,9},A303,ROW(INDIRECT("1:"&amp;LEN(A303)))),1))," ",REPT(" ",LEN(A303))),LEN(A303))))))))+1, 1) * 10^ROW(INDIRECT("1:"&amp;LEN((--TRIM(RIGHT(SUBSTITUTE(LEFT(A303,_xlfn.AGGREGATE(16,6,FIND({0,1,2,3,4,5,6,7,8,9},A303,ROW(INDIRECT("1:"&amp;LEN(A303)))),1))," ",REPT(" ",LEN(A303))),LEN(A303)))))))/10))*1+1</f>
        <v>304 ,.., 1504</v>
      </c>
      <c r="B304" s="114"/>
      <c r="C304" s="39"/>
      <c r="D304" s="39"/>
      <c r="E304" s="39">
        <v>0</v>
      </c>
      <c r="F304" s="39">
        <f>D304+E304</f>
        <v>0</v>
      </c>
      <c r="G304" s="39">
        <v>0</v>
      </c>
      <c r="H304" s="39">
        <f>F304*(($H$222)+1)+(IF(G304&lt;101,G304,IF(G304&lt;201,G304/2,IF(G304&lt;=301,G304/3,G304/4))))</f>
        <v>0</v>
      </c>
      <c r="I304" s="33"/>
    </row>
    <row r="305" spans="1:20" s="34" customFormat="1" ht="15.75" hidden="1" customHeight="1" x14ac:dyDescent="0.3">
      <c r="A305" s="113" t="str">
        <f ca="1">(SUMPRODUCT(MID(0&amp;(LEFT(A304,SUM(LEN(A304)-LEN(SUBSTITUTE(A304,{"0","1","2"},""))))), LARGE(INDEX(ISNUMBER(--MID((LEFT(A304,SUM(LEN(A304)-LEN(SUBSTITUTE(A304,{"0","1","2"},""))))), ROW(INDIRECT("1:"&amp;LEN((LEFT(A304,SUM(LEN(A304)-LEN(SUBSTITUTE(A304,{"0","1","2"},"")))))))), 1)) * ROW(INDIRECT("1:"&amp;LEN((LEFT(A304,SUM(LEN(A304)-LEN(SUBSTITUTE(A304,{"0","1","2"},"")))))))), 0), ROW(INDIRECT("1:"&amp;LEN((LEFT(A304,SUM(LEN(A304)-LEN(SUBSTITUTE(A304,{"0","1","2"},"")))))))))+1, 1) * 10^ROW(INDIRECT("1:"&amp;LEN((LEFT(A304,SUM(LEN(A304)-LEN(SUBSTITUTE(A304,{"0","1","2"},""))))))))/10))*1+1&amp;""&amp;" ,.., "&amp;""&amp;(SUMPRODUCT(MID(0&amp;(--TRIM(RIGHT(SUBSTITUTE(LEFT(A304,_xlfn.AGGREGATE(16,6,FIND({0,1,2,3,4,5,6,7,8,9},A304,ROW(INDIRECT("1:"&amp;LEN(A304)))),1))," ",REPT(" ",LEN(A304))),LEN(A304)))), LARGE(INDEX(ISNUMBER(--MID((--TRIM(RIGHT(SUBSTITUTE(LEFT(A304,_xlfn.AGGREGATE(16,6,FIND({0,1,2,3,4,5,6,7,8,9},A304,ROW(INDIRECT("1:"&amp;LEN(A304)))),1))," ",REPT(" ",LEN(A304))),LEN(A304)))), ROW(INDIRECT("1:"&amp;LEN((--TRIM(RIGHT(SUBSTITUTE(LEFT(A304,_xlfn.AGGREGATE(16,6,FIND({0,1,2,3,4,5,6,7,8,9},A304,ROW(INDIRECT("1:"&amp;LEN(A304)))),1))," ",REPT(" ",LEN(A304))),LEN(A304))))))), 1)) * ROW(INDIRECT("1:"&amp;LEN((--TRIM(RIGHT(SUBSTITUTE(LEFT(A304,_xlfn.AGGREGATE(16,6,FIND({0,1,2,3,4,5,6,7,8,9},A304,ROW(INDIRECT("1:"&amp;LEN(A304)))),1))," ",REPT(" ",LEN(A304))),LEN(A304))))))), 0), ROW(INDIRECT("1:"&amp;LEN((--TRIM(RIGHT(SUBSTITUTE(LEFT(A304,_xlfn.AGGREGATE(16,6,FIND({0,1,2,3,4,5,6,7,8,9},A304,ROW(INDIRECT("1:"&amp;LEN(A304)))),1))," ",REPT(" ",LEN(A304))),LEN(A304))))))))+1, 1) * 10^ROW(INDIRECT("1:"&amp;LEN((--TRIM(RIGHT(SUBSTITUTE(LEFT(A304,_xlfn.AGGREGATE(16,6,FIND({0,1,2,3,4,5,6,7,8,9},A304,ROW(INDIRECT("1:"&amp;LEN(A304)))),1))," ",REPT(" ",LEN(A304))),LEN(A304)))))))/10))*1+1</f>
        <v>305 ,.., 1505</v>
      </c>
      <c r="B305" s="114"/>
      <c r="C305" s="39"/>
      <c r="D305" s="39"/>
      <c r="E305" s="39">
        <v>0</v>
      </c>
      <c r="F305" s="39">
        <f>D305+E305</f>
        <v>0</v>
      </c>
      <c r="G305" s="39">
        <v>0</v>
      </c>
      <c r="H305" s="39">
        <f>F305*(($H$222)+1)+(IF(G305&lt;101,G305,IF(G305&lt;201,G305/2,IF(G305&lt;=301,G305/3,G305/4))))</f>
        <v>0</v>
      </c>
      <c r="I305" s="33"/>
    </row>
    <row r="306" spans="1:20" s="34" customFormat="1" hidden="1" x14ac:dyDescent="0.3">
      <c r="A306" s="206" t="s">
        <v>143</v>
      </c>
      <c r="B306" s="207"/>
      <c r="C306" s="207"/>
      <c r="D306" s="207"/>
      <c r="E306" s="207"/>
      <c r="F306" s="207"/>
      <c r="G306" s="207"/>
      <c r="H306" s="208"/>
      <c r="I306" s="33"/>
    </row>
    <row r="307" spans="1:20" s="34" customFormat="1" ht="15.75" hidden="1" customHeight="1" x14ac:dyDescent="0.3">
      <c r="A307" s="113" t="str">
        <f ca="1">(SUMPRODUCT(MID(0&amp;(LEFT(A306,SUM(LEN(A306)-LEN(SUBSTITUTE(A306,{"0","1","2"},""))))), LARGE(INDEX(ISNUMBER(--MID((LEFT(A306,SUM(LEN(A306)-LEN(SUBSTITUTE(A306,{"0","1","2"},""))))), ROW(INDIRECT("1:"&amp;LEN((LEFT(A306,SUM(LEN(A306)-LEN(SUBSTITUTE(A306,{"0","1","2"},"")))))))), 1)) * ROW(INDIRECT("1:"&amp;LEN((LEFT(A306,SUM(LEN(A306)-LEN(SUBSTITUTE(A306,{"0","1","2"},"")))))))), 0), ROW(INDIRECT("1:"&amp;LEN((LEFT(A306,SUM(LEN(A306)-LEN(SUBSTITUTE(A306,{"0","1","2"},"")))))))))+1, 1) * 10^ROW(INDIRECT("1:"&amp;LEN((LEFT(A306,SUM(LEN(A306)-LEN(SUBSTITUTE(A306,{"0","1","2"},""))))))))/10))*100+1&amp;""&amp;" to "&amp;""&amp;(SUMPRODUCT(MID(0&amp;(--TRIM(RIGHT(SUBSTITUTE(LEFT(A306,_xlfn.AGGREGATE(16,6,FIND({0,1,2,3,4,5,6,7,8,9},A306,ROW(INDIRECT("1:"&amp;LEN(A306)))),1))," ",REPT(" ",LEN(A306))),LEN(A306)))), LARGE(INDEX(ISNUMBER(--MID((--TRIM(RIGHT(SUBSTITUTE(LEFT(A306,_xlfn.AGGREGATE(16,6,FIND({0,1,2,3,4,5,6,7,8,9},A306,ROW(INDIRECT("1:"&amp;LEN(A306)))),1))," ",REPT(" ",LEN(A306))),LEN(A306)))), ROW(INDIRECT("1:"&amp;LEN((--TRIM(RIGHT(SUBSTITUTE(LEFT(A306,_xlfn.AGGREGATE(16,6,FIND({0,1,2,3,4,5,6,7,8,9},A306,ROW(INDIRECT("1:"&amp;LEN(A306)))),1))," ",REPT(" ",LEN(A306))),LEN(A306))))))), 1)) * ROW(INDIRECT("1:"&amp;LEN((--TRIM(RIGHT(SUBSTITUTE(LEFT(A306,_xlfn.AGGREGATE(16,6,FIND({0,1,2,3,4,5,6,7,8,9},A306,ROW(INDIRECT("1:"&amp;LEN(A306)))),1))," ",REPT(" ",LEN(A306))),LEN(A306))))))), 0), ROW(INDIRECT("1:"&amp;LEN((--TRIM(RIGHT(SUBSTITUTE(LEFT(A306,_xlfn.AGGREGATE(16,6,FIND({0,1,2,3,4,5,6,7,8,9},A306,ROW(INDIRECT("1:"&amp;LEN(A306)))),1))," ",REPT(" ",LEN(A306))),LEN(A306))))))))+1, 1) * 10^ROW(INDIRECT("1:"&amp;LEN((--TRIM(RIGHT(SUBSTITUTE(LEFT(A306,_xlfn.AGGREGATE(16,6,FIND({0,1,2,3,4,5,6,7,8,9},A306,ROW(INDIRECT("1:"&amp;LEN(A306)))),1))," ",REPT(" ",LEN(A306))),LEN(A306)))))))/10))*100+1</f>
        <v>201 to 501</v>
      </c>
      <c r="B307" s="114"/>
      <c r="C307" s="39"/>
      <c r="D307" s="39"/>
      <c r="E307" s="39">
        <v>0</v>
      </c>
      <c r="F307" s="39">
        <f>D307+E307</f>
        <v>0</v>
      </c>
      <c r="G307" s="39">
        <v>0</v>
      </c>
      <c r="H307" s="39">
        <f>F307*(($H$222)+1)+(IF(G307&lt;101,G307,IF(G307&lt;201,G307/2,IF(G307&lt;=301,G307/3,G307/4))))</f>
        <v>0</v>
      </c>
      <c r="I307" s="33"/>
    </row>
    <row r="308" spans="1:20" s="34" customFormat="1" ht="15.75" hidden="1" customHeight="1" x14ac:dyDescent="0.3">
      <c r="A308" s="113" t="str">
        <f ca="1">(SUMPRODUCT(MID(0&amp;(LEFT(A307,SUM(LEN(A307)-LEN(SUBSTITUTE(A307,{"0","1","2"},""))))), LARGE(INDEX(ISNUMBER(--MID((LEFT(A307,SUM(LEN(A307)-LEN(SUBSTITUTE(A307,{"0","1","2"},""))))), ROW(INDIRECT("1:"&amp;LEN((LEFT(A307,SUM(LEN(A307)-LEN(SUBSTITUTE(A307,{"0","1","2"},"")))))))), 1)) * ROW(INDIRECT("1:"&amp;LEN((LEFT(A307,SUM(LEN(A307)-LEN(SUBSTITUTE(A307,{"0","1","2"},"")))))))), 0), ROW(INDIRECT("1:"&amp;LEN((LEFT(A307,SUM(LEN(A307)-LEN(SUBSTITUTE(A307,{"0","1","2"},"")))))))))+1, 1) * 10^ROW(INDIRECT("1:"&amp;LEN((LEFT(A307,SUM(LEN(A307)-LEN(SUBSTITUTE(A307,{"0","1","2"},""))))))))/10))*1+1&amp;""&amp;" to "&amp;""&amp;(SUMPRODUCT(MID(0&amp;(--TRIM(RIGHT(SUBSTITUTE(LEFT(A307,_xlfn.AGGREGATE(16,6,FIND({0,1,2,3,4,5,6,7,8,9},A307,ROW(INDIRECT("1:"&amp;LEN(A307)))),1))," ",REPT(" ",LEN(A307))),LEN(A307)))), LARGE(INDEX(ISNUMBER(--MID((--TRIM(RIGHT(SUBSTITUTE(LEFT(A307,_xlfn.AGGREGATE(16,6,FIND({0,1,2,3,4,5,6,7,8,9},A307,ROW(INDIRECT("1:"&amp;LEN(A307)))),1))," ",REPT(" ",LEN(A307))),LEN(A307)))), ROW(INDIRECT("1:"&amp;LEN((--TRIM(RIGHT(SUBSTITUTE(LEFT(A307,_xlfn.AGGREGATE(16,6,FIND({0,1,2,3,4,5,6,7,8,9},A307,ROW(INDIRECT("1:"&amp;LEN(A307)))),1))," ",REPT(" ",LEN(A307))),LEN(A307))))))), 1)) * ROW(INDIRECT("1:"&amp;LEN((--TRIM(RIGHT(SUBSTITUTE(LEFT(A307,_xlfn.AGGREGATE(16,6,FIND({0,1,2,3,4,5,6,7,8,9},A307,ROW(INDIRECT("1:"&amp;LEN(A307)))),1))," ",REPT(" ",LEN(A307))),LEN(A307))))))), 0), ROW(INDIRECT("1:"&amp;LEN((--TRIM(RIGHT(SUBSTITUTE(LEFT(A307,_xlfn.AGGREGATE(16,6,FIND({0,1,2,3,4,5,6,7,8,9},A307,ROW(INDIRECT("1:"&amp;LEN(A307)))),1))," ",REPT(" ",LEN(A307))),LEN(A307))))))))+1, 1) * 10^ROW(INDIRECT("1:"&amp;LEN((--TRIM(RIGHT(SUBSTITUTE(LEFT(A307,_xlfn.AGGREGATE(16,6,FIND({0,1,2,3,4,5,6,7,8,9},A307,ROW(INDIRECT("1:"&amp;LEN(A307)))),1))," ",REPT(" ",LEN(A307))),LEN(A307)))))))/10))*1+1</f>
        <v>202 to 502</v>
      </c>
      <c r="B308" s="114"/>
      <c r="C308" s="39"/>
      <c r="D308" s="39"/>
      <c r="E308" s="39">
        <v>0</v>
      </c>
      <c r="F308" s="39">
        <f>D308+E308</f>
        <v>0</v>
      </c>
      <c r="G308" s="39">
        <v>0</v>
      </c>
      <c r="H308" s="39">
        <f>F308*(($H$222)+1)+(IF(G308&lt;101,G308,IF(G308&lt;201,G308/2,IF(G308&lt;=301,G308/3,G308/4))))</f>
        <v>0</v>
      </c>
      <c r="I308" s="33"/>
    </row>
    <row r="309" spans="1:20" s="34" customFormat="1" ht="15.75" hidden="1" customHeight="1" x14ac:dyDescent="0.3">
      <c r="A309" s="113" t="str">
        <f ca="1">(SUMPRODUCT(MID(0&amp;(LEFT(A308,SUM(LEN(A308)-LEN(SUBSTITUTE(A308,{"0","1","2"},""))))), LARGE(INDEX(ISNUMBER(--MID((LEFT(A308,SUM(LEN(A308)-LEN(SUBSTITUTE(A308,{"0","1","2"},""))))), ROW(INDIRECT("1:"&amp;LEN((LEFT(A308,SUM(LEN(A308)-LEN(SUBSTITUTE(A308,{"0","1","2"},"")))))))), 1)) * ROW(INDIRECT("1:"&amp;LEN((LEFT(A308,SUM(LEN(A308)-LEN(SUBSTITUTE(A308,{"0","1","2"},"")))))))), 0), ROW(INDIRECT("1:"&amp;LEN((LEFT(A308,SUM(LEN(A308)-LEN(SUBSTITUTE(A308,{"0","1","2"},"")))))))))+1, 1) * 10^ROW(INDIRECT("1:"&amp;LEN((LEFT(A308,SUM(LEN(A308)-LEN(SUBSTITUTE(A308,{"0","1","2"},""))))))))/10))*1+1&amp;""&amp;" to "&amp;""&amp;(SUMPRODUCT(MID(0&amp;(--TRIM(RIGHT(SUBSTITUTE(LEFT(A308,_xlfn.AGGREGATE(16,6,FIND({0,1,2,3,4,5,6,7,8,9},A308,ROW(INDIRECT("1:"&amp;LEN(A308)))),1))," ",REPT(" ",LEN(A308))),LEN(A308)))), LARGE(INDEX(ISNUMBER(--MID((--TRIM(RIGHT(SUBSTITUTE(LEFT(A308,_xlfn.AGGREGATE(16,6,FIND({0,1,2,3,4,5,6,7,8,9},A308,ROW(INDIRECT("1:"&amp;LEN(A308)))),1))," ",REPT(" ",LEN(A308))),LEN(A308)))), ROW(INDIRECT("1:"&amp;LEN((--TRIM(RIGHT(SUBSTITUTE(LEFT(A308,_xlfn.AGGREGATE(16,6,FIND({0,1,2,3,4,5,6,7,8,9},A308,ROW(INDIRECT("1:"&amp;LEN(A308)))),1))," ",REPT(" ",LEN(A308))),LEN(A308))))))), 1)) * ROW(INDIRECT("1:"&amp;LEN((--TRIM(RIGHT(SUBSTITUTE(LEFT(A308,_xlfn.AGGREGATE(16,6,FIND({0,1,2,3,4,5,6,7,8,9},A308,ROW(INDIRECT("1:"&amp;LEN(A308)))),1))," ",REPT(" ",LEN(A308))),LEN(A308))))))), 0), ROW(INDIRECT("1:"&amp;LEN((--TRIM(RIGHT(SUBSTITUTE(LEFT(A308,_xlfn.AGGREGATE(16,6,FIND({0,1,2,3,4,5,6,7,8,9},A308,ROW(INDIRECT("1:"&amp;LEN(A308)))),1))," ",REPT(" ",LEN(A308))),LEN(A308))))))))+1, 1) * 10^ROW(INDIRECT("1:"&amp;LEN((--TRIM(RIGHT(SUBSTITUTE(LEFT(A308,_xlfn.AGGREGATE(16,6,FIND({0,1,2,3,4,5,6,7,8,9},A308,ROW(INDIRECT("1:"&amp;LEN(A308)))),1))," ",REPT(" ",LEN(A308))),LEN(A308)))))))/10))*1+1</f>
        <v>203 to 503</v>
      </c>
      <c r="B309" s="114"/>
      <c r="C309" s="39"/>
      <c r="D309" s="39"/>
      <c r="E309" s="39">
        <v>0</v>
      </c>
      <c r="F309" s="39">
        <f>D309+E309</f>
        <v>0</v>
      </c>
      <c r="G309" s="39">
        <v>0</v>
      </c>
      <c r="H309" s="39">
        <f>F309*(($H$222)+1)+(IF(G309&lt;101,G309,IF(G309&lt;201,G309/2,IF(G309&lt;=301,G309/3,G309/4))))</f>
        <v>0</v>
      </c>
      <c r="I309" s="33"/>
    </row>
    <row r="310" spans="1:20" s="34" customFormat="1" ht="15.75" hidden="1" customHeight="1" x14ac:dyDescent="0.3">
      <c r="A310" s="113" t="str">
        <f ca="1">(SUMPRODUCT(MID(0&amp;(LEFT(A309,SUM(LEN(A309)-LEN(SUBSTITUTE(A309,{"0","1","2"},""))))), LARGE(INDEX(ISNUMBER(--MID((LEFT(A309,SUM(LEN(A309)-LEN(SUBSTITUTE(A309,{"0","1","2"},""))))), ROW(INDIRECT("1:"&amp;LEN((LEFT(A309,SUM(LEN(A309)-LEN(SUBSTITUTE(A309,{"0","1","2"},"")))))))), 1)) * ROW(INDIRECT("1:"&amp;LEN((LEFT(A309,SUM(LEN(A309)-LEN(SUBSTITUTE(A309,{"0","1","2"},"")))))))), 0), ROW(INDIRECT("1:"&amp;LEN((LEFT(A309,SUM(LEN(A309)-LEN(SUBSTITUTE(A309,{"0","1","2"},"")))))))))+1, 1) * 10^ROW(INDIRECT("1:"&amp;LEN((LEFT(A309,SUM(LEN(A309)-LEN(SUBSTITUTE(A309,{"0","1","2"},""))))))))/10))*1+1&amp;""&amp;" to "&amp;""&amp;(SUMPRODUCT(MID(0&amp;(--TRIM(RIGHT(SUBSTITUTE(LEFT(A309,_xlfn.AGGREGATE(16,6,FIND({0,1,2,3,4,5,6,7,8,9},A309,ROW(INDIRECT("1:"&amp;LEN(A309)))),1))," ",REPT(" ",LEN(A309))),LEN(A309)))), LARGE(INDEX(ISNUMBER(--MID((--TRIM(RIGHT(SUBSTITUTE(LEFT(A309,_xlfn.AGGREGATE(16,6,FIND({0,1,2,3,4,5,6,7,8,9},A309,ROW(INDIRECT("1:"&amp;LEN(A309)))),1))," ",REPT(" ",LEN(A309))),LEN(A309)))), ROW(INDIRECT("1:"&amp;LEN((--TRIM(RIGHT(SUBSTITUTE(LEFT(A309,_xlfn.AGGREGATE(16,6,FIND({0,1,2,3,4,5,6,7,8,9},A309,ROW(INDIRECT("1:"&amp;LEN(A309)))),1))," ",REPT(" ",LEN(A309))),LEN(A309))))))), 1)) * ROW(INDIRECT("1:"&amp;LEN((--TRIM(RIGHT(SUBSTITUTE(LEFT(A309,_xlfn.AGGREGATE(16,6,FIND({0,1,2,3,4,5,6,7,8,9},A309,ROW(INDIRECT("1:"&amp;LEN(A309)))),1))," ",REPT(" ",LEN(A309))),LEN(A309))))))), 0), ROW(INDIRECT("1:"&amp;LEN((--TRIM(RIGHT(SUBSTITUTE(LEFT(A309,_xlfn.AGGREGATE(16,6,FIND({0,1,2,3,4,5,6,7,8,9},A309,ROW(INDIRECT("1:"&amp;LEN(A309)))),1))," ",REPT(" ",LEN(A309))),LEN(A309))))))))+1, 1) * 10^ROW(INDIRECT("1:"&amp;LEN((--TRIM(RIGHT(SUBSTITUTE(LEFT(A309,_xlfn.AGGREGATE(16,6,FIND({0,1,2,3,4,5,6,7,8,9},A309,ROW(INDIRECT("1:"&amp;LEN(A309)))),1))," ",REPT(" ",LEN(A309))),LEN(A309)))))))/10))*1+1</f>
        <v>204 to 504</v>
      </c>
      <c r="B310" s="114"/>
      <c r="C310" s="39"/>
      <c r="D310" s="39"/>
      <c r="E310" s="39">
        <v>0</v>
      </c>
      <c r="F310" s="39">
        <f>D310+E310</f>
        <v>0</v>
      </c>
      <c r="G310" s="39">
        <v>0</v>
      </c>
      <c r="H310" s="39">
        <f>F310*(($H$222)+1)+(IF(G310&lt;101,G310,IF(G310&lt;201,G310/2,IF(G310&lt;=301,G310/3,G310/4))))</f>
        <v>0</v>
      </c>
      <c r="I310" s="33"/>
    </row>
    <row r="311" spans="1:20" s="34" customFormat="1" ht="15.75" hidden="1" customHeight="1" x14ac:dyDescent="0.3">
      <c r="A311" s="113" t="str">
        <f ca="1">(SUMPRODUCT(MID(0&amp;(LEFT(A310,SUM(LEN(A310)-LEN(SUBSTITUTE(A310,{"0","1","2"},""))))), LARGE(INDEX(ISNUMBER(--MID((LEFT(A310,SUM(LEN(A310)-LEN(SUBSTITUTE(A310,{"0","1","2"},""))))), ROW(INDIRECT("1:"&amp;LEN((LEFT(A310,SUM(LEN(A310)-LEN(SUBSTITUTE(A310,{"0","1","2"},"")))))))), 1)) * ROW(INDIRECT("1:"&amp;LEN((LEFT(A310,SUM(LEN(A310)-LEN(SUBSTITUTE(A310,{"0","1","2"},"")))))))), 0), ROW(INDIRECT("1:"&amp;LEN((LEFT(A310,SUM(LEN(A310)-LEN(SUBSTITUTE(A310,{"0","1","2"},"")))))))))+1, 1) * 10^ROW(INDIRECT("1:"&amp;LEN((LEFT(A310,SUM(LEN(A310)-LEN(SUBSTITUTE(A310,{"0","1","2"},""))))))))/10))*1+1&amp;""&amp;" to "&amp;""&amp;(SUMPRODUCT(MID(0&amp;(--TRIM(RIGHT(SUBSTITUTE(LEFT(A310,_xlfn.AGGREGATE(16,6,FIND({0,1,2,3,4,5,6,7,8,9},A310,ROW(INDIRECT("1:"&amp;LEN(A310)))),1))," ",REPT(" ",LEN(A310))),LEN(A310)))), LARGE(INDEX(ISNUMBER(--MID((--TRIM(RIGHT(SUBSTITUTE(LEFT(A310,_xlfn.AGGREGATE(16,6,FIND({0,1,2,3,4,5,6,7,8,9},A310,ROW(INDIRECT("1:"&amp;LEN(A310)))),1))," ",REPT(" ",LEN(A310))),LEN(A310)))), ROW(INDIRECT("1:"&amp;LEN((--TRIM(RIGHT(SUBSTITUTE(LEFT(A310,_xlfn.AGGREGATE(16,6,FIND({0,1,2,3,4,5,6,7,8,9},A310,ROW(INDIRECT("1:"&amp;LEN(A310)))),1))," ",REPT(" ",LEN(A310))),LEN(A310))))))), 1)) * ROW(INDIRECT("1:"&amp;LEN((--TRIM(RIGHT(SUBSTITUTE(LEFT(A310,_xlfn.AGGREGATE(16,6,FIND({0,1,2,3,4,5,6,7,8,9},A310,ROW(INDIRECT("1:"&amp;LEN(A310)))),1))," ",REPT(" ",LEN(A310))),LEN(A310))))))), 0), ROW(INDIRECT("1:"&amp;LEN((--TRIM(RIGHT(SUBSTITUTE(LEFT(A310,_xlfn.AGGREGATE(16,6,FIND({0,1,2,3,4,5,6,7,8,9},A310,ROW(INDIRECT("1:"&amp;LEN(A310)))),1))," ",REPT(" ",LEN(A310))),LEN(A310))))))))+1, 1) * 10^ROW(INDIRECT("1:"&amp;LEN((--TRIM(RIGHT(SUBSTITUTE(LEFT(A310,_xlfn.AGGREGATE(16,6,FIND({0,1,2,3,4,5,6,7,8,9},A310,ROW(INDIRECT("1:"&amp;LEN(A310)))),1))," ",REPT(" ",LEN(A310))),LEN(A310)))))))/10))*1+1</f>
        <v>205 to 505</v>
      </c>
      <c r="B311" s="114"/>
      <c r="C311" s="39"/>
      <c r="D311" s="39"/>
      <c r="E311" s="39">
        <v>0</v>
      </c>
      <c r="F311" s="39">
        <f>D311+E311</f>
        <v>0</v>
      </c>
      <c r="G311" s="39">
        <v>0</v>
      </c>
      <c r="H311" s="39">
        <f>F311*(($H$222)+1)+(IF(G311&lt;101,G311,IF(G311&lt;201,G311/2,IF(G311&lt;=301,G311/3,G311/4))))</f>
        <v>0</v>
      </c>
      <c r="I311" s="33"/>
    </row>
    <row r="312" spans="1:20" s="34" customFormat="1" hidden="1" x14ac:dyDescent="0.3">
      <c r="A312" s="206" t="s">
        <v>144</v>
      </c>
      <c r="B312" s="207"/>
      <c r="C312" s="207"/>
      <c r="D312" s="207"/>
      <c r="E312" s="207"/>
      <c r="F312" s="207"/>
      <c r="G312" s="207"/>
      <c r="H312" s="208"/>
      <c r="I312" s="33"/>
    </row>
    <row r="313" spans="1:20" s="34" customFormat="1" ht="15.75" hidden="1" customHeight="1" x14ac:dyDescent="0.3">
      <c r="A313" s="113" t="str">
        <f ca="1">(SUMPRODUCT(MID(0&amp;(LEFT(A312,SUM(LEN(A312)-LEN(SUBSTITUTE(A312,{"0","1","2"},""))))), LARGE(INDEX(ISNUMBER(--MID((LEFT(A312,SUM(LEN(A312)-LEN(SUBSTITUTE(A312,{"0","1","2"},""))))), ROW(INDIRECT("1:"&amp;LEN((LEFT(A312,SUM(LEN(A312)-LEN(SUBSTITUTE(A312,{"0","1","2"},"")))))))), 1)) * ROW(INDIRECT("1:"&amp;LEN((LEFT(A312,SUM(LEN(A312)-LEN(SUBSTITUTE(A312,{"0","1","2"},"")))))))), 0), ROW(INDIRECT("1:"&amp;LEN((LEFT(A312,SUM(LEN(A312)-LEN(SUBSTITUTE(A312,{"0","1","2"},"")))))))))+1, 1) * 10^ROW(INDIRECT("1:"&amp;LEN((LEFT(A312,SUM(LEN(A312)-LEN(SUBSTITUTE(A312,{"0","1","2"},""))))))))/10))*100+1&amp;""&amp;" &amp; "&amp;""&amp;(SUMPRODUCT(MID(0&amp;(--TRIM(RIGHT(SUBSTITUTE(LEFT(A312,_xlfn.AGGREGATE(16,6,FIND({0,1,2,3,4,5,6,7,8,9},A312,ROW(INDIRECT("1:"&amp;LEN(A312)))),1))," ",REPT(" ",LEN(A312))),LEN(A312)))), LARGE(INDEX(ISNUMBER(--MID((--TRIM(RIGHT(SUBSTITUTE(LEFT(A312,_xlfn.AGGREGATE(16,6,FIND({0,1,2,3,4,5,6,7,8,9},A312,ROW(INDIRECT("1:"&amp;LEN(A312)))),1))," ",REPT(" ",LEN(A312))),LEN(A312)))), ROW(INDIRECT("1:"&amp;LEN((--TRIM(RIGHT(SUBSTITUTE(LEFT(A312,_xlfn.AGGREGATE(16,6,FIND({0,1,2,3,4,5,6,7,8,9},A312,ROW(INDIRECT("1:"&amp;LEN(A312)))),1))," ",REPT(" ",LEN(A312))),LEN(A312))))))), 1)) * ROW(INDIRECT("1:"&amp;LEN((--TRIM(RIGHT(SUBSTITUTE(LEFT(A312,_xlfn.AGGREGATE(16,6,FIND({0,1,2,3,4,5,6,7,8,9},A312,ROW(INDIRECT("1:"&amp;LEN(A312)))),1))," ",REPT(" ",LEN(A312))),LEN(A312))))))), 0), ROW(INDIRECT("1:"&amp;LEN((--TRIM(RIGHT(SUBSTITUTE(LEFT(A312,_xlfn.AGGREGATE(16,6,FIND({0,1,2,3,4,5,6,7,8,9},A312,ROW(INDIRECT("1:"&amp;LEN(A312)))),1))," ",REPT(" ",LEN(A312))),LEN(A312))))))))+1, 1) * 10^ROW(INDIRECT("1:"&amp;LEN((--TRIM(RIGHT(SUBSTITUTE(LEFT(A312,_xlfn.AGGREGATE(16,6,FIND({0,1,2,3,4,5,6,7,8,9},A312,ROW(INDIRECT("1:"&amp;LEN(A312)))),1))," ",REPT(" ",LEN(A312))),LEN(A312)))))))/10))*100+1</f>
        <v>201 &amp; 501</v>
      </c>
      <c r="B313" s="114"/>
      <c r="C313" s="39"/>
      <c r="D313" s="39"/>
      <c r="E313" s="39">
        <v>0</v>
      </c>
      <c r="F313" s="39">
        <f>D313+E313</f>
        <v>0</v>
      </c>
      <c r="G313" s="39">
        <v>0</v>
      </c>
      <c r="H313" s="39">
        <f>F313*(($H$222)+1)+(IF(G313&lt;101,G313,IF(G313&lt;201,G313/2,IF(G313&lt;=301,G313/3,G313/4))))</f>
        <v>0</v>
      </c>
      <c r="I313" s="33"/>
    </row>
    <row r="314" spans="1:20" s="34" customFormat="1" ht="15.75" hidden="1" customHeight="1" x14ac:dyDescent="0.3">
      <c r="A314" s="113" t="str">
        <f ca="1">(SUMPRODUCT(MID(0&amp;(LEFT(A313,SUM(LEN(A313)-LEN(SUBSTITUTE(A313,{"0","1","2"},""))))), LARGE(INDEX(ISNUMBER(--MID((LEFT(A313,SUM(LEN(A313)-LEN(SUBSTITUTE(A313,{"0","1","2"},""))))), ROW(INDIRECT("1:"&amp;LEN((LEFT(A313,SUM(LEN(A313)-LEN(SUBSTITUTE(A313,{"0","1","2"},"")))))))), 1)) * ROW(INDIRECT("1:"&amp;LEN((LEFT(A313,SUM(LEN(A313)-LEN(SUBSTITUTE(A313,{"0","1","2"},"")))))))), 0), ROW(INDIRECT("1:"&amp;LEN((LEFT(A313,SUM(LEN(A313)-LEN(SUBSTITUTE(A313,{"0","1","2"},"")))))))))+1, 1) * 10^ROW(INDIRECT("1:"&amp;LEN((LEFT(A313,SUM(LEN(A313)-LEN(SUBSTITUTE(A313,{"0","1","2"},""))))))))/10))*1+1&amp;""&amp;" &amp; "&amp;""&amp;(SUMPRODUCT(MID(0&amp;(--TRIM(RIGHT(SUBSTITUTE(LEFT(A313,_xlfn.AGGREGATE(16,6,FIND({0,1,2,3,4,5,6,7,8,9},A313,ROW(INDIRECT("1:"&amp;LEN(A313)))),1))," ",REPT(" ",LEN(A313))),LEN(A313)))), LARGE(INDEX(ISNUMBER(--MID((--TRIM(RIGHT(SUBSTITUTE(LEFT(A313,_xlfn.AGGREGATE(16,6,FIND({0,1,2,3,4,5,6,7,8,9},A313,ROW(INDIRECT("1:"&amp;LEN(A313)))),1))," ",REPT(" ",LEN(A313))),LEN(A313)))), ROW(INDIRECT("1:"&amp;LEN((--TRIM(RIGHT(SUBSTITUTE(LEFT(A313,_xlfn.AGGREGATE(16,6,FIND({0,1,2,3,4,5,6,7,8,9},A313,ROW(INDIRECT("1:"&amp;LEN(A313)))),1))," ",REPT(" ",LEN(A313))),LEN(A313))))))), 1)) * ROW(INDIRECT("1:"&amp;LEN((--TRIM(RIGHT(SUBSTITUTE(LEFT(A313,_xlfn.AGGREGATE(16,6,FIND({0,1,2,3,4,5,6,7,8,9},A313,ROW(INDIRECT("1:"&amp;LEN(A313)))),1))," ",REPT(" ",LEN(A313))),LEN(A313))))))), 0), ROW(INDIRECT("1:"&amp;LEN((--TRIM(RIGHT(SUBSTITUTE(LEFT(A313,_xlfn.AGGREGATE(16,6,FIND({0,1,2,3,4,5,6,7,8,9},A313,ROW(INDIRECT("1:"&amp;LEN(A313)))),1))," ",REPT(" ",LEN(A313))),LEN(A313))))))))+1, 1) * 10^ROW(INDIRECT("1:"&amp;LEN((--TRIM(RIGHT(SUBSTITUTE(LEFT(A313,_xlfn.AGGREGATE(16,6,FIND({0,1,2,3,4,5,6,7,8,9},A313,ROW(INDIRECT("1:"&amp;LEN(A313)))),1))," ",REPT(" ",LEN(A313))),LEN(A313)))))))/10))*1+1</f>
        <v>202 &amp; 502</v>
      </c>
      <c r="B314" s="114"/>
      <c r="C314" s="39"/>
      <c r="D314" s="39"/>
      <c r="E314" s="39">
        <v>0</v>
      </c>
      <c r="F314" s="39">
        <f>D314+E314</f>
        <v>0</v>
      </c>
      <c r="G314" s="39">
        <v>0</v>
      </c>
      <c r="H314" s="39">
        <f>F314*(($H$222)+1)+(IF(G314&lt;101,G314,IF(G314&lt;201,G314/2,IF(G314&lt;=301,G314/3,G314/4))))</f>
        <v>0</v>
      </c>
      <c r="I314" s="33"/>
    </row>
    <row r="315" spans="1:20" s="34" customFormat="1" ht="15.75" hidden="1" customHeight="1" x14ac:dyDescent="0.3">
      <c r="A315" s="113" t="str">
        <f ca="1">(SUMPRODUCT(MID(0&amp;(LEFT(A314,SUM(LEN(A314)-LEN(SUBSTITUTE(A314,{"0","1","2"},""))))), LARGE(INDEX(ISNUMBER(--MID((LEFT(A314,SUM(LEN(A314)-LEN(SUBSTITUTE(A314,{"0","1","2"},""))))), ROW(INDIRECT("1:"&amp;LEN((LEFT(A314,SUM(LEN(A314)-LEN(SUBSTITUTE(A314,{"0","1","2"},"")))))))), 1)) * ROW(INDIRECT("1:"&amp;LEN((LEFT(A314,SUM(LEN(A314)-LEN(SUBSTITUTE(A314,{"0","1","2"},"")))))))), 0), ROW(INDIRECT("1:"&amp;LEN((LEFT(A314,SUM(LEN(A314)-LEN(SUBSTITUTE(A314,{"0","1","2"},"")))))))))+1, 1) * 10^ROW(INDIRECT("1:"&amp;LEN((LEFT(A314,SUM(LEN(A314)-LEN(SUBSTITUTE(A314,{"0","1","2"},""))))))))/10))*1+1&amp;""&amp;" &amp; "&amp;""&amp;(SUMPRODUCT(MID(0&amp;(--TRIM(RIGHT(SUBSTITUTE(LEFT(A314,_xlfn.AGGREGATE(16,6,FIND({0,1,2,3,4,5,6,7,8,9},A314,ROW(INDIRECT("1:"&amp;LEN(A314)))),1))," ",REPT(" ",LEN(A314))),LEN(A314)))), LARGE(INDEX(ISNUMBER(--MID((--TRIM(RIGHT(SUBSTITUTE(LEFT(A314,_xlfn.AGGREGATE(16,6,FIND({0,1,2,3,4,5,6,7,8,9},A314,ROW(INDIRECT("1:"&amp;LEN(A314)))),1))," ",REPT(" ",LEN(A314))),LEN(A314)))), ROW(INDIRECT("1:"&amp;LEN((--TRIM(RIGHT(SUBSTITUTE(LEFT(A314,_xlfn.AGGREGATE(16,6,FIND({0,1,2,3,4,5,6,7,8,9},A314,ROW(INDIRECT("1:"&amp;LEN(A314)))),1))," ",REPT(" ",LEN(A314))),LEN(A314))))))), 1)) * ROW(INDIRECT("1:"&amp;LEN((--TRIM(RIGHT(SUBSTITUTE(LEFT(A314,_xlfn.AGGREGATE(16,6,FIND({0,1,2,3,4,5,6,7,8,9},A314,ROW(INDIRECT("1:"&amp;LEN(A314)))),1))," ",REPT(" ",LEN(A314))),LEN(A314))))))), 0), ROW(INDIRECT("1:"&amp;LEN((--TRIM(RIGHT(SUBSTITUTE(LEFT(A314,_xlfn.AGGREGATE(16,6,FIND({0,1,2,3,4,5,6,7,8,9},A314,ROW(INDIRECT("1:"&amp;LEN(A314)))),1))," ",REPT(" ",LEN(A314))),LEN(A314))))))))+1, 1) * 10^ROW(INDIRECT("1:"&amp;LEN((--TRIM(RIGHT(SUBSTITUTE(LEFT(A314,_xlfn.AGGREGATE(16,6,FIND({0,1,2,3,4,5,6,7,8,9},A314,ROW(INDIRECT("1:"&amp;LEN(A314)))),1))," ",REPT(" ",LEN(A314))),LEN(A314)))))))/10))*1+1</f>
        <v>203 &amp; 503</v>
      </c>
      <c r="B315" s="114"/>
      <c r="C315" s="39"/>
      <c r="D315" s="39"/>
      <c r="E315" s="39">
        <v>0</v>
      </c>
      <c r="F315" s="39">
        <f>D315+E315</f>
        <v>0</v>
      </c>
      <c r="G315" s="39">
        <v>0</v>
      </c>
      <c r="H315" s="39">
        <f>F315*(($H$222)+1)+(IF(G315&lt;101,G315,IF(G315&lt;201,G315/2,IF(G315&lt;=301,G315/3,G315/4))))</f>
        <v>0</v>
      </c>
      <c r="I315" s="33"/>
    </row>
    <row r="316" spans="1:20" s="34" customFormat="1" ht="15.75" hidden="1" customHeight="1" x14ac:dyDescent="0.3">
      <c r="A316" s="113" t="str">
        <f ca="1">(SUMPRODUCT(MID(0&amp;(LEFT(A315,SUM(LEN(A315)-LEN(SUBSTITUTE(A315,{"0","1","2"},""))))), LARGE(INDEX(ISNUMBER(--MID((LEFT(A315,SUM(LEN(A315)-LEN(SUBSTITUTE(A315,{"0","1","2"},""))))), ROW(INDIRECT("1:"&amp;LEN((LEFT(A315,SUM(LEN(A315)-LEN(SUBSTITUTE(A315,{"0","1","2"},"")))))))), 1)) * ROW(INDIRECT("1:"&amp;LEN((LEFT(A315,SUM(LEN(A315)-LEN(SUBSTITUTE(A315,{"0","1","2"},"")))))))), 0), ROW(INDIRECT("1:"&amp;LEN((LEFT(A315,SUM(LEN(A315)-LEN(SUBSTITUTE(A315,{"0","1","2"},"")))))))))+1, 1) * 10^ROW(INDIRECT("1:"&amp;LEN((LEFT(A315,SUM(LEN(A315)-LEN(SUBSTITUTE(A315,{"0","1","2"},""))))))))/10))*1+1&amp;""&amp;" &amp; "&amp;""&amp;(SUMPRODUCT(MID(0&amp;(--TRIM(RIGHT(SUBSTITUTE(LEFT(A315,_xlfn.AGGREGATE(16,6,FIND({0,1,2,3,4,5,6,7,8,9},A315,ROW(INDIRECT("1:"&amp;LEN(A315)))),1))," ",REPT(" ",LEN(A315))),LEN(A315)))), LARGE(INDEX(ISNUMBER(--MID((--TRIM(RIGHT(SUBSTITUTE(LEFT(A315,_xlfn.AGGREGATE(16,6,FIND({0,1,2,3,4,5,6,7,8,9},A315,ROW(INDIRECT("1:"&amp;LEN(A315)))),1))," ",REPT(" ",LEN(A315))),LEN(A315)))), ROW(INDIRECT("1:"&amp;LEN((--TRIM(RIGHT(SUBSTITUTE(LEFT(A315,_xlfn.AGGREGATE(16,6,FIND({0,1,2,3,4,5,6,7,8,9},A315,ROW(INDIRECT("1:"&amp;LEN(A315)))),1))," ",REPT(" ",LEN(A315))),LEN(A315))))))), 1)) * ROW(INDIRECT("1:"&amp;LEN((--TRIM(RIGHT(SUBSTITUTE(LEFT(A315,_xlfn.AGGREGATE(16,6,FIND({0,1,2,3,4,5,6,7,8,9},A315,ROW(INDIRECT("1:"&amp;LEN(A315)))),1))," ",REPT(" ",LEN(A315))),LEN(A315))))))), 0), ROW(INDIRECT("1:"&amp;LEN((--TRIM(RIGHT(SUBSTITUTE(LEFT(A315,_xlfn.AGGREGATE(16,6,FIND({0,1,2,3,4,5,6,7,8,9},A315,ROW(INDIRECT("1:"&amp;LEN(A315)))),1))," ",REPT(" ",LEN(A315))),LEN(A315))))))))+1, 1) * 10^ROW(INDIRECT("1:"&amp;LEN((--TRIM(RIGHT(SUBSTITUTE(LEFT(A315,_xlfn.AGGREGATE(16,6,FIND({0,1,2,3,4,5,6,7,8,9},A315,ROW(INDIRECT("1:"&amp;LEN(A315)))),1))," ",REPT(" ",LEN(A315))),LEN(A315)))))))/10))*1+1</f>
        <v>204 &amp; 504</v>
      </c>
      <c r="B316" s="114"/>
      <c r="C316" s="39"/>
      <c r="D316" s="39"/>
      <c r="E316" s="39">
        <v>0</v>
      </c>
      <c r="F316" s="39">
        <f>D316+E316</f>
        <v>0</v>
      </c>
      <c r="G316" s="39">
        <v>0</v>
      </c>
      <c r="H316" s="39">
        <f>F316*(($H$222)+1)+(IF(G316&lt;101,G316,IF(G316&lt;201,G316/2,IF(G316&lt;=301,G316/3,G316/4))))</f>
        <v>0</v>
      </c>
      <c r="I316" s="33"/>
    </row>
    <row r="317" spans="1:20" s="34" customFormat="1" ht="15.75" hidden="1" customHeight="1" x14ac:dyDescent="0.3">
      <c r="A317" s="113" t="str">
        <f ca="1">(SUMPRODUCT(MID(0&amp;(LEFT(A316,SUM(LEN(A316)-LEN(SUBSTITUTE(A316,{"0","1","2"},""))))), LARGE(INDEX(ISNUMBER(--MID((LEFT(A316,SUM(LEN(A316)-LEN(SUBSTITUTE(A316,{"0","1","2"},""))))), ROW(INDIRECT("1:"&amp;LEN((LEFT(A316,SUM(LEN(A316)-LEN(SUBSTITUTE(A316,{"0","1","2"},"")))))))), 1)) * ROW(INDIRECT("1:"&amp;LEN((LEFT(A316,SUM(LEN(A316)-LEN(SUBSTITUTE(A316,{"0","1","2"},"")))))))), 0), ROW(INDIRECT("1:"&amp;LEN((LEFT(A316,SUM(LEN(A316)-LEN(SUBSTITUTE(A316,{"0","1","2"},"")))))))))+1, 1) * 10^ROW(INDIRECT("1:"&amp;LEN((LEFT(A316,SUM(LEN(A316)-LEN(SUBSTITUTE(A316,{"0","1","2"},""))))))))/10))*1+1&amp;""&amp;" &amp; "&amp;""&amp;(SUMPRODUCT(MID(0&amp;(--TRIM(RIGHT(SUBSTITUTE(LEFT(A316,_xlfn.AGGREGATE(16,6,FIND({0,1,2,3,4,5,6,7,8,9},A316,ROW(INDIRECT("1:"&amp;LEN(A316)))),1))," ",REPT(" ",LEN(A316))),LEN(A316)))), LARGE(INDEX(ISNUMBER(--MID((--TRIM(RIGHT(SUBSTITUTE(LEFT(A316,_xlfn.AGGREGATE(16,6,FIND({0,1,2,3,4,5,6,7,8,9},A316,ROW(INDIRECT("1:"&amp;LEN(A316)))),1))," ",REPT(" ",LEN(A316))),LEN(A316)))), ROW(INDIRECT("1:"&amp;LEN((--TRIM(RIGHT(SUBSTITUTE(LEFT(A316,_xlfn.AGGREGATE(16,6,FIND({0,1,2,3,4,5,6,7,8,9},A316,ROW(INDIRECT("1:"&amp;LEN(A316)))),1))," ",REPT(" ",LEN(A316))),LEN(A316))))))), 1)) * ROW(INDIRECT("1:"&amp;LEN((--TRIM(RIGHT(SUBSTITUTE(LEFT(A316,_xlfn.AGGREGATE(16,6,FIND({0,1,2,3,4,5,6,7,8,9},A316,ROW(INDIRECT("1:"&amp;LEN(A316)))),1))," ",REPT(" ",LEN(A316))),LEN(A316))))))), 0), ROW(INDIRECT("1:"&amp;LEN((--TRIM(RIGHT(SUBSTITUTE(LEFT(A316,_xlfn.AGGREGATE(16,6,FIND({0,1,2,3,4,5,6,7,8,9},A316,ROW(INDIRECT("1:"&amp;LEN(A316)))),1))," ",REPT(" ",LEN(A316))),LEN(A316))))))))+1, 1) * 10^ROW(INDIRECT("1:"&amp;LEN((--TRIM(RIGHT(SUBSTITUTE(LEFT(A316,_xlfn.AGGREGATE(16,6,FIND({0,1,2,3,4,5,6,7,8,9},A316,ROW(INDIRECT("1:"&amp;LEN(A316)))),1))," ",REPT(" ",LEN(A316))),LEN(A316)))))))/10))*1+1</f>
        <v>205 &amp; 505</v>
      </c>
      <c r="B317" s="114"/>
      <c r="C317" s="39"/>
      <c r="D317" s="39"/>
      <c r="E317" s="39">
        <v>0</v>
      </c>
      <c r="F317" s="39">
        <f>D317+E317</f>
        <v>0</v>
      </c>
      <c r="G317" s="39">
        <v>0</v>
      </c>
      <c r="H317" s="39">
        <f>F317*(($H$222)+1)+(IF(G317&lt;101,G317,IF(G317&lt;201,G317/2,IF(G317&lt;=301,G317/3,G317/4))))</f>
        <v>0</v>
      </c>
      <c r="I317" s="33"/>
    </row>
    <row r="318" spans="1:20" s="32" customFormat="1" x14ac:dyDescent="0.3">
      <c r="A318" s="230" t="s">
        <v>65</v>
      </c>
      <c r="B318" s="230"/>
      <c r="C318" s="230"/>
      <c r="D318" s="230"/>
      <c r="E318" s="230"/>
      <c r="F318" s="230"/>
      <c r="G318" s="230"/>
      <c r="H318" s="230"/>
      <c r="T318" s="34"/>
    </row>
    <row r="319" spans="1:20" s="32" customFormat="1" ht="46.8" customHeight="1" x14ac:dyDescent="0.3">
      <c r="A319" s="41" t="s">
        <v>153</v>
      </c>
      <c r="B319" s="86" t="s">
        <v>416</v>
      </c>
      <c r="C319" s="87"/>
      <c r="D319" s="87"/>
      <c r="E319" s="87"/>
      <c r="F319" s="87"/>
      <c r="G319" s="87"/>
      <c r="H319" s="88"/>
      <c r="T319" s="34"/>
    </row>
    <row r="320" spans="1:20" s="32" customFormat="1" x14ac:dyDescent="0.3">
      <c r="A320" s="41" t="s">
        <v>153</v>
      </c>
      <c r="B320" s="86" t="str">
        <f>(IF(H221="Saleable area Loading :","We have considered Saleable area of Flats as per our Calculation.","We considered Saleable area of Flat as per Builder area Sheet."))</f>
        <v>We have considered Saleable area of Flats as per our Calculation.</v>
      </c>
      <c r="C320" s="87"/>
      <c r="D320" s="87"/>
      <c r="E320" s="87"/>
      <c r="F320" s="87"/>
      <c r="G320" s="87"/>
      <c r="H320" s="88"/>
      <c r="T320" s="34"/>
    </row>
    <row r="321" spans="1:20" s="32" customFormat="1" x14ac:dyDescent="0.3">
      <c r="A321" s="41" t="s">
        <v>153</v>
      </c>
      <c r="B321" s="86" t="str">
        <f>(IF(H162="Saleable area Loading :","We have considered Saleable area of Commercial as per our Calculation.","We considered Saleable area of Commercial as per Builder area Sheet."))</f>
        <v>We have considered Saleable area of Commercial as per our Calculation.</v>
      </c>
      <c r="C321" s="87"/>
      <c r="D321" s="87"/>
      <c r="E321" s="87"/>
      <c r="F321" s="87"/>
      <c r="G321" s="87"/>
      <c r="H321" s="88"/>
      <c r="T321" s="34"/>
    </row>
    <row r="322" spans="1:20" s="32" customFormat="1" x14ac:dyDescent="0.3">
      <c r="A322" s="41" t="s">
        <v>153</v>
      </c>
      <c r="B322" s="129" t="s">
        <v>120</v>
      </c>
      <c r="C322" s="130"/>
      <c r="D322" s="130"/>
      <c r="E322" s="130"/>
      <c r="F322" s="130"/>
      <c r="G322" s="130"/>
      <c r="H322" s="131"/>
      <c r="T322" s="34"/>
    </row>
    <row r="323" spans="1:20" s="32" customFormat="1" x14ac:dyDescent="0.3">
      <c r="A323" s="41" t="s">
        <v>153</v>
      </c>
      <c r="B323" s="129" t="s">
        <v>400</v>
      </c>
      <c r="C323" s="130"/>
      <c r="D323" s="130"/>
      <c r="E323" s="130"/>
      <c r="F323" s="130"/>
      <c r="G323" s="130"/>
      <c r="H323" s="131"/>
      <c r="T323" s="34"/>
    </row>
    <row r="324" spans="1:20" s="32" customFormat="1" x14ac:dyDescent="0.3">
      <c r="A324" s="41" t="s">
        <v>153</v>
      </c>
      <c r="B324" s="129" t="s">
        <v>152</v>
      </c>
      <c r="C324" s="130"/>
      <c r="D324" s="130"/>
      <c r="E324" s="130"/>
      <c r="F324" s="130"/>
      <c r="G324" s="130"/>
      <c r="H324" s="131"/>
    </row>
    <row r="325" spans="1:20" s="32" customFormat="1" x14ac:dyDescent="0.3">
      <c r="A325" s="41" t="s">
        <v>153</v>
      </c>
      <c r="B325" s="129" t="s">
        <v>121</v>
      </c>
      <c r="C325" s="130"/>
      <c r="D325" s="130"/>
      <c r="E325" s="130"/>
      <c r="F325" s="130"/>
      <c r="G325" s="130"/>
      <c r="H325" s="131"/>
    </row>
    <row r="326" spans="1:20" s="32" customFormat="1" ht="34.5" customHeight="1" x14ac:dyDescent="0.3">
      <c r="A326" s="41" t="s">
        <v>153</v>
      </c>
      <c r="B326" s="129" t="s">
        <v>154</v>
      </c>
      <c r="C326" s="130"/>
      <c r="D326" s="130"/>
      <c r="E326" s="130"/>
      <c r="F326" s="130"/>
      <c r="G326" s="130"/>
      <c r="H326" s="131"/>
    </row>
    <row r="327" spans="1:20" s="32" customFormat="1" x14ac:dyDescent="0.3">
      <c r="A327" s="41" t="s">
        <v>153</v>
      </c>
      <c r="B327" s="129" t="s">
        <v>122</v>
      </c>
      <c r="C327" s="130"/>
      <c r="D327" s="130"/>
      <c r="E327" s="130"/>
      <c r="F327" s="130"/>
      <c r="G327" s="130"/>
      <c r="H327" s="131"/>
    </row>
    <row r="328" spans="1:20" s="32" customFormat="1" ht="33.9" customHeight="1" x14ac:dyDescent="0.3">
      <c r="A328" s="41" t="s">
        <v>153</v>
      </c>
      <c r="B328" s="129" t="s">
        <v>403</v>
      </c>
      <c r="C328" s="130"/>
      <c r="D328" s="130"/>
      <c r="E328" s="130"/>
      <c r="F328" s="130"/>
      <c r="G328" s="130"/>
      <c r="H328" s="131"/>
    </row>
    <row r="329" spans="1:20" s="32" customFormat="1" x14ac:dyDescent="0.3">
      <c r="A329" s="41" t="s">
        <v>153</v>
      </c>
      <c r="B329" s="129" t="s">
        <v>413</v>
      </c>
      <c r="C329" s="130"/>
      <c r="D329" s="130"/>
      <c r="E329" s="130"/>
      <c r="F329" s="130"/>
      <c r="G329" s="130"/>
      <c r="H329" s="131"/>
    </row>
    <row r="330" spans="1:20" x14ac:dyDescent="0.3">
      <c r="A330" s="183" t="s">
        <v>58</v>
      </c>
      <c r="B330" s="183"/>
      <c r="C330" s="183"/>
      <c r="D330" s="183"/>
      <c r="E330" s="183"/>
      <c r="F330" s="183"/>
      <c r="G330" s="183"/>
      <c r="H330" s="183"/>
      <c r="T330" s="32"/>
    </row>
    <row r="331" spans="1:20" x14ac:dyDescent="0.3">
      <c r="A331" s="115" t="s">
        <v>59</v>
      </c>
      <c r="B331" s="115"/>
      <c r="C331" s="115"/>
      <c r="D331" s="115"/>
      <c r="E331" s="115"/>
      <c r="F331" s="115"/>
      <c r="G331" s="115"/>
      <c r="H331" s="115"/>
      <c r="T331" s="32"/>
    </row>
    <row r="332" spans="1:20" ht="15.75" customHeight="1" x14ac:dyDescent="0.3">
      <c r="A332" s="215" t="s">
        <v>60</v>
      </c>
      <c r="B332" s="215"/>
      <c r="C332" s="215"/>
      <c r="D332" s="215"/>
      <c r="E332" s="215"/>
      <c r="F332" s="215"/>
      <c r="G332" s="215"/>
      <c r="H332" s="215"/>
      <c r="T332" s="32"/>
    </row>
    <row r="333" spans="1:20" x14ac:dyDescent="0.3">
      <c r="A333" s="115" t="s">
        <v>61</v>
      </c>
      <c r="B333" s="115"/>
      <c r="C333" s="115"/>
      <c r="D333" s="115"/>
      <c r="E333" s="115"/>
      <c r="F333" s="115"/>
      <c r="G333" s="115"/>
      <c r="H333" s="115"/>
      <c r="T333" s="32"/>
    </row>
    <row r="334" spans="1:20" x14ac:dyDescent="0.3">
      <c r="A334" s="115" t="s">
        <v>62</v>
      </c>
      <c r="B334" s="115"/>
      <c r="C334" s="115"/>
      <c r="D334" s="115"/>
      <c r="E334" s="115"/>
      <c r="F334" s="115"/>
      <c r="G334" s="115"/>
      <c r="H334" s="115"/>
      <c r="T334" s="32"/>
    </row>
    <row r="335" spans="1:20" x14ac:dyDescent="0.3">
      <c r="A335" s="115" t="s">
        <v>123</v>
      </c>
      <c r="B335" s="115"/>
      <c r="C335" s="115"/>
      <c r="D335" s="115"/>
      <c r="E335" s="115"/>
      <c r="F335" s="115"/>
      <c r="G335" s="115"/>
      <c r="H335" s="115"/>
      <c r="T335" s="32"/>
    </row>
    <row r="336" spans="1:20" ht="33.9" customHeight="1" x14ac:dyDescent="0.3">
      <c r="A336" s="135" t="s">
        <v>124</v>
      </c>
      <c r="B336" s="135"/>
      <c r="C336" s="135"/>
      <c r="D336" s="135"/>
      <c r="E336" s="135"/>
      <c r="F336" s="135"/>
      <c r="G336" s="135"/>
      <c r="H336" s="135"/>
    </row>
    <row r="337" spans="1:8" x14ac:dyDescent="0.3">
      <c r="A337" s="197" t="s">
        <v>74</v>
      </c>
      <c r="B337" s="197"/>
      <c r="C337" s="197" t="s">
        <v>401</v>
      </c>
      <c r="D337" s="197"/>
      <c r="E337" s="197" t="s">
        <v>104</v>
      </c>
      <c r="F337" s="197"/>
      <c r="G337" s="197" t="s">
        <v>417</v>
      </c>
      <c r="H337" s="197"/>
    </row>
    <row r="338" spans="1:8" x14ac:dyDescent="0.3">
      <c r="A338" s="196" t="s">
        <v>76</v>
      </c>
      <c r="B338" s="196"/>
      <c r="C338" s="196"/>
      <c r="D338" s="196"/>
      <c r="E338" s="196"/>
      <c r="F338" s="196"/>
      <c r="G338" s="196"/>
      <c r="H338" s="196"/>
    </row>
    <row r="339" spans="1:8" x14ac:dyDescent="0.3">
      <c r="A339" s="196"/>
      <c r="B339" s="196"/>
      <c r="C339" s="196"/>
      <c r="D339" s="196"/>
      <c r="E339" s="196"/>
      <c r="F339" s="196"/>
      <c r="G339" s="196"/>
      <c r="H339" s="196"/>
    </row>
    <row r="340" spans="1:8" x14ac:dyDescent="0.3">
      <c r="A340" s="196"/>
      <c r="B340" s="196"/>
      <c r="C340" s="196"/>
      <c r="D340" s="196"/>
      <c r="E340" s="196"/>
      <c r="F340" s="196"/>
      <c r="G340" s="196"/>
      <c r="H340" s="196"/>
    </row>
    <row r="341" spans="1:8" x14ac:dyDescent="0.3">
      <c r="A341" s="196"/>
      <c r="B341" s="196"/>
      <c r="C341" s="196"/>
      <c r="D341" s="196"/>
      <c r="E341" s="196"/>
      <c r="F341" s="196"/>
      <c r="G341" s="196"/>
      <c r="H341" s="196"/>
    </row>
    <row r="342" spans="1:8" x14ac:dyDescent="0.3">
      <c r="A342" s="35" t="s">
        <v>63</v>
      </c>
      <c r="B342" s="36"/>
      <c r="C342" s="36"/>
      <c r="D342" s="35" t="str">
        <f>E9</f>
        <v>Super Homez ­ Harmony</v>
      </c>
      <c r="F342" s="36"/>
      <c r="G342" s="36"/>
      <c r="H342" s="36"/>
    </row>
    <row r="343" spans="1:8" x14ac:dyDescent="0.3">
      <c r="A343" s="36"/>
      <c r="B343" s="36"/>
      <c r="C343" s="36"/>
      <c r="D343" s="36"/>
      <c r="E343" s="36"/>
      <c r="F343" s="36"/>
      <c r="G343" s="36"/>
      <c r="H343" s="36"/>
    </row>
    <row r="344" spans="1:8" x14ac:dyDescent="0.3">
      <c r="A344" s="36"/>
      <c r="B344" s="36"/>
      <c r="C344" s="36"/>
      <c r="D344" s="36"/>
      <c r="E344" s="36"/>
      <c r="F344" s="36"/>
      <c r="G344" s="36"/>
      <c r="H344" s="36"/>
    </row>
    <row r="345" spans="1:8" ht="15" customHeight="1" x14ac:dyDescent="0.3"/>
    <row r="384" spans="1:1" x14ac:dyDescent="0.3">
      <c r="A384" s="38" t="s">
        <v>164</v>
      </c>
    </row>
    <row r="426" spans="1:1" x14ac:dyDescent="0.3">
      <c r="A426" s="38" t="s">
        <v>64</v>
      </c>
    </row>
  </sheetData>
  <mergeCells count="559">
    <mergeCell ref="B329:H329"/>
    <mergeCell ref="B328:H328"/>
    <mergeCell ref="A136:E136"/>
    <mergeCell ref="F136:H136"/>
    <mergeCell ref="A284:B284"/>
    <mergeCell ref="A285:B285"/>
    <mergeCell ref="A286:B286"/>
    <mergeCell ref="A287:B287"/>
    <mergeCell ref="A288:B288"/>
    <mergeCell ref="A150:B150"/>
    <mergeCell ref="C150:D150"/>
    <mergeCell ref="E150:F150"/>
    <mergeCell ref="G150:H150"/>
    <mergeCell ref="A156:B156"/>
    <mergeCell ref="C156:D156"/>
    <mergeCell ref="E156:F156"/>
    <mergeCell ref="G156:H156"/>
    <mergeCell ref="A157:B157"/>
    <mergeCell ref="C157:D157"/>
    <mergeCell ref="A234:B234"/>
    <mergeCell ref="A179:B179"/>
    <mergeCell ref="A174:B174"/>
    <mergeCell ref="C162:C163"/>
    <mergeCell ref="A219:B219"/>
    <mergeCell ref="A301:B301"/>
    <mergeCell ref="A253:B253"/>
    <mergeCell ref="A254:B254"/>
    <mergeCell ref="A99:B99"/>
    <mergeCell ref="A100:B100"/>
    <mergeCell ref="A101:B101"/>
    <mergeCell ref="A102:B102"/>
    <mergeCell ref="A103:B103"/>
    <mergeCell ref="L216:M216"/>
    <mergeCell ref="A217:B217"/>
    <mergeCell ref="L217:M217"/>
    <mergeCell ref="A218:B218"/>
    <mergeCell ref="L218:M218"/>
    <mergeCell ref="L206:M206"/>
    <mergeCell ref="A207:B207"/>
    <mergeCell ref="L207:M207"/>
    <mergeCell ref="A208:H208"/>
    <mergeCell ref="A209:H209"/>
    <mergeCell ref="A210:B210"/>
    <mergeCell ref="L210:M210"/>
    <mergeCell ref="A211:B211"/>
    <mergeCell ref="L211:M211"/>
    <mergeCell ref="A212:B212"/>
    <mergeCell ref="L212:M212"/>
    <mergeCell ref="A236:B236"/>
    <mergeCell ref="A226:B226"/>
    <mergeCell ref="A227:B227"/>
    <mergeCell ref="A228:B228"/>
    <mergeCell ref="A229:B229"/>
    <mergeCell ref="A230:B230"/>
    <mergeCell ref="A250:H250"/>
    <mergeCell ref="A251:H251"/>
    <mergeCell ref="A237:H237"/>
    <mergeCell ref="A238:B238"/>
    <mergeCell ref="A239:B239"/>
    <mergeCell ref="A240:B240"/>
    <mergeCell ref="A241:B241"/>
    <mergeCell ref="A242:B242"/>
    <mergeCell ref="A243:B243"/>
    <mergeCell ref="A244:B244"/>
    <mergeCell ref="A245:B245"/>
    <mergeCell ref="A246:B246"/>
    <mergeCell ref="A247:B247"/>
    <mergeCell ref="A248:B248"/>
    <mergeCell ref="A249:B249"/>
    <mergeCell ref="A252:B252"/>
    <mergeCell ref="A264:H264"/>
    <mergeCell ref="A265:H265"/>
    <mergeCell ref="A255:B255"/>
    <mergeCell ref="A256:B256"/>
    <mergeCell ref="A257:B257"/>
    <mergeCell ref="A258:B258"/>
    <mergeCell ref="A259:B259"/>
    <mergeCell ref="A260:B260"/>
    <mergeCell ref="A261:B261"/>
    <mergeCell ref="A262:B262"/>
    <mergeCell ref="A263:B263"/>
    <mergeCell ref="L214:M214"/>
    <mergeCell ref="A215:B215"/>
    <mergeCell ref="L215:M215"/>
    <mergeCell ref="A216:B216"/>
    <mergeCell ref="A235:B235"/>
    <mergeCell ref="L201:M201"/>
    <mergeCell ref="A202:B202"/>
    <mergeCell ref="L202:M202"/>
    <mergeCell ref="A203:B203"/>
    <mergeCell ref="L203:M203"/>
    <mergeCell ref="A204:B204"/>
    <mergeCell ref="L204:M204"/>
    <mergeCell ref="A205:B205"/>
    <mergeCell ref="L205:M205"/>
    <mergeCell ref="L219:M219"/>
    <mergeCell ref="L213:M213"/>
    <mergeCell ref="A214:B214"/>
    <mergeCell ref="A213:B213"/>
    <mergeCell ref="L184:M184"/>
    <mergeCell ref="A185:B185"/>
    <mergeCell ref="L185:M185"/>
    <mergeCell ref="A186:B186"/>
    <mergeCell ref="L186:M186"/>
    <mergeCell ref="A187:B187"/>
    <mergeCell ref="L187:M187"/>
    <mergeCell ref="A188:B188"/>
    <mergeCell ref="L188:M188"/>
    <mergeCell ref="A184:B184"/>
    <mergeCell ref="L189:M189"/>
    <mergeCell ref="A190:B190"/>
    <mergeCell ref="L190:M190"/>
    <mergeCell ref="A191:B191"/>
    <mergeCell ref="L191:M191"/>
    <mergeCell ref="A192:B192"/>
    <mergeCell ref="L192:M192"/>
    <mergeCell ref="A193:B193"/>
    <mergeCell ref="L193:M193"/>
    <mergeCell ref="A189:B189"/>
    <mergeCell ref="L179:M179"/>
    <mergeCell ref="A180:B180"/>
    <mergeCell ref="L180:M180"/>
    <mergeCell ref="A181:B181"/>
    <mergeCell ref="L181:M181"/>
    <mergeCell ref="A223:H223"/>
    <mergeCell ref="A224:H224"/>
    <mergeCell ref="A225:B225"/>
    <mergeCell ref="A194:B194"/>
    <mergeCell ref="L194:M194"/>
    <mergeCell ref="A195:B195"/>
    <mergeCell ref="L195:M195"/>
    <mergeCell ref="A196:B196"/>
    <mergeCell ref="L196:M196"/>
    <mergeCell ref="A197:B197"/>
    <mergeCell ref="L197:M197"/>
    <mergeCell ref="A198:B198"/>
    <mergeCell ref="L198:M198"/>
    <mergeCell ref="A199:B199"/>
    <mergeCell ref="L199:M199"/>
    <mergeCell ref="A200:B200"/>
    <mergeCell ref="L200:M200"/>
    <mergeCell ref="A201:B201"/>
    <mergeCell ref="B221:B222"/>
    <mergeCell ref="L174:M174"/>
    <mergeCell ref="A175:B175"/>
    <mergeCell ref="L175:M175"/>
    <mergeCell ref="A176:B176"/>
    <mergeCell ref="L176:M176"/>
    <mergeCell ref="A177:B177"/>
    <mergeCell ref="L177:M177"/>
    <mergeCell ref="A178:B178"/>
    <mergeCell ref="L178:M178"/>
    <mergeCell ref="L170:M170"/>
    <mergeCell ref="A171:B171"/>
    <mergeCell ref="L171:M171"/>
    <mergeCell ref="A172:B172"/>
    <mergeCell ref="L172:M172"/>
    <mergeCell ref="A173:B173"/>
    <mergeCell ref="L173:M173"/>
    <mergeCell ref="A90:B90"/>
    <mergeCell ref="C90:H90"/>
    <mergeCell ref="A92:B92"/>
    <mergeCell ref="C92:H92"/>
    <mergeCell ref="A93:B93"/>
    <mergeCell ref="E93:F93"/>
    <mergeCell ref="G93:H93"/>
    <mergeCell ref="A94:B94"/>
    <mergeCell ref="E94:F103"/>
    <mergeCell ref="G94:H103"/>
    <mergeCell ref="A95:B95"/>
    <mergeCell ref="A96:B96"/>
    <mergeCell ref="A97:B97"/>
    <mergeCell ref="A98:B98"/>
    <mergeCell ref="E157:F157"/>
    <mergeCell ref="G157:H157"/>
    <mergeCell ref="A112:B112"/>
    <mergeCell ref="E43:H43"/>
    <mergeCell ref="A43:D43"/>
    <mergeCell ref="A85:B85"/>
    <mergeCell ref="A50:B50"/>
    <mergeCell ref="D68:H68"/>
    <mergeCell ref="C52:E52"/>
    <mergeCell ref="A318:H318"/>
    <mergeCell ref="A310:B310"/>
    <mergeCell ref="A311:B311"/>
    <mergeCell ref="A306:H306"/>
    <mergeCell ref="A300:H300"/>
    <mergeCell ref="A315:B315"/>
    <mergeCell ref="A312:H312"/>
    <mergeCell ref="A73:C73"/>
    <mergeCell ref="D74:H74"/>
    <mergeCell ref="A80:B80"/>
    <mergeCell ref="G79:H79"/>
    <mergeCell ref="A88:B88"/>
    <mergeCell ref="A89:B89"/>
    <mergeCell ref="A84:B84"/>
    <mergeCell ref="A81:B81"/>
    <mergeCell ref="A83:B83"/>
    <mergeCell ref="E79:F79"/>
    <mergeCell ref="A86:B86"/>
    <mergeCell ref="I15:P15"/>
    <mergeCell ref="F143:H143"/>
    <mergeCell ref="F141:H141"/>
    <mergeCell ref="A302:B302"/>
    <mergeCell ref="A161:H161"/>
    <mergeCell ref="G147:H147"/>
    <mergeCell ref="A142:E142"/>
    <mergeCell ref="A167:B167"/>
    <mergeCell ref="A60:B60"/>
    <mergeCell ref="C60:E60"/>
    <mergeCell ref="D62:H62"/>
    <mergeCell ref="F142:H142"/>
    <mergeCell ref="E147:F147"/>
    <mergeCell ref="A147:B147"/>
    <mergeCell ref="A149:B149"/>
    <mergeCell ref="C153:D153"/>
    <mergeCell ref="D73:H73"/>
    <mergeCell ref="D63:H63"/>
    <mergeCell ref="G60:H60"/>
    <mergeCell ref="A54:B55"/>
    <mergeCell ref="C54:E54"/>
    <mergeCell ref="G54:H54"/>
    <mergeCell ref="A56:B57"/>
    <mergeCell ref="C56:E56"/>
    <mergeCell ref="A114:B114"/>
    <mergeCell ref="F133:H133"/>
    <mergeCell ref="G148:H148"/>
    <mergeCell ref="A117:B117"/>
    <mergeCell ref="F140:H140"/>
    <mergeCell ref="C147:D147"/>
    <mergeCell ref="C158:D158"/>
    <mergeCell ref="A289:H289"/>
    <mergeCell ref="A164:H164"/>
    <mergeCell ref="A170:B170"/>
    <mergeCell ref="A282:B282"/>
    <mergeCell ref="A283:B283"/>
    <mergeCell ref="A266:B266"/>
    <mergeCell ref="A267:B267"/>
    <mergeCell ref="A268:B268"/>
    <mergeCell ref="A269:B269"/>
    <mergeCell ref="A270:B270"/>
    <mergeCell ref="A271:B271"/>
    <mergeCell ref="A272:B272"/>
    <mergeCell ref="A273:B273"/>
    <mergeCell ref="A274:B274"/>
    <mergeCell ref="A275:B275"/>
    <mergeCell ref="A276:B276"/>
    <mergeCell ref="A166:B166"/>
    <mergeCell ref="A159:B159"/>
    <mergeCell ref="C159:D159"/>
    <mergeCell ref="E159:F159"/>
    <mergeCell ref="B327:H327"/>
    <mergeCell ref="B325:H325"/>
    <mergeCell ref="A330:H330"/>
    <mergeCell ref="A335:H335"/>
    <mergeCell ref="A332:H332"/>
    <mergeCell ref="A295:B295"/>
    <mergeCell ref="D221:D222"/>
    <mergeCell ref="E221:E222"/>
    <mergeCell ref="A304:B304"/>
    <mergeCell ref="B323:H323"/>
    <mergeCell ref="A313:B313"/>
    <mergeCell ref="A314:B314"/>
    <mergeCell ref="A317:B317"/>
    <mergeCell ref="A316:B316"/>
    <mergeCell ref="B319:H319"/>
    <mergeCell ref="B320:H320"/>
    <mergeCell ref="B322:H322"/>
    <mergeCell ref="A277:B277"/>
    <mergeCell ref="A278:H278"/>
    <mergeCell ref="B324:H324"/>
    <mergeCell ref="A309:B309"/>
    <mergeCell ref="F138:H138"/>
    <mergeCell ref="A290:B290"/>
    <mergeCell ref="A169:B169"/>
    <mergeCell ref="A168:B168"/>
    <mergeCell ref="A139:E139"/>
    <mergeCell ref="F139:H139"/>
    <mergeCell ref="A141:E141"/>
    <mergeCell ref="F135:H135"/>
    <mergeCell ref="A140:E140"/>
    <mergeCell ref="A220:H220"/>
    <mergeCell ref="E153:F153"/>
    <mergeCell ref="A160:H160"/>
    <mergeCell ref="A221:A222"/>
    <mergeCell ref="F221:F222"/>
    <mergeCell ref="A153:B153"/>
    <mergeCell ref="A279:H279"/>
    <mergeCell ref="A280:H280"/>
    <mergeCell ref="A281:B281"/>
    <mergeCell ref="A206:B206"/>
    <mergeCell ref="A182:H182"/>
    <mergeCell ref="A183:H183"/>
    <mergeCell ref="A231:B231"/>
    <mergeCell ref="A232:B232"/>
    <mergeCell ref="A233:B233"/>
    <mergeCell ref="A135:E135"/>
    <mergeCell ref="A132:E132"/>
    <mergeCell ref="F137:H137"/>
    <mergeCell ref="G107:H107"/>
    <mergeCell ref="A338:H341"/>
    <mergeCell ref="A337:B337"/>
    <mergeCell ref="E337:F337"/>
    <mergeCell ref="C337:D337"/>
    <mergeCell ref="G337:H337"/>
    <mergeCell ref="A146:H146"/>
    <mergeCell ref="A144:E144"/>
    <mergeCell ref="F144:H144"/>
    <mergeCell ref="A145:E145"/>
    <mergeCell ref="F145:H145"/>
    <mergeCell ref="A294:H294"/>
    <mergeCell ref="A154:B154"/>
    <mergeCell ref="A303:B303"/>
    <mergeCell ref="A148:B148"/>
    <mergeCell ref="A333:H333"/>
    <mergeCell ref="A152:H152"/>
    <mergeCell ref="A336:H336"/>
    <mergeCell ref="A334:H334"/>
    <mergeCell ref="A331:H331"/>
    <mergeCell ref="F132:H132"/>
    <mergeCell ref="A298:B298"/>
    <mergeCell ref="A305:B30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15:B115"/>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D66:H66"/>
    <mergeCell ref="A78:B78"/>
    <mergeCell ref="A76:B76"/>
    <mergeCell ref="C76:H76"/>
    <mergeCell ref="A71:C71"/>
    <mergeCell ref="D71:H71"/>
    <mergeCell ref="C78:H78"/>
    <mergeCell ref="A72:C72"/>
    <mergeCell ref="D72:H72"/>
    <mergeCell ref="A75:C75"/>
    <mergeCell ref="D75:H75"/>
    <mergeCell ref="A74:C74"/>
    <mergeCell ref="A46:D46"/>
    <mergeCell ref="A47:D47"/>
    <mergeCell ref="D70:H70"/>
    <mergeCell ref="A44:D44"/>
    <mergeCell ref="E44:H44"/>
    <mergeCell ref="E45:H45"/>
    <mergeCell ref="E46:H46"/>
    <mergeCell ref="E47:H47"/>
    <mergeCell ref="C57:H57"/>
    <mergeCell ref="C59:H59"/>
    <mergeCell ref="A48:H48"/>
    <mergeCell ref="D64:H64"/>
    <mergeCell ref="A64:C64"/>
    <mergeCell ref="A45:D45"/>
    <mergeCell ref="A49:B49"/>
    <mergeCell ref="C49:H49"/>
    <mergeCell ref="A65:C68"/>
    <mergeCell ref="D65:H65"/>
    <mergeCell ref="D67:H67"/>
    <mergeCell ref="G52:H52"/>
    <mergeCell ref="A61:H61"/>
    <mergeCell ref="A62:C62"/>
    <mergeCell ref="A63:C63"/>
    <mergeCell ref="C53:H53"/>
    <mergeCell ref="D162:D163"/>
    <mergeCell ref="A137:E137"/>
    <mergeCell ref="A38:H38"/>
    <mergeCell ref="A37:B37"/>
    <mergeCell ref="C37:E37"/>
    <mergeCell ref="A42:D42"/>
    <mergeCell ref="E42:H42"/>
    <mergeCell ref="A41:H41"/>
    <mergeCell ref="A69:C69"/>
    <mergeCell ref="A70:C70"/>
    <mergeCell ref="D69:H69"/>
    <mergeCell ref="F37:H37"/>
    <mergeCell ref="C51:E51"/>
    <mergeCell ref="C50:E50"/>
    <mergeCell ref="G50:H50"/>
    <mergeCell ref="A51:B51"/>
    <mergeCell ref="G56:H56"/>
    <mergeCell ref="A58:B59"/>
    <mergeCell ref="C58:E58"/>
    <mergeCell ref="G58:H58"/>
    <mergeCell ref="G51:H51"/>
    <mergeCell ref="A52:B53"/>
    <mergeCell ref="A39:B39"/>
    <mergeCell ref="C39:H39"/>
    <mergeCell ref="C55:H55"/>
    <mergeCell ref="A293:B293"/>
    <mergeCell ref="A79:B79"/>
    <mergeCell ref="L169:M169"/>
    <mergeCell ref="L168:M168"/>
    <mergeCell ref="L167:M167"/>
    <mergeCell ref="L166:M166"/>
    <mergeCell ref="A87:B87"/>
    <mergeCell ref="C154:D154"/>
    <mergeCell ref="E154:F154"/>
    <mergeCell ref="G154:H154"/>
    <mergeCell ref="A133:E133"/>
    <mergeCell ref="A104:B104"/>
    <mergeCell ref="C104:H104"/>
    <mergeCell ref="A165:H165"/>
    <mergeCell ref="E162:E163"/>
    <mergeCell ref="A108:B108"/>
    <mergeCell ref="C106:H106"/>
    <mergeCell ref="A109:B109"/>
    <mergeCell ref="A110:B110"/>
    <mergeCell ref="G108:H117"/>
    <mergeCell ref="A111:B111"/>
    <mergeCell ref="F134:H134"/>
    <mergeCell ref="A134:E134"/>
    <mergeCell ref="A131:B131"/>
    <mergeCell ref="A113:B113"/>
    <mergeCell ref="B326:H326"/>
    <mergeCell ref="L294:M294"/>
    <mergeCell ref="A299:B299"/>
    <mergeCell ref="A296:B296"/>
    <mergeCell ref="A297:B297"/>
    <mergeCell ref="A307:B307"/>
    <mergeCell ref="A40:B40"/>
    <mergeCell ref="C40:H40"/>
    <mergeCell ref="F162:F163"/>
    <mergeCell ref="C148:D148"/>
    <mergeCell ref="E148:F148"/>
    <mergeCell ref="B162:B163"/>
    <mergeCell ref="A162:A163"/>
    <mergeCell ref="C221:C222"/>
    <mergeCell ref="G221:G222"/>
    <mergeCell ref="L293:M293"/>
    <mergeCell ref="L290:M290"/>
    <mergeCell ref="A291:B291"/>
    <mergeCell ref="G159:H159"/>
    <mergeCell ref="L291:M291"/>
    <mergeCell ref="A292:B292"/>
    <mergeCell ref="L292:M292"/>
    <mergeCell ref="G153:H153"/>
    <mergeCell ref="A116:B116"/>
    <mergeCell ref="A106:B106"/>
    <mergeCell ref="G162:G163"/>
    <mergeCell ref="A308:B308"/>
    <mergeCell ref="A82:B82"/>
    <mergeCell ref="E80:F89"/>
    <mergeCell ref="G80:H89"/>
    <mergeCell ref="A138:E138"/>
    <mergeCell ref="A158:B158"/>
    <mergeCell ref="E158:F158"/>
    <mergeCell ref="A143:E143"/>
    <mergeCell ref="G158:H158"/>
    <mergeCell ref="C149:D149"/>
    <mergeCell ref="E149:F149"/>
    <mergeCell ref="G149:H149"/>
    <mergeCell ref="A151:B151"/>
    <mergeCell ref="C151:D151"/>
    <mergeCell ref="E151:F151"/>
    <mergeCell ref="G151:H151"/>
    <mergeCell ref="A155:B155"/>
    <mergeCell ref="C155:D155"/>
    <mergeCell ref="E155:F155"/>
    <mergeCell ref="G155:H155"/>
    <mergeCell ref="I243:N243"/>
    <mergeCell ref="I134:N134"/>
    <mergeCell ref="B321:H321"/>
    <mergeCell ref="A107:B107"/>
    <mergeCell ref="E107:F107"/>
    <mergeCell ref="E108:F117"/>
    <mergeCell ref="A118:B118"/>
    <mergeCell ref="C118:H118"/>
    <mergeCell ref="A120:B120"/>
    <mergeCell ref="C120:H120"/>
    <mergeCell ref="A121:B121"/>
    <mergeCell ref="E121:F121"/>
    <mergeCell ref="G121:H121"/>
    <mergeCell ref="A122:B122"/>
    <mergeCell ref="E122:F131"/>
    <mergeCell ref="G122:H131"/>
    <mergeCell ref="A123:B123"/>
    <mergeCell ref="A124:B124"/>
    <mergeCell ref="A125:B125"/>
    <mergeCell ref="A126:B126"/>
    <mergeCell ref="A127:B127"/>
    <mergeCell ref="A128:B128"/>
    <mergeCell ref="A129:B129"/>
    <mergeCell ref="A130:B130"/>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62:E163" xr:uid="{00000000-0002-0000-0000-000003000000}">
      <formula1>"Attached Loft area,Attached Otla area,Attached Mezzanine area"</formula1>
    </dataValidation>
    <dataValidation type="list" allowBlank="1" showInputMessage="1" showErrorMessage="1" sqref="G337:H337" xr:uid="{00000000-0002-0000-0000-000004000000}">
      <formula1>"Kunal Kadam,Pranita Mhatre,Shruti Fule,Pooja Kawale,Gaurav Panchal,Shruti Tathare, Hitakshi Mhatre, Sachin Sawant"</formula1>
    </dataValidation>
    <dataValidation type="list" allowBlank="1" showInputMessage="1" showErrorMessage="1" sqref="F132:H132" xr:uid="{00000000-0002-0000-0000-000005000000}">
      <formula1>"On Saleable Area,On Builtup Area,On Carpet Area,On Plot Area"</formula1>
    </dataValidation>
    <dataValidation type="list" allowBlank="1" showInputMessage="1" showErrorMessage="1" sqref="B162:B163" xr:uid="{00000000-0002-0000-0000-000006000000}">
      <formula1>"Shop No. (Sale Plan),Sale / Rehab,Sale / Mhada"</formula1>
    </dataValidation>
    <dataValidation type="list" allowBlank="1" showInputMessage="1" showErrorMessage="1" sqref="B221:B222" xr:uid="{00000000-0002-0000-0000-000007000000}">
      <formula1>"Flat No. (Sale Plan),Sale / Rehab,Sale / Mhada"</formula1>
    </dataValidation>
    <dataValidation type="list" allowBlank="1" showInputMessage="1" showErrorMessage="1" sqref="C21:D21" xr:uid="{00000000-0002-0000-0000-000008000000}">
      <formula1>OFFSET($S$13,1,MATCH($G20,$S$13:$W$13,0)-1,15,1)</formula1>
    </dataValidation>
    <dataValidation type="list" allowBlank="1" showInputMessage="1" showErrorMessage="1" sqref="Y13" xr:uid="{00000000-0002-0000-0000-000009000000}">
      <formula1>$D$5:$H$5</formula1>
    </dataValidation>
    <dataValidation type="list" allowBlank="1" showInputMessage="1" showErrorMessage="1" sqref="E221:E222" xr:uid="{00000000-0002-0000-0000-00000A000000}">
      <formula1>"Fungible area,Balcony Area,E.P. Area,Chajja Area,Cornice Area,AP Area,WS Area"</formula1>
    </dataValidation>
    <dataValidation type="list" allowBlank="1" showInputMessage="1" showErrorMessage="1" sqref="H163 H222" xr:uid="{00000000-0002-0000-0000-00000B000000}">
      <formula1>".45,.50,.55,.60"</formula1>
    </dataValidation>
    <dataValidation type="list" allowBlank="1" showInputMessage="1" showErrorMessage="1" sqref="E4:H4" xr:uid="{00000000-0002-0000-0000-00000C000000}">
      <formula1>$L$3:$P$3</formula1>
    </dataValidation>
    <dataValidation type="list" allowBlank="1" showInputMessage="1" showErrorMessage="1" sqref="C49:H49" xr:uid="{00000000-0002-0000-0000-00000D000000}">
      <formula1>OFFSET($S$49,1,MATCH($G20,$S$49:$W$49,0)-1,15,1)</formula1>
    </dataValidation>
    <dataValidation type="list" allowBlank="1" showInputMessage="1" showErrorMessage="1" sqref="H162 H221" xr:uid="{00000000-0002-0000-0000-00000E000000}">
      <formula1>"Saleable area Loading :,Builder Saleable Area"</formula1>
    </dataValidation>
    <dataValidation type="list" allowBlank="1" showInputMessage="1" showErrorMessage="1" sqref="D162:D163 D221:D222" xr:uid="{00000000-0002-0000-0000-00000F000000}">
      <formula1>"Carpet area,RERA Carpet area"</formula1>
    </dataValidation>
    <dataValidation type="list" allowBlank="1" showInputMessage="1" showErrorMessage="1" sqref="F144:H144" xr:uid="{00000000-0002-0000-0000-000010000000}">
      <formula1>OFFSET($S$132,1,MATCH($G20,$S$132:$W$132,0)-1,15,1)</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117" max="16383" man="1"/>
    <brk id="341" max="16383" man="1"/>
    <brk id="383" max="16383" man="1"/>
    <brk id="425"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22" zoomScale="85" zoomScaleNormal="85" workbookViewId="0">
      <selection activeCell="B37" sqref="B37"/>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31" t="s">
        <v>105</v>
      </c>
      <c r="C3" s="231"/>
      <c r="D3" s="231"/>
      <c r="E3" s="231"/>
      <c r="F3" s="231"/>
      <c r="G3" s="231"/>
      <c r="H3" s="231"/>
    </row>
    <row r="4" spans="1:9" x14ac:dyDescent="0.3">
      <c r="A4" s="2"/>
      <c r="B4" s="3" t="s">
        <v>106</v>
      </c>
      <c r="C4" s="3" t="s">
        <v>107</v>
      </c>
      <c r="D4" s="3" t="s">
        <v>66</v>
      </c>
      <c r="E4" s="3" t="s">
        <v>108</v>
      </c>
      <c r="F4" s="3" t="s">
        <v>114</v>
      </c>
      <c r="G4" s="3" t="s">
        <v>115</v>
      </c>
      <c r="H4" s="3" t="s">
        <v>109</v>
      </c>
    </row>
    <row r="5" spans="1:9" ht="15" customHeight="1" x14ac:dyDescent="0.3">
      <c r="A5" s="2"/>
      <c r="B5" s="5" t="s">
        <v>110</v>
      </c>
      <c r="C5" s="6"/>
      <c r="D5" s="5"/>
      <c r="E5" s="5"/>
      <c r="F5" s="7">
        <f>E5*1.6</f>
        <v>0</v>
      </c>
      <c r="G5" s="7" t="e">
        <f>H5/F5</f>
        <v>#DIV/0!</v>
      </c>
      <c r="H5" s="8"/>
    </row>
    <row r="6" spans="1:9" x14ac:dyDescent="0.3">
      <c r="A6" s="2"/>
      <c r="B6" s="5" t="s">
        <v>110</v>
      </c>
      <c r="C6" s="9"/>
      <c r="D6" s="5"/>
      <c r="E6" s="5"/>
      <c r="F6" s="7">
        <f t="shared" ref="F6:F11" si="0">E6*1.6</f>
        <v>0</v>
      </c>
      <c r="G6" s="7" t="e">
        <f t="shared" ref="G6:G11" si="1">H6/F6</f>
        <v>#DIV/0!</v>
      </c>
      <c r="H6" s="8"/>
    </row>
    <row r="7" spans="1:9" ht="15" customHeight="1" x14ac:dyDescent="0.3">
      <c r="A7" s="2"/>
      <c r="B7" s="5" t="s">
        <v>110</v>
      </c>
      <c r="C7" s="6"/>
      <c r="D7" s="5"/>
      <c r="E7" s="5"/>
      <c r="F7" s="7">
        <f t="shared" si="0"/>
        <v>0</v>
      </c>
      <c r="G7" s="7" t="e">
        <f t="shared" si="1"/>
        <v>#DIV/0!</v>
      </c>
      <c r="H7" s="8"/>
    </row>
    <row r="8" spans="1:9" x14ac:dyDescent="0.3">
      <c r="A8" s="2"/>
      <c r="B8" s="5" t="s">
        <v>110</v>
      </c>
      <c r="C8" s="9"/>
      <c r="D8" s="5"/>
      <c r="E8" s="5"/>
      <c r="F8" s="7">
        <f t="shared" si="0"/>
        <v>0</v>
      </c>
      <c r="G8" s="7" t="e">
        <f t="shared" si="1"/>
        <v>#DIV/0!</v>
      </c>
      <c r="H8" s="8"/>
    </row>
    <row r="9" spans="1:9" ht="15" customHeight="1" x14ac:dyDescent="0.3">
      <c r="A9" s="2"/>
      <c r="B9" s="5" t="s">
        <v>110</v>
      </c>
      <c r="C9" s="9"/>
      <c r="D9" s="5"/>
      <c r="E9" s="5"/>
      <c r="F9" s="7">
        <f t="shared" si="0"/>
        <v>0</v>
      </c>
      <c r="G9" s="7" t="e">
        <f t="shared" si="1"/>
        <v>#DIV/0!</v>
      </c>
      <c r="H9" s="8"/>
    </row>
    <row r="10" spans="1:9" ht="15" customHeight="1" x14ac:dyDescent="0.3">
      <c r="A10" s="2"/>
      <c r="B10" s="5" t="s">
        <v>111</v>
      </c>
      <c r="C10" s="6"/>
      <c r="D10" s="5"/>
      <c r="E10" s="5"/>
      <c r="F10" s="7">
        <f t="shared" si="0"/>
        <v>0</v>
      </c>
      <c r="G10" s="7" t="e">
        <f t="shared" si="1"/>
        <v>#DIV/0!</v>
      </c>
      <c r="H10" s="8"/>
    </row>
    <row r="11" spans="1:9" ht="15" customHeight="1" x14ac:dyDescent="0.3">
      <c r="A11" s="2"/>
      <c r="B11" s="5" t="s">
        <v>111</v>
      </c>
      <c r="C11" s="6"/>
      <c r="D11" s="5"/>
      <c r="E11" s="5"/>
      <c r="F11" s="7">
        <f t="shared" si="0"/>
        <v>0</v>
      </c>
      <c r="G11" s="7" t="e">
        <f t="shared" si="1"/>
        <v>#DIV/0!</v>
      </c>
      <c r="H11" s="8"/>
    </row>
    <row r="12" spans="1:9" ht="15" customHeight="1" x14ac:dyDescent="0.3">
      <c r="A12" s="2"/>
      <c r="B12" s="10" t="s">
        <v>112</v>
      </c>
      <c r="C12" s="5"/>
      <c r="D12" s="5"/>
      <c r="E12" s="5"/>
      <c r="F12" s="5"/>
      <c r="G12" s="11" t="e">
        <f>AVERAGE(G5:G11)</f>
        <v>#DIV/0!</v>
      </c>
      <c r="H12" s="5"/>
    </row>
    <row r="13" spans="1:9" ht="15" customHeight="1" x14ac:dyDescent="0.3">
      <c r="B13" s="10" t="s">
        <v>113</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7"/>
      <c r="C4" s="47" t="s">
        <v>11</v>
      </c>
      <c r="D4" s="48" t="s">
        <v>180</v>
      </c>
      <c r="E4" s="48" t="s">
        <v>190</v>
      </c>
      <c r="F4" s="48" t="s">
        <v>174</v>
      </c>
      <c r="G4" s="48" t="s">
        <v>195</v>
      </c>
      <c r="H4" s="48" t="s">
        <v>213</v>
      </c>
      <c r="J4" t="s">
        <v>195</v>
      </c>
      <c r="K4" t="s">
        <v>211</v>
      </c>
    </row>
    <row r="5" spans="2:11" x14ac:dyDescent="0.3">
      <c r="B5" s="47"/>
      <c r="C5" s="47"/>
      <c r="D5" s="48" t="s">
        <v>181</v>
      </c>
      <c r="E5" s="48" t="s">
        <v>188</v>
      </c>
      <c r="F5" s="48" t="s">
        <v>210</v>
      </c>
      <c r="G5" s="48" t="s">
        <v>196</v>
      </c>
      <c r="H5" s="48" t="s">
        <v>214</v>
      </c>
    </row>
    <row r="6" spans="2:11" x14ac:dyDescent="0.3">
      <c r="B6" s="47"/>
      <c r="C6" s="47"/>
      <c r="D6" s="48" t="s">
        <v>182</v>
      </c>
      <c r="E6" s="48" t="s">
        <v>189</v>
      </c>
      <c r="F6" s="48" t="s">
        <v>211</v>
      </c>
      <c r="G6" s="48" t="s">
        <v>197</v>
      </c>
      <c r="H6" s="48" t="s">
        <v>227</v>
      </c>
    </row>
    <row r="7" spans="2:11" x14ac:dyDescent="0.3">
      <c r="B7" s="47"/>
      <c r="C7" s="47"/>
      <c r="D7" s="48" t="s">
        <v>183</v>
      </c>
      <c r="E7" s="48" t="s">
        <v>191</v>
      </c>
      <c r="F7" s="48" t="s">
        <v>212</v>
      </c>
      <c r="G7" s="48" t="s">
        <v>198</v>
      </c>
      <c r="H7" s="48" t="s">
        <v>215</v>
      </c>
    </row>
    <row r="8" spans="2:11" x14ac:dyDescent="0.3">
      <c r="B8" s="47"/>
      <c r="C8" s="47"/>
      <c r="D8" s="48" t="s">
        <v>184</v>
      </c>
      <c r="E8" s="48" t="s">
        <v>192</v>
      </c>
      <c r="F8" s="48"/>
      <c r="G8" s="48" t="s">
        <v>199</v>
      </c>
      <c r="H8" s="48" t="s">
        <v>216</v>
      </c>
    </row>
    <row r="9" spans="2:11" x14ac:dyDescent="0.3">
      <c r="B9" s="47"/>
      <c r="C9" s="47"/>
      <c r="D9" s="48" t="s">
        <v>185</v>
      </c>
      <c r="E9" s="48" t="s">
        <v>190</v>
      </c>
      <c r="F9" s="48"/>
      <c r="G9" s="48" t="s">
        <v>200</v>
      </c>
      <c r="H9" s="48" t="s">
        <v>217</v>
      </c>
    </row>
    <row r="10" spans="2:11" x14ac:dyDescent="0.3">
      <c r="B10" s="47"/>
      <c r="C10" s="47"/>
      <c r="D10" s="48" t="s">
        <v>186</v>
      </c>
      <c r="E10" s="48" t="s">
        <v>193</v>
      </c>
      <c r="F10" s="48"/>
      <c r="G10" s="48" t="s">
        <v>201</v>
      </c>
      <c r="H10" s="48" t="s">
        <v>218</v>
      </c>
    </row>
    <row r="11" spans="2:11" x14ac:dyDescent="0.3">
      <c r="B11" s="47"/>
      <c r="C11" s="47"/>
      <c r="D11" s="48" t="s">
        <v>187</v>
      </c>
      <c r="E11" s="48" t="s">
        <v>194</v>
      </c>
      <c r="F11" s="48"/>
      <c r="G11" s="48" t="s">
        <v>202</v>
      </c>
      <c r="H11" s="48" t="s">
        <v>219</v>
      </c>
    </row>
    <row r="12" spans="2:11" x14ac:dyDescent="0.3">
      <c r="B12" s="47"/>
      <c r="C12" s="47"/>
      <c r="D12" s="48"/>
      <c r="E12" s="48"/>
      <c r="F12" s="48"/>
      <c r="G12" s="48" t="s">
        <v>203</v>
      </c>
      <c r="H12" s="48" t="s">
        <v>220</v>
      </c>
    </row>
    <row r="13" spans="2:11" x14ac:dyDescent="0.3">
      <c r="B13" s="47"/>
      <c r="C13" s="47"/>
      <c r="D13" s="48"/>
      <c r="E13" s="48"/>
      <c r="F13" s="48"/>
      <c r="G13" s="48" t="s">
        <v>204</v>
      </c>
      <c r="H13" s="48" t="s">
        <v>221</v>
      </c>
    </row>
    <row r="14" spans="2:11" x14ac:dyDescent="0.3">
      <c r="B14" s="47"/>
      <c r="C14" s="47"/>
      <c r="D14" s="48"/>
      <c r="E14" s="48"/>
      <c r="F14" s="48"/>
      <c r="G14" s="48" t="s">
        <v>205</v>
      </c>
      <c r="H14" s="48" t="s">
        <v>222</v>
      </c>
    </row>
    <row r="15" spans="2:11" x14ac:dyDescent="0.3">
      <c r="B15" s="47"/>
      <c r="C15" s="47"/>
      <c r="D15" s="48"/>
      <c r="E15" s="48"/>
      <c r="F15" s="48"/>
      <c r="G15" s="48" t="s">
        <v>206</v>
      </c>
      <c r="H15" s="48" t="s">
        <v>223</v>
      </c>
    </row>
    <row r="16" spans="2:11" x14ac:dyDescent="0.3">
      <c r="B16" s="47"/>
      <c r="C16" s="47"/>
      <c r="D16" s="48"/>
      <c r="E16" s="48"/>
      <c r="F16" s="48"/>
      <c r="G16" s="48" t="s">
        <v>207</v>
      </c>
      <c r="H16" s="48" t="s">
        <v>224</v>
      </c>
    </row>
    <row r="17" spans="2:8" x14ac:dyDescent="0.3">
      <c r="B17" s="47"/>
      <c r="C17" s="47"/>
      <c r="D17" s="48"/>
      <c r="E17" s="48"/>
      <c r="F17" s="48"/>
      <c r="G17" s="48" t="s">
        <v>208</v>
      </c>
      <c r="H17" s="48" t="s">
        <v>225</v>
      </c>
    </row>
    <row r="18" spans="2:8" x14ac:dyDescent="0.3">
      <c r="B18" s="47"/>
      <c r="C18" s="47"/>
      <c r="D18" s="48"/>
      <c r="E18" s="48"/>
      <c r="F18" s="48"/>
      <c r="G18" s="48" t="s">
        <v>209</v>
      </c>
      <c r="H18" s="48" t="s">
        <v>226</v>
      </c>
    </row>
    <row r="24" spans="2:8" x14ac:dyDescent="0.3">
      <c r="C24" t="s">
        <v>171</v>
      </c>
    </row>
    <row r="25" spans="2:8" x14ac:dyDescent="0.3">
      <c r="C25" t="s">
        <v>228</v>
      </c>
    </row>
    <row r="26" spans="2:8" x14ac:dyDescent="0.3">
      <c r="C26" t="s">
        <v>229</v>
      </c>
    </row>
    <row r="27" spans="2:8" x14ac:dyDescent="0.3">
      <c r="C27" t="s">
        <v>230</v>
      </c>
    </row>
    <row r="28" spans="2:8" x14ac:dyDescent="0.3">
      <c r="C28" t="s">
        <v>231</v>
      </c>
    </row>
    <row r="29" spans="2:8" x14ac:dyDescent="0.3">
      <c r="C29" t="s">
        <v>232</v>
      </c>
    </row>
    <row r="30" spans="2:8" x14ac:dyDescent="0.3">
      <c r="C30" t="s">
        <v>171</v>
      </c>
    </row>
    <row r="33" spans="3:11" x14ac:dyDescent="0.3">
      <c r="J33">
        <v>1</v>
      </c>
      <c r="K33">
        <v>2</v>
      </c>
    </row>
    <row r="34" spans="3:11" x14ac:dyDescent="0.3">
      <c r="C34" s="49" t="s">
        <v>236</v>
      </c>
      <c r="D34" s="48" t="s">
        <v>234</v>
      </c>
      <c r="E34" s="48" t="s">
        <v>239</v>
      </c>
      <c r="F34" s="48" t="s">
        <v>237</v>
      </c>
      <c r="G34" s="48" t="s">
        <v>238</v>
      </c>
      <c r="H34" s="48" t="s">
        <v>240</v>
      </c>
      <c r="J34" t="s">
        <v>195</v>
      </c>
      <c r="K34" t="s">
        <v>211</v>
      </c>
    </row>
    <row r="35" spans="3:11" x14ac:dyDescent="0.3">
      <c r="C35" s="47" t="s">
        <v>235</v>
      </c>
      <c r="D35" s="48" t="s">
        <v>172</v>
      </c>
      <c r="E35" s="48" t="s">
        <v>244</v>
      </c>
      <c r="F35" s="48" t="s">
        <v>246</v>
      </c>
      <c r="G35" s="48" t="s">
        <v>248</v>
      </c>
      <c r="H35" s="48"/>
    </row>
    <row r="36" spans="3:11" x14ac:dyDescent="0.3">
      <c r="C36" s="47"/>
      <c r="D36" s="48" t="s">
        <v>241</v>
      </c>
      <c r="E36" s="48" t="s">
        <v>245</v>
      </c>
      <c r="F36" s="48" t="s">
        <v>247</v>
      </c>
      <c r="G36" s="48" t="s">
        <v>249</v>
      </c>
      <c r="H36" s="48"/>
    </row>
    <row r="37" spans="3:11" x14ac:dyDescent="0.3">
      <c r="C37" s="47"/>
      <c r="D37" s="48" t="s">
        <v>242</v>
      </c>
      <c r="E37" s="48"/>
      <c r="F37" s="48"/>
      <c r="G37" s="48" t="s">
        <v>250</v>
      </c>
      <c r="H37" s="48"/>
    </row>
    <row r="38" spans="3:11" x14ac:dyDescent="0.3">
      <c r="C38" s="47"/>
      <c r="D38" s="48" t="s">
        <v>243</v>
      </c>
      <c r="E38" s="48"/>
      <c r="F38" s="48"/>
      <c r="G38" s="48" t="s">
        <v>250</v>
      </c>
      <c r="H38" s="48"/>
    </row>
    <row r="39" spans="3:11" x14ac:dyDescent="0.3">
      <c r="C39" s="47"/>
      <c r="D39" s="48"/>
      <c r="E39" s="48"/>
      <c r="F39" s="48"/>
      <c r="G39" s="48" t="s">
        <v>251</v>
      </c>
      <c r="H39" s="48"/>
    </row>
    <row r="40" spans="3:11" x14ac:dyDescent="0.3">
      <c r="C40" s="47"/>
      <c r="D40" s="48"/>
      <c r="E40" s="48"/>
      <c r="F40" s="48"/>
      <c r="G40" s="48" t="s">
        <v>252</v>
      </c>
      <c r="H40" s="48"/>
    </row>
    <row r="41" spans="3:11" x14ac:dyDescent="0.3">
      <c r="C41" s="47"/>
      <c r="D41" s="48"/>
      <c r="E41" s="48"/>
      <c r="F41" s="48"/>
      <c r="G41" s="48"/>
      <c r="H41" s="48"/>
    </row>
    <row r="43" spans="3:11" x14ac:dyDescent="0.3">
      <c r="C43" t="s">
        <v>253</v>
      </c>
    </row>
    <row r="44" spans="3:11" x14ac:dyDescent="0.3">
      <c r="C44" t="s">
        <v>174</v>
      </c>
      <c r="D44" t="s">
        <v>254</v>
      </c>
    </row>
    <row r="45" spans="3:11" x14ac:dyDescent="0.3">
      <c r="D45" t="s">
        <v>255</v>
      </c>
    </row>
    <row r="46" spans="3:11" x14ac:dyDescent="0.3">
      <c r="D46" t="s">
        <v>256</v>
      </c>
    </row>
    <row r="47" spans="3:11" x14ac:dyDescent="0.3">
      <c r="D47" t="s">
        <v>257</v>
      </c>
    </row>
    <row r="48" spans="3:11" x14ac:dyDescent="0.3">
      <c r="D48" t="s">
        <v>258</v>
      </c>
    </row>
    <row r="49" spans="3:4" x14ac:dyDescent="0.3">
      <c r="C49" t="s">
        <v>180</v>
      </c>
      <c r="D49" t="s">
        <v>259</v>
      </c>
    </row>
    <row r="50" spans="3:4" x14ac:dyDescent="0.3">
      <c r="D50" t="s">
        <v>260</v>
      </c>
    </row>
    <row r="51" spans="3:4" x14ac:dyDescent="0.3">
      <c r="D51" t="s">
        <v>261</v>
      </c>
    </row>
    <row r="52" spans="3:4" x14ac:dyDescent="0.3">
      <c r="D52" t="s">
        <v>264</v>
      </c>
    </row>
    <row r="53" spans="3:4" x14ac:dyDescent="0.3">
      <c r="D53" t="s">
        <v>262</v>
      </c>
    </row>
    <row r="54" spans="3:4" x14ac:dyDescent="0.3">
      <c r="D54" t="s">
        <v>263</v>
      </c>
    </row>
    <row r="55" spans="3:4" x14ac:dyDescent="0.3">
      <c r="D55" t="s">
        <v>265</v>
      </c>
    </row>
    <row r="56" spans="3:4" x14ac:dyDescent="0.3">
      <c r="D56" t="s">
        <v>266</v>
      </c>
    </row>
    <row r="57" spans="3:4" x14ac:dyDescent="0.3">
      <c r="D57" t="s">
        <v>267</v>
      </c>
    </row>
    <row r="58" spans="3:4" x14ac:dyDescent="0.3">
      <c r="D58" t="s">
        <v>269</v>
      </c>
    </row>
    <row r="59" spans="3:4" x14ac:dyDescent="0.3">
      <c r="D59" t="s">
        <v>278</v>
      </c>
    </row>
    <row r="60" spans="3:4" x14ac:dyDescent="0.3">
      <c r="C60" t="s">
        <v>195</v>
      </c>
      <c r="D60" t="s">
        <v>270</v>
      </c>
    </row>
    <row r="61" spans="3:4" x14ac:dyDescent="0.3">
      <c r="D61" t="s">
        <v>268</v>
      </c>
    </row>
    <row r="62" spans="3:4" x14ac:dyDescent="0.3">
      <c r="D62" t="s">
        <v>258</v>
      </c>
    </row>
    <row r="63" spans="3:4" x14ac:dyDescent="0.3">
      <c r="D63" t="s">
        <v>271</v>
      </c>
    </row>
    <row r="64" spans="3:4" x14ac:dyDescent="0.3">
      <c r="D64" t="s">
        <v>272</v>
      </c>
    </row>
    <row r="65" spans="3:4" x14ac:dyDescent="0.3">
      <c r="D65" t="s">
        <v>273</v>
      </c>
    </row>
    <row r="66" spans="3:4" x14ac:dyDescent="0.3">
      <c r="D66" t="s">
        <v>274</v>
      </c>
    </row>
    <row r="67" spans="3:4" x14ac:dyDescent="0.3">
      <c r="C67" t="s">
        <v>190</v>
      </c>
      <c r="D67" t="s">
        <v>275</v>
      </c>
    </row>
    <row r="68" spans="3:4" x14ac:dyDescent="0.3">
      <c r="D68" t="s">
        <v>276</v>
      </c>
    </row>
    <row r="69" spans="3:4" x14ac:dyDescent="0.3">
      <c r="D69" t="s">
        <v>277</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35"/>
  <sheetViews>
    <sheetView topLeftCell="A22" workbookViewId="0">
      <selection activeCell="C34" sqref="C34"/>
    </sheetView>
  </sheetViews>
  <sheetFormatPr defaultRowHeight="14.4" x14ac:dyDescent="0.3"/>
  <cols>
    <col min="2" max="2" width="3" bestFit="1" customWidth="1"/>
    <col min="3" max="3" width="155.33203125" customWidth="1"/>
  </cols>
  <sheetData>
    <row r="2" spans="2:3" ht="15" customHeight="1" x14ac:dyDescent="0.3">
      <c r="B2" s="50">
        <v>1</v>
      </c>
      <c r="C2" s="52" t="s">
        <v>284</v>
      </c>
    </row>
    <row r="3" spans="2:3" x14ac:dyDescent="0.3">
      <c r="B3" s="50">
        <v>2</v>
      </c>
      <c r="C3" s="51" t="s">
        <v>285</v>
      </c>
    </row>
    <row r="4" spans="2:3" x14ac:dyDescent="0.3">
      <c r="B4" s="50">
        <v>3</v>
      </c>
      <c r="C4" s="50" t="s">
        <v>286</v>
      </c>
    </row>
    <row r="5" spans="2:3" x14ac:dyDescent="0.3">
      <c r="B5" s="50">
        <v>4</v>
      </c>
      <c r="C5" s="51" t="s">
        <v>287</v>
      </c>
    </row>
    <row r="6" spans="2:3" x14ac:dyDescent="0.3">
      <c r="B6" s="50">
        <v>5</v>
      </c>
      <c r="C6" s="50" t="s">
        <v>288</v>
      </c>
    </row>
    <row r="7" spans="2:3" x14ac:dyDescent="0.3">
      <c r="B7" s="50">
        <v>6</v>
      </c>
      <c r="C7" s="51" t="s">
        <v>289</v>
      </c>
    </row>
    <row r="8" spans="2:3" ht="72" x14ac:dyDescent="0.3">
      <c r="B8" s="50">
        <v>7</v>
      </c>
      <c r="C8" s="51" t="s">
        <v>290</v>
      </c>
    </row>
    <row r="9" spans="2:3" x14ac:dyDescent="0.3">
      <c r="B9" s="50">
        <v>8</v>
      </c>
      <c r="C9" s="50" t="s">
        <v>291</v>
      </c>
    </row>
    <row r="10" spans="2:3" x14ac:dyDescent="0.3">
      <c r="B10" s="50">
        <v>9</v>
      </c>
      <c r="C10" s="50" t="s">
        <v>292</v>
      </c>
    </row>
    <row r="11" spans="2:3" x14ac:dyDescent="0.3">
      <c r="B11" s="50">
        <v>10</v>
      </c>
      <c r="C11" s="50" t="s">
        <v>293</v>
      </c>
    </row>
    <row r="12" spans="2:3" x14ac:dyDescent="0.3">
      <c r="B12" s="50">
        <v>11</v>
      </c>
      <c r="C12" s="50" t="s">
        <v>294</v>
      </c>
    </row>
    <row r="13" spans="2:3" x14ac:dyDescent="0.3">
      <c r="B13" s="50">
        <v>12</v>
      </c>
      <c r="C13" s="50" t="s">
        <v>295</v>
      </c>
    </row>
    <row r="14" spans="2:3" x14ac:dyDescent="0.3">
      <c r="B14" s="50">
        <v>13</v>
      </c>
      <c r="C14" s="50" t="s">
        <v>296</v>
      </c>
    </row>
    <row r="15" spans="2:3" x14ac:dyDescent="0.3">
      <c r="B15" s="50">
        <v>14</v>
      </c>
      <c r="C15" s="50" t="s">
        <v>286</v>
      </c>
    </row>
    <row r="16" spans="2:3" x14ac:dyDescent="0.3">
      <c r="B16" s="50">
        <v>15</v>
      </c>
      <c r="C16" s="50" t="s">
        <v>298</v>
      </c>
    </row>
    <row r="17" spans="2:3" x14ac:dyDescent="0.3">
      <c r="B17" s="68">
        <v>16</v>
      </c>
      <c r="C17" s="55" t="s">
        <v>299</v>
      </c>
    </row>
    <row r="18" spans="2:3" x14ac:dyDescent="0.3">
      <c r="B18" s="54">
        <v>17</v>
      </c>
      <c r="C18" s="55" t="s">
        <v>300</v>
      </c>
    </row>
    <row r="19" spans="2:3" x14ac:dyDescent="0.3">
      <c r="B19" s="53">
        <v>18</v>
      </c>
      <c r="C19" s="50" t="s">
        <v>301</v>
      </c>
    </row>
    <row r="20" spans="2:3" x14ac:dyDescent="0.3">
      <c r="B20" s="54">
        <v>19</v>
      </c>
      <c r="C20" s="50" t="s">
        <v>337</v>
      </c>
    </row>
    <row r="21" spans="2:3" x14ac:dyDescent="0.3">
      <c r="B21" s="50">
        <v>20</v>
      </c>
      <c r="C21" s="50" t="s">
        <v>302</v>
      </c>
    </row>
    <row r="22" spans="2:3" x14ac:dyDescent="0.3">
      <c r="B22" s="54">
        <v>21</v>
      </c>
      <c r="C22" s="50" t="s">
        <v>301</v>
      </c>
    </row>
    <row r="23" spans="2:3" s="63" customFormat="1" ht="29.25" customHeight="1" x14ac:dyDescent="0.3">
      <c r="B23" s="62">
        <v>22</v>
      </c>
      <c r="C23" s="52" t="s">
        <v>329</v>
      </c>
    </row>
    <row r="24" spans="2:3" s="63" customFormat="1" ht="30.75" customHeight="1" x14ac:dyDescent="0.3">
      <c r="B24" s="64">
        <v>23</v>
      </c>
      <c r="C24" s="52" t="s">
        <v>330</v>
      </c>
    </row>
    <row r="25" spans="2:3" x14ac:dyDescent="0.3">
      <c r="B25" s="50">
        <v>24</v>
      </c>
      <c r="C25" s="50" t="s">
        <v>333</v>
      </c>
    </row>
    <row r="26" spans="2:3" x14ac:dyDescent="0.3">
      <c r="B26" s="54">
        <v>25</v>
      </c>
      <c r="C26" s="50" t="s">
        <v>331</v>
      </c>
    </row>
    <row r="27" spans="2:3" x14ac:dyDescent="0.3">
      <c r="B27" s="64">
        <v>26</v>
      </c>
      <c r="C27" s="50" t="s">
        <v>332</v>
      </c>
    </row>
    <row r="28" spans="2:3" x14ac:dyDescent="0.3">
      <c r="B28" s="54">
        <v>27</v>
      </c>
      <c r="C28" s="50" t="s">
        <v>334</v>
      </c>
    </row>
    <row r="29" spans="2:3" ht="43.2" x14ac:dyDescent="0.3">
      <c r="B29" s="67">
        <v>28</v>
      </c>
      <c r="C29" s="51" t="s">
        <v>335</v>
      </c>
    </row>
    <row r="30" spans="2:3" x14ac:dyDescent="0.3">
      <c r="B30" s="64">
        <v>29</v>
      </c>
      <c r="C30" s="50" t="s">
        <v>336</v>
      </c>
    </row>
    <row r="31" spans="2:3" ht="28.8" x14ac:dyDescent="0.3">
      <c r="B31" s="64">
        <v>30</v>
      </c>
      <c r="C31" s="51" t="s">
        <v>338</v>
      </c>
    </row>
    <row r="32" spans="2:3" x14ac:dyDescent="0.3">
      <c r="B32" s="64">
        <v>31</v>
      </c>
      <c r="C32" s="50" t="s">
        <v>339</v>
      </c>
    </row>
    <row r="33" spans="2:3" x14ac:dyDescent="0.3">
      <c r="B33" s="64">
        <v>32</v>
      </c>
      <c r="C33" s="50" t="s">
        <v>340</v>
      </c>
    </row>
    <row r="34" spans="2:3" ht="36.75" customHeight="1" x14ac:dyDescent="0.3">
      <c r="B34" s="64">
        <v>33</v>
      </c>
      <c r="C34" s="55" t="s">
        <v>341</v>
      </c>
    </row>
    <row r="35" spans="2:3" x14ac:dyDescent="0.3">
      <c r="B35" s="64">
        <v>34</v>
      </c>
      <c r="C35" s="50"/>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09375" defaultRowHeight="14.4" x14ac:dyDescent="0.3"/>
  <cols>
    <col min="1" max="1" width="9.109375" style="47"/>
    <col min="2" max="2" width="12.33203125" style="47" customWidth="1"/>
    <col min="3" max="16384" width="9.109375" style="47"/>
  </cols>
  <sheetData>
    <row r="2" spans="1:12" x14ac:dyDescent="0.3">
      <c r="B2" s="56" t="s">
        <v>303</v>
      </c>
      <c r="C2" s="232"/>
      <c r="D2" s="232"/>
    </row>
    <row r="3" spans="1:12" x14ac:dyDescent="0.3">
      <c r="D3" s="57"/>
      <c r="E3" s="57"/>
      <c r="F3" s="57"/>
      <c r="G3" s="57"/>
      <c r="H3" s="57"/>
      <c r="I3" s="57"/>
    </row>
    <row r="4" spans="1:12" x14ac:dyDescent="0.3">
      <c r="A4" s="56" t="s">
        <v>66</v>
      </c>
      <c r="B4" s="58" t="s">
        <v>304</v>
      </c>
      <c r="C4" s="233" t="s">
        <v>305</v>
      </c>
      <c r="D4" s="233"/>
      <c r="E4" s="233"/>
      <c r="F4" s="58"/>
      <c r="G4" s="234" t="s">
        <v>306</v>
      </c>
      <c r="H4" s="234"/>
      <c r="I4" s="234"/>
      <c r="J4" s="235" t="s">
        <v>307</v>
      </c>
      <c r="K4" s="235"/>
      <c r="L4" s="235"/>
    </row>
    <row r="5" spans="1:12" x14ac:dyDescent="0.3">
      <c r="A5" s="56"/>
      <c r="B5" s="58"/>
      <c r="C5" s="58" t="s">
        <v>308</v>
      </c>
      <c r="D5" s="58" t="s">
        <v>309</v>
      </c>
      <c r="E5" s="58" t="s">
        <v>310</v>
      </c>
      <c r="F5" s="58"/>
      <c r="G5" s="58" t="s">
        <v>308</v>
      </c>
      <c r="H5" s="58" t="s">
        <v>309</v>
      </c>
      <c r="I5" s="58" t="s">
        <v>310</v>
      </c>
      <c r="J5" s="58" t="s">
        <v>308</v>
      </c>
      <c r="K5" s="58" t="s">
        <v>309</v>
      </c>
      <c r="L5" s="58" t="s">
        <v>310</v>
      </c>
    </row>
    <row r="6" spans="1:12" x14ac:dyDescent="0.3">
      <c r="B6" s="48" t="s">
        <v>311</v>
      </c>
      <c r="C6" s="48"/>
      <c r="D6" s="48"/>
      <c r="E6" s="48">
        <f>C6*D6</f>
        <v>0</v>
      </c>
      <c r="F6" s="48" t="s">
        <v>328</v>
      </c>
      <c r="G6" s="48"/>
      <c r="H6" s="48"/>
      <c r="I6" s="48">
        <f>G6*H6</f>
        <v>0</v>
      </c>
      <c r="J6" s="48"/>
      <c r="K6" s="48"/>
      <c r="L6" s="48">
        <f>J6*K6</f>
        <v>0</v>
      </c>
    </row>
    <row r="7" spans="1:12" x14ac:dyDescent="0.3">
      <c r="B7" s="48"/>
      <c r="C7" s="48"/>
      <c r="D7" s="48"/>
      <c r="E7" s="48">
        <f t="shared" ref="E7:E41" si="0">C7*D7</f>
        <v>0</v>
      </c>
      <c r="F7" s="48" t="s">
        <v>328</v>
      </c>
      <c r="G7" s="48"/>
      <c r="H7" s="48"/>
      <c r="I7" s="48">
        <f t="shared" ref="I7:I35" si="1">G7*H7</f>
        <v>0</v>
      </c>
      <c r="J7" s="48"/>
      <c r="K7" s="48"/>
      <c r="L7" s="48">
        <f t="shared" ref="L7:L35" si="2">J7*K7</f>
        <v>0</v>
      </c>
    </row>
    <row r="8" spans="1:12" x14ac:dyDescent="0.3">
      <c r="B8" s="48"/>
      <c r="C8" s="48"/>
      <c r="D8" s="48"/>
      <c r="E8" s="48">
        <f t="shared" si="0"/>
        <v>0</v>
      </c>
      <c r="F8" s="48"/>
      <c r="G8" s="48"/>
      <c r="H8" s="48"/>
      <c r="I8" s="48">
        <f t="shared" si="1"/>
        <v>0</v>
      </c>
      <c r="J8" s="48"/>
      <c r="K8" s="48"/>
      <c r="L8" s="48">
        <f t="shared" si="2"/>
        <v>0</v>
      </c>
    </row>
    <row r="9" spans="1:12" x14ac:dyDescent="0.3">
      <c r="B9" s="48"/>
      <c r="C9" s="48"/>
      <c r="D9" s="48"/>
      <c r="E9" s="48">
        <f t="shared" si="0"/>
        <v>0</v>
      </c>
      <c r="F9" s="48" t="s">
        <v>312</v>
      </c>
      <c r="G9" s="48"/>
      <c r="H9" s="48"/>
      <c r="I9" s="48">
        <f t="shared" si="1"/>
        <v>0</v>
      </c>
      <c r="J9" s="48"/>
      <c r="K9" s="48"/>
      <c r="L9" s="48">
        <f t="shared" si="2"/>
        <v>0</v>
      </c>
    </row>
    <row r="10" spans="1:12" x14ac:dyDescent="0.3">
      <c r="B10" s="48" t="s">
        <v>313</v>
      </c>
      <c r="C10" s="48"/>
      <c r="D10" s="48"/>
      <c r="E10" s="48">
        <f t="shared" si="0"/>
        <v>0</v>
      </c>
      <c r="F10" s="48" t="s">
        <v>312</v>
      </c>
      <c r="G10" s="48"/>
      <c r="H10" s="48"/>
      <c r="I10" s="48">
        <f t="shared" si="1"/>
        <v>0</v>
      </c>
      <c r="J10" s="48"/>
      <c r="K10" s="48"/>
      <c r="L10" s="48">
        <f t="shared" si="2"/>
        <v>0</v>
      </c>
    </row>
    <row r="11" spans="1:12" x14ac:dyDescent="0.3">
      <c r="B11" s="48"/>
      <c r="C11" s="48"/>
      <c r="D11" s="48"/>
      <c r="E11" s="48">
        <f t="shared" si="0"/>
        <v>0</v>
      </c>
      <c r="F11" s="48" t="s">
        <v>314</v>
      </c>
      <c r="G11" s="48"/>
      <c r="H11" s="48"/>
      <c r="I11" s="48">
        <f t="shared" si="1"/>
        <v>0</v>
      </c>
      <c r="J11" s="48"/>
      <c r="K11" s="48"/>
      <c r="L11" s="48">
        <f t="shared" si="2"/>
        <v>0</v>
      </c>
    </row>
    <row r="12" spans="1:12" x14ac:dyDescent="0.3">
      <c r="B12" s="48"/>
      <c r="C12" s="48"/>
      <c r="D12" s="48"/>
      <c r="E12" s="48">
        <f t="shared" si="0"/>
        <v>0</v>
      </c>
      <c r="F12" s="48"/>
      <c r="G12" s="48"/>
      <c r="H12" s="48"/>
      <c r="I12" s="48">
        <f t="shared" si="1"/>
        <v>0</v>
      </c>
      <c r="J12" s="48"/>
      <c r="K12" s="48"/>
      <c r="L12" s="48">
        <f t="shared" si="2"/>
        <v>0</v>
      </c>
    </row>
    <row r="13" spans="1:12" x14ac:dyDescent="0.3">
      <c r="B13" s="48"/>
      <c r="C13" s="48"/>
      <c r="D13" s="48"/>
      <c r="E13" s="48">
        <f t="shared" si="0"/>
        <v>0</v>
      </c>
      <c r="F13" s="48"/>
      <c r="G13" s="48"/>
      <c r="H13" s="48"/>
      <c r="I13" s="48">
        <f t="shared" si="1"/>
        <v>0</v>
      </c>
      <c r="J13" s="48"/>
      <c r="K13" s="48"/>
      <c r="L13" s="48">
        <f t="shared" si="2"/>
        <v>0</v>
      </c>
    </row>
    <row r="14" spans="1:12" x14ac:dyDescent="0.3">
      <c r="B14" s="48" t="s">
        <v>315</v>
      </c>
      <c r="C14" s="48"/>
      <c r="D14" s="48"/>
      <c r="E14" s="48">
        <f t="shared" si="0"/>
        <v>0</v>
      </c>
      <c r="F14" s="48" t="s">
        <v>312</v>
      </c>
      <c r="G14" s="48"/>
      <c r="H14" s="48"/>
      <c r="I14" s="48">
        <f t="shared" si="1"/>
        <v>0</v>
      </c>
      <c r="J14" s="48"/>
      <c r="K14" s="48"/>
      <c r="L14" s="48">
        <f t="shared" si="2"/>
        <v>0</v>
      </c>
    </row>
    <row r="15" spans="1:12" x14ac:dyDescent="0.3">
      <c r="B15" s="48"/>
      <c r="C15" s="48"/>
      <c r="D15" s="48"/>
      <c r="E15" s="48">
        <f t="shared" si="0"/>
        <v>0</v>
      </c>
      <c r="F15" s="48" t="s">
        <v>314</v>
      </c>
      <c r="G15" s="48"/>
      <c r="H15" s="48"/>
      <c r="I15" s="48">
        <f t="shared" si="1"/>
        <v>0</v>
      </c>
      <c r="J15" s="48"/>
      <c r="K15" s="48"/>
      <c r="L15" s="48">
        <f t="shared" si="2"/>
        <v>0</v>
      </c>
    </row>
    <row r="16" spans="1:12" x14ac:dyDescent="0.3">
      <c r="B16" s="48"/>
      <c r="C16" s="48"/>
      <c r="D16" s="48"/>
      <c r="E16" s="48">
        <f t="shared" si="0"/>
        <v>0</v>
      </c>
      <c r="F16" s="48"/>
      <c r="G16" s="48"/>
      <c r="H16" s="48"/>
      <c r="I16" s="48">
        <f t="shared" si="1"/>
        <v>0</v>
      </c>
      <c r="J16" s="48"/>
      <c r="K16" s="48"/>
      <c r="L16" s="48">
        <f t="shared" si="2"/>
        <v>0</v>
      </c>
    </row>
    <row r="17" spans="2:12" x14ac:dyDescent="0.3">
      <c r="B17" s="48"/>
      <c r="C17" s="48"/>
      <c r="D17" s="48"/>
      <c r="E17" s="48">
        <f t="shared" si="0"/>
        <v>0</v>
      </c>
      <c r="F17" s="48"/>
      <c r="G17" s="48"/>
      <c r="H17" s="48"/>
      <c r="I17" s="48">
        <f t="shared" si="1"/>
        <v>0</v>
      </c>
      <c r="J17" s="48"/>
      <c r="K17" s="48"/>
      <c r="L17" s="48">
        <f t="shared" si="2"/>
        <v>0</v>
      </c>
    </row>
    <row r="18" spans="2:12" x14ac:dyDescent="0.3">
      <c r="B18" s="48" t="s">
        <v>316</v>
      </c>
      <c r="C18" s="48"/>
      <c r="D18" s="48"/>
      <c r="E18" s="48">
        <f t="shared" si="0"/>
        <v>0</v>
      </c>
      <c r="F18" s="48" t="s">
        <v>312</v>
      </c>
      <c r="G18" s="48"/>
      <c r="H18" s="48"/>
      <c r="I18" s="48">
        <f t="shared" si="1"/>
        <v>0</v>
      </c>
      <c r="J18" s="48"/>
      <c r="K18" s="48"/>
      <c r="L18" s="48">
        <f t="shared" si="2"/>
        <v>0</v>
      </c>
    </row>
    <row r="19" spans="2:12" x14ac:dyDescent="0.3">
      <c r="B19" s="48"/>
      <c r="C19" s="48"/>
      <c r="D19" s="48"/>
      <c r="E19" s="48">
        <f t="shared" si="0"/>
        <v>0</v>
      </c>
      <c r="F19" s="48" t="s">
        <v>314</v>
      </c>
      <c r="G19" s="48"/>
      <c r="H19" s="48"/>
      <c r="I19" s="48">
        <f t="shared" si="1"/>
        <v>0</v>
      </c>
      <c r="J19" s="48"/>
      <c r="K19" s="48"/>
      <c r="L19" s="48">
        <f t="shared" si="2"/>
        <v>0</v>
      </c>
    </row>
    <row r="20" spans="2:12" x14ac:dyDescent="0.3">
      <c r="B20" s="48"/>
      <c r="C20" s="48"/>
      <c r="D20" s="48"/>
      <c r="E20" s="48">
        <f t="shared" si="0"/>
        <v>0</v>
      </c>
      <c r="F20" s="48"/>
      <c r="G20" s="48"/>
      <c r="H20" s="48"/>
      <c r="I20" s="48">
        <f t="shared" si="1"/>
        <v>0</v>
      </c>
      <c r="J20" s="48"/>
      <c r="K20" s="48"/>
      <c r="L20" s="48">
        <f t="shared" si="2"/>
        <v>0</v>
      </c>
    </row>
    <row r="21" spans="2:12" x14ac:dyDescent="0.3">
      <c r="B21" s="48" t="s">
        <v>317</v>
      </c>
      <c r="C21" s="48"/>
      <c r="D21" s="48"/>
      <c r="E21" s="48">
        <f t="shared" si="0"/>
        <v>0</v>
      </c>
      <c r="F21" s="48" t="s">
        <v>312</v>
      </c>
      <c r="G21" s="48"/>
      <c r="H21" s="48"/>
      <c r="I21" s="48">
        <f t="shared" si="1"/>
        <v>0</v>
      </c>
      <c r="J21" s="48"/>
      <c r="K21" s="48"/>
      <c r="L21" s="48">
        <f t="shared" si="2"/>
        <v>0</v>
      </c>
    </row>
    <row r="22" spans="2:12" x14ac:dyDescent="0.3">
      <c r="B22" s="48"/>
      <c r="C22" s="48"/>
      <c r="D22" s="48"/>
      <c r="E22" s="48">
        <f t="shared" si="0"/>
        <v>0</v>
      </c>
      <c r="F22" s="48" t="s">
        <v>314</v>
      </c>
      <c r="G22" s="48"/>
      <c r="H22" s="48"/>
      <c r="I22" s="48">
        <f t="shared" si="1"/>
        <v>0</v>
      </c>
      <c r="J22" s="48"/>
      <c r="K22" s="48"/>
      <c r="L22" s="48">
        <f t="shared" si="2"/>
        <v>0</v>
      </c>
    </row>
    <row r="23" spans="2:12" x14ac:dyDescent="0.3">
      <c r="B23" s="48"/>
      <c r="C23" s="48"/>
      <c r="D23" s="48"/>
      <c r="E23" s="48">
        <f t="shared" si="0"/>
        <v>0</v>
      </c>
      <c r="F23" s="48"/>
      <c r="G23" s="48"/>
      <c r="H23" s="48"/>
      <c r="I23" s="48">
        <f t="shared" si="1"/>
        <v>0</v>
      </c>
      <c r="J23" s="48"/>
      <c r="K23" s="48"/>
      <c r="L23" s="48">
        <f t="shared" si="2"/>
        <v>0</v>
      </c>
    </row>
    <row r="24" spans="2:12" x14ac:dyDescent="0.3">
      <c r="B24" s="48" t="s">
        <v>318</v>
      </c>
      <c r="C24" s="48"/>
      <c r="D24" s="48"/>
      <c r="E24" s="48">
        <f t="shared" si="0"/>
        <v>0</v>
      </c>
      <c r="F24" s="48" t="s">
        <v>319</v>
      </c>
      <c r="G24" s="48"/>
      <c r="H24" s="48"/>
      <c r="I24" s="48">
        <f t="shared" si="1"/>
        <v>0</v>
      </c>
      <c r="J24" s="48"/>
      <c r="K24" s="48"/>
      <c r="L24" s="48">
        <f t="shared" si="2"/>
        <v>0</v>
      </c>
    </row>
    <row r="25" spans="2:12" x14ac:dyDescent="0.3">
      <c r="B25" s="48"/>
      <c r="C25" s="48"/>
      <c r="D25" s="48"/>
      <c r="E25" s="48">
        <f t="shared" ref="E25:E27" si="3">C25*D25</f>
        <v>0</v>
      </c>
      <c r="F25" s="48" t="s">
        <v>319</v>
      </c>
      <c r="G25" s="48"/>
      <c r="H25" s="48"/>
      <c r="I25" s="48">
        <f t="shared" ref="I25:I27" si="4">G25*H25</f>
        <v>0</v>
      </c>
      <c r="J25" s="48"/>
      <c r="K25" s="48"/>
      <c r="L25" s="48">
        <f t="shared" ref="L25:L27" si="5">J25*K25</f>
        <v>0</v>
      </c>
    </row>
    <row r="26" spans="2:12" x14ac:dyDescent="0.3">
      <c r="B26" s="48"/>
      <c r="C26" s="48"/>
      <c r="D26" s="48"/>
      <c r="E26" s="48">
        <f t="shared" si="3"/>
        <v>0</v>
      </c>
      <c r="F26" s="48" t="s">
        <v>319</v>
      </c>
      <c r="G26" s="48"/>
      <c r="H26" s="48"/>
      <c r="I26" s="48">
        <f t="shared" si="4"/>
        <v>0</v>
      </c>
      <c r="J26" s="48"/>
      <c r="K26" s="48"/>
      <c r="L26" s="48">
        <f t="shared" si="5"/>
        <v>0</v>
      </c>
    </row>
    <row r="27" spans="2:12" x14ac:dyDescent="0.3">
      <c r="B27" s="48"/>
      <c r="C27" s="48"/>
      <c r="D27" s="48"/>
      <c r="E27" s="48">
        <f t="shared" si="3"/>
        <v>0</v>
      </c>
      <c r="F27" s="48" t="s">
        <v>319</v>
      </c>
      <c r="G27" s="48"/>
      <c r="H27" s="48"/>
      <c r="I27" s="48">
        <f t="shared" si="4"/>
        <v>0</v>
      </c>
      <c r="J27" s="48"/>
      <c r="K27" s="48"/>
      <c r="L27" s="48">
        <f t="shared" si="5"/>
        <v>0</v>
      </c>
    </row>
    <row r="28" spans="2:12" x14ac:dyDescent="0.3">
      <c r="B28" s="48" t="s">
        <v>320</v>
      </c>
      <c r="C28" s="48"/>
      <c r="D28" s="48"/>
      <c r="E28" s="48">
        <f t="shared" si="0"/>
        <v>0</v>
      </c>
      <c r="F28" s="48" t="s">
        <v>319</v>
      </c>
      <c r="G28" s="48"/>
      <c r="H28" s="48"/>
      <c r="I28" s="48">
        <f t="shared" si="1"/>
        <v>0</v>
      </c>
      <c r="J28" s="48"/>
      <c r="K28" s="48"/>
      <c r="L28" s="48">
        <f t="shared" si="2"/>
        <v>0</v>
      </c>
    </row>
    <row r="29" spans="2:12" x14ac:dyDescent="0.3">
      <c r="B29" s="48" t="s">
        <v>321</v>
      </c>
      <c r="C29" s="48"/>
      <c r="D29" s="48"/>
      <c r="E29" s="48">
        <f t="shared" si="0"/>
        <v>0</v>
      </c>
      <c r="F29" s="48" t="s">
        <v>319</v>
      </c>
      <c r="G29" s="48"/>
      <c r="H29" s="48"/>
      <c r="I29" s="48">
        <f t="shared" si="1"/>
        <v>0</v>
      </c>
      <c r="J29" s="48"/>
      <c r="K29" s="48"/>
      <c r="L29" s="48">
        <f t="shared" si="2"/>
        <v>0</v>
      </c>
    </row>
    <row r="30" spans="2:12" x14ac:dyDescent="0.3">
      <c r="B30" s="48" t="s">
        <v>325</v>
      </c>
      <c r="C30" s="48"/>
      <c r="D30" s="48"/>
      <c r="E30" s="48">
        <f t="shared" si="0"/>
        <v>0</v>
      </c>
      <c r="F30" s="48"/>
      <c r="G30" s="48"/>
      <c r="H30" s="48"/>
      <c r="I30" s="48">
        <f t="shared" si="1"/>
        <v>0</v>
      </c>
      <c r="J30" s="48"/>
      <c r="K30" s="48"/>
      <c r="L30" s="48">
        <f t="shared" si="2"/>
        <v>0</v>
      </c>
    </row>
    <row r="31" spans="2:12" x14ac:dyDescent="0.3">
      <c r="B31" s="48"/>
      <c r="C31" s="48"/>
      <c r="D31" s="48"/>
      <c r="E31" s="48">
        <f t="shared" ref="E31:E32" si="6">C31*D31</f>
        <v>0</v>
      </c>
      <c r="F31" s="48"/>
      <c r="G31" s="48"/>
      <c r="H31" s="48"/>
      <c r="I31" s="48">
        <f t="shared" ref="I31:I32" si="7">G31*H31</f>
        <v>0</v>
      </c>
      <c r="J31" s="48"/>
      <c r="K31" s="48"/>
      <c r="L31" s="48">
        <f t="shared" ref="L31:L32" si="8">J31*K31</f>
        <v>0</v>
      </c>
    </row>
    <row r="32" spans="2:12" x14ac:dyDescent="0.3">
      <c r="B32" s="48"/>
      <c r="C32" s="48"/>
      <c r="D32" s="48"/>
      <c r="E32" s="48">
        <f t="shared" si="6"/>
        <v>0</v>
      </c>
      <c r="F32" s="48"/>
      <c r="G32" s="48"/>
      <c r="H32" s="48"/>
      <c r="I32" s="48">
        <f t="shared" si="7"/>
        <v>0</v>
      </c>
      <c r="J32" s="48"/>
      <c r="K32" s="48"/>
      <c r="L32" s="48">
        <f t="shared" si="8"/>
        <v>0</v>
      </c>
    </row>
    <row r="33" spans="2:12" x14ac:dyDescent="0.3">
      <c r="B33" s="48" t="s">
        <v>322</v>
      </c>
      <c r="C33" s="48"/>
      <c r="D33" s="48"/>
      <c r="E33" s="48">
        <f t="shared" si="0"/>
        <v>0</v>
      </c>
      <c r="F33" s="48"/>
      <c r="G33" s="48"/>
      <c r="H33" s="48"/>
      <c r="I33" s="48">
        <f t="shared" si="1"/>
        <v>0</v>
      </c>
      <c r="J33" s="48"/>
      <c r="K33" s="48"/>
      <c r="L33" s="48">
        <f t="shared" si="2"/>
        <v>0</v>
      </c>
    </row>
    <row r="34" spans="2:12" x14ac:dyDescent="0.3">
      <c r="B34" s="48" t="s">
        <v>326</v>
      </c>
      <c r="C34" s="48"/>
      <c r="D34" s="48"/>
      <c r="E34" s="48">
        <f t="shared" si="0"/>
        <v>0</v>
      </c>
      <c r="F34" s="48"/>
      <c r="G34" s="48"/>
      <c r="H34" s="48"/>
      <c r="I34" s="48">
        <f t="shared" si="1"/>
        <v>0</v>
      </c>
      <c r="J34" s="48"/>
      <c r="K34" s="48"/>
      <c r="L34" s="48">
        <f t="shared" si="2"/>
        <v>0</v>
      </c>
    </row>
    <row r="35" spans="2:12" x14ac:dyDescent="0.3">
      <c r="B35" s="48" t="s">
        <v>323</v>
      </c>
      <c r="C35" s="48"/>
      <c r="D35" s="48"/>
      <c r="E35" s="48">
        <f t="shared" si="0"/>
        <v>0</v>
      </c>
      <c r="F35" s="48"/>
      <c r="G35" s="48"/>
      <c r="H35" s="48"/>
      <c r="I35" s="48">
        <f t="shared" si="1"/>
        <v>0</v>
      </c>
      <c r="J35" s="48"/>
      <c r="K35" s="48"/>
      <c r="L35" s="48">
        <f t="shared" si="2"/>
        <v>0</v>
      </c>
    </row>
    <row r="36" spans="2:12" x14ac:dyDescent="0.3">
      <c r="B36" s="48" t="s">
        <v>324</v>
      </c>
      <c r="C36" s="48"/>
      <c r="D36" s="48"/>
      <c r="E36" s="48">
        <f t="shared" si="0"/>
        <v>0</v>
      </c>
      <c r="F36" s="48"/>
      <c r="G36" s="48"/>
      <c r="H36" s="48"/>
      <c r="I36" s="48">
        <f>G36*H36</f>
        <v>0</v>
      </c>
      <c r="J36" s="48"/>
      <c r="K36" s="48"/>
      <c r="L36" s="48">
        <f>J36*K36</f>
        <v>0</v>
      </c>
    </row>
    <row r="37" spans="2:12" x14ac:dyDescent="0.3">
      <c r="B37" s="48"/>
      <c r="C37" s="48"/>
      <c r="D37" s="48"/>
      <c r="E37" s="48">
        <f t="shared" ref="E37:E38" si="9">C37*D37</f>
        <v>0</v>
      </c>
      <c r="F37" s="48"/>
      <c r="G37" s="48"/>
      <c r="H37" s="48"/>
      <c r="I37" s="48">
        <f t="shared" ref="I37:I38" si="10">G37*H37</f>
        <v>0</v>
      </c>
      <c r="J37" s="48"/>
      <c r="K37" s="48"/>
      <c r="L37" s="48">
        <f t="shared" ref="L37:L38" si="11">J37*K37</f>
        <v>0</v>
      </c>
    </row>
    <row r="38" spans="2:12" x14ac:dyDescent="0.3">
      <c r="B38" s="48" t="s">
        <v>327</v>
      </c>
      <c r="C38" s="48"/>
      <c r="D38" s="48"/>
      <c r="E38" s="48">
        <f t="shared" si="9"/>
        <v>0</v>
      </c>
      <c r="F38" s="48"/>
      <c r="G38" s="48"/>
      <c r="H38" s="48"/>
      <c r="I38" s="48">
        <f t="shared" si="10"/>
        <v>0</v>
      </c>
      <c r="J38" s="48"/>
      <c r="K38" s="48"/>
      <c r="L38" s="48">
        <f t="shared" si="11"/>
        <v>0</v>
      </c>
    </row>
    <row r="39" spans="2:12" x14ac:dyDescent="0.3">
      <c r="B39" s="48"/>
      <c r="C39" s="48"/>
      <c r="D39" s="48"/>
      <c r="E39" s="48">
        <f t="shared" si="0"/>
        <v>0</v>
      </c>
      <c r="F39" s="48"/>
      <c r="G39" s="48"/>
      <c r="H39" s="48"/>
      <c r="I39" s="48">
        <f>G39*H39</f>
        <v>0</v>
      </c>
      <c r="J39" s="48"/>
      <c r="K39" s="48"/>
      <c r="L39" s="48">
        <f>J39*K39</f>
        <v>0</v>
      </c>
    </row>
    <row r="40" spans="2:12" x14ac:dyDescent="0.3">
      <c r="B40" s="48"/>
      <c r="C40" s="48"/>
      <c r="D40" s="48"/>
      <c r="E40" s="48">
        <f t="shared" si="0"/>
        <v>0</v>
      </c>
      <c r="F40" s="48"/>
      <c r="G40" s="48"/>
      <c r="H40" s="48"/>
      <c r="I40" s="48">
        <f>G40*H40</f>
        <v>0</v>
      </c>
      <c r="J40" s="48"/>
      <c r="K40" s="48"/>
      <c r="L40" s="48">
        <f>J40*K40</f>
        <v>0</v>
      </c>
    </row>
    <row r="41" spans="2:12" x14ac:dyDescent="0.3">
      <c r="B41" s="48"/>
      <c r="C41" s="48"/>
      <c r="D41" s="48"/>
      <c r="E41" s="48">
        <f t="shared" si="0"/>
        <v>0</v>
      </c>
      <c r="F41" s="48"/>
      <c r="G41" s="48"/>
      <c r="H41" s="48"/>
      <c r="I41" s="48">
        <f>G41*H41</f>
        <v>0</v>
      </c>
      <c r="J41" s="48"/>
      <c r="K41" s="48"/>
      <c r="L41" s="48">
        <f>J41*K41</f>
        <v>0</v>
      </c>
    </row>
    <row r="42" spans="2:12" x14ac:dyDescent="0.3">
      <c r="B42" s="48" t="s">
        <v>150</v>
      </c>
      <c r="C42" s="48"/>
      <c r="D42" s="48">
        <f>E42*10.764</f>
        <v>0</v>
      </c>
      <c r="E42" s="61">
        <f>SUM(E6:E41)</f>
        <v>0</v>
      </c>
      <c r="F42" s="48"/>
      <c r="G42" s="48"/>
      <c r="H42" s="48">
        <f>I42*10.764</f>
        <v>0</v>
      </c>
      <c r="I42" s="60">
        <f>SUM(I6:I41)</f>
        <v>0</v>
      </c>
      <c r="J42" s="48"/>
      <c r="K42" s="48">
        <f>L42*10.764</f>
        <v>0</v>
      </c>
      <c r="L42" s="59">
        <f>SUM(L6:L41)</f>
        <v>0</v>
      </c>
    </row>
    <row r="44" spans="2:12" x14ac:dyDescent="0.3">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2025-09-13T13:34:37Z</cp:lastPrinted>
  <dcterms:created xsi:type="dcterms:W3CDTF">2019-07-16T09:29:46Z</dcterms:created>
  <dcterms:modified xsi:type="dcterms:W3CDTF">2025-09-13T13:35:45Z</dcterms:modified>
</cp:coreProperties>
</file>