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0F1E5421-96FA-4C2B-B1E7-2E3E3811F626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165" i="1"/>
  <c r="I120" i="1"/>
  <c r="J137" i="1"/>
  <c r="E317" i="1" l="1"/>
  <c r="E315" i="1"/>
  <c r="J312" i="1"/>
  <c r="D346" i="1"/>
  <c r="F346" i="1" s="1"/>
  <c r="D345" i="1"/>
  <c r="F345" i="1" s="1"/>
  <c r="D344" i="1"/>
  <c r="F344" i="1" s="1"/>
  <c r="K344" i="1" s="1"/>
  <c r="D343" i="1"/>
  <c r="F343" i="1" s="1"/>
  <c r="D342" i="1"/>
  <c r="F342" i="1" s="1"/>
  <c r="D341" i="1"/>
  <c r="F341" i="1" s="1"/>
  <c r="D339" i="1"/>
  <c r="F339" i="1" s="1"/>
  <c r="D338" i="1"/>
  <c r="F338" i="1" s="1"/>
  <c r="D336" i="1"/>
  <c r="F336" i="1" s="1"/>
  <c r="D335" i="1"/>
  <c r="F335" i="1" s="1"/>
  <c r="D334" i="1"/>
  <c r="D332" i="1"/>
  <c r="F332" i="1" s="1"/>
  <c r="D331" i="1"/>
  <c r="F331" i="1" s="1"/>
  <c r="D329" i="1"/>
  <c r="D328" i="1"/>
  <c r="F328" i="1" s="1"/>
  <c r="D327" i="1"/>
  <c r="F327" i="1" s="1"/>
  <c r="D325" i="1"/>
  <c r="F325" i="1" s="1"/>
  <c r="I325" i="1" s="1"/>
  <c r="D324" i="1"/>
  <c r="F324" i="1" s="1"/>
  <c r="I324" i="1" s="1"/>
  <c r="D323" i="1"/>
  <c r="F323" i="1" s="1"/>
  <c r="I323" i="1" s="1"/>
  <c r="D322" i="1"/>
  <c r="F322" i="1" s="1"/>
  <c r="I322" i="1" s="1"/>
  <c r="D321" i="1"/>
  <c r="F321" i="1" s="1"/>
  <c r="I321" i="1" s="1"/>
  <c r="D320" i="1"/>
  <c r="D318" i="1"/>
  <c r="D317" i="1"/>
  <c r="D315" i="1"/>
  <c r="D314" i="1"/>
  <c r="F314" i="1" s="1"/>
  <c r="I314" i="1" s="1"/>
  <c r="D313" i="1"/>
  <c r="D310" i="1"/>
  <c r="F310" i="1" s="1"/>
  <c r="D309" i="1"/>
  <c r="F309" i="1" s="1"/>
  <c r="D308" i="1"/>
  <c r="D307" i="1"/>
  <c r="D305" i="1"/>
  <c r="D304" i="1"/>
  <c r="F304" i="1" s="1"/>
  <c r="D303" i="1"/>
  <c r="F303" i="1" s="1"/>
  <c r="D302" i="1"/>
  <c r="F302" i="1" s="1"/>
  <c r="D301" i="1"/>
  <c r="F301" i="1" s="1"/>
  <c r="D300" i="1"/>
  <c r="F300" i="1" s="1"/>
  <c r="J301" i="1" s="1"/>
  <c r="D299" i="1"/>
  <c r="D297" i="1"/>
  <c r="F297" i="1" s="1"/>
  <c r="D296" i="1"/>
  <c r="F296" i="1" s="1"/>
  <c r="D295" i="1"/>
  <c r="D294" i="1"/>
  <c r="F294" i="1" s="1"/>
  <c r="D293" i="1"/>
  <c r="F293" i="1" s="1"/>
  <c r="D292" i="1"/>
  <c r="F292" i="1" s="1"/>
  <c r="D291" i="1"/>
  <c r="F291" i="1" s="1"/>
  <c r="D290" i="1"/>
  <c r="D289" i="1"/>
  <c r="D288" i="1"/>
  <c r="F288" i="1" s="1"/>
  <c r="D287" i="1"/>
  <c r="F287" i="1" s="1"/>
  <c r="D286" i="1"/>
  <c r="D284" i="1"/>
  <c r="F284" i="1" s="1"/>
  <c r="D283" i="1"/>
  <c r="F283" i="1" s="1"/>
  <c r="D282" i="1"/>
  <c r="F282" i="1" s="1"/>
  <c r="D281" i="1"/>
  <c r="F281" i="1" s="1"/>
  <c r="D280" i="1"/>
  <c r="F280" i="1" s="1"/>
  <c r="D279" i="1"/>
  <c r="F279" i="1" s="1"/>
  <c r="D278" i="1"/>
  <c r="F278" i="1" s="1"/>
  <c r="D277" i="1"/>
  <c r="D276" i="1"/>
  <c r="F276" i="1" s="1"/>
  <c r="D275" i="1"/>
  <c r="F275" i="1" s="1"/>
  <c r="D274" i="1"/>
  <c r="F274" i="1" s="1"/>
  <c r="D273" i="1"/>
  <c r="D271" i="1"/>
  <c r="F271" i="1" s="1"/>
  <c r="D270" i="1"/>
  <c r="F270" i="1" s="1"/>
  <c r="D269" i="1"/>
  <c r="F269" i="1" s="1"/>
  <c r="D268" i="1"/>
  <c r="F268" i="1" s="1"/>
  <c r="D266" i="1"/>
  <c r="F266" i="1" s="1"/>
  <c r="D265" i="1"/>
  <c r="F265" i="1" s="1"/>
  <c r="D264" i="1"/>
  <c r="F264" i="1" s="1"/>
  <c r="D263" i="1"/>
  <c r="D262" i="1"/>
  <c r="D261" i="1"/>
  <c r="D260" i="1"/>
  <c r="F260" i="1" s="1"/>
  <c r="D258" i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D249" i="1"/>
  <c r="F249" i="1" s="1"/>
  <c r="D248" i="1"/>
  <c r="F248" i="1" s="1"/>
  <c r="D247" i="1"/>
  <c r="F247" i="1" s="1"/>
  <c r="D245" i="1"/>
  <c r="D244" i="1"/>
  <c r="F244" i="1" s="1"/>
  <c r="D243" i="1"/>
  <c r="F243" i="1" s="1"/>
  <c r="D242" i="1"/>
  <c r="F242" i="1" s="1"/>
  <c r="D240" i="1"/>
  <c r="F240" i="1" s="1"/>
  <c r="D239" i="1"/>
  <c r="F239" i="1" s="1"/>
  <c r="D238" i="1"/>
  <c r="F238" i="1" s="1"/>
  <c r="D237" i="1"/>
  <c r="F237" i="1" s="1"/>
  <c r="D236" i="1"/>
  <c r="D235" i="1"/>
  <c r="D234" i="1"/>
  <c r="F234" i="1" s="1"/>
  <c r="D232" i="1"/>
  <c r="F232" i="1" s="1"/>
  <c r="D231" i="1"/>
  <c r="D230" i="1"/>
  <c r="F230" i="1" s="1"/>
  <c r="D229" i="1"/>
  <c r="F229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19" i="1"/>
  <c r="F219" i="1" s="1"/>
  <c r="D218" i="1"/>
  <c r="F218" i="1" s="1"/>
  <c r="D217" i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D208" i="1"/>
  <c r="D206" i="1"/>
  <c r="D205" i="1"/>
  <c r="F205" i="1" s="1"/>
  <c r="D204" i="1"/>
  <c r="F204" i="1" s="1"/>
  <c r="D203" i="1"/>
  <c r="F203" i="1" s="1"/>
  <c r="D202" i="1"/>
  <c r="F202" i="1" s="1"/>
  <c r="D201" i="1"/>
  <c r="F201" i="1" s="1"/>
  <c r="D196" i="1"/>
  <c r="F196" i="1" s="1"/>
  <c r="D195" i="1"/>
  <c r="F195" i="1" s="1"/>
  <c r="D181" i="1"/>
  <c r="F181" i="1" s="1"/>
  <c r="J181" i="1" s="1"/>
  <c r="D180" i="1"/>
  <c r="F180" i="1" s="1"/>
  <c r="J180" i="1" s="1"/>
  <c r="D179" i="1"/>
  <c r="F179" i="1" s="1"/>
  <c r="J179" i="1" s="1"/>
  <c r="D178" i="1"/>
  <c r="F178" i="1" s="1"/>
  <c r="J178" i="1" s="1"/>
  <c r="D177" i="1"/>
  <c r="D175" i="1"/>
  <c r="F175" i="1" s="1"/>
  <c r="J175" i="1" s="1"/>
  <c r="D174" i="1"/>
  <c r="F174" i="1" s="1"/>
  <c r="J174" i="1" s="1"/>
  <c r="D173" i="1"/>
  <c r="F173" i="1" s="1"/>
  <c r="J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4" i="1"/>
  <c r="D160" i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D153" i="1"/>
  <c r="F153" i="1" s="1"/>
  <c r="D152" i="1"/>
  <c r="F152" i="1" s="1"/>
  <c r="D151" i="1"/>
  <c r="F151" i="1" s="1"/>
  <c r="D150" i="1"/>
  <c r="D149" i="1"/>
  <c r="F149" i="1" s="1"/>
  <c r="D148" i="1"/>
  <c r="F148" i="1" s="1"/>
  <c r="D147" i="1"/>
  <c r="F147" i="1" s="1"/>
  <c r="D146" i="1"/>
  <c r="D145" i="1"/>
  <c r="D144" i="1"/>
  <c r="D143" i="1"/>
  <c r="F143" i="1" s="1"/>
  <c r="D142" i="1"/>
  <c r="F142" i="1" s="1"/>
  <c r="D141" i="1"/>
  <c r="F141" i="1" s="1"/>
  <c r="D140" i="1"/>
  <c r="F140" i="1" s="1"/>
  <c r="D139" i="1"/>
  <c r="F139" i="1" s="1"/>
  <c r="J138" i="1"/>
  <c r="A342" i="1"/>
  <c r="A343" i="1" s="1"/>
  <c r="A344" i="1" s="1"/>
  <c r="A345" i="1" s="1"/>
  <c r="A346" i="1" s="1"/>
  <c r="G341" i="1"/>
  <c r="G342" i="1" s="1"/>
  <c r="G343" i="1" s="1"/>
  <c r="G344" i="1" s="1"/>
  <c r="G345" i="1" s="1"/>
  <c r="G346" i="1" s="1"/>
  <c r="A335" i="1"/>
  <c r="A336" i="1" s="1"/>
  <c r="A337" i="1" s="1"/>
  <c r="A338" i="1" s="1"/>
  <c r="A339" i="1" s="1"/>
  <c r="G334" i="1"/>
  <c r="F334" i="1"/>
  <c r="F329" i="1"/>
  <c r="J327" i="1" s="1"/>
  <c r="A328" i="1"/>
  <c r="A329" i="1" s="1"/>
  <c r="A330" i="1" s="1"/>
  <c r="A331" i="1" s="1"/>
  <c r="A332" i="1" s="1"/>
  <c r="G327" i="1"/>
  <c r="F286" i="1"/>
  <c r="F277" i="1"/>
  <c r="F250" i="1"/>
  <c r="J195" i="1"/>
  <c r="A321" i="1"/>
  <c r="A322" i="1" s="1"/>
  <c r="A323" i="1" s="1"/>
  <c r="A324" i="1" s="1"/>
  <c r="A325" i="1" s="1"/>
  <c r="G320" i="1"/>
  <c r="G321" i="1" s="1"/>
  <c r="G322" i="1" s="1"/>
  <c r="G323" i="1" s="1"/>
  <c r="G324" i="1" s="1"/>
  <c r="G325" i="1" s="1"/>
  <c r="F320" i="1"/>
  <c r="I320" i="1" s="1"/>
  <c r="J316" i="1"/>
  <c r="L313" i="1"/>
  <c r="K313" i="1"/>
  <c r="J313" i="1"/>
  <c r="F318" i="1"/>
  <c r="I318" i="1" s="1"/>
  <c r="A314" i="1"/>
  <c r="A315" i="1" s="1"/>
  <c r="A316" i="1" s="1"/>
  <c r="A317" i="1" s="1"/>
  <c r="A318" i="1" s="1"/>
  <c r="G313" i="1"/>
  <c r="A178" i="1"/>
  <c r="A179" i="1" s="1"/>
  <c r="A180" i="1" s="1"/>
  <c r="A181" i="1" s="1"/>
  <c r="G177" i="1"/>
  <c r="F165" i="1"/>
  <c r="A165" i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G164" i="1"/>
  <c r="F164" i="1"/>
  <c r="F308" i="1"/>
  <c r="F307" i="1"/>
  <c r="F305" i="1"/>
  <c r="A300" i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G299" i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F299" i="1"/>
  <c r="F295" i="1"/>
  <c r="F290" i="1"/>
  <c r="F289" i="1"/>
  <c r="A287" i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G286" i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A274" i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G273" i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F273" i="1"/>
  <c r="F263" i="1"/>
  <c r="F262" i="1"/>
  <c r="F261" i="1"/>
  <c r="A261" i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G260" i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F258" i="1"/>
  <c r="A248" i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G247" i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F245" i="1"/>
  <c r="F236" i="1"/>
  <c r="F235" i="1"/>
  <c r="A235" i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G234" i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F231" i="1"/>
  <c r="A222" i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G221" i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F217" i="1"/>
  <c r="F209" i="1"/>
  <c r="F208" i="1"/>
  <c r="F206" i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G208" i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A196" i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G195" i="1"/>
  <c r="F154" i="1"/>
  <c r="F145" i="1"/>
  <c r="F144" i="1"/>
  <c r="F160" i="1"/>
  <c r="F150" i="1"/>
  <c r="F146" i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G139" i="1"/>
  <c r="G56" i="1"/>
  <c r="C56" i="1"/>
  <c r="J314" i="1" l="1"/>
  <c r="J176" i="1"/>
  <c r="G123" i="1"/>
  <c r="C129" i="1"/>
  <c r="E125" i="1"/>
  <c r="E124" i="1"/>
  <c r="C125" i="1"/>
  <c r="E130" i="1"/>
  <c r="C117" i="1"/>
  <c r="G124" i="1"/>
  <c r="C123" i="1"/>
  <c r="E129" i="1"/>
  <c r="C120" i="1"/>
  <c r="C124" i="1"/>
  <c r="C130" i="1"/>
  <c r="G117" i="1"/>
  <c r="G120" i="1"/>
  <c r="F177" i="1"/>
  <c r="E123" i="1"/>
  <c r="F313" i="1"/>
  <c r="I313" i="1" s="1"/>
  <c r="E117" i="1"/>
  <c r="E120" i="1"/>
  <c r="G129" i="1"/>
  <c r="F317" i="1"/>
  <c r="I317" i="1" s="1"/>
  <c r="F315" i="1"/>
  <c r="E43" i="1"/>
  <c r="E44" i="1" s="1"/>
  <c r="C126" i="1" l="1"/>
  <c r="C131" i="1"/>
  <c r="E131" i="1"/>
  <c r="E126" i="1"/>
  <c r="J177" i="1"/>
  <c r="J182" i="1" s="1"/>
  <c r="G125" i="1"/>
  <c r="G126" i="1" s="1"/>
  <c r="G130" i="1"/>
  <c r="G131" i="1" s="1"/>
  <c r="I315" i="1"/>
  <c r="C15" i="1"/>
  <c r="E30" i="1" l="1"/>
  <c r="F349" i="1" l="1"/>
  <c r="F350" i="1"/>
  <c r="F351" i="1"/>
  <c r="F348" i="1"/>
  <c r="A349" i="1"/>
  <c r="A350" i="1" s="1"/>
  <c r="A351" i="1" s="1"/>
  <c r="G348" i="1"/>
  <c r="G349" i="1" s="1"/>
  <c r="G350" i="1" s="1"/>
  <c r="G351" i="1" s="1"/>
  <c r="F114" i="1" l="1"/>
  <c r="F186" i="1" l="1"/>
  <c r="F187" i="1"/>
  <c r="F188" i="1"/>
  <c r="F185" i="1"/>
  <c r="B378" i="1" l="1"/>
  <c r="A371" i="1"/>
  <c r="A359" i="1"/>
  <c r="A365" i="1"/>
  <c r="F375" i="1" l="1"/>
  <c r="F374" i="1"/>
  <c r="F373" i="1"/>
  <c r="F372" i="1"/>
  <c r="F371" i="1"/>
  <c r="F369" i="1"/>
  <c r="F368" i="1"/>
  <c r="F367" i="1"/>
  <c r="F366" i="1"/>
  <c r="F365" i="1"/>
  <c r="F363" i="1"/>
  <c r="F362" i="1"/>
  <c r="F361" i="1"/>
  <c r="F360" i="1"/>
  <c r="F359" i="1"/>
  <c r="F357" i="1"/>
  <c r="F356" i="1"/>
  <c r="F354" i="1"/>
  <c r="F353" i="1"/>
  <c r="F355" i="1"/>
  <c r="A372" i="1"/>
  <c r="A366" i="1"/>
  <c r="A360" i="1"/>
  <c r="B379" i="1" l="1"/>
  <c r="A367" i="1"/>
  <c r="A361" i="1"/>
  <c r="A37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00" i="1"/>
  <c r="G371" i="1"/>
  <c r="G372" i="1" s="1"/>
  <c r="G373" i="1" s="1"/>
  <c r="G374" i="1" s="1"/>
  <c r="G375" i="1" s="1"/>
  <c r="G365" i="1"/>
  <c r="G366" i="1" s="1"/>
  <c r="G367" i="1" s="1"/>
  <c r="G368" i="1" s="1"/>
  <c r="G369" i="1" s="1"/>
  <c r="G359" i="1"/>
  <c r="G360" i="1" s="1"/>
  <c r="G361" i="1" s="1"/>
  <c r="G362" i="1" s="1"/>
  <c r="G363" i="1" s="1"/>
  <c r="G353" i="1"/>
  <c r="G354" i="1" s="1"/>
  <c r="G355" i="1" s="1"/>
  <c r="G356" i="1" s="1"/>
  <c r="G357" i="1" s="1"/>
  <c r="A353" i="1"/>
  <c r="A354" i="1" s="1"/>
  <c r="A355" i="1" s="1"/>
  <c r="A356" i="1" s="1"/>
  <c r="A357" i="1" s="1"/>
  <c r="A186" i="1"/>
  <c r="A187" i="1" s="1"/>
  <c r="A188" i="1" s="1"/>
  <c r="G185" i="1"/>
  <c r="G186" i="1" s="1"/>
  <c r="G187" i="1" s="1"/>
  <c r="G188" i="1" s="1"/>
  <c r="J98" i="1"/>
  <c r="J97" i="1"/>
  <c r="J96" i="1"/>
  <c r="J95" i="1"/>
  <c r="C87" i="1"/>
  <c r="J84" i="1"/>
  <c r="J83" i="1"/>
  <c r="J82" i="1"/>
  <c r="J81" i="1"/>
  <c r="C73" i="1"/>
  <c r="D61" i="1"/>
  <c r="G51" i="1"/>
  <c r="C51" i="1"/>
  <c r="C52" i="1" s="1"/>
  <c r="E27" i="1"/>
  <c r="E25" i="1"/>
  <c r="E3" i="1"/>
  <c r="A362" i="1"/>
  <c r="H74" i="1"/>
  <c r="A368" i="1"/>
  <c r="A374" i="1"/>
  <c r="H88" i="1"/>
  <c r="D67" i="1" l="1"/>
  <c r="D98" i="1"/>
  <c r="D99" i="1"/>
  <c r="D100" i="1"/>
  <c r="D94" i="1"/>
  <c r="D95" i="1"/>
  <c r="D96" i="1"/>
  <c r="D97" i="1"/>
  <c r="J87" i="1"/>
  <c r="J89" i="1" s="1"/>
  <c r="D86" i="1"/>
  <c r="D84" i="1"/>
  <c r="D83" i="1"/>
  <c r="D82" i="1"/>
  <c r="D80" i="1"/>
  <c r="J73" i="1"/>
  <c r="D85" i="1"/>
  <c r="D81" i="1"/>
  <c r="J77" i="1"/>
  <c r="J78" i="1"/>
  <c r="C77" i="1" s="1"/>
  <c r="J76" i="1"/>
  <c r="J79" i="1"/>
  <c r="J93" i="1"/>
  <c r="J91" i="1"/>
  <c r="J92" i="1"/>
  <c r="C91" i="1" s="1"/>
  <c r="J90" i="1"/>
  <c r="A363" i="1"/>
  <c r="A369" i="1"/>
  <c r="A375" i="1"/>
  <c r="J94" i="1" l="1"/>
  <c r="J99" i="1" s="1"/>
  <c r="J100" i="1" s="1"/>
  <c r="C92" i="1" s="1"/>
  <c r="E91" i="1" s="1"/>
  <c r="J80" i="1"/>
  <c r="J85" i="1" s="1"/>
  <c r="J86" i="1" s="1"/>
  <c r="C78" i="1" s="1"/>
  <c r="G77" i="1" s="1"/>
  <c r="D71" i="1" s="1"/>
  <c r="D72" i="1" s="1"/>
  <c r="D93" i="1"/>
  <c r="D79" i="1"/>
  <c r="J75" i="1"/>
  <c r="D77" i="1"/>
  <c r="D91" i="1"/>
  <c r="J88" i="1" l="1"/>
  <c r="G91" i="1"/>
  <c r="D92" i="1"/>
  <c r="I88" i="1" s="1"/>
  <c r="D78" i="1"/>
  <c r="I74" i="1" s="1"/>
  <c r="E77" i="1"/>
  <c r="J74" i="1"/>
  <c r="F72" i="1"/>
  <c r="I75" i="1" l="1"/>
  <c r="I73" i="1" s="1"/>
  <c r="C75" i="1" s="1"/>
  <c r="I89" i="1"/>
  <c r="I87" i="1" s="1"/>
  <c r="C89" i="1" s="1"/>
</calcChain>
</file>

<file path=xl/sharedStrings.xml><?xml version="1.0" encoding="utf-8"?>
<sst xmlns="http://schemas.openxmlformats.org/spreadsheetml/2006/main" count="560" uniqueCount="270">
  <si>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</si>
  <si>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</si>
  <si>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</si>
  <si>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</si>
  <si>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</si>
  <si>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</si>
  <si>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</si>
  <si>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</si>
  <si>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</si>
  <si>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</si>
  <si>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</si>
  <si>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</si>
  <si>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</si>
  <si>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</si>
  <si>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</si>
  <si>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</si>
  <si>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</si>
  <si>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</si>
  <si>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</si>
  <si>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</si>
  <si>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</si>
  <si>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</si>
  <si>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</si>
  <si>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</si>
  <si>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</si>
  <si>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</si>
  <si>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</si>
  <si>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</si>
  <si>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</si>
  <si>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</si>
  <si>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</si>
  <si>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</si>
  <si>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</si>
  <si>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</si>
  <si>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</si>
  <si>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</si>
  <si>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</si>
  <si>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</si>
  <si>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</si>
  <si>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</si>
  <si>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</si>
  <si>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</si>
  <si>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</si>
  <si>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</si>
  <si>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</si>
  <si>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</si>
  <si>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</si>
  <si>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</si>
  <si>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</si>
  <si>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</si>
  <si>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</si>
  <si>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</si>
  <si>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</si>
  <si>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</si>
  <si>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</si>
  <si>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</si>
  <si>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</si>
  <si>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</si>
  <si>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</si>
  <si>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</si>
  <si>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</si>
  <si>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</si>
  <si>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</si>
  <si>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</si>
  <si>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</si>
  <si>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</si>
  <si>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</si>
  <si>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</si>
  <si>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</si>
  <si>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</si>
  <si>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</si>
  <si>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</si>
  <si>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</si>
  <si>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</si>
  <si>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</si>
  <si>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</si>
  <si>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</si>
  <si>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</si>
  <si>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</si>
  <si>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</si>
  <si>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</si>
  <si>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</si>
  <si>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</si>
  <si>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</si>
  <si>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</si>
  <si>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</si>
  <si>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</si>
  <si>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</si>
  <si>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</si>
  <si>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</si>
  <si>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</si>
  <si>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</si>
  <si>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</si>
  <si>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</si>
  <si>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</si>
  <si>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</si>
  <si>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</si>
  <si>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</si>
  <si>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</si>
  <si>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</si>
  <si>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</si>
  <si>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</si>
  <si>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</si>
  <si>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</si>
  <si>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</si>
  <si>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</si>
  <si>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</si>
  <si>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</si>
  <si>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</si>
  <si>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</si>
  <si>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</si>
  <si>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</si>
  <si>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</si>
  <si>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</si>
  <si>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</si>
  <si>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</si>
  <si>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</si>
  <si>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</si>
  <si>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</si>
  <si>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</si>
  <si>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</si>
  <si>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</si>
  <si>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</si>
  <si>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</si>
  <si>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</si>
  <si>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</si>
  <si>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</si>
  <si>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</si>
  <si>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</si>
  <si>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</si>
  <si>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</si>
  <si>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</si>
  <si>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</si>
  <si>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</si>
  <si>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</si>
  <si>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</si>
  <si>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</si>
  <si>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</si>
  <si>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</si>
  <si>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</si>
  <si>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</si>
  <si>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</si>
  <si>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</si>
  <si>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</si>
  <si>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</si>
  <si>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</si>
  <si>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</si>
  <si>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</si>
  <si>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</si>
  <si>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</si>
  <si>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</si>
  <si>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</si>
  <si>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</si>
  <si>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</si>
  <si>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</si>
  <si>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</si>
  <si>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</si>
  <si>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</si>
  <si>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</si>
  <si>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</si>
  <si>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Only For MCGM &amp; MHADA or SRA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</si>
  <si>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</si>
  <si>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</si>
  <si>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</si>
  <si>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</si>
  <si>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</si>
  <si>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</si>
  <si>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</si>
  <si>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</si>
  <si>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</si>
  <si>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</si>
  <si>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</si>
  <si>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</si>
  <si>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</si>
  <si>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</si>
  <si>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Layout :</t>
  </si>
  <si>
    <t xml:space="preserve">1. Vitrified tiles flooring 2. Granite Kitchen Platform 3. Decorative
Enternace etc.
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</si>
  <si>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</si>
  <si>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Axis Thane</t>
  </si>
  <si>
    <t>Trimity Realty LLP</t>
  </si>
  <si>
    <t>Stellar</t>
  </si>
  <si>
    <t>Site Person - Contact Details (Name &amp; Contact No.)</t>
  </si>
  <si>
    <t>P51700048590</t>
  </si>
  <si>
    <t>Plot No</t>
  </si>
  <si>
    <t>Building No. 1 (Rehab Building)
Building No. 2 (Sale Building)</t>
  </si>
  <si>
    <t>Panchpakhadi</t>
  </si>
  <si>
    <t>Thane</t>
  </si>
  <si>
    <t>Mahapalika Bhavan Road</t>
  </si>
  <si>
    <t>Shreeji Ville</t>
  </si>
  <si>
    <t>3.4 KM from Thane Railway Station</t>
  </si>
  <si>
    <t>Sai Vatsalya apartment</t>
  </si>
  <si>
    <t>Ashwa Apex CHS</t>
  </si>
  <si>
    <t>2 Buildings</t>
  </si>
  <si>
    <t>Slum Rehabilitation Authority</t>
  </si>
  <si>
    <t>MMR/SRA/ENG/045/Sec-2/PVT/AP</t>
  </si>
  <si>
    <t xml:space="preserve">Building No.1 (Rehab Building) </t>
  </si>
  <si>
    <t xml:space="preserve">Building No.2 (Sale Building) </t>
  </si>
  <si>
    <t>Building No.1 = B + G + 1st to 30th Floor
Building No.2 = B + G + 1st to 50th Floor</t>
  </si>
  <si>
    <t>Building No.1 = B + G + 1st to 30th Floor</t>
  </si>
  <si>
    <t>Building No.2 = B + G + 1st to 50th Floor</t>
  </si>
  <si>
    <t>As per RERA - 31/12/2027</t>
  </si>
  <si>
    <t>Building No.1 (Rehab Building)</t>
  </si>
  <si>
    <t>Basement Floor For Parking, Pump Room, Water Tank &amp; Flushing Tank</t>
  </si>
  <si>
    <t>Shop</t>
  </si>
  <si>
    <t>Sale</t>
  </si>
  <si>
    <t>Rehab</t>
  </si>
  <si>
    <t>1st Floor for Community Hall, Society Office, Balwadi &amp; Walfare Room</t>
  </si>
  <si>
    <t>2nd Floor For Part Residential &amp; Amenities</t>
  </si>
  <si>
    <t>Library</t>
  </si>
  <si>
    <t>Gymnasium</t>
  </si>
  <si>
    <t>3rd to 7th &amp; 9th to 12th Floor</t>
  </si>
  <si>
    <t>8th Floor (Part Refuge Area)</t>
  </si>
  <si>
    <t>Refuge Area</t>
  </si>
  <si>
    <t>13th Floor (Part Refuge Area)</t>
  </si>
  <si>
    <t>14th to 17th, 19th to 22nd &amp; 24th Floor</t>
  </si>
  <si>
    <t>18th &amp; 23rd Floor (Part Refuge Area)</t>
  </si>
  <si>
    <t>25th Floor</t>
  </si>
  <si>
    <t>26th, 27th, 29th &amp; 30th Floor</t>
  </si>
  <si>
    <t>28th Floor (Part Refuge Area)</t>
  </si>
  <si>
    <t>Building No.2 (Sale Building)</t>
  </si>
  <si>
    <t>1st, 2nd &amp; 3rd Floor</t>
  </si>
  <si>
    <t>Office</t>
  </si>
  <si>
    <t>4th Floor For Service Floor</t>
  </si>
  <si>
    <t>5th Floor For Multipurpose Area, Open Gymnasium, Indoor Games &amp; Pool Area</t>
  </si>
  <si>
    <t>2.5BHK</t>
  </si>
  <si>
    <t xml:space="preserve">7th to 9th, 11th to 14th,16th to 19th, 21st to 23rd, 26th to 29th, 31st to 34th, 
36th to 39th, 41st to 44th &amp; 46th to 49th Floor </t>
  </si>
  <si>
    <t>6th Floor For Part Residential (Part Refuge Area)</t>
  </si>
  <si>
    <t>10th, 15th, 20th, 30th, 35th, 40th, 45th &amp; 50th Floor (Part Refuge Area)</t>
  </si>
  <si>
    <t>25th Floor (Part Refuge Area)</t>
  </si>
  <si>
    <t xml:space="preserve">24th Floor </t>
  </si>
  <si>
    <t>Building No.1</t>
  </si>
  <si>
    <t xml:space="preserve"> Shops</t>
  </si>
  <si>
    <t>Shops</t>
  </si>
  <si>
    <t>Offices</t>
  </si>
  <si>
    <t>Building No.2</t>
  </si>
  <si>
    <t>Commercial Area Details (Sale) :</t>
  </si>
  <si>
    <t>Residential Area Details (Sale) :</t>
  </si>
  <si>
    <t>Commercial Area Details (Rehab) :</t>
  </si>
  <si>
    <t>Residential Area Details (Rehab) :</t>
  </si>
  <si>
    <t>Rehab Flats - 275, Rehab Shops - 6
Sale Flats - 324, Sale Shops - 28, Sale Office - 15</t>
  </si>
  <si>
    <t>We considered Gross carpet area = Net carpet + Balcony + D.B Area</t>
  </si>
  <si>
    <t>Approved Plans, CC, Sale Plans</t>
  </si>
  <si>
    <t>builder 60000</t>
  </si>
  <si>
    <t>dwello 13752</t>
  </si>
  <si>
    <t>Namdeo Vadi</t>
  </si>
  <si>
    <t>Mr.Shashanle Sawant - 9820927491</t>
  </si>
  <si>
    <t>Thane (west)</t>
  </si>
  <si>
    <t>https://goo.gl/maps/GycDAh961piGtWaD9</t>
  </si>
  <si>
    <t>Existing Building Name</t>
  </si>
  <si>
    <t>Shree Sainath SRA Chsl</t>
  </si>
  <si>
    <t>Ground Floor For Commercial (Entrance lobby &amp;Meter room)</t>
  </si>
  <si>
    <t>RC</t>
  </si>
  <si>
    <t>PAP</t>
  </si>
  <si>
    <t xml:space="preserve"> </t>
  </si>
  <si>
    <t>Ground Floor + Mezzanine Floor For Commercial</t>
  </si>
  <si>
    <t>Recommended rate of the Shop Per Sq. Ft. 
(Ground Floor + Mezzanine Floor)</t>
  </si>
  <si>
    <t xml:space="preserve">Shop rate confirms by Broker </t>
  </si>
  <si>
    <t>Authorized Signatory
Name &amp; Seal of the agency</t>
  </si>
  <si>
    <t>Ajay Songare</t>
  </si>
  <si>
    <t>325, TPS No.01 &amp; Redevelopement of " Shree Sainath SRA Chsl "</t>
  </si>
  <si>
    <t>We have given Valuation for Sale Flats and Shops only.</t>
  </si>
  <si>
    <t xml:space="preserve">
</t>
  </si>
  <si>
    <t>This Plinth CC is Re-endorsed upto Plinth level of Rehab Building No.1 as per approved amended plans dtd 20/03/2024</t>
  </si>
  <si>
    <t>MMR/SRA/ENG/046/Sec-2/PVT/AP</t>
  </si>
  <si>
    <t>This Plinth CC is Re-endorsed upto Plinth level of Sale Building No. 2 with Mechanical Parking Tower as per approved amended plans dtd 20/03/2024</t>
  </si>
  <si>
    <t>Construction  work is in process at the time of visit.</t>
  </si>
  <si>
    <t>We have updated revised approved CC from RERA (on 09/09/2025).</t>
  </si>
  <si>
    <t>Kunal Kadam</t>
  </si>
  <si>
    <t>Latitude,Longitude</t>
  </si>
  <si>
    <t>19.198567,72.965303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</si>
</sst>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4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167" fontId="7" fillId="0" borderId="0" xfId="9" applyNumberFormat="1" applyFont="1" applyAlignment="1">
      <alignment horizontal="center" vertical="center"/>
    </xf>
    <xf numFmtId="167" fontId="10" fillId="0" borderId="0" xfId="9" applyNumberFormat="1" applyFont="1" applyAlignment="1">
      <alignment horizontal="center" vertical="center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0" xfId="1" applyFont="1"/>
    <xf numFmtId="167" fontId="10" fillId="0" borderId="0" xfId="9" applyNumberFormat="1" applyFont="1" applyAlignment="1">
      <alignment horizontal="right" vertical="center"/>
    </xf>
    <xf numFmtId="1" fontId="27" fillId="2" borderId="0" xfId="1" applyNumberFormat="1" applyFont="1" applyFill="1" applyAlignment="1">
      <alignment horizontal="right" vertical="center"/>
    </xf>
    <xf numFmtId="1" fontId="27" fillId="0" borderId="0" xfId="1" applyNumberFormat="1" applyFont="1" applyAlignment="1">
      <alignment horizontal="right"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2" fontId="6" fillId="0" borderId="8" xfId="1" applyNumberFormat="1" applyFont="1" applyBorder="1" applyAlignment="1" applyProtection="1">
      <alignment horizontal="left" vertical="top" wrapText="1"/>
      <protection locked="0"/>
    </xf>
    <xf numFmtId="2" fontId="6" fillId="0" borderId="21" xfId="1" applyNumberFormat="1" applyFont="1" applyBorder="1" applyAlignment="1" applyProtection="1">
      <alignment horizontal="left" vertical="top" wrapText="1"/>
      <protection locked="0"/>
    </xf>
    <xf numFmtId="2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8" xfId="1" applyNumberFormat="1" applyFont="1" applyBorder="1" applyAlignment="1" applyProtection="1">
      <alignment horizontal="left" vertical="top"/>
      <protection locked="0"/>
    </xf>
    <xf numFmtId="165" fontId="6" fillId="0" borderId="21" xfId="1" applyNumberFormat="1" applyFont="1" applyBorder="1" applyAlignment="1" applyProtection="1">
      <alignment horizontal="left" vertical="top"/>
      <protection locked="0"/>
    </xf>
    <xf numFmtId="165" fontId="6" fillId="0" borderId="9" xfId="1" applyNumberFormat="1" applyFont="1" applyBorder="1" applyAlignment="1" applyProtection="1">
      <alignment horizontal="left" vertical="top"/>
      <protection locked="0"/>
    </xf>
    <xf numFmtId="2" fontId="6" fillId="0" borderId="8" xfId="1" applyNumberFormat="1" applyFont="1" applyBorder="1" applyAlignment="1" applyProtection="1">
      <alignment horizontal="left" vertical="top"/>
      <protection locked="0"/>
    </xf>
    <xf numFmtId="2" fontId="6" fillId="0" borderId="21" xfId="1" applyNumberFormat="1" applyFont="1" applyBorder="1" applyAlignment="1" applyProtection="1">
      <alignment horizontal="left" vertical="top"/>
      <protection locked="0"/>
    </xf>
    <xf numFmtId="2" fontId="6" fillId="0" borderId="9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4" fontId="12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16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8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center" vertical="top" wrapText="1"/>
      <protection locked="0"/>
    </xf>
    <xf numFmtId="0" fontId="13" fillId="0" borderId="9" xfId="1" applyFont="1" applyBorder="1" applyAlignment="1" applyProtection="1">
      <alignment horizontal="center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481</xdr:row>
      <xdr:rowOff>104775</xdr:rowOff>
    </xdr:from>
    <xdr:to>
      <xdr:col>7</xdr:col>
      <xdr:colOff>727875</xdr:colOff>
      <xdr:row>494</xdr:row>
      <xdr:rowOff>176383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" y="94973775"/>
          <a:ext cx="6300000" cy="26719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123825</xdr:colOff>
      <xdr:row>496</xdr:row>
      <xdr:rowOff>1619</xdr:rowOff>
    </xdr:from>
    <xdr:to>
      <xdr:col>7</xdr:col>
      <xdr:colOff>727875</xdr:colOff>
      <xdr:row>516</xdr:row>
      <xdr:rowOff>96771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" y="97870994"/>
          <a:ext cx="6300000" cy="40956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614775</xdr:colOff>
      <xdr:row>456</xdr:row>
      <xdr:rowOff>167676</xdr:rowOff>
    </xdr:from>
    <xdr:to>
      <xdr:col>7</xdr:col>
      <xdr:colOff>198825</xdr:colOff>
      <xdr:row>476</xdr:row>
      <xdr:rowOff>127175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775" y="90036051"/>
          <a:ext cx="528000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104775</xdr:colOff>
      <xdr:row>437</xdr:row>
      <xdr:rowOff>0</xdr:rowOff>
    </xdr:from>
    <xdr:to>
      <xdr:col>7</xdr:col>
      <xdr:colOff>708825</xdr:colOff>
      <xdr:row>456</xdr:row>
      <xdr:rowOff>2696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" y="86067900"/>
          <a:ext cx="6300000" cy="38031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571500</xdr:colOff>
      <xdr:row>443</xdr:row>
      <xdr:rowOff>66675</xdr:rowOff>
    </xdr:from>
    <xdr:to>
      <xdr:col>7</xdr:col>
      <xdr:colOff>409575</xdr:colOff>
      <xdr:row>451</xdr:row>
      <xdr:rowOff>28575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81325" y="87334725"/>
          <a:ext cx="3124200" cy="15621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647700</xdr:colOff>
      <xdr:row>441</xdr:row>
      <xdr:rowOff>123824</xdr:rowOff>
    </xdr:from>
    <xdr:to>
      <xdr:col>3</xdr:col>
      <xdr:colOff>361950</xdr:colOff>
      <xdr:row>449</xdr:row>
      <xdr:rowOff>133349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47700" y="86991824"/>
          <a:ext cx="2124075" cy="1609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4</xdr:col>
      <xdr:colOff>759057</xdr:colOff>
      <xdr:row>439</xdr:row>
      <xdr:rowOff>105464</xdr:rowOff>
    </xdr:from>
    <xdr:ext cx="1186222" cy="53065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111857" y="86573414"/>
          <a:ext cx="1186222" cy="53065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IN" sz="1400" b="1"/>
            <a:t>Building</a:t>
          </a:r>
          <a:r>
            <a:rPr lang="en-IN" sz="1400" b="1" baseline="0"/>
            <a:t> No.2</a:t>
          </a:r>
        </a:p>
        <a:p>
          <a:pPr algn="ctr"/>
          <a:r>
            <a:rPr lang="en-IN" sz="1400" b="1" baseline="0"/>
            <a:t>Sale Bldg</a:t>
          </a:r>
          <a:endParaRPr lang="en-IN" sz="1400" b="1"/>
        </a:p>
      </xdr:txBody>
    </xdr:sp>
    <xdr:clientData/>
  </xdr:oneCellAnchor>
  <xdr:oneCellAnchor>
    <xdr:from>
      <xdr:col>1</xdr:col>
      <xdr:colOff>257175</xdr:colOff>
      <xdr:row>438</xdr:row>
      <xdr:rowOff>57150</xdr:rowOff>
    </xdr:from>
    <xdr:ext cx="1186222" cy="530658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19175" y="86325075"/>
          <a:ext cx="1186222" cy="53065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IN" sz="1400" b="1"/>
            <a:t>Building</a:t>
          </a:r>
          <a:r>
            <a:rPr lang="en-IN" sz="1400" b="1" baseline="0"/>
            <a:t> No.1</a:t>
          </a:r>
        </a:p>
        <a:p>
          <a:pPr algn="ctr"/>
          <a:r>
            <a:rPr lang="en-IN" sz="1400" b="1" baseline="0"/>
            <a:t>Rehab Bldg</a:t>
          </a:r>
          <a:endParaRPr lang="en-IN" sz="1400" b="1"/>
        </a:p>
      </xdr:txBody>
    </xdr:sp>
    <xdr:clientData/>
  </xdr:oneCellAnchor>
  <xdr:oneCellAnchor>
    <xdr:from>
      <xdr:col>3</xdr:col>
      <xdr:colOff>552450</xdr:colOff>
      <xdr:row>457</xdr:row>
      <xdr:rowOff>114300</xdr:rowOff>
    </xdr:from>
    <xdr:ext cx="528222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962275" y="90182700"/>
          <a:ext cx="528222" cy="2645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North</a:t>
          </a:r>
        </a:p>
      </xdr:txBody>
    </xdr:sp>
    <xdr:clientData/>
  </xdr:oneCellAnchor>
  <xdr:twoCellAnchor>
    <xdr:from>
      <xdr:col>3</xdr:col>
      <xdr:colOff>389924</xdr:colOff>
      <xdr:row>502</xdr:row>
      <xdr:rowOff>9751</xdr:rowOff>
    </xdr:from>
    <xdr:to>
      <xdr:col>5</xdr:col>
      <xdr:colOff>8992</xdr:colOff>
      <xdr:row>511</xdr:row>
      <xdr:rowOff>102188</xdr:rowOff>
    </xdr:to>
    <xdr:sp macro="" textlink="">
      <xdr:nvSpPr>
        <xdr:cNvPr id="16" name="L-Shap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1496528" flipH="1">
          <a:off x="2799749" y="99079276"/>
          <a:ext cx="1343093" cy="1892662"/>
        </a:xfrm>
        <a:prstGeom prst="corner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54207</xdr:colOff>
      <xdr:row>502</xdr:row>
      <xdr:rowOff>21358</xdr:rowOff>
    </xdr:from>
    <xdr:ext cx="1186222" cy="530658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464032" y="97490683"/>
          <a:ext cx="1186222" cy="53065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IN" sz="1400" b="1"/>
            <a:t>Building</a:t>
          </a:r>
          <a:r>
            <a:rPr lang="en-IN" sz="1400" b="1" baseline="0"/>
            <a:t> No.2</a:t>
          </a:r>
        </a:p>
        <a:p>
          <a:pPr algn="ctr"/>
          <a:r>
            <a:rPr lang="en-IN" sz="1400" b="1" baseline="0"/>
            <a:t>Sale Bldg</a:t>
          </a:r>
          <a:endParaRPr lang="en-IN" sz="1400" b="1"/>
        </a:p>
      </xdr:txBody>
    </xdr:sp>
    <xdr:clientData/>
  </xdr:oneCellAnchor>
  <xdr:oneCellAnchor>
    <xdr:from>
      <xdr:col>2</xdr:col>
      <xdr:colOff>323850</xdr:colOff>
      <xdr:row>511</xdr:row>
      <xdr:rowOff>77819</xdr:rowOff>
    </xdr:from>
    <xdr:ext cx="1186222" cy="530658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85950" y="99347369"/>
          <a:ext cx="1186222" cy="53065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IN" sz="1400" b="1"/>
            <a:t>Building</a:t>
          </a:r>
          <a:r>
            <a:rPr lang="en-IN" sz="1400" b="1" baseline="0"/>
            <a:t> No.1</a:t>
          </a:r>
        </a:p>
        <a:p>
          <a:pPr algn="ctr"/>
          <a:r>
            <a:rPr lang="en-IN" sz="1400" b="1" baseline="0"/>
            <a:t>Rehab Bldg</a:t>
          </a:r>
          <a:endParaRPr lang="en-IN" sz="1400" b="1"/>
        </a:p>
      </xdr:txBody>
    </xdr:sp>
    <xdr:clientData/>
  </xdr:oneCellAnchor>
  <xdr:twoCellAnchor>
    <xdr:from>
      <xdr:col>12</xdr:col>
      <xdr:colOff>602878</xdr:colOff>
      <xdr:row>412</xdr:row>
      <xdr:rowOff>23532</xdr:rowOff>
    </xdr:from>
    <xdr:to>
      <xdr:col>13</xdr:col>
      <xdr:colOff>142004</xdr:colOff>
      <xdr:row>415</xdr:row>
      <xdr:rowOff>135032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H="1">
          <a:off x="10957914" y="79353175"/>
          <a:ext cx="328340" cy="723821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706482</xdr:colOff>
      <xdr:row>403</xdr:row>
      <xdr:rowOff>14151</xdr:rowOff>
    </xdr:from>
    <xdr:to>
      <xdr:col>19</xdr:col>
      <xdr:colOff>200840</xdr:colOff>
      <xdr:row>435</xdr:row>
      <xdr:rowOff>136615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9126582" y="75939831"/>
          <a:ext cx="6756218" cy="6462304"/>
          <a:chOff x="715996" y="2187288"/>
          <a:chExt cx="5471956" cy="6383886"/>
        </a:xfrm>
      </xdr:grpSpPr>
      <xdr:pic>
        <xdr:nvPicPr>
          <xdr:cNvPr id="35" name="Picture 34" descr="https://vsjcllp.vsjadon.com/upload/insp-236811-1525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4404" y="6411174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6811-843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36" y="6411174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6811-851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5996" y="2187288"/>
            <a:ext cx="5471956" cy="41077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342900</xdr:colOff>
      <xdr:row>47</xdr:row>
      <xdr:rowOff>7621</xdr:rowOff>
    </xdr:from>
    <xdr:to>
      <xdr:col>12</xdr:col>
      <xdr:colOff>513900</xdr:colOff>
      <xdr:row>50</xdr:row>
      <xdr:rowOff>180033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1D0F77-C61F-DBD0-EB9F-6096FB862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66660" y="10363201"/>
          <a:ext cx="3600000" cy="995372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54</xdr:row>
      <xdr:rowOff>7620</xdr:rowOff>
    </xdr:from>
    <xdr:to>
      <xdr:col>12</xdr:col>
      <xdr:colOff>590100</xdr:colOff>
      <xdr:row>57</xdr:row>
      <xdr:rowOff>424496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F00BB0-6597-AB5D-F9B4-3AFCBC15D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42860" y="11978640"/>
          <a:ext cx="3600000" cy="1011236"/>
        </a:xfrm>
        <a:prstGeom prst="rect">
          <a:avLst/>
        </a:prstGeom>
      </xdr:spPr>
    </xdr:pic>
    <xdr:clientData/>
  </xdr:twoCellAnchor>
  <xdr:twoCellAnchor>
    <xdr:from>
      <xdr:col>0</xdr:col>
      <xdr:colOff>160020</xdr:colOff>
      <xdr:row>401</xdr:row>
      <xdr:rowOff>30480</xdr:rowOff>
    </xdr:from>
    <xdr:to>
      <xdr:col>7</xdr:col>
      <xdr:colOff>1194045</xdr:colOff>
      <xdr:row>426</xdr:row>
      <xdr:rowOff>8516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1A75C746-4022-8B42-6EDF-3F00981A9C1C}"/>
            </a:ext>
          </a:extLst>
        </xdr:cNvPr>
        <xdr:cNvGrpSpPr/>
      </xdr:nvGrpSpPr>
      <xdr:grpSpPr>
        <a:xfrm>
          <a:off x="160020" y="75567540"/>
          <a:ext cx="6878565" cy="4923416"/>
          <a:chOff x="0" y="292632"/>
          <a:chExt cx="6878565" cy="4923416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A45E8510-E543-F6EA-B63A-3EBA02517728}"/>
              </a:ext>
            </a:extLst>
          </xdr:cNvPr>
          <xdr:cNvGrpSpPr/>
        </xdr:nvGrpSpPr>
        <xdr:grpSpPr>
          <a:xfrm>
            <a:off x="1109066" y="3056048"/>
            <a:ext cx="4660432" cy="2160000"/>
            <a:chOff x="479556" y="3056048"/>
            <a:chExt cx="4660432" cy="216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50A447CD-71B1-771A-AFFC-D36BAF5886C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1676" y="3056048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DF237B45-98BF-24F6-9059-07D1DBB843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9556" y="3056048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7556E2CC-BDF9-C76D-8E1E-B748966AE2A9}"/>
              </a:ext>
            </a:extLst>
          </xdr:cNvPr>
          <xdr:cNvGrpSpPr/>
        </xdr:nvGrpSpPr>
        <xdr:grpSpPr>
          <a:xfrm>
            <a:off x="0" y="292632"/>
            <a:ext cx="6878565" cy="2520000"/>
            <a:chOff x="0" y="292632"/>
            <a:chExt cx="6878565" cy="252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ECAE05A1-9FC5-05C7-75DE-66741AD6FF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1676" y="292632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EB6E0F99-2A6A-1D4B-1BB6-37D2D20A05D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0" y="292632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ycDAh961piGtWaD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80"/>
  <sheetViews>
    <sheetView tabSelected="1" view="pageBreakPreview" topLeftCell="A89" zoomScaleNormal="100" zoomScaleSheetLayoutView="100" workbookViewId="0">
      <selection activeCell="L5" sqref="K5:L5"/>
    </sheetView>
  </sheetViews>
  <sheetFormatPr defaultColWidth="9.109375" defaultRowHeight="15.6" x14ac:dyDescent="0.3"/>
  <cols>
    <col min="1" max="1" width="11.44140625" style="39" customWidth="1"/>
    <col min="2" max="2" width="12" style="39" customWidth="1"/>
    <col min="3" max="3" width="12.6640625" style="39" customWidth="1"/>
    <col min="4" max="4" width="14.109375" style="39" customWidth="1"/>
    <col min="5" max="7" width="11.6640625" style="39" customWidth="1"/>
    <col min="8" max="8" width="20.10937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8" ht="46.5" customHeight="1" x14ac:dyDescent="0.3">
      <c r="A1" s="170" t="s">
        <v>177</v>
      </c>
      <c r="B1" s="170"/>
      <c r="C1" s="170"/>
      <c r="D1" s="170"/>
      <c r="E1" s="170"/>
      <c r="F1" s="170"/>
      <c r="G1" s="170"/>
      <c r="H1" s="170"/>
    </row>
    <row r="2" spans="1:8" ht="16.5" customHeight="1" x14ac:dyDescent="0.3">
      <c r="A2" s="74" t="s">
        <v>0</v>
      </c>
      <c r="B2" s="74"/>
      <c r="C2" s="74"/>
      <c r="D2" s="74"/>
      <c r="E2" s="74"/>
      <c r="F2" s="74"/>
      <c r="G2" s="74"/>
      <c r="H2" s="74"/>
    </row>
    <row r="3" spans="1:8" x14ac:dyDescent="0.3">
      <c r="A3" s="139" t="s">
        <v>1</v>
      </c>
      <c r="B3" s="139"/>
      <c r="C3" s="139"/>
      <c r="D3" s="139"/>
      <c r="E3" s="139" t="str">
        <f ca="1">TEXT(TODAY(),"DD/MM/YYYY")</f>
        <v>09/09/2025</v>
      </c>
      <c r="F3" s="139"/>
      <c r="G3" s="139"/>
      <c r="H3" s="139"/>
    </row>
    <row r="4" spans="1:8" ht="15" customHeight="1" x14ac:dyDescent="0.3">
      <c r="A4" s="139" t="s">
        <v>2</v>
      </c>
      <c r="B4" s="139"/>
      <c r="C4" s="139"/>
      <c r="D4" s="139"/>
      <c r="E4" s="139" t="s">
        <v>178</v>
      </c>
      <c r="F4" s="139"/>
      <c r="G4" s="139"/>
      <c r="H4" s="139"/>
    </row>
    <row r="5" spans="1:8" x14ac:dyDescent="0.3">
      <c r="A5" s="139" t="s">
        <v>3</v>
      </c>
      <c r="B5" s="139"/>
      <c r="C5" s="139"/>
      <c r="D5" s="139"/>
      <c r="E5" s="166">
        <v>45908</v>
      </c>
      <c r="F5" s="139"/>
      <c r="G5" s="139"/>
      <c r="H5" s="139"/>
    </row>
    <row r="6" spans="1:8" ht="16.5" customHeight="1" x14ac:dyDescent="0.3">
      <c r="A6" s="139" t="s">
        <v>4</v>
      </c>
      <c r="B6" s="139"/>
      <c r="C6" s="139"/>
      <c r="D6" s="139"/>
      <c r="E6" s="139" t="s">
        <v>179</v>
      </c>
      <c r="F6" s="139"/>
      <c r="G6" s="139"/>
      <c r="H6" s="139"/>
    </row>
    <row r="7" spans="1:8" ht="15" customHeight="1" x14ac:dyDescent="0.3">
      <c r="A7" s="139" t="s">
        <v>5</v>
      </c>
      <c r="B7" s="139"/>
      <c r="C7" s="139"/>
      <c r="D7" s="139"/>
      <c r="E7" s="139" t="str">
        <f>E6</f>
        <v>Trimity Realty LLP</v>
      </c>
      <c r="F7" s="139"/>
      <c r="G7" s="139"/>
      <c r="H7" s="139"/>
    </row>
    <row r="8" spans="1:8" x14ac:dyDescent="0.3">
      <c r="A8" s="139" t="s">
        <v>6</v>
      </c>
      <c r="B8" s="139"/>
      <c r="C8" s="139"/>
      <c r="D8" s="139"/>
      <c r="E8" s="102" t="s">
        <v>180</v>
      </c>
      <c r="F8" s="102"/>
      <c r="G8" s="102"/>
      <c r="H8" s="102"/>
    </row>
    <row r="9" spans="1:8" x14ac:dyDescent="0.3">
      <c r="A9" s="139" t="s">
        <v>174</v>
      </c>
      <c r="B9" s="139"/>
      <c r="C9" s="139"/>
      <c r="D9" s="139"/>
      <c r="E9" s="139" t="s">
        <v>245</v>
      </c>
      <c r="F9" s="139"/>
      <c r="G9" s="139"/>
      <c r="H9" s="139"/>
    </row>
    <row r="10" spans="1:8" hidden="1" x14ac:dyDescent="0.3">
      <c r="A10" s="167" t="s">
        <v>181</v>
      </c>
      <c r="B10" s="168"/>
      <c r="C10" s="168"/>
      <c r="D10" s="169"/>
      <c r="E10" s="167" t="s">
        <v>245</v>
      </c>
      <c r="F10" s="168"/>
      <c r="G10" s="168"/>
      <c r="H10" s="169"/>
    </row>
    <row r="11" spans="1:8" ht="32.25" customHeight="1" x14ac:dyDescent="0.3">
      <c r="A11" s="139" t="s">
        <v>7</v>
      </c>
      <c r="B11" s="139"/>
      <c r="C11" s="139"/>
      <c r="D11" s="139"/>
      <c r="E11" s="76" t="s">
        <v>184</v>
      </c>
      <c r="F11" s="139"/>
      <c r="G11" s="139"/>
      <c r="H11" s="139"/>
    </row>
    <row r="12" spans="1:8" x14ac:dyDescent="0.3">
      <c r="A12" s="139" t="s">
        <v>248</v>
      </c>
      <c r="B12" s="139"/>
      <c r="C12" s="139"/>
      <c r="D12" s="139"/>
      <c r="E12" s="76" t="s">
        <v>249</v>
      </c>
      <c r="F12" s="139"/>
      <c r="G12" s="139"/>
      <c r="H12" s="139"/>
    </row>
    <row r="13" spans="1:8" ht="17.25" customHeight="1" x14ac:dyDescent="0.3">
      <c r="A13" s="100" t="s">
        <v>8</v>
      </c>
      <c r="B13" s="100"/>
      <c r="C13" s="100"/>
      <c r="D13" s="100"/>
      <c r="E13" s="76" t="s">
        <v>241</v>
      </c>
      <c r="F13" s="76"/>
      <c r="G13" s="76"/>
      <c r="H13" s="76"/>
    </row>
    <row r="14" spans="1:8" x14ac:dyDescent="0.3">
      <c r="A14" s="100" t="s">
        <v>9</v>
      </c>
      <c r="B14" s="100"/>
      <c r="C14" s="100"/>
      <c r="D14" s="100"/>
      <c r="E14" s="76" t="s">
        <v>182</v>
      </c>
      <c r="F14" s="139"/>
      <c r="G14" s="139"/>
      <c r="H14" s="139"/>
    </row>
    <row r="15" spans="1:8" ht="48.75" customHeight="1" x14ac:dyDescent="0.3">
      <c r="A15" s="164" t="s">
        <v>10</v>
      </c>
      <c r="B15" s="164"/>
      <c r="C15" s="16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Stellar, Plot No.325, TPS No.01 &amp; Redevelopement of " Shree Sainath SRA Chsl ", near Shreeji Ville, Mahapalika Bhavan Road, Namdeo Vadi, Panchpakhadi, Thane (west), Thane, Thane - 400602.</v>
      </c>
      <c r="D15" s="164"/>
      <c r="E15" s="164"/>
      <c r="F15" s="164"/>
      <c r="G15" s="164"/>
      <c r="H15" s="164"/>
    </row>
    <row r="16" spans="1:8" x14ac:dyDescent="0.3">
      <c r="A16" s="76" t="s">
        <v>183</v>
      </c>
      <c r="B16" s="76"/>
      <c r="C16" s="76" t="s">
        <v>259</v>
      </c>
      <c r="D16" s="76"/>
      <c r="E16" s="76"/>
      <c r="F16" s="76"/>
      <c r="G16" s="76"/>
      <c r="H16" s="76"/>
    </row>
    <row r="17" spans="1:8" ht="15.75" customHeight="1" x14ac:dyDescent="0.3">
      <c r="A17" s="76" t="s">
        <v>173</v>
      </c>
      <c r="B17" s="76"/>
      <c r="C17" s="76" t="s">
        <v>244</v>
      </c>
      <c r="D17" s="76"/>
      <c r="E17" s="76"/>
      <c r="F17" s="76"/>
      <c r="G17" s="76"/>
      <c r="H17" s="76"/>
    </row>
    <row r="18" spans="1:8" ht="15.75" customHeight="1" x14ac:dyDescent="0.3">
      <c r="A18" s="164" t="s">
        <v>11</v>
      </c>
      <c r="B18" s="164"/>
      <c r="C18" s="139" t="s">
        <v>187</v>
      </c>
      <c r="D18" s="139"/>
      <c r="E18" s="164" t="s">
        <v>74</v>
      </c>
      <c r="F18" s="164"/>
      <c r="G18" s="76" t="s">
        <v>185</v>
      </c>
      <c r="H18" s="76"/>
    </row>
    <row r="19" spans="1:8" x14ac:dyDescent="0.3">
      <c r="A19" s="100" t="s">
        <v>13</v>
      </c>
      <c r="B19" s="100"/>
      <c r="C19" s="76" t="s">
        <v>246</v>
      </c>
      <c r="D19" s="76"/>
      <c r="E19" s="164" t="s">
        <v>12</v>
      </c>
      <c r="F19" s="164"/>
      <c r="G19" s="165" t="s">
        <v>186</v>
      </c>
      <c r="H19" s="165"/>
    </row>
    <row r="20" spans="1:8" x14ac:dyDescent="0.3">
      <c r="A20" s="100" t="s">
        <v>75</v>
      </c>
      <c r="B20" s="100"/>
      <c r="C20" s="165" t="s">
        <v>186</v>
      </c>
      <c r="D20" s="165"/>
      <c r="E20" s="164" t="s">
        <v>14</v>
      </c>
      <c r="F20" s="164"/>
      <c r="G20" s="76">
        <v>400602</v>
      </c>
      <c r="H20" s="76"/>
    </row>
    <row r="21" spans="1:8" ht="32.25" customHeight="1" x14ac:dyDescent="0.3">
      <c r="A21" s="100" t="s">
        <v>127</v>
      </c>
      <c r="B21" s="100"/>
      <c r="C21" s="76" t="s">
        <v>188</v>
      </c>
      <c r="D21" s="76"/>
      <c r="E21" s="164" t="s">
        <v>15</v>
      </c>
      <c r="F21" s="164"/>
      <c r="G21" s="76" t="s">
        <v>189</v>
      </c>
      <c r="H21" s="76"/>
    </row>
    <row r="22" spans="1:8" ht="15" customHeight="1" x14ac:dyDescent="0.3">
      <c r="A22" s="164" t="s">
        <v>77</v>
      </c>
      <c r="B22" s="164"/>
      <c r="C22" s="164"/>
      <c r="D22" s="164"/>
      <c r="E22" s="139" t="s">
        <v>16</v>
      </c>
      <c r="F22" s="139"/>
      <c r="G22" s="139"/>
      <c r="H22" s="139"/>
    </row>
    <row r="23" spans="1:8" ht="18.75" customHeight="1" x14ac:dyDescent="0.3">
      <c r="A23" s="164"/>
      <c r="B23" s="164"/>
      <c r="C23" s="164"/>
      <c r="D23" s="164"/>
      <c r="E23" s="139"/>
      <c r="F23" s="139"/>
      <c r="G23" s="139"/>
      <c r="H23" s="139"/>
    </row>
    <row r="24" spans="1:8" ht="15" customHeight="1" x14ac:dyDescent="0.3">
      <c r="A24" s="164" t="s">
        <v>17</v>
      </c>
      <c r="B24" s="164"/>
      <c r="C24" s="164"/>
      <c r="D24" s="164"/>
      <c r="E24" s="76" t="s">
        <v>18</v>
      </c>
      <c r="F24" s="76"/>
      <c r="G24" s="76"/>
      <c r="H24" s="76"/>
    </row>
    <row r="25" spans="1:8" ht="15" customHeight="1" x14ac:dyDescent="0.3">
      <c r="A25" s="100" t="s">
        <v>19</v>
      </c>
      <c r="B25" s="100"/>
      <c r="C25" s="100"/>
      <c r="D25" s="100"/>
      <c r="E25" s="76" t="str">
        <f>IF(AND(G19="Mumbai"),"Upper Class","Middle Class")</f>
        <v>Middle Class</v>
      </c>
      <c r="F25" s="76"/>
      <c r="G25" s="76"/>
      <c r="H25" s="76"/>
    </row>
    <row r="26" spans="1:8" x14ac:dyDescent="0.3">
      <c r="A26" s="100" t="s">
        <v>20</v>
      </c>
      <c r="B26" s="100"/>
      <c r="C26" s="100"/>
      <c r="D26" s="100"/>
      <c r="E26" s="76" t="s">
        <v>21</v>
      </c>
      <c r="F26" s="76"/>
      <c r="G26" s="76"/>
      <c r="H26" s="76"/>
    </row>
    <row r="27" spans="1:8" ht="15.75" customHeight="1" x14ac:dyDescent="0.3">
      <c r="A27" s="100" t="s">
        <v>22</v>
      </c>
      <c r="B27" s="100"/>
      <c r="C27" s="100"/>
      <c r="D27" s="100"/>
      <c r="E27" s="76" t="str">
        <f>IF(AND(G19="Mumbai"),"Developed","Developing")</f>
        <v>Developing</v>
      </c>
      <c r="F27" s="76"/>
      <c r="G27" s="76"/>
      <c r="H27" s="76"/>
    </row>
    <row r="28" spans="1:8" x14ac:dyDescent="0.3">
      <c r="A28" s="100" t="s">
        <v>23</v>
      </c>
      <c r="B28" s="100"/>
      <c r="C28" s="100"/>
      <c r="D28" s="100"/>
      <c r="E28" s="76" t="s">
        <v>24</v>
      </c>
      <c r="F28" s="76"/>
      <c r="G28" s="76"/>
      <c r="H28" s="76"/>
    </row>
    <row r="29" spans="1:8" ht="15.75" customHeight="1" x14ac:dyDescent="0.3">
      <c r="A29" s="100" t="s">
        <v>81</v>
      </c>
      <c r="B29" s="100"/>
      <c r="C29" s="100"/>
      <c r="D29" s="100"/>
      <c r="E29" s="76" t="s">
        <v>82</v>
      </c>
      <c r="F29" s="76"/>
      <c r="G29" s="76"/>
      <c r="H29" s="76"/>
    </row>
    <row r="30" spans="1:8" ht="15" customHeight="1" x14ac:dyDescent="0.3">
      <c r="A30" s="100" t="s">
        <v>33</v>
      </c>
      <c r="B30" s="100"/>
      <c r="C30" s="100"/>
      <c r="D30" s="100"/>
      <c r="E30" s="76" t="str">
        <f>IF(AND(ISNUMBER(SEARCH("Flat",D62)),ISNUMBER(SEARCH("Shop",D62)),ISNUMBER(SEARCH("Office",D62))),"Residential + Commercial",IF(AND(ISNUMBER(SEARCH("Flat",D62)),ISNUMBER(SEARCH("Shop",D62))),"Residential + Commercial",IF(AND(ISNUMBER(SEARCH("Flat",D62)),ISNUMBER(SEARCH("Office",D62))),"Residential + Commercial",IF(AND(ISNUMBER(SEARCH("Shop",D62)),ISNUMBER(SEARCH("Office",D62))),"Commercial",IF(ISNUMBER(SEARCH("Shop",D62)),"Commercial",IF(ISNUMBER(SEARCH("Office",D62)),"Commercial",IF(ISNUMBER(SEARCH("Flat",D62)),"Residential")))))))</f>
        <v>Residential + Commercial</v>
      </c>
      <c r="F30" s="76"/>
      <c r="G30" s="76"/>
      <c r="H30" s="76"/>
    </row>
    <row r="31" spans="1:8" ht="15.75" customHeight="1" x14ac:dyDescent="0.3">
      <c r="A31" s="100" t="s">
        <v>93</v>
      </c>
      <c r="B31" s="100"/>
      <c r="C31" s="100"/>
      <c r="D31" s="100"/>
      <c r="E31" s="76" t="s">
        <v>34</v>
      </c>
      <c r="F31" s="76"/>
      <c r="G31" s="76"/>
      <c r="H31" s="76"/>
    </row>
    <row r="32" spans="1:8" s="21" customFormat="1" x14ac:dyDescent="0.3">
      <c r="A32" s="163" t="s">
        <v>94</v>
      </c>
      <c r="B32" s="163"/>
      <c r="C32" s="161" t="s">
        <v>29</v>
      </c>
      <c r="D32" s="161"/>
      <c r="E32" s="161"/>
      <c r="F32" s="161" t="s">
        <v>31</v>
      </c>
      <c r="G32" s="161"/>
      <c r="H32" s="161"/>
    </row>
    <row r="33" spans="1:8" s="21" customFormat="1" x14ac:dyDescent="0.3">
      <c r="A33" s="162" t="s">
        <v>25</v>
      </c>
      <c r="B33" s="162" t="s">
        <v>30</v>
      </c>
      <c r="C33" s="137" t="s">
        <v>30</v>
      </c>
      <c r="D33" s="137"/>
      <c r="E33" s="137"/>
      <c r="F33" s="137" t="s">
        <v>190</v>
      </c>
      <c r="G33" s="137"/>
      <c r="H33" s="137"/>
    </row>
    <row r="34" spans="1:8" x14ac:dyDescent="0.3">
      <c r="A34" s="162" t="s">
        <v>26</v>
      </c>
      <c r="B34" s="162" t="s">
        <v>30</v>
      </c>
      <c r="C34" s="137" t="s">
        <v>30</v>
      </c>
      <c r="D34" s="137"/>
      <c r="E34" s="137"/>
      <c r="F34" s="137" t="s">
        <v>188</v>
      </c>
      <c r="G34" s="137"/>
      <c r="H34" s="137"/>
    </row>
    <row r="35" spans="1:8" s="21" customFormat="1" x14ac:dyDescent="0.3">
      <c r="A35" s="162" t="s">
        <v>28</v>
      </c>
      <c r="B35" s="162" t="s">
        <v>30</v>
      </c>
      <c r="C35" s="137" t="s">
        <v>30</v>
      </c>
      <c r="D35" s="137"/>
      <c r="E35" s="137"/>
      <c r="F35" s="137" t="s">
        <v>187</v>
      </c>
      <c r="G35" s="137"/>
      <c r="H35" s="137"/>
    </row>
    <row r="36" spans="1:8" x14ac:dyDescent="0.3">
      <c r="A36" s="162" t="s">
        <v>27</v>
      </c>
      <c r="B36" s="162" t="s">
        <v>30</v>
      </c>
      <c r="C36" s="137" t="s">
        <v>30</v>
      </c>
      <c r="D36" s="137"/>
      <c r="E36" s="137"/>
      <c r="F36" s="137" t="s">
        <v>191</v>
      </c>
      <c r="G36" s="137"/>
      <c r="H36" s="137"/>
    </row>
    <row r="37" spans="1:8" x14ac:dyDescent="0.3">
      <c r="A37" s="100" t="s">
        <v>32</v>
      </c>
      <c r="B37" s="100"/>
      <c r="C37" s="100"/>
      <c r="D37" s="100"/>
      <c r="E37" s="100"/>
      <c r="F37" s="100"/>
      <c r="G37" s="100"/>
      <c r="H37" s="100"/>
    </row>
    <row r="38" spans="1:8" ht="15.75" customHeight="1" x14ac:dyDescent="0.3">
      <c r="A38" s="100" t="s">
        <v>268</v>
      </c>
      <c r="B38" s="100"/>
      <c r="C38" s="243" t="s">
        <v>269</v>
      </c>
      <c r="D38" s="244"/>
      <c r="E38" s="244"/>
      <c r="F38" s="244"/>
      <c r="G38" s="244"/>
      <c r="H38" s="245"/>
    </row>
    <row r="39" spans="1:8" x14ac:dyDescent="0.3">
      <c r="A39" s="100" t="s">
        <v>172</v>
      </c>
      <c r="B39" s="100"/>
      <c r="C39" s="75" t="s">
        <v>247</v>
      </c>
      <c r="D39" s="76"/>
      <c r="E39" s="76"/>
      <c r="F39" s="76"/>
      <c r="G39" s="76"/>
      <c r="H39" s="76"/>
    </row>
    <row r="40" spans="1:8" x14ac:dyDescent="0.3">
      <c r="A40" s="138" t="s">
        <v>35</v>
      </c>
      <c r="B40" s="138"/>
      <c r="C40" s="138"/>
      <c r="D40" s="138"/>
      <c r="E40" s="138"/>
      <c r="F40" s="138"/>
      <c r="G40" s="138"/>
      <c r="H40" s="138"/>
    </row>
    <row r="41" spans="1:8" x14ac:dyDescent="0.3">
      <c r="A41" s="100" t="s">
        <v>36</v>
      </c>
      <c r="B41" s="100"/>
      <c r="C41" s="100"/>
      <c r="D41" s="100"/>
      <c r="E41" s="134">
        <v>4261.41</v>
      </c>
      <c r="F41" s="135"/>
      <c r="G41" s="135"/>
      <c r="H41" s="136"/>
    </row>
    <row r="42" spans="1:8" x14ac:dyDescent="0.3">
      <c r="A42" s="100" t="s">
        <v>37</v>
      </c>
      <c r="B42" s="100"/>
      <c r="C42" s="100"/>
      <c r="D42" s="100"/>
      <c r="E42" s="155">
        <v>4</v>
      </c>
      <c r="F42" s="156"/>
      <c r="G42" s="156"/>
      <c r="H42" s="157"/>
    </row>
    <row r="43" spans="1:8" x14ac:dyDescent="0.3">
      <c r="A43" s="100" t="s">
        <v>38</v>
      </c>
      <c r="B43" s="100"/>
      <c r="C43" s="100"/>
      <c r="D43" s="100"/>
      <c r="E43" s="155">
        <f>E45/E41-E42</f>
        <v>1.6918132730715891</v>
      </c>
      <c r="F43" s="156"/>
      <c r="G43" s="156"/>
      <c r="H43" s="157"/>
    </row>
    <row r="44" spans="1:8" x14ac:dyDescent="0.3">
      <c r="A44" s="100" t="s">
        <v>39</v>
      </c>
      <c r="B44" s="100"/>
      <c r="C44" s="100"/>
      <c r="D44" s="100"/>
      <c r="E44" s="155">
        <f>E42+E43</f>
        <v>5.6918132730715891</v>
      </c>
      <c r="F44" s="156"/>
      <c r="G44" s="156"/>
      <c r="H44" s="157"/>
    </row>
    <row r="45" spans="1:8" x14ac:dyDescent="0.3">
      <c r="A45" s="100" t="s">
        <v>92</v>
      </c>
      <c r="B45" s="100"/>
      <c r="C45" s="100"/>
      <c r="D45" s="100"/>
      <c r="E45" s="158">
        <v>24255.15</v>
      </c>
      <c r="F45" s="159"/>
      <c r="G45" s="159"/>
      <c r="H45" s="160"/>
    </row>
    <row r="46" spans="1:8" x14ac:dyDescent="0.3">
      <c r="A46" s="139" t="s">
        <v>40</v>
      </c>
      <c r="B46" s="139"/>
      <c r="C46" s="139"/>
      <c r="D46" s="139"/>
      <c r="E46" s="139" t="s">
        <v>192</v>
      </c>
      <c r="F46" s="139"/>
      <c r="G46" s="139"/>
      <c r="H46" s="139"/>
    </row>
    <row r="47" spans="1:8" x14ac:dyDescent="0.3">
      <c r="A47" s="138" t="s">
        <v>41</v>
      </c>
      <c r="B47" s="138"/>
      <c r="C47" s="138"/>
      <c r="D47" s="138"/>
      <c r="E47" s="138"/>
      <c r="F47" s="138"/>
      <c r="G47" s="138"/>
      <c r="H47" s="138"/>
    </row>
    <row r="48" spans="1:8" ht="33.75" customHeight="1" x14ac:dyDescent="0.3">
      <c r="A48" s="80" t="s">
        <v>159</v>
      </c>
      <c r="B48" s="81"/>
      <c r="C48" s="82" t="s">
        <v>193</v>
      </c>
      <c r="D48" s="83"/>
      <c r="E48" s="83"/>
      <c r="F48" s="83"/>
      <c r="G48" s="83"/>
      <c r="H48" s="84"/>
    </row>
    <row r="49" spans="1:9" ht="15.75" customHeight="1" x14ac:dyDescent="0.3">
      <c r="A49" s="228" t="s">
        <v>195</v>
      </c>
      <c r="B49" s="229"/>
      <c r="C49" s="229"/>
      <c r="D49" s="229"/>
      <c r="E49" s="229"/>
      <c r="F49" s="229"/>
      <c r="G49" s="229"/>
      <c r="H49" s="230"/>
    </row>
    <row r="50" spans="1:9" ht="15.75" customHeight="1" x14ac:dyDescent="0.3">
      <c r="A50" s="80" t="s">
        <v>42</v>
      </c>
      <c r="B50" s="81"/>
      <c r="C50" s="80" t="s">
        <v>194</v>
      </c>
      <c r="D50" s="212"/>
      <c r="E50" s="81"/>
      <c r="F50" s="63" t="s">
        <v>43</v>
      </c>
      <c r="G50" s="176">
        <v>44872</v>
      </c>
      <c r="H50" s="81"/>
    </row>
    <row r="51" spans="1:9" x14ac:dyDescent="0.3">
      <c r="A51" s="80" t="s">
        <v>44</v>
      </c>
      <c r="B51" s="81"/>
      <c r="C51" s="80" t="str">
        <f>C50</f>
        <v>MMR/SRA/ENG/045/Sec-2/PVT/AP</v>
      </c>
      <c r="D51" s="212"/>
      <c r="E51" s="81"/>
      <c r="F51" s="63" t="s">
        <v>43</v>
      </c>
      <c r="G51" s="176">
        <f>G50</f>
        <v>44872</v>
      </c>
      <c r="H51" s="177"/>
    </row>
    <row r="52" spans="1:9" s="22" customFormat="1" ht="15.75" customHeight="1" x14ac:dyDescent="0.3">
      <c r="A52" s="173" t="s">
        <v>164</v>
      </c>
      <c r="B52" s="175"/>
      <c r="C52" s="80" t="str">
        <f>C51</f>
        <v>MMR/SRA/ENG/045/Sec-2/PVT/AP</v>
      </c>
      <c r="D52" s="212"/>
      <c r="E52" s="81"/>
      <c r="F52" s="63" t="s">
        <v>43</v>
      </c>
      <c r="G52" s="176">
        <v>45371</v>
      </c>
      <c r="H52" s="177"/>
    </row>
    <row r="53" spans="1:9" s="22" customFormat="1" ht="33" customHeight="1" x14ac:dyDescent="0.3">
      <c r="A53" s="178"/>
      <c r="B53" s="179"/>
      <c r="C53" s="80" t="s">
        <v>262</v>
      </c>
      <c r="D53" s="212"/>
      <c r="E53" s="212"/>
      <c r="F53" s="212"/>
      <c r="G53" s="212"/>
      <c r="H53" s="81"/>
    </row>
    <row r="54" spans="1:9" ht="15.75" customHeight="1" x14ac:dyDescent="0.3">
      <c r="A54" s="228" t="s">
        <v>196</v>
      </c>
      <c r="B54" s="229"/>
      <c r="C54" s="229"/>
      <c r="D54" s="229"/>
      <c r="E54" s="229"/>
      <c r="F54" s="229"/>
      <c r="G54" s="229"/>
      <c r="H54" s="230"/>
    </row>
    <row r="55" spans="1:9" ht="15.75" customHeight="1" x14ac:dyDescent="0.3">
      <c r="A55" s="80" t="s">
        <v>42</v>
      </c>
      <c r="B55" s="81"/>
      <c r="C55" s="80" t="s">
        <v>194</v>
      </c>
      <c r="D55" s="212"/>
      <c r="E55" s="81"/>
      <c r="F55" s="63" t="s">
        <v>43</v>
      </c>
      <c r="G55" s="176">
        <v>44872</v>
      </c>
      <c r="H55" s="81"/>
    </row>
    <row r="56" spans="1:9" x14ac:dyDescent="0.3">
      <c r="A56" s="80" t="s">
        <v>44</v>
      </c>
      <c r="B56" s="81"/>
      <c r="C56" s="80" t="str">
        <f>C55</f>
        <v>MMR/SRA/ENG/045/Sec-2/PVT/AP</v>
      </c>
      <c r="D56" s="212"/>
      <c r="E56" s="81"/>
      <c r="F56" s="63" t="s">
        <v>43</v>
      </c>
      <c r="G56" s="176">
        <f>G55</f>
        <v>44872</v>
      </c>
      <c r="H56" s="177"/>
    </row>
    <row r="57" spans="1:9" s="22" customFormat="1" ht="15.75" customHeight="1" x14ac:dyDescent="0.3">
      <c r="A57" s="173" t="s">
        <v>164</v>
      </c>
      <c r="B57" s="175"/>
      <c r="C57" s="80" t="s">
        <v>263</v>
      </c>
      <c r="D57" s="212"/>
      <c r="E57" s="81"/>
      <c r="F57" s="63" t="s">
        <v>43</v>
      </c>
      <c r="G57" s="176">
        <v>45371</v>
      </c>
      <c r="H57" s="177"/>
    </row>
    <row r="58" spans="1:9" s="22" customFormat="1" ht="33.75" customHeight="1" x14ac:dyDescent="0.3">
      <c r="A58" s="178"/>
      <c r="B58" s="179"/>
      <c r="C58" s="80" t="s">
        <v>264</v>
      </c>
      <c r="D58" s="212"/>
      <c r="E58" s="212"/>
      <c r="F58" s="212" t="s">
        <v>126</v>
      </c>
      <c r="G58" s="212" t="s">
        <v>160</v>
      </c>
      <c r="H58" s="81"/>
    </row>
    <row r="59" spans="1:9" ht="18" customHeight="1" x14ac:dyDescent="0.3">
      <c r="A59" s="221" t="s">
        <v>45</v>
      </c>
      <c r="B59" s="222"/>
      <c r="C59" s="221" t="s">
        <v>106</v>
      </c>
      <c r="D59" s="223"/>
      <c r="E59" s="222"/>
      <c r="F59" s="45" t="s">
        <v>43</v>
      </c>
      <c r="G59" s="225" t="s">
        <v>30</v>
      </c>
      <c r="H59" s="226"/>
    </row>
    <row r="60" spans="1:9" x14ac:dyDescent="0.3">
      <c r="A60" s="224" t="s">
        <v>47</v>
      </c>
      <c r="B60" s="224"/>
      <c r="C60" s="224"/>
      <c r="D60" s="224"/>
      <c r="E60" s="224"/>
      <c r="F60" s="224"/>
      <c r="G60" s="224"/>
      <c r="H60" s="224"/>
    </row>
    <row r="61" spans="1:9" x14ac:dyDescent="0.3">
      <c r="A61" s="76" t="s">
        <v>91</v>
      </c>
      <c r="B61" s="76"/>
      <c r="C61" s="76"/>
      <c r="D61" s="139">
        <f>E45</f>
        <v>24255.15</v>
      </c>
      <c r="E61" s="139"/>
      <c r="F61" s="139"/>
      <c r="G61" s="139"/>
      <c r="H61" s="139"/>
    </row>
    <row r="62" spans="1:9" ht="31.5" customHeight="1" x14ac:dyDescent="0.3">
      <c r="A62" s="76" t="s">
        <v>48</v>
      </c>
      <c r="B62" s="139"/>
      <c r="C62" s="139"/>
      <c r="D62" s="76" t="s">
        <v>239</v>
      </c>
      <c r="E62" s="139"/>
      <c r="F62" s="139"/>
      <c r="G62" s="139"/>
      <c r="H62" s="139"/>
      <c r="I62" s="23"/>
    </row>
    <row r="63" spans="1:9" ht="31.5" customHeight="1" x14ac:dyDescent="0.3">
      <c r="A63" s="173" t="s">
        <v>49</v>
      </c>
      <c r="B63" s="174"/>
      <c r="C63" s="175"/>
      <c r="D63" s="171" t="s">
        <v>197</v>
      </c>
      <c r="E63" s="172"/>
      <c r="F63" s="172"/>
      <c r="G63" s="172"/>
      <c r="H63" s="172"/>
    </row>
    <row r="64" spans="1:9" ht="15.75" customHeight="1" x14ac:dyDescent="0.3">
      <c r="A64" s="173" t="s">
        <v>89</v>
      </c>
      <c r="B64" s="174"/>
      <c r="C64" s="174"/>
      <c r="D64" s="215" t="s">
        <v>198</v>
      </c>
      <c r="E64" s="216"/>
      <c r="F64" s="216"/>
      <c r="G64" s="216"/>
      <c r="H64" s="217"/>
    </row>
    <row r="65" spans="1:14" ht="15.75" customHeight="1" x14ac:dyDescent="0.3">
      <c r="A65" s="213"/>
      <c r="B65" s="214"/>
      <c r="C65" s="214"/>
      <c r="D65" s="218" t="s">
        <v>199</v>
      </c>
      <c r="E65" s="219"/>
      <c r="F65" s="219"/>
      <c r="G65" s="219"/>
      <c r="H65" s="220"/>
    </row>
    <row r="66" spans="1:14" ht="15.75" customHeight="1" x14ac:dyDescent="0.3">
      <c r="A66" s="139" t="s">
        <v>46</v>
      </c>
      <c r="B66" s="139"/>
      <c r="C66" s="139"/>
      <c r="D66" s="140" t="s">
        <v>200</v>
      </c>
      <c r="E66" s="140"/>
      <c r="F66" s="140"/>
      <c r="G66" s="140"/>
      <c r="H66" s="140"/>
      <c r="J66" s="24"/>
      <c r="K66" s="23"/>
      <c r="N66" s="23"/>
    </row>
    <row r="67" spans="1:14" ht="15.75" customHeight="1" x14ac:dyDescent="0.3">
      <c r="A67" s="100" t="s">
        <v>87</v>
      </c>
      <c r="B67" s="100"/>
      <c r="C67" s="100"/>
      <c r="D67" s="154" t="str">
        <f>(IF(G59="NA","60 Years After Completion",IF(G59&lt;&gt;"NA",""&amp;60-ROUNDDOWN((E3-G59)/360,0)&amp;" Years"," ")))</f>
        <v>60 Years After Completion</v>
      </c>
      <c r="E67" s="154"/>
      <c r="F67" s="154"/>
      <c r="G67" s="154"/>
      <c r="H67" s="154"/>
      <c r="N67" s="23"/>
    </row>
    <row r="68" spans="1:14" ht="15.75" customHeight="1" x14ac:dyDescent="0.3">
      <c r="A68" s="100" t="s">
        <v>88</v>
      </c>
      <c r="B68" s="100"/>
      <c r="C68" s="100"/>
      <c r="D68" s="164" t="s">
        <v>24</v>
      </c>
      <c r="E68" s="164"/>
      <c r="F68" s="164"/>
      <c r="G68" s="164"/>
      <c r="H68" s="164"/>
      <c r="J68" s="25"/>
      <c r="K68" s="25"/>
    </row>
    <row r="69" spans="1:14" ht="30" customHeight="1" x14ac:dyDescent="0.3">
      <c r="A69" s="100" t="s">
        <v>76</v>
      </c>
      <c r="B69" s="100"/>
      <c r="C69" s="100"/>
      <c r="D69" s="76" t="s">
        <v>176</v>
      </c>
      <c r="E69" s="164"/>
      <c r="F69" s="164"/>
      <c r="G69" s="164"/>
      <c r="H69" s="164"/>
    </row>
    <row r="70" spans="1:14" x14ac:dyDescent="0.3">
      <c r="A70" s="164" t="s">
        <v>155</v>
      </c>
      <c r="B70" s="164"/>
      <c r="C70" s="164"/>
      <c r="D70" s="164" t="s">
        <v>30</v>
      </c>
      <c r="E70" s="164"/>
      <c r="F70" s="164"/>
      <c r="G70" s="164"/>
      <c r="H70" s="164"/>
      <c r="I70" s="26"/>
      <c r="J70" s="26"/>
      <c r="K70" s="26"/>
      <c r="L70" s="26"/>
      <c r="M70" s="26"/>
      <c r="N70" s="26"/>
    </row>
    <row r="71" spans="1:14" ht="15.75" customHeight="1" x14ac:dyDescent="0.3">
      <c r="A71" s="186" t="s">
        <v>86</v>
      </c>
      <c r="B71" s="186"/>
      <c r="C71" s="186"/>
      <c r="D71" s="171" t="str">
        <f ca="1">(IF(G77&gt;95%,"Nothing",IF(G77&gt;0%,"Cement, Aggregate, Steel, etc",IF(G77=0%,"Work not yet Started"))))</f>
        <v>Cement, Aggregate, Steel, etc</v>
      </c>
      <c r="E71" s="171"/>
      <c r="F71" s="171"/>
      <c r="G71" s="171"/>
      <c r="H71" s="171"/>
      <c r="J71" s="25"/>
    </row>
    <row r="72" spans="1:14" ht="33.75" customHeight="1" thickBot="1" x14ac:dyDescent="0.35">
      <c r="A72" s="185" t="s">
        <v>119</v>
      </c>
      <c r="B72" s="185"/>
      <c r="C72" s="185"/>
      <c r="D72" s="171" t="str">
        <f ca="1">(IF(D71="Nothing","Yes",IF(D71="Cement, Aggregate, Steel, etc","Under Construction",IF(D71="Work not yet Started","Work not yet Started"))))</f>
        <v>Under Construction</v>
      </c>
      <c r="E72" s="171"/>
      <c r="F72" s="171" t="str">
        <f ca="1">(IF(D71="Nothing","Yes",IF(D71="Cement, Aggregate, Steel, etc","Under Construction",IF(D71="Work not yet Started","Work not yet Started"))))</f>
        <v>Under Construction</v>
      </c>
      <c r="G72" s="171"/>
      <c r="H72" s="171"/>
    </row>
    <row r="73" spans="1:14" ht="15.75" customHeight="1" x14ac:dyDescent="0.3">
      <c r="A73" s="180" t="s">
        <v>145</v>
      </c>
      <c r="B73" s="181"/>
      <c r="C73" s="182" t="str">
        <f>D64</f>
        <v>Building No.1 = B + G + 1st to 30th Floor</v>
      </c>
      <c r="D73" s="183"/>
      <c r="E73" s="183"/>
      <c r="F73" s="183"/>
      <c r="G73" s="183"/>
      <c r="H73" s="184"/>
      <c r="I73" s="47" t="str">
        <f ca="1">IF(D86=100%,"All work Completed. Possession granted to the Building.",IF(D85=100%,"All work Completed, Waiting for OC",I74&amp;""&amp;I75&amp;""&amp;J74&amp;""&amp;J73&amp;" "&amp;J75))</f>
        <v xml:space="preserve">Excavation, Plinth Completed </v>
      </c>
      <c r="J73" s="48" t="str">
        <f ca="1">(IF(C79=(D74+F74+H74),"",IF(C79&gt;0,", RCC upto "&amp;C79&amp;" Slab","")))&amp;(IF(C80=H74,"",IF(C80&gt;0,", Brickwork upto "&amp;C80&amp;" Floor","")))&amp;(IF(C81=H74,"",IF(C81&gt;0,", Internal Plaster upto "&amp;C81&amp;" Floor","")))&amp;(IF(C82=H74,"",IF(C82&gt;0,", External Plaster upto "&amp;C82&amp;" Floor","")))&amp;(IF(C83=H74,"",IF(C83&gt;0,", Flooring upto "&amp;C83&amp;" Floor","")))&amp;(IF(C84=H74,"",IF(C84&gt;0,", Painting upto "&amp;C84&amp;" Floor","")))&amp;(IF(C85=H74,"",IF(C85&gt;0,", Finishing upto "&amp;C85&amp;" Floor","")))&amp;(IF(C86=H74,"",IF(C86&gt;0,", Possession upto "&amp;C86&amp;" Floor","")))</f>
        <v/>
      </c>
    </row>
    <row r="74" spans="1:14" x14ac:dyDescent="0.3">
      <c r="A74" s="16" t="s">
        <v>147</v>
      </c>
      <c r="B74" s="51">
        <v>1</v>
      </c>
      <c r="C74" s="51" t="s">
        <v>73</v>
      </c>
      <c r="D74" s="51">
        <v>1</v>
      </c>
      <c r="E74" s="51" t="s">
        <v>72</v>
      </c>
      <c r="F74" s="51">
        <v>0</v>
      </c>
      <c r="G74" s="51" t="s">
        <v>80</v>
      </c>
      <c r="H74" s="17">
        <f ca="1">--TRIM(RIGHT(SUBSTITUTE(LEFT(C73,_xlfn.AGGREGATE(16,6,FIND({0,1,2,3,4,5,6,7,8,9},C73,ROW(INDIRECT("1:"&amp;LEN(C73)))),1))," ",REPT(" ",LEN(C73))),LEN(C73)))</f>
        <v>30</v>
      </c>
      <c r="I74" s="49" t="str">
        <f ca="1">IF(D77=100%,"Excavation","")&amp;IF(D78=100%,", Plinth","")&amp;IF(D79=100%,", RCC Slab","")&amp;IF(D80=100%,", Brickwork","")&amp;IF(D81=100%,", Internal Plaster","")&amp;IF(D82=100%,", External Plaster","")&amp;IF(D83=100%,", Flooring","")&amp;IF(D84=100%,", Painting","")&amp;IF(D85=100%,", Building common Amenities","")</f>
        <v>Excavation, Plinth</v>
      </c>
      <c r="J74" s="50" t="str">
        <f ca="1">(IF(C77=0,"Work not yet Started.",IF(D77=25%,"Piling work in process",IF(D77=50%,"Excavation work in process",IF(D77=100%,"","0")))))&amp;(IF(C78=0%,"",IF(C78=J79,", Footing work is process",IF(C78=J80,", Footing work Completed",IF(C78=J81,", 1st Basement Completed",IF(C78=J82,", 1st &amp; 2nd Basement Completed",IF(C78=J83,", 1st to 3rd Basement Completed",IF(C78=J84,", 1st to 4th Basement Completed",IF(C78=J85,", Plinth work is process",IF(C78=J86,"","0"))))))))))</f>
        <v/>
      </c>
    </row>
    <row r="75" spans="1:14" ht="16.5" customHeight="1" x14ac:dyDescent="0.3">
      <c r="A75" s="101" t="s">
        <v>90</v>
      </c>
      <c r="B75" s="102"/>
      <c r="C75" s="103" t="str">
        <f ca="1">I73</f>
        <v xml:space="preserve">Excavation, Plinth Completed </v>
      </c>
      <c r="D75" s="103"/>
      <c r="E75" s="103"/>
      <c r="F75" s="103"/>
      <c r="G75" s="103"/>
      <c r="H75" s="104"/>
      <c r="I75" s="49" t="str">
        <f ca="1">IF(I74&lt;&gt;""," Completed","")</f>
        <v xml:space="preserve"> Completed</v>
      </c>
      <c r="J75" s="50" t="str">
        <f ca="1">IF(J73&lt;&gt;"","Completed","")</f>
        <v/>
      </c>
    </row>
    <row r="76" spans="1:14" ht="15.75" customHeight="1" x14ac:dyDescent="0.3">
      <c r="A76" s="150" t="s">
        <v>50</v>
      </c>
      <c r="B76" s="151"/>
      <c r="C76" s="54" t="s">
        <v>144</v>
      </c>
      <c r="D76" s="54" t="s">
        <v>83</v>
      </c>
      <c r="E76" s="151" t="s">
        <v>85</v>
      </c>
      <c r="F76" s="151"/>
      <c r="G76" s="151" t="s">
        <v>84</v>
      </c>
      <c r="H76" s="187"/>
      <c r="I76" s="14" t="s">
        <v>146</v>
      </c>
      <c r="J76" s="27">
        <f ca="1">H74*25%</f>
        <v>7.5</v>
      </c>
    </row>
    <row r="77" spans="1:14" x14ac:dyDescent="0.3">
      <c r="A77" s="150" t="s">
        <v>133</v>
      </c>
      <c r="B77" s="151"/>
      <c r="C77" s="54">
        <f ca="1">J78</f>
        <v>30</v>
      </c>
      <c r="D77" s="55">
        <f ca="1">((100/H74)*C77)/100</f>
        <v>1</v>
      </c>
      <c r="E77" s="141">
        <f ca="1">(((C78/H74*10)+(40/(D74+F74+H74)*C79)+(7.5/(H74)*C80)+(7.5/(H74)*C81)+(10/H74*C82)+(10/H74*C83)+(5/H74*C84)+(5/H74*C85)+(5/H74*C86))/100)</f>
        <v>0.1</v>
      </c>
      <c r="F77" s="142"/>
      <c r="G77" s="141">
        <f ca="1">((((C77/H74)*20)+((C78/H74)*25)+(30/(H74+F74+D74)*C79)+(5/H74*C80)+(5/H74*C81)+(5/H74*C82)+(5/H74*C83)+(0/H74*C84)+(0/H74*C85)+(5/H74*C86))/100)</f>
        <v>0.45</v>
      </c>
      <c r="H77" s="147"/>
      <c r="I77" s="14" t="s">
        <v>101</v>
      </c>
      <c r="J77" s="28">
        <f ca="1">H74*50%</f>
        <v>15</v>
      </c>
    </row>
    <row r="78" spans="1:14" x14ac:dyDescent="0.3">
      <c r="A78" s="150" t="s">
        <v>51</v>
      </c>
      <c r="B78" s="151"/>
      <c r="C78" s="71">
        <f ca="1">J86</f>
        <v>30</v>
      </c>
      <c r="D78" s="55">
        <f ca="1">((100/H74)*C78)/100</f>
        <v>1</v>
      </c>
      <c r="E78" s="143"/>
      <c r="F78" s="144"/>
      <c r="G78" s="143"/>
      <c r="H78" s="148"/>
      <c r="I78" s="14" t="s">
        <v>102</v>
      </c>
      <c r="J78" s="28">
        <f ca="1">H74</f>
        <v>30</v>
      </c>
    </row>
    <row r="79" spans="1:14" ht="15.75" customHeight="1" x14ac:dyDescent="0.3">
      <c r="A79" s="150" t="s">
        <v>134</v>
      </c>
      <c r="B79" s="151"/>
      <c r="C79" s="54">
        <v>0</v>
      </c>
      <c r="D79" s="55">
        <f ca="1">((100/(D74+F74+H74))*C79)/100</f>
        <v>0</v>
      </c>
      <c r="E79" s="143"/>
      <c r="F79" s="144"/>
      <c r="G79" s="143"/>
      <c r="H79" s="148"/>
      <c r="I79" s="14" t="s">
        <v>103</v>
      </c>
      <c r="J79" s="29">
        <f ca="1">(IF(B74&gt;1,(H74/(B74+2)),H74/4))</f>
        <v>7.5</v>
      </c>
    </row>
    <row r="80" spans="1:14" ht="15.75" customHeight="1" x14ac:dyDescent="0.3">
      <c r="A80" s="150" t="s">
        <v>141</v>
      </c>
      <c r="B80" s="151" t="s">
        <v>135</v>
      </c>
      <c r="C80" s="54">
        <v>0</v>
      </c>
      <c r="D80" s="55">
        <f ca="1">((100/H74)*C80)/100</f>
        <v>0</v>
      </c>
      <c r="E80" s="143"/>
      <c r="F80" s="144"/>
      <c r="G80" s="143"/>
      <c r="H80" s="148"/>
      <c r="I80" s="14" t="s">
        <v>104</v>
      </c>
      <c r="J80" s="29">
        <f ca="1">(IF(B74&gt;1,(H74/(B74+2)+J79),H74/4+J79))</f>
        <v>15</v>
      </c>
    </row>
    <row r="81" spans="1:10" ht="15.75" customHeight="1" x14ac:dyDescent="0.3">
      <c r="A81" s="150" t="s">
        <v>142</v>
      </c>
      <c r="B81" s="151" t="s">
        <v>135</v>
      </c>
      <c r="C81" s="54">
        <v>0</v>
      </c>
      <c r="D81" s="55">
        <f ca="1">((100/H74)*C81)/100</f>
        <v>0</v>
      </c>
      <c r="E81" s="143"/>
      <c r="F81" s="144"/>
      <c r="G81" s="143"/>
      <c r="H81" s="148"/>
      <c r="I81" s="14" t="s">
        <v>153</v>
      </c>
      <c r="J81" s="29">
        <f>(IF(B74&gt;1,(H74/(B74+2)+J80),0))</f>
        <v>0</v>
      </c>
    </row>
    <row r="82" spans="1:10" ht="15" customHeight="1" x14ac:dyDescent="0.3">
      <c r="A82" s="150" t="s">
        <v>140</v>
      </c>
      <c r="B82" s="151" t="s">
        <v>137</v>
      </c>
      <c r="C82" s="54">
        <v>0</v>
      </c>
      <c r="D82" s="55">
        <f ca="1">((100/(H74))*C82)/100</f>
        <v>0</v>
      </c>
      <c r="E82" s="143"/>
      <c r="F82" s="144"/>
      <c r="G82" s="143"/>
      <c r="H82" s="148"/>
      <c r="I82" s="14" t="s">
        <v>148</v>
      </c>
      <c r="J82" s="29">
        <f>(IF(B74&gt;2,(H74/(B74+2)+J81),0))</f>
        <v>0</v>
      </c>
    </row>
    <row r="83" spans="1:10" ht="15.75" customHeight="1" x14ac:dyDescent="0.3">
      <c r="A83" s="150" t="s">
        <v>136</v>
      </c>
      <c r="B83" s="151" t="s">
        <v>136</v>
      </c>
      <c r="C83" s="54">
        <v>0</v>
      </c>
      <c r="D83" s="55">
        <f ca="1">((100/H74)*C83)/100</f>
        <v>0</v>
      </c>
      <c r="E83" s="143"/>
      <c r="F83" s="144"/>
      <c r="G83" s="143"/>
      <c r="H83" s="148"/>
      <c r="I83" s="14" t="s">
        <v>149</v>
      </c>
      <c r="J83" s="30">
        <f>(IF(B74&gt;3,(H74/(B74+2)+J82),0))</f>
        <v>0</v>
      </c>
    </row>
    <row r="84" spans="1:10" ht="15.75" customHeight="1" x14ac:dyDescent="0.3">
      <c r="A84" s="150" t="s">
        <v>143</v>
      </c>
      <c r="B84" s="151"/>
      <c r="C84" s="54">
        <v>0</v>
      </c>
      <c r="D84" s="55">
        <f ca="1">((100/H74)*C84)/100</f>
        <v>0</v>
      </c>
      <c r="E84" s="143"/>
      <c r="F84" s="144"/>
      <c r="G84" s="143"/>
      <c r="H84" s="148"/>
      <c r="I84" s="14" t="s">
        <v>150</v>
      </c>
      <c r="J84" s="29">
        <f>(IF(B74&gt;4,(H74/(B74+2)+J83),0))</f>
        <v>0</v>
      </c>
    </row>
    <row r="85" spans="1:10" ht="15.75" customHeight="1" x14ac:dyDescent="0.3">
      <c r="A85" s="150" t="s">
        <v>138</v>
      </c>
      <c r="B85" s="151" t="s">
        <v>138</v>
      </c>
      <c r="C85" s="54">
        <v>0</v>
      </c>
      <c r="D85" s="55">
        <f ca="1">((100/(H74))*C85)/100</f>
        <v>0</v>
      </c>
      <c r="E85" s="143"/>
      <c r="F85" s="144"/>
      <c r="G85" s="143"/>
      <c r="H85" s="148"/>
      <c r="I85" s="14" t="s">
        <v>154</v>
      </c>
      <c r="J85" s="29">
        <f ca="1">(IF(B74=1,(H74/(B74+3)+J80),IF(B74=0,(H74/4+J80),IF(B74&gt;1,0))))</f>
        <v>22.5</v>
      </c>
    </row>
    <row r="86" spans="1:10" ht="16.2" thickBot="1" x14ac:dyDescent="0.35">
      <c r="A86" s="152" t="s">
        <v>139</v>
      </c>
      <c r="B86" s="153"/>
      <c r="C86" s="56">
        <v>0</v>
      </c>
      <c r="D86" s="57">
        <f ca="1">((100/(H74))*C86)/100</f>
        <v>0</v>
      </c>
      <c r="E86" s="145"/>
      <c r="F86" s="146"/>
      <c r="G86" s="145"/>
      <c r="H86" s="149"/>
      <c r="I86" s="15" t="s">
        <v>105</v>
      </c>
      <c r="J86" s="31">
        <f ca="1">(IF(B74&gt;1.5,(H74/(B74+2)+J80+MAX(0,J81-J80)+MAX(0,J82-J81)+MAX(0,J83-J82)+MAX(0,J84-J83)+MAX(0,J85-J84)),IF(B74=1,(H74/(B74+3)+J85),IF(B74=0,H74/4+J85))))</f>
        <v>30</v>
      </c>
    </row>
    <row r="87" spans="1:10" ht="15.75" customHeight="1" x14ac:dyDescent="0.3">
      <c r="A87" s="180" t="s">
        <v>145</v>
      </c>
      <c r="B87" s="181"/>
      <c r="C87" s="182" t="str">
        <f>D65</f>
        <v>Building No.2 = B + G + 1st to 50th Floor</v>
      </c>
      <c r="D87" s="183"/>
      <c r="E87" s="183"/>
      <c r="F87" s="183"/>
      <c r="G87" s="183"/>
      <c r="H87" s="184"/>
      <c r="I87" s="47" t="str">
        <f ca="1">IF(D100=100%,"All work Completed. Possession granted to the Building.",IF(D99=100%,"All work Completed, Waiting for OC",I88&amp;""&amp;I89&amp;""&amp;J88&amp;""&amp;J87&amp;" "&amp;J89))</f>
        <v xml:space="preserve">Excavation, Plinth Completed </v>
      </c>
      <c r="J87" s="48" t="str">
        <f ca="1">(IF(C93=(D88+F88+H88),"",IF(C93&gt;0,", RCC upto "&amp;C93&amp;" Slab","")))&amp;(IF(C94=H88,"",IF(C94&gt;0,", Brickwork upto "&amp;C94&amp;" Floor","")))&amp;(IF(C95=H88,"",IF(C95&gt;0,", Internal Plaster upto "&amp;C95&amp;" Floor","")))&amp;(IF(C96=H88,"",IF(C96&gt;0,", External Plaster upto "&amp;C96&amp;" Floor","")))&amp;(IF(C97=H88,"",IF(C97&gt;0,", Flooring upto "&amp;C97&amp;" Floor","")))&amp;(IF(C98=H88,"",IF(C98&gt;0,", Painting upto "&amp;C98&amp;" Floor","")))&amp;(IF(C99=H88,"",IF(C99&gt;0,", Finishing upto "&amp;C99&amp;" Floor","")))&amp;(IF(C100=H88,"",IF(C100&gt;0,", Possession upto "&amp;C100&amp;" Floor","")))</f>
        <v/>
      </c>
    </row>
    <row r="88" spans="1:10" x14ac:dyDescent="0.3">
      <c r="A88" s="16" t="s">
        <v>147</v>
      </c>
      <c r="B88" s="51">
        <v>1</v>
      </c>
      <c r="C88" s="51" t="s">
        <v>73</v>
      </c>
      <c r="D88" s="51">
        <v>1</v>
      </c>
      <c r="E88" s="51" t="s">
        <v>72</v>
      </c>
      <c r="F88" s="51">
        <v>0</v>
      </c>
      <c r="G88" s="51" t="s">
        <v>80</v>
      </c>
      <c r="H88" s="17">
        <f ca="1">--TRIM(RIGHT(SUBSTITUTE(LEFT(C87,_xlfn.AGGREGATE(16,6,FIND({0,1,2,3,4,5,6,7,8,9},C87,ROW(INDIRECT("1:"&amp;LEN(C87)))),1))," ",REPT(" ",LEN(C87))),LEN(C87)))</f>
        <v>50</v>
      </c>
      <c r="I88" s="49" t="str">
        <f ca="1">IF(D91=100%,"Excavation","")&amp;IF(D92=100%,", Plinth","")&amp;IF(D93=100%,", RCC Slab","")&amp;IF(D94=100%,", Brickwork","")&amp;IF(D95=100%,", Internal Plaster","")&amp;IF(D96=100%,", External Plaster","")&amp;IF(D97=100%,", Flooring","")&amp;IF(D98=100%,", Painting","")&amp;IF(D99=100%,", Building common Amenities","")</f>
        <v>Excavation, Plinth</v>
      </c>
      <c r="J88" s="50" t="str">
        <f ca="1">(IF(C91=0,"Work not yet Started.",IF(D91=25%,"Piling work in process",IF(D91=50%,"Excavation work in process",IF(D91=100%,"","0")))))&amp;(IF(C92=0%,"",IF(C92=J93,", Footing work is process",IF(C92=J94,", Footing work Completed",IF(C92=J95,", 1st Basement Completed",IF(C92=J96,", 1st &amp; 2nd Basement Completed",IF(C92=J97,", 1st to 3rd Basement Completed",IF(C92=J98,", 1st to 4th Basement Completed",IF(C92=J99,", Plinth work is process",IF(C92=J100,"","0"))))))))))</f>
        <v/>
      </c>
    </row>
    <row r="89" spans="1:10" ht="18.75" customHeight="1" x14ac:dyDescent="0.3">
      <c r="A89" s="101" t="s">
        <v>90</v>
      </c>
      <c r="B89" s="102"/>
      <c r="C89" s="103" t="str">
        <f ca="1">I87</f>
        <v xml:space="preserve">Excavation, Plinth Completed </v>
      </c>
      <c r="D89" s="103"/>
      <c r="E89" s="103"/>
      <c r="F89" s="103"/>
      <c r="G89" s="103"/>
      <c r="H89" s="104"/>
      <c r="I89" s="49" t="str">
        <f ca="1">IF(I88&lt;&gt;""," Completed","")</f>
        <v xml:space="preserve"> Completed</v>
      </c>
      <c r="J89" s="50" t="str">
        <f ca="1">IF(J87&lt;&gt;"","Completed","")</f>
        <v/>
      </c>
    </row>
    <row r="90" spans="1:10" ht="15.75" customHeight="1" x14ac:dyDescent="0.3">
      <c r="A90" s="91" t="s">
        <v>50</v>
      </c>
      <c r="B90" s="92"/>
      <c r="C90" s="43" t="s">
        <v>144</v>
      </c>
      <c r="D90" s="43" t="s">
        <v>83</v>
      </c>
      <c r="E90" s="92" t="s">
        <v>85</v>
      </c>
      <c r="F90" s="92"/>
      <c r="G90" s="92" t="s">
        <v>84</v>
      </c>
      <c r="H90" s="105"/>
      <c r="I90" s="14" t="s">
        <v>146</v>
      </c>
      <c r="J90" s="27">
        <f ca="1">H88*25%</f>
        <v>12.5</v>
      </c>
    </row>
    <row r="91" spans="1:10" x14ac:dyDescent="0.3">
      <c r="A91" s="91" t="s">
        <v>133</v>
      </c>
      <c r="B91" s="92"/>
      <c r="C91" s="43">
        <f ca="1">J92</f>
        <v>50</v>
      </c>
      <c r="D91" s="18">
        <f ca="1">((100/H88)*C91)/100</f>
        <v>1</v>
      </c>
      <c r="E91" s="85">
        <f ca="1">(((C92/H88*10)+(40/(D88+F88+H88)*C93)+(7.5/(H88)*C94)+(7.5/(H88)*C95)+(10/H88*C96)+(10/H88*C97)+(5/H88*C98)+(5/H88*C99)+(5/H88*C100))/100)</f>
        <v>0.1</v>
      </c>
      <c r="F91" s="108"/>
      <c r="G91" s="85">
        <f ca="1">((((C91/H88)*20)+((C92/H88)*25)+(30/(H88+F88+D88)*C93)+(5/H88*C94)+(5/H88*C95)+(5/H88*C96)+(5/H88*C97)+(0/H88*C98)+(0/H88*C99)+(5/H88*C100))/100)</f>
        <v>0.45</v>
      </c>
      <c r="H91" s="86"/>
      <c r="I91" s="14" t="s">
        <v>101</v>
      </c>
      <c r="J91" s="28">
        <f ca="1">H88*50%</f>
        <v>25</v>
      </c>
    </row>
    <row r="92" spans="1:10" x14ac:dyDescent="0.3">
      <c r="A92" s="91" t="s">
        <v>51</v>
      </c>
      <c r="B92" s="92"/>
      <c r="C92" s="72">
        <f ca="1">J100</f>
        <v>50</v>
      </c>
      <c r="D92" s="18">
        <f ca="1">((100/H88)*C92)/100</f>
        <v>1</v>
      </c>
      <c r="E92" s="87"/>
      <c r="F92" s="109"/>
      <c r="G92" s="87"/>
      <c r="H92" s="88"/>
      <c r="I92" s="14" t="s">
        <v>102</v>
      </c>
      <c r="J92" s="28">
        <f ca="1">H88</f>
        <v>50</v>
      </c>
    </row>
    <row r="93" spans="1:10" ht="15.75" customHeight="1" x14ac:dyDescent="0.3">
      <c r="A93" s="91" t="s">
        <v>134</v>
      </c>
      <c r="B93" s="92"/>
      <c r="C93" s="43">
        <v>0</v>
      </c>
      <c r="D93" s="18">
        <f ca="1">((100/(D88+F88+H88))*C93)/100</f>
        <v>0</v>
      </c>
      <c r="E93" s="87"/>
      <c r="F93" s="109"/>
      <c r="G93" s="87"/>
      <c r="H93" s="88"/>
      <c r="I93" s="14" t="s">
        <v>103</v>
      </c>
      <c r="J93" s="29">
        <f ca="1">(IF(B88&gt;1,(H88/(B88+2)),H88/4))</f>
        <v>12.5</v>
      </c>
    </row>
    <row r="94" spans="1:10" ht="15.75" customHeight="1" x14ac:dyDescent="0.3">
      <c r="A94" s="91" t="s">
        <v>141</v>
      </c>
      <c r="B94" s="92" t="s">
        <v>135</v>
      </c>
      <c r="C94" s="43">
        <v>0</v>
      </c>
      <c r="D94" s="18">
        <f ca="1">((100/H88)*C94)/100</f>
        <v>0</v>
      </c>
      <c r="E94" s="87"/>
      <c r="F94" s="109"/>
      <c r="G94" s="87"/>
      <c r="H94" s="88"/>
      <c r="I94" s="14" t="s">
        <v>104</v>
      </c>
      <c r="J94" s="29">
        <f ca="1">(IF(B88&gt;1,(H88/(B88+2)+J93),H88/4+J93))</f>
        <v>25</v>
      </c>
    </row>
    <row r="95" spans="1:10" ht="15.75" customHeight="1" x14ac:dyDescent="0.3">
      <c r="A95" s="91" t="s">
        <v>142</v>
      </c>
      <c r="B95" s="92" t="s">
        <v>135</v>
      </c>
      <c r="C95" s="43">
        <v>0</v>
      </c>
      <c r="D95" s="18">
        <f ca="1">((100/H88)*C95)/100</f>
        <v>0</v>
      </c>
      <c r="E95" s="87"/>
      <c r="F95" s="109"/>
      <c r="G95" s="87"/>
      <c r="H95" s="88"/>
      <c r="I95" s="14" t="s">
        <v>153</v>
      </c>
      <c r="J95" s="29">
        <f>(IF(B88&gt;1,(H88/(B88+2)+J94),0))</f>
        <v>0</v>
      </c>
    </row>
    <row r="96" spans="1:10" ht="15" customHeight="1" x14ac:dyDescent="0.3">
      <c r="A96" s="91" t="s">
        <v>140</v>
      </c>
      <c r="B96" s="92" t="s">
        <v>137</v>
      </c>
      <c r="C96" s="43">
        <v>0</v>
      </c>
      <c r="D96" s="18">
        <f ca="1">((100/(H88))*C96)/100</f>
        <v>0</v>
      </c>
      <c r="E96" s="87"/>
      <c r="F96" s="109"/>
      <c r="G96" s="87"/>
      <c r="H96" s="88"/>
      <c r="I96" s="14" t="s">
        <v>148</v>
      </c>
      <c r="J96" s="29">
        <f>(IF(B88&gt;2,(H88/(B88+2)+J95),0))</f>
        <v>0</v>
      </c>
    </row>
    <row r="97" spans="1:12" ht="15.75" customHeight="1" x14ac:dyDescent="0.3">
      <c r="A97" s="91" t="s">
        <v>136</v>
      </c>
      <c r="B97" s="92" t="s">
        <v>136</v>
      </c>
      <c r="C97" s="43">
        <v>0</v>
      </c>
      <c r="D97" s="18">
        <f ca="1">((100/H88)*C97)/100</f>
        <v>0</v>
      </c>
      <c r="E97" s="87"/>
      <c r="F97" s="109"/>
      <c r="G97" s="87"/>
      <c r="H97" s="88"/>
      <c r="I97" s="14" t="s">
        <v>149</v>
      </c>
      <c r="J97" s="30">
        <f>(IF(B88&gt;3,(H88/(B88+2)+J96),0))</f>
        <v>0</v>
      </c>
    </row>
    <row r="98" spans="1:12" ht="15.75" customHeight="1" x14ac:dyDescent="0.3">
      <c r="A98" s="91" t="s">
        <v>143</v>
      </c>
      <c r="B98" s="92"/>
      <c r="C98" s="43">
        <v>0</v>
      </c>
      <c r="D98" s="18">
        <f ca="1">((100/H88)*C98)/100</f>
        <v>0</v>
      </c>
      <c r="E98" s="87"/>
      <c r="F98" s="109"/>
      <c r="G98" s="87"/>
      <c r="H98" s="88"/>
      <c r="I98" s="14" t="s">
        <v>150</v>
      </c>
      <c r="J98" s="29">
        <f>(IF(B88&gt;4,(H88/(B88+2)+J97),0))</f>
        <v>0</v>
      </c>
    </row>
    <row r="99" spans="1:12" ht="15.75" customHeight="1" x14ac:dyDescent="0.3">
      <c r="A99" s="91" t="s">
        <v>138</v>
      </c>
      <c r="B99" s="92" t="s">
        <v>138</v>
      </c>
      <c r="C99" s="43">
        <v>0</v>
      </c>
      <c r="D99" s="18">
        <f ca="1">((100/(H88))*C99)/100</f>
        <v>0</v>
      </c>
      <c r="E99" s="87"/>
      <c r="F99" s="109"/>
      <c r="G99" s="87"/>
      <c r="H99" s="88"/>
      <c r="I99" s="14" t="s">
        <v>154</v>
      </c>
      <c r="J99" s="29">
        <f ca="1">(IF(B88=1,(H88/(B88+3)+J94),IF(B88=0,(H88/4+J94),IF(B88&gt;1,0))))</f>
        <v>37.5</v>
      </c>
    </row>
    <row r="100" spans="1:12" ht="16.2" thickBot="1" x14ac:dyDescent="0.35">
      <c r="A100" s="111" t="s">
        <v>139</v>
      </c>
      <c r="B100" s="112"/>
      <c r="C100" s="44">
        <v>0</v>
      </c>
      <c r="D100" s="19">
        <f ca="1">((100/(H88))*C100)/100</f>
        <v>0</v>
      </c>
      <c r="E100" s="89"/>
      <c r="F100" s="110"/>
      <c r="G100" s="89"/>
      <c r="H100" s="90"/>
      <c r="I100" s="15" t="s">
        <v>105</v>
      </c>
      <c r="J100" s="31">
        <f ca="1">(IF(B88&gt;1.5,(H88/(B88+2)+J94+MAX(0,J95-J94)+MAX(0,J96-J95)+MAX(0,J97-J96)+MAX(0,J98-J97)+MAX(0,J99-J98)),IF(B88=1,(H88/(B88+3)+J99),IF(B88=0,H88/4+J99))))</f>
        <v>50</v>
      </c>
    </row>
    <row r="101" spans="1:12" x14ac:dyDescent="0.3">
      <c r="A101" s="107" t="s">
        <v>166</v>
      </c>
      <c r="B101" s="107"/>
      <c r="C101" s="107"/>
      <c r="D101" s="107"/>
      <c r="E101" s="107"/>
      <c r="F101" s="113" t="s">
        <v>170</v>
      </c>
      <c r="G101" s="113"/>
      <c r="H101" s="113"/>
    </row>
    <row r="102" spans="1:12" x14ac:dyDescent="0.3">
      <c r="A102" s="100" t="s">
        <v>168</v>
      </c>
      <c r="B102" s="100"/>
      <c r="C102" s="100"/>
      <c r="D102" s="100"/>
      <c r="E102" s="100"/>
      <c r="F102" s="211">
        <v>13000</v>
      </c>
      <c r="G102" s="211"/>
      <c r="H102" s="211"/>
      <c r="J102" s="20" t="s">
        <v>242</v>
      </c>
      <c r="L102" s="20" t="s">
        <v>243</v>
      </c>
    </row>
    <row r="103" spans="1:12" ht="31.5" customHeight="1" x14ac:dyDescent="0.3">
      <c r="A103" s="94" t="s">
        <v>255</v>
      </c>
      <c r="B103" s="94"/>
      <c r="C103" s="94"/>
      <c r="D103" s="94"/>
      <c r="E103" s="94"/>
      <c r="F103" s="93">
        <v>28000</v>
      </c>
      <c r="G103" s="93"/>
      <c r="H103" s="93"/>
      <c r="I103" s="67" t="s">
        <v>256</v>
      </c>
      <c r="J103" s="67"/>
      <c r="K103" s="67"/>
    </row>
    <row r="104" spans="1:12" x14ac:dyDescent="0.3">
      <c r="A104" s="100" t="s">
        <v>169</v>
      </c>
      <c r="B104" s="100"/>
      <c r="C104" s="100"/>
      <c r="D104" s="100"/>
      <c r="E104" s="100"/>
      <c r="F104" s="106">
        <v>19000</v>
      </c>
      <c r="G104" s="106"/>
      <c r="H104" s="106"/>
    </row>
    <row r="105" spans="1:12" s="32" customFormat="1" hidden="1" x14ac:dyDescent="0.25">
      <c r="A105" s="100" t="s">
        <v>167</v>
      </c>
      <c r="B105" s="100"/>
      <c r="C105" s="100"/>
      <c r="D105" s="100"/>
      <c r="E105" s="100"/>
      <c r="F105" s="106"/>
      <c r="G105" s="106"/>
      <c r="H105" s="106"/>
    </row>
    <row r="106" spans="1:12" s="32" customFormat="1" hidden="1" x14ac:dyDescent="0.25">
      <c r="A106" s="100" t="s">
        <v>95</v>
      </c>
      <c r="B106" s="100"/>
      <c r="C106" s="100"/>
      <c r="D106" s="100"/>
      <c r="E106" s="100"/>
      <c r="F106" s="106"/>
      <c r="G106" s="106"/>
      <c r="H106" s="106"/>
    </row>
    <row r="107" spans="1:12" s="32" customFormat="1" hidden="1" x14ac:dyDescent="0.25">
      <c r="A107" s="100" t="s">
        <v>96</v>
      </c>
      <c r="B107" s="100"/>
      <c r="C107" s="100"/>
      <c r="D107" s="100"/>
      <c r="E107" s="100"/>
      <c r="F107" s="106"/>
      <c r="G107" s="106"/>
      <c r="H107" s="106"/>
    </row>
    <row r="108" spans="1:12" s="32" customFormat="1" hidden="1" x14ac:dyDescent="0.25">
      <c r="A108" s="100" t="s">
        <v>171</v>
      </c>
      <c r="B108" s="100"/>
      <c r="C108" s="100"/>
      <c r="D108" s="100"/>
      <c r="E108" s="100"/>
      <c r="F108" s="106"/>
      <c r="G108" s="106"/>
      <c r="H108" s="106"/>
    </row>
    <row r="109" spans="1:12" s="32" customFormat="1" hidden="1" x14ac:dyDescent="0.25">
      <c r="A109" s="100" t="s">
        <v>97</v>
      </c>
      <c r="B109" s="100"/>
      <c r="C109" s="100"/>
      <c r="D109" s="100"/>
      <c r="E109" s="100"/>
      <c r="F109" s="106"/>
      <c r="G109" s="106"/>
      <c r="H109" s="106"/>
    </row>
    <row r="110" spans="1:12" s="32" customFormat="1" hidden="1" x14ac:dyDescent="0.25">
      <c r="A110" s="100" t="s">
        <v>98</v>
      </c>
      <c r="B110" s="100"/>
      <c r="C110" s="100"/>
      <c r="D110" s="100"/>
      <c r="E110" s="100"/>
      <c r="F110" s="106"/>
      <c r="G110" s="106"/>
      <c r="H110" s="106"/>
    </row>
    <row r="111" spans="1:12" s="32" customFormat="1" hidden="1" x14ac:dyDescent="0.25">
      <c r="A111" s="100" t="s">
        <v>99</v>
      </c>
      <c r="B111" s="100"/>
      <c r="C111" s="100"/>
      <c r="D111" s="100"/>
      <c r="E111" s="100"/>
      <c r="F111" s="106"/>
      <c r="G111" s="106"/>
      <c r="H111" s="106"/>
    </row>
    <row r="112" spans="1:12" s="32" customFormat="1" hidden="1" x14ac:dyDescent="0.25">
      <c r="A112" s="100" t="s">
        <v>100</v>
      </c>
      <c r="B112" s="100"/>
      <c r="C112" s="100"/>
      <c r="D112" s="100"/>
      <c r="E112" s="100"/>
      <c r="F112" s="106"/>
      <c r="G112" s="106"/>
      <c r="H112" s="106"/>
    </row>
    <row r="113" spans="1:9" x14ac:dyDescent="0.3">
      <c r="A113" s="100" t="s">
        <v>52</v>
      </c>
      <c r="B113" s="100"/>
      <c r="C113" s="100"/>
      <c r="D113" s="100"/>
      <c r="E113" s="100"/>
      <c r="F113" s="106">
        <v>800000</v>
      </c>
      <c r="G113" s="106"/>
      <c r="H113" s="106"/>
    </row>
    <row r="114" spans="1:9" s="33" customFormat="1" x14ac:dyDescent="0.3">
      <c r="A114" s="138" t="s">
        <v>53</v>
      </c>
      <c r="B114" s="138"/>
      <c r="C114" s="138"/>
      <c r="D114" s="138"/>
      <c r="E114" s="138"/>
      <c r="F114" s="106">
        <f>F102*0.8</f>
        <v>10400</v>
      </c>
      <c r="G114" s="106"/>
      <c r="H114" s="106"/>
    </row>
    <row r="115" spans="1:9" s="34" customFormat="1" ht="15.75" customHeight="1" x14ac:dyDescent="0.3">
      <c r="A115" s="122" t="s">
        <v>237</v>
      </c>
      <c r="B115" s="122"/>
      <c r="C115" s="122"/>
      <c r="D115" s="122"/>
      <c r="E115" s="122"/>
      <c r="F115" s="122"/>
      <c r="G115" s="122"/>
      <c r="H115" s="122"/>
    </row>
    <row r="116" spans="1:9" s="34" customFormat="1" ht="15.75" customHeight="1" x14ac:dyDescent="0.3">
      <c r="A116" s="205" t="s">
        <v>54</v>
      </c>
      <c r="B116" s="205"/>
      <c r="C116" s="206" t="s">
        <v>79</v>
      </c>
      <c r="D116" s="206"/>
      <c r="E116" s="192" t="s">
        <v>55</v>
      </c>
      <c r="F116" s="192"/>
      <c r="G116" s="205" t="s">
        <v>56</v>
      </c>
      <c r="H116" s="205"/>
    </row>
    <row r="117" spans="1:9" s="34" customFormat="1" ht="30.75" customHeight="1" x14ac:dyDescent="0.3">
      <c r="A117" s="59" t="s">
        <v>230</v>
      </c>
      <c r="B117" s="59" t="s">
        <v>231</v>
      </c>
      <c r="C117" s="125">
        <f>COUNT(D149:D154)</f>
        <v>6</v>
      </c>
      <c r="D117" s="209"/>
      <c r="E117" s="124">
        <f>SUM(D149:D154)</f>
        <v>652.62993119999999</v>
      </c>
      <c r="F117" s="210"/>
      <c r="G117" s="124">
        <f>SUM(F149:F154)</f>
        <v>1044.2078899199998</v>
      </c>
      <c r="H117" s="210"/>
    </row>
    <row r="118" spans="1:9" s="34" customFormat="1" x14ac:dyDescent="0.3">
      <c r="A118" s="122" t="s">
        <v>238</v>
      </c>
      <c r="B118" s="122"/>
      <c r="C118" s="122"/>
      <c r="D118" s="122"/>
      <c r="E118" s="122"/>
      <c r="F118" s="122"/>
      <c r="G118" s="122"/>
      <c r="H118" s="122"/>
    </row>
    <row r="119" spans="1:9" s="34" customFormat="1" ht="15.75" customHeight="1" x14ac:dyDescent="0.3">
      <c r="A119" s="205" t="s">
        <v>54</v>
      </c>
      <c r="B119" s="205"/>
      <c r="C119" s="206" t="s">
        <v>79</v>
      </c>
      <c r="D119" s="206"/>
      <c r="E119" s="192" t="s">
        <v>55</v>
      </c>
      <c r="F119" s="192"/>
      <c r="G119" s="205" t="s">
        <v>56</v>
      </c>
      <c r="H119" s="205"/>
    </row>
    <row r="120" spans="1:9" s="34" customFormat="1" x14ac:dyDescent="0.3">
      <c r="A120" s="124" t="s">
        <v>230</v>
      </c>
      <c r="B120" s="124"/>
      <c r="C120" s="125">
        <f>COUNT(D195:D196,D201:D206)+COUNT(D208:D219)*9+COUNT(D221:D227,D229:D232)+COUNT(D234:D240,D242:D245)+COUNT(D247:D258)*9+COUNT(D260:D266,D268:D271)*2+COUNT(D274:D280)</f>
        <v>275</v>
      </c>
      <c r="D120" s="125"/>
      <c r="E120" s="126">
        <f>SUM(D195:D196,D201:D206)+SUM(D208:D219)*9+SUM(D221:D227,D229:D232)+SUM(D234:D240,D242:D245)+SUM(D247:D258)*9+SUM(D260:D266,D268:D271)*2+SUM(D274:D280)</f>
        <v>80964.951209999999</v>
      </c>
      <c r="F120" s="126"/>
      <c r="G120" s="126">
        <f>SUM(F195:F196,F201:F206)+SUM(F208:F219)*9+SUM(F221:F227,F229:F232)+SUM(F234:F240,F242:F245)+SUM(F247:F258)*9+SUM(F260:F266,F268:F271)*2+SUM(F274:F280)</f>
        <v>125495.67437550002</v>
      </c>
      <c r="H120" s="126"/>
      <c r="I120" s="34">
        <f>137+137+1</f>
        <v>275</v>
      </c>
    </row>
    <row r="121" spans="1:9" s="34" customFormat="1" ht="15.75" customHeight="1" x14ac:dyDescent="0.3">
      <c r="A121" s="122" t="s">
        <v>235</v>
      </c>
      <c r="B121" s="122"/>
      <c r="C121" s="122"/>
      <c r="D121" s="122"/>
      <c r="E121" s="122"/>
      <c r="F121" s="122"/>
      <c r="G121" s="122"/>
      <c r="H121" s="122"/>
    </row>
    <row r="122" spans="1:9" s="34" customFormat="1" ht="15.75" customHeight="1" x14ac:dyDescent="0.3">
      <c r="A122" s="205" t="s">
        <v>54</v>
      </c>
      <c r="B122" s="205"/>
      <c r="C122" s="206" t="s">
        <v>79</v>
      </c>
      <c r="D122" s="206"/>
      <c r="E122" s="192" t="s">
        <v>55</v>
      </c>
      <c r="F122" s="192"/>
      <c r="G122" s="205" t="s">
        <v>56</v>
      </c>
      <c r="H122" s="205"/>
    </row>
    <row r="123" spans="1:9" s="34" customFormat="1" ht="30.75" customHeight="1" x14ac:dyDescent="0.3">
      <c r="A123" s="59" t="s">
        <v>230</v>
      </c>
      <c r="B123" s="59" t="s">
        <v>231</v>
      </c>
      <c r="C123" s="125">
        <f>COUNT(D139:D148)+COUNT(D155:D160)</f>
        <v>16</v>
      </c>
      <c r="D123" s="209"/>
      <c r="E123" s="124">
        <f>SUM(D139:D148)+SUM(D155:D160)</f>
        <v>2024.8806239999994</v>
      </c>
      <c r="F123" s="210"/>
      <c r="G123" s="124">
        <f>SUM(F139:F148)+SUM(F155:F160)</f>
        <v>3239.8089983999998</v>
      </c>
      <c r="H123" s="210"/>
    </row>
    <row r="124" spans="1:9" s="34" customFormat="1" x14ac:dyDescent="0.3">
      <c r="A124" s="207" t="s">
        <v>234</v>
      </c>
      <c r="B124" s="59" t="s">
        <v>232</v>
      </c>
      <c r="C124" s="125">
        <f>COUNT(D164:D175)</f>
        <v>12</v>
      </c>
      <c r="D124" s="209"/>
      <c r="E124" s="124">
        <f>SUM(D164:D175)</f>
        <v>7404.8612975999995</v>
      </c>
      <c r="F124" s="210"/>
      <c r="G124" s="124">
        <f>SUM(F164:F175)</f>
        <v>11847.778076160001</v>
      </c>
      <c r="H124" s="210"/>
    </row>
    <row r="125" spans="1:9" s="34" customFormat="1" x14ac:dyDescent="0.3">
      <c r="A125" s="208"/>
      <c r="B125" s="59" t="s">
        <v>233</v>
      </c>
      <c r="C125" s="125">
        <f>COUNT(D177:D181)*3</f>
        <v>15</v>
      </c>
      <c r="D125" s="125"/>
      <c r="E125" s="124">
        <f>SUM(D177:D181)*3</f>
        <v>14059.097207999999</v>
      </c>
      <c r="F125" s="124"/>
      <c r="G125" s="124">
        <f>SUM(F177:F181)*3</f>
        <v>22494.555532800001</v>
      </c>
      <c r="H125" s="124"/>
    </row>
    <row r="126" spans="1:9" s="34" customFormat="1" x14ac:dyDescent="0.3">
      <c r="A126" s="122" t="s">
        <v>158</v>
      </c>
      <c r="B126" s="122"/>
      <c r="C126" s="199">
        <f>SUM(C123:C125)</f>
        <v>43</v>
      </c>
      <c r="D126" s="206"/>
      <c r="E126" s="122">
        <f>SUM(E123:E125)</f>
        <v>23488.839129599997</v>
      </c>
      <c r="F126" s="123"/>
      <c r="G126" s="122">
        <f>SUM(G123:G125)</f>
        <v>37582.142607360001</v>
      </c>
      <c r="H126" s="122"/>
    </row>
    <row r="127" spans="1:9" s="34" customFormat="1" x14ac:dyDescent="0.3">
      <c r="A127" s="122" t="s">
        <v>236</v>
      </c>
      <c r="B127" s="122"/>
      <c r="C127" s="122"/>
      <c r="D127" s="122"/>
      <c r="E127" s="122"/>
      <c r="F127" s="122"/>
      <c r="G127" s="122"/>
      <c r="H127" s="122"/>
    </row>
    <row r="128" spans="1:9" s="34" customFormat="1" ht="15.75" customHeight="1" x14ac:dyDescent="0.3">
      <c r="A128" s="205" t="s">
        <v>54</v>
      </c>
      <c r="B128" s="205"/>
      <c r="C128" s="206" t="s">
        <v>79</v>
      </c>
      <c r="D128" s="206"/>
      <c r="E128" s="192" t="s">
        <v>55</v>
      </c>
      <c r="F128" s="192"/>
      <c r="G128" s="205" t="s">
        <v>56</v>
      </c>
      <c r="H128" s="205"/>
    </row>
    <row r="129" spans="1:14" s="34" customFormat="1" x14ac:dyDescent="0.3">
      <c r="A129" s="124" t="s">
        <v>230</v>
      </c>
      <c r="B129" s="124"/>
      <c r="C129" s="125">
        <f>COUNT(D273,D281:D284)+COUNT(D286:D297)*4+COUNT(D299:D305,D307:D310)</f>
        <v>64</v>
      </c>
      <c r="D129" s="125"/>
      <c r="E129" s="126">
        <f>SUM(D273,D281:D284)+SUM(D286:D297)*4+SUM(D299:D305,D307:D310)</f>
        <v>18842.752281599998</v>
      </c>
      <c r="F129" s="126"/>
      <c r="G129" s="126">
        <f>SUM(F273,F281:F284)+SUM(F286:F297)*4+SUM(F299:F305,F307:F310)</f>
        <v>29206.266036480007</v>
      </c>
      <c r="H129" s="126"/>
    </row>
    <row r="130" spans="1:14" s="34" customFormat="1" x14ac:dyDescent="0.3">
      <c r="A130" s="124" t="s">
        <v>234</v>
      </c>
      <c r="B130" s="124"/>
      <c r="C130" s="125">
        <f>COUNT(D313:D315,D317:D318)+COUNT(D320:D325)*34+COUNT(D327:D329,D331:D332)*8+COUNT(D334:D336,D338:D339)+COUNT(D341:D346)</f>
        <v>260</v>
      </c>
      <c r="D130" s="125"/>
      <c r="E130" s="126">
        <f>SUM(D313:D315,D317:D318)+SUM(D320:D325)*34+SUM(D327:D329,D331:D332)*8+SUM(D334:D336,D338:D339)+SUM(D341:D346)</f>
        <v>229083.764364</v>
      </c>
      <c r="F130" s="126"/>
      <c r="G130" s="126">
        <f>SUM(F313:F315,F317:F318)+SUM(F320:F325)*34+SUM(F327:F329,F331:F332)*8+SUM(F334:F336,F338:F339)+SUM(F341:F346)</f>
        <v>355227.01093620004</v>
      </c>
      <c r="H130" s="126"/>
    </row>
    <row r="131" spans="1:14" s="34" customFormat="1" x14ac:dyDescent="0.3">
      <c r="A131" s="122" t="s">
        <v>158</v>
      </c>
      <c r="B131" s="122"/>
      <c r="C131" s="199">
        <f>SUM(C129:C130)</f>
        <v>324</v>
      </c>
      <c r="D131" s="199"/>
      <c r="E131" s="205">
        <f>SUM(E129:E130)</f>
        <v>247926.5166456</v>
      </c>
      <c r="F131" s="192"/>
      <c r="G131" s="205">
        <f>SUM(G129:G130)</f>
        <v>384433.27697268006</v>
      </c>
      <c r="H131" s="205"/>
    </row>
    <row r="132" spans="1:14" s="33" customFormat="1" x14ac:dyDescent="0.3">
      <c r="A132" s="74" t="s">
        <v>57</v>
      </c>
      <c r="B132" s="74"/>
      <c r="C132" s="74"/>
      <c r="D132" s="74"/>
      <c r="E132" s="74"/>
      <c r="F132" s="74"/>
      <c r="G132" s="74"/>
      <c r="H132" s="74"/>
    </row>
    <row r="133" spans="1:14" x14ac:dyDescent="0.3">
      <c r="A133" s="74" t="s">
        <v>58</v>
      </c>
      <c r="B133" s="74"/>
      <c r="C133" s="74"/>
      <c r="D133" s="74"/>
      <c r="E133" s="74"/>
      <c r="F133" s="74"/>
      <c r="G133" s="74"/>
      <c r="H133" s="74"/>
    </row>
    <row r="134" spans="1:14" ht="47.25" customHeight="1" x14ac:dyDescent="0.3">
      <c r="A134" s="98" t="s">
        <v>123</v>
      </c>
      <c r="B134" s="98" t="s">
        <v>122</v>
      </c>
      <c r="C134" s="98" t="s">
        <v>59</v>
      </c>
      <c r="D134" s="98" t="s">
        <v>60</v>
      </c>
      <c r="E134" s="130" t="s">
        <v>165</v>
      </c>
      <c r="F134" s="42" t="s">
        <v>156</v>
      </c>
      <c r="G134" s="128" t="s">
        <v>62</v>
      </c>
      <c r="H134" s="132"/>
    </row>
    <row r="135" spans="1:14" s="36" customFormat="1" x14ac:dyDescent="0.3">
      <c r="A135" s="99"/>
      <c r="B135" s="99"/>
      <c r="C135" s="99"/>
      <c r="D135" s="99"/>
      <c r="E135" s="131"/>
      <c r="F135" s="13">
        <v>0.6</v>
      </c>
      <c r="G135" s="129"/>
      <c r="H135" s="133"/>
    </row>
    <row r="136" spans="1:14" s="36" customFormat="1" x14ac:dyDescent="0.3">
      <c r="A136" s="115" t="s">
        <v>201</v>
      </c>
      <c r="B136" s="116"/>
      <c r="C136" s="116"/>
      <c r="D136" s="116"/>
      <c r="E136" s="116"/>
      <c r="F136" s="116"/>
      <c r="G136" s="116"/>
      <c r="H136" s="117"/>
      <c r="J136" s="35"/>
    </row>
    <row r="137" spans="1:14" s="36" customFormat="1" x14ac:dyDescent="0.3">
      <c r="A137" s="115" t="s">
        <v>202</v>
      </c>
      <c r="B137" s="116"/>
      <c r="C137" s="116"/>
      <c r="D137" s="116"/>
      <c r="E137" s="116"/>
      <c r="F137" s="116"/>
      <c r="G137" s="116"/>
      <c r="H137" s="117"/>
      <c r="J137" s="35">
        <f>324+43</f>
        <v>367</v>
      </c>
    </row>
    <row r="138" spans="1:14" s="36" customFormat="1" x14ac:dyDescent="0.3">
      <c r="A138" s="115" t="s">
        <v>250</v>
      </c>
      <c r="B138" s="116"/>
      <c r="C138" s="116"/>
      <c r="D138" s="116"/>
      <c r="E138" s="116"/>
      <c r="F138" s="116"/>
      <c r="G138" s="116"/>
      <c r="H138" s="117"/>
      <c r="J138" s="53">
        <f>10.764</f>
        <v>10.763999999999999</v>
      </c>
    </row>
    <row r="139" spans="1:14" s="36" customFormat="1" ht="15.75" customHeight="1" x14ac:dyDescent="0.3">
      <c r="A139" s="41">
        <v>1</v>
      </c>
      <c r="B139" s="58" t="s">
        <v>204</v>
      </c>
      <c r="C139" s="41" t="s">
        <v>203</v>
      </c>
      <c r="D139" s="53">
        <f>(2.75*2.9)*(10.764)</f>
        <v>85.842899999999986</v>
      </c>
      <c r="E139" s="41">
        <v>0</v>
      </c>
      <c r="F139" s="41">
        <f>(D139+E139)*(($F$135)+1)</f>
        <v>137.34863999999999</v>
      </c>
      <c r="G139" s="193" t="str">
        <f>A138</f>
        <v>Ground Floor For Commercial (Entrance lobby &amp;Meter room)</v>
      </c>
      <c r="H139" s="194"/>
      <c r="I139" s="35"/>
      <c r="L139" s="121"/>
      <c r="M139" s="121"/>
      <c r="N139" s="35"/>
    </row>
    <row r="140" spans="1:14" s="36" customFormat="1" ht="15.75" customHeight="1" x14ac:dyDescent="0.3">
      <c r="A140" s="41">
        <f t="shared" ref="A140:A160" si="0">A139+1</f>
        <v>2</v>
      </c>
      <c r="B140" s="58" t="s">
        <v>204</v>
      </c>
      <c r="C140" s="41" t="s">
        <v>203</v>
      </c>
      <c r="D140" s="53">
        <f>(2.12*4.72+1.67*2.9)*(10.764)</f>
        <v>159.83894159999997</v>
      </c>
      <c r="E140" s="41">
        <v>0</v>
      </c>
      <c r="F140" s="41">
        <f t="shared" ref="F140:F142" si="1">(D140+E140)*(($F$135)+1)</f>
        <v>255.74230655999997</v>
      </c>
      <c r="G140" s="195"/>
      <c r="H140" s="196"/>
      <c r="I140" s="35"/>
      <c r="L140" s="121"/>
      <c r="M140" s="121"/>
      <c r="N140" s="35"/>
    </row>
    <row r="141" spans="1:14" s="36" customFormat="1" ht="15.75" customHeight="1" x14ac:dyDescent="0.3">
      <c r="A141" s="41">
        <f t="shared" si="0"/>
        <v>3</v>
      </c>
      <c r="B141" s="58" t="s">
        <v>204</v>
      </c>
      <c r="C141" s="41" t="s">
        <v>203</v>
      </c>
      <c r="D141" s="53">
        <f>(2.65*4.72)*(10.764)</f>
        <v>134.63611199999997</v>
      </c>
      <c r="E141" s="41">
        <v>0</v>
      </c>
      <c r="F141" s="41">
        <f t="shared" si="1"/>
        <v>215.41777919999996</v>
      </c>
      <c r="G141" s="195"/>
      <c r="H141" s="196"/>
      <c r="I141" s="35"/>
      <c r="L141" s="121"/>
      <c r="M141" s="121"/>
      <c r="N141" s="35"/>
    </row>
    <row r="142" spans="1:14" s="36" customFormat="1" ht="15.75" customHeight="1" x14ac:dyDescent="0.3">
      <c r="A142" s="41">
        <f t="shared" si="0"/>
        <v>4</v>
      </c>
      <c r="B142" s="58" t="s">
        <v>204</v>
      </c>
      <c r="C142" s="41" t="s">
        <v>203</v>
      </c>
      <c r="D142" s="53">
        <f>(2.65*4.72)*(10.764)</f>
        <v>134.63611199999997</v>
      </c>
      <c r="E142" s="41">
        <v>0</v>
      </c>
      <c r="F142" s="41">
        <f t="shared" si="1"/>
        <v>215.41777919999996</v>
      </c>
      <c r="G142" s="195"/>
      <c r="H142" s="196"/>
      <c r="I142" s="35"/>
      <c r="L142" s="121"/>
      <c r="M142" s="121"/>
      <c r="N142" s="35"/>
    </row>
    <row r="143" spans="1:14" s="36" customFormat="1" ht="15.75" customHeight="1" x14ac:dyDescent="0.3">
      <c r="A143" s="41">
        <f t="shared" si="0"/>
        <v>5</v>
      </c>
      <c r="B143" s="58" t="s">
        <v>204</v>
      </c>
      <c r="C143" s="41" t="s">
        <v>203</v>
      </c>
      <c r="D143" s="53">
        <f>(2.12*4.72)*(10.764)</f>
        <v>107.70888959999999</v>
      </c>
      <c r="E143" s="41">
        <v>0</v>
      </c>
      <c r="F143" s="41">
        <f t="shared" ref="F143:F148" si="2">(D143+E143)*(($F$135)+1)</f>
        <v>172.33422336000001</v>
      </c>
      <c r="G143" s="195"/>
      <c r="H143" s="196"/>
      <c r="I143" s="35"/>
      <c r="L143" s="121"/>
      <c r="M143" s="121"/>
      <c r="N143" s="35"/>
    </row>
    <row r="144" spans="1:14" s="36" customFormat="1" ht="15.75" customHeight="1" x14ac:dyDescent="0.3">
      <c r="A144" s="41">
        <f t="shared" si="0"/>
        <v>6</v>
      </c>
      <c r="B144" s="58" t="s">
        <v>204</v>
      </c>
      <c r="C144" s="41" t="s">
        <v>203</v>
      </c>
      <c r="D144" s="53">
        <f>(2.73*3.66)*(10.764)</f>
        <v>107.55173519999998</v>
      </c>
      <c r="E144" s="41">
        <v>0</v>
      </c>
      <c r="F144" s="41">
        <f t="shared" si="2"/>
        <v>172.08277631999999</v>
      </c>
      <c r="G144" s="195"/>
      <c r="H144" s="196"/>
      <c r="I144" s="35"/>
      <c r="L144" s="121"/>
      <c r="M144" s="121"/>
      <c r="N144" s="35"/>
    </row>
    <row r="145" spans="1:14" s="36" customFormat="1" ht="15.75" customHeight="1" x14ac:dyDescent="0.3">
      <c r="A145" s="41">
        <f t="shared" si="0"/>
        <v>7</v>
      </c>
      <c r="B145" s="58" t="s">
        <v>204</v>
      </c>
      <c r="C145" s="41" t="s">
        <v>203</v>
      </c>
      <c r="D145" s="53">
        <f>(2.65*4.72)*(10.764)</f>
        <v>134.63611199999997</v>
      </c>
      <c r="E145" s="41">
        <v>0</v>
      </c>
      <c r="F145" s="41">
        <f t="shared" si="2"/>
        <v>215.41777919999996</v>
      </c>
      <c r="G145" s="195"/>
      <c r="H145" s="196"/>
      <c r="I145" s="35"/>
      <c r="L145" s="121"/>
      <c r="M145" s="121"/>
      <c r="N145" s="35"/>
    </row>
    <row r="146" spans="1:14" s="36" customFormat="1" ht="15.75" customHeight="1" x14ac:dyDescent="0.3">
      <c r="A146" s="41">
        <f t="shared" si="0"/>
        <v>8</v>
      </c>
      <c r="B146" s="58" t="s">
        <v>204</v>
      </c>
      <c r="C146" s="41" t="s">
        <v>203</v>
      </c>
      <c r="D146" s="53">
        <f>(2.12*4.72+1.67*1.97)*(10.764)</f>
        <v>143.12137319999997</v>
      </c>
      <c r="E146" s="41">
        <v>0</v>
      </c>
      <c r="F146" s="41">
        <f t="shared" si="2"/>
        <v>228.99419711999997</v>
      </c>
      <c r="G146" s="195"/>
      <c r="H146" s="196"/>
      <c r="I146" s="35"/>
      <c r="L146" s="121"/>
      <c r="M146" s="121"/>
      <c r="N146" s="35"/>
    </row>
    <row r="147" spans="1:14" s="36" customFormat="1" ht="15.75" customHeight="1" x14ac:dyDescent="0.3">
      <c r="A147" s="41">
        <f t="shared" si="0"/>
        <v>9</v>
      </c>
      <c r="B147" s="58" t="s">
        <v>204</v>
      </c>
      <c r="C147" s="41" t="s">
        <v>203</v>
      </c>
      <c r="D147" s="53">
        <f>(2.75*2.9)*(10.764)</f>
        <v>85.842899999999986</v>
      </c>
      <c r="E147" s="41">
        <v>0</v>
      </c>
      <c r="F147" s="41">
        <f t="shared" si="2"/>
        <v>137.34863999999999</v>
      </c>
      <c r="G147" s="195"/>
      <c r="H147" s="196"/>
      <c r="I147" s="35"/>
      <c r="L147" s="121"/>
      <c r="M147" s="121"/>
      <c r="N147" s="35"/>
    </row>
    <row r="148" spans="1:14" s="36" customFormat="1" ht="15.75" customHeight="1" x14ac:dyDescent="0.3">
      <c r="A148" s="41">
        <f t="shared" si="0"/>
        <v>10</v>
      </c>
      <c r="B148" s="58" t="s">
        <v>204</v>
      </c>
      <c r="C148" s="41" t="s">
        <v>203</v>
      </c>
      <c r="D148" s="53">
        <f>(4.57*3.49)*(10.764)</f>
        <v>171.67826520000003</v>
      </c>
      <c r="E148" s="41">
        <v>0</v>
      </c>
      <c r="F148" s="41">
        <f t="shared" si="2"/>
        <v>274.68522432000003</v>
      </c>
      <c r="G148" s="195"/>
      <c r="H148" s="196"/>
      <c r="I148" s="35"/>
      <c r="L148" s="121"/>
      <c r="M148" s="121"/>
      <c r="N148" s="35"/>
    </row>
    <row r="149" spans="1:14" s="36" customFormat="1" ht="15.75" customHeight="1" x14ac:dyDescent="0.3">
      <c r="A149" s="41">
        <f t="shared" si="0"/>
        <v>11</v>
      </c>
      <c r="B149" s="41" t="s">
        <v>205</v>
      </c>
      <c r="C149" s="41" t="s">
        <v>203</v>
      </c>
      <c r="D149" s="53">
        <f>(2.67*2.9)*(10.764)</f>
        <v>83.345651999999987</v>
      </c>
      <c r="E149" s="41">
        <v>0</v>
      </c>
      <c r="F149" s="41">
        <f t="shared" ref="F149:F160" si="3">(D149+E149)*(($F$135)+1)</f>
        <v>133.35304319999997</v>
      </c>
      <c r="G149" s="195"/>
      <c r="H149" s="196"/>
      <c r="I149" s="35"/>
      <c r="L149" s="121"/>
      <c r="M149" s="121"/>
      <c r="N149" s="35"/>
    </row>
    <row r="150" spans="1:14" s="36" customFormat="1" ht="15.75" customHeight="1" x14ac:dyDescent="0.3">
      <c r="A150" s="41">
        <f t="shared" si="0"/>
        <v>12</v>
      </c>
      <c r="B150" s="41" t="s">
        <v>205</v>
      </c>
      <c r="C150" s="41" t="s">
        <v>203</v>
      </c>
      <c r="D150" s="53">
        <f>(2.12*4.72)*(10.764)</f>
        <v>107.70888959999999</v>
      </c>
      <c r="E150" s="41">
        <v>0</v>
      </c>
      <c r="F150" s="41">
        <f t="shared" si="3"/>
        <v>172.33422336000001</v>
      </c>
      <c r="G150" s="195"/>
      <c r="H150" s="196"/>
      <c r="I150" s="35"/>
      <c r="L150" s="121"/>
      <c r="M150" s="121"/>
      <c r="N150" s="35"/>
    </row>
    <row r="151" spans="1:14" s="36" customFormat="1" ht="15.75" customHeight="1" x14ac:dyDescent="0.3">
      <c r="A151" s="41">
        <f t="shared" si="0"/>
        <v>13</v>
      </c>
      <c r="B151" s="41" t="s">
        <v>205</v>
      </c>
      <c r="C151" s="41" t="s">
        <v>203</v>
      </c>
      <c r="D151" s="53">
        <f>(2.65*4.72)*(10.764)</f>
        <v>134.63611199999997</v>
      </c>
      <c r="E151" s="41">
        <v>0</v>
      </c>
      <c r="F151" s="41">
        <f t="shared" si="3"/>
        <v>215.41777919999996</v>
      </c>
      <c r="G151" s="195"/>
      <c r="H151" s="196"/>
      <c r="I151" s="35"/>
      <c r="L151" s="121"/>
      <c r="M151" s="121"/>
      <c r="N151" s="35"/>
    </row>
    <row r="152" spans="1:14" s="36" customFormat="1" ht="15.75" customHeight="1" x14ac:dyDescent="0.3">
      <c r="A152" s="41">
        <f t="shared" si="0"/>
        <v>14</v>
      </c>
      <c r="B152" s="41" t="s">
        <v>205</v>
      </c>
      <c r="C152" s="41" t="s">
        <v>203</v>
      </c>
      <c r="D152" s="53">
        <f>(2.65*4.72)*(10.764)</f>
        <v>134.63611199999997</v>
      </c>
      <c r="E152" s="41">
        <v>0</v>
      </c>
      <c r="F152" s="41">
        <f t="shared" si="3"/>
        <v>215.41777919999996</v>
      </c>
      <c r="G152" s="195"/>
      <c r="H152" s="196"/>
      <c r="I152" s="35"/>
      <c r="L152" s="121"/>
      <c r="M152" s="121"/>
      <c r="N152" s="35"/>
    </row>
    <row r="153" spans="1:14" s="36" customFormat="1" ht="15.75" customHeight="1" x14ac:dyDescent="0.3">
      <c r="A153" s="41">
        <f t="shared" si="0"/>
        <v>15</v>
      </c>
      <c r="B153" s="41" t="s">
        <v>205</v>
      </c>
      <c r="C153" s="41" t="s">
        <v>203</v>
      </c>
      <c r="D153" s="53">
        <f>(2.12*4.72)*(10.764)</f>
        <v>107.70888959999999</v>
      </c>
      <c r="E153" s="41">
        <v>0</v>
      </c>
      <c r="F153" s="41">
        <f t="shared" si="3"/>
        <v>172.33422336000001</v>
      </c>
      <c r="G153" s="195"/>
      <c r="H153" s="196"/>
      <c r="I153" s="35"/>
      <c r="L153" s="121"/>
      <c r="M153" s="121"/>
      <c r="N153" s="35"/>
    </row>
    <row r="154" spans="1:14" s="36" customFormat="1" ht="15.75" customHeight="1" x14ac:dyDescent="0.3">
      <c r="A154" s="41">
        <f t="shared" si="0"/>
        <v>16</v>
      </c>
      <c r="B154" s="41" t="s">
        <v>205</v>
      </c>
      <c r="C154" s="41" t="s">
        <v>203</v>
      </c>
      <c r="D154" s="53">
        <f>(2.71*2.9)*(10.764)</f>
        <v>84.594275999999994</v>
      </c>
      <c r="E154" s="41">
        <v>0</v>
      </c>
      <c r="F154" s="41">
        <f t="shared" si="3"/>
        <v>135.3508416</v>
      </c>
      <c r="G154" s="195"/>
      <c r="H154" s="196"/>
      <c r="I154" s="35"/>
      <c r="L154" s="121"/>
      <c r="M154" s="121"/>
      <c r="N154" s="35"/>
    </row>
    <row r="155" spans="1:14" s="36" customFormat="1" ht="15.75" customHeight="1" x14ac:dyDescent="0.3">
      <c r="A155" s="41">
        <f t="shared" si="0"/>
        <v>17</v>
      </c>
      <c r="B155" s="58" t="s">
        <v>204</v>
      </c>
      <c r="C155" s="41" t="s">
        <v>203</v>
      </c>
      <c r="D155" s="53">
        <f>(2.71*2.9)*(10.764)</f>
        <v>84.594275999999994</v>
      </c>
      <c r="E155" s="41">
        <v>0</v>
      </c>
      <c r="F155" s="41">
        <f t="shared" si="3"/>
        <v>135.3508416</v>
      </c>
      <c r="G155" s="195"/>
      <c r="H155" s="196"/>
      <c r="I155" s="35"/>
      <c r="L155" s="121"/>
      <c r="M155" s="121"/>
      <c r="N155" s="35"/>
    </row>
    <row r="156" spans="1:14" s="36" customFormat="1" ht="15.75" customHeight="1" x14ac:dyDescent="0.3">
      <c r="A156" s="41">
        <f t="shared" si="0"/>
        <v>18</v>
      </c>
      <c r="B156" s="58" t="s">
        <v>204</v>
      </c>
      <c r="C156" s="41" t="s">
        <v>203</v>
      </c>
      <c r="D156" s="53">
        <f>(2.12*4.72+2.9*1.67)*(10.764)</f>
        <v>159.83894159999997</v>
      </c>
      <c r="E156" s="41">
        <v>0</v>
      </c>
      <c r="F156" s="41">
        <f t="shared" si="3"/>
        <v>255.74230655999997</v>
      </c>
      <c r="G156" s="195"/>
      <c r="H156" s="196"/>
      <c r="I156" s="35"/>
      <c r="L156" s="121"/>
      <c r="M156" s="121"/>
      <c r="N156" s="35"/>
    </row>
    <row r="157" spans="1:14" s="36" customFormat="1" ht="15.75" customHeight="1" x14ac:dyDescent="0.3">
      <c r="A157" s="41">
        <f t="shared" si="0"/>
        <v>19</v>
      </c>
      <c r="B157" s="58" t="s">
        <v>204</v>
      </c>
      <c r="C157" s="41" t="s">
        <v>203</v>
      </c>
      <c r="D157" s="53">
        <f>(2.65*4.72)*(10.764)</f>
        <v>134.63611199999997</v>
      </c>
      <c r="E157" s="41">
        <v>0</v>
      </c>
      <c r="F157" s="41">
        <f t="shared" si="3"/>
        <v>215.41777919999996</v>
      </c>
      <c r="G157" s="195"/>
      <c r="H157" s="196"/>
      <c r="I157" s="35"/>
      <c r="L157" s="121"/>
      <c r="M157" s="121"/>
      <c r="N157" s="35"/>
    </row>
    <row r="158" spans="1:14" s="36" customFormat="1" ht="15.75" customHeight="1" x14ac:dyDescent="0.3">
      <c r="A158" s="41">
        <f t="shared" si="0"/>
        <v>20</v>
      </c>
      <c r="B158" s="58" t="s">
        <v>204</v>
      </c>
      <c r="C158" s="41" t="s">
        <v>203</v>
      </c>
      <c r="D158" s="53">
        <f>(2.65*4.72)*(10.764)</f>
        <v>134.63611199999997</v>
      </c>
      <c r="E158" s="41">
        <v>0</v>
      </c>
      <c r="F158" s="41">
        <f t="shared" si="3"/>
        <v>215.41777919999996</v>
      </c>
      <c r="G158" s="195"/>
      <c r="H158" s="196"/>
      <c r="I158" s="35"/>
      <c r="L158" s="121"/>
      <c r="M158" s="121"/>
      <c r="N158" s="35"/>
    </row>
    <row r="159" spans="1:14" s="36" customFormat="1" ht="15.75" customHeight="1" x14ac:dyDescent="0.3">
      <c r="A159" s="41">
        <f t="shared" si="0"/>
        <v>21</v>
      </c>
      <c r="B159" s="58" t="s">
        <v>204</v>
      </c>
      <c r="C159" s="41" t="s">
        <v>203</v>
      </c>
      <c r="D159" s="53">
        <f>(2.12*4.72+2.9*1.67)*(10.764)</f>
        <v>159.83894159999997</v>
      </c>
      <c r="E159" s="41">
        <v>0</v>
      </c>
      <c r="F159" s="41">
        <f t="shared" si="3"/>
        <v>255.74230655999997</v>
      </c>
      <c r="G159" s="195"/>
      <c r="H159" s="196"/>
      <c r="I159" s="35"/>
      <c r="L159" s="121"/>
      <c r="M159" s="121"/>
      <c r="N159" s="35"/>
    </row>
    <row r="160" spans="1:14" s="36" customFormat="1" ht="15.75" customHeight="1" x14ac:dyDescent="0.3">
      <c r="A160" s="41">
        <f t="shared" si="0"/>
        <v>22</v>
      </c>
      <c r="B160" s="58" t="s">
        <v>204</v>
      </c>
      <c r="C160" s="41" t="s">
        <v>203</v>
      </c>
      <c r="D160" s="53">
        <f>(2.75*2.9)*(10.764)</f>
        <v>85.842899999999986</v>
      </c>
      <c r="E160" s="41">
        <v>0</v>
      </c>
      <c r="F160" s="41">
        <f t="shared" si="3"/>
        <v>137.34863999999999</v>
      </c>
      <c r="G160" s="197"/>
      <c r="H160" s="198"/>
      <c r="I160" s="35"/>
      <c r="L160" s="121"/>
      <c r="M160" s="121"/>
      <c r="N160" s="35"/>
    </row>
    <row r="161" spans="1:14" s="36" customFormat="1" x14ac:dyDescent="0.3">
      <c r="A161" s="202" t="s">
        <v>219</v>
      </c>
      <c r="B161" s="203"/>
      <c r="C161" s="203"/>
      <c r="D161" s="203"/>
      <c r="E161" s="203"/>
      <c r="F161" s="203"/>
      <c r="G161" s="203"/>
      <c r="H161" s="204"/>
      <c r="J161" s="35"/>
    </row>
    <row r="162" spans="1:14" s="36" customFormat="1" x14ac:dyDescent="0.3">
      <c r="A162" s="202" t="s">
        <v>202</v>
      </c>
      <c r="B162" s="203"/>
      <c r="C162" s="203"/>
      <c r="D162" s="203"/>
      <c r="E162" s="203"/>
      <c r="F162" s="203"/>
      <c r="G162" s="203"/>
      <c r="H162" s="204"/>
      <c r="J162" s="35"/>
    </row>
    <row r="163" spans="1:14" s="36" customFormat="1" x14ac:dyDescent="0.3">
      <c r="A163" s="202" t="s">
        <v>254</v>
      </c>
      <c r="B163" s="203"/>
      <c r="C163" s="203"/>
      <c r="D163" s="203"/>
      <c r="E163" s="203"/>
      <c r="F163" s="203"/>
      <c r="G163" s="203"/>
      <c r="H163" s="204"/>
      <c r="J163" s="35"/>
    </row>
    <row r="164" spans="1:14" s="36" customFormat="1" ht="15.75" customHeight="1" x14ac:dyDescent="0.3">
      <c r="A164" s="200">
        <v>1</v>
      </c>
      <c r="B164" s="201"/>
      <c r="C164" s="61" t="s">
        <v>203</v>
      </c>
      <c r="D164" s="62">
        <f>(2.45*7.94+2.43*3.97)*(10.764)</f>
        <v>313.23347640000003</v>
      </c>
      <c r="E164" s="61">
        <v>0</v>
      </c>
      <c r="F164" s="61">
        <f>(D164+E164)*(($F$135)+1)</f>
        <v>501.17356224000008</v>
      </c>
      <c r="G164" s="233" t="str">
        <f>A163</f>
        <v>Ground Floor + Mezzanine Floor For Commercial</v>
      </c>
      <c r="H164" s="234"/>
      <c r="I164" s="35"/>
      <c r="J164" s="64"/>
      <c r="L164" s="121"/>
      <c r="M164" s="121"/>
      <c r="N164" s="35"/>
    </row>
    <row r="165" spans="1:14" s="36" customFormat="1" ht="15.75" customHeight="1" x14ac:dyDescent="0.3">
      <c r="A165" s="200">
        <f t="shared" ref="A165:A175" si="4">A164+1</f>
        <v>2</v>
      </c>
      <c r="B165" s="201" t="s">
        <v>204</v>
      </c>
      <c r="C165" s="61" t="s">
        <v>203</v>
      </c>
      <c r="D165" s="62">
        <f>(3.2*8.72+3.2*6.31)*(10.764)</f>
        <v>517.70534399999997</v>
      </c>
      <c r="E165" s="61">
        <v>0</v>
      </c>
      <c r="F165" s="61">
        <f t="shared" ref="F165:F169" si="5">(D165+E165)*(($F$135)+1)</f>
        <v>828.32855040000004</v>
      </c>
      <c r="G165" s="235"/>
      <c r="H165" s="236"/>
      <c r="I165" s="35"/>
      <c r="L165" s="121"/>
      <c r="M165" s="121"/>
      <c r="N165" s="35"/>
    </row>
    <row r="166" spans="1:14" s="36" customFormat="1" ht="15.75" customHeight="1" x14ac:dyDescent="0.3">
      <c r="A166" s="200">
        <f t="shared" si="4"/>
        <v>3</v>
      </c>
      <c r="B166" s="201" t="s">
        <v>204</v>
      </c>
      <c r="C166" s="61" t="s">
        <v>203</v>
      </c>
      <c r="D166" s="62">
        <f>(2.88*8.72+2.88*6.31)*(10.764)</f>
        <v>465.93480959999999</v>
      </c>
      <c r="E166" s="61">
        <v>0</v>
      </c>
      <c r="F166" s="61">
        <f t="shared" si="5"/>
        <v>745.49569536000001</v>
      </c>
      <c r="G166" s="235"/>
      <c r="H166" s="236"/>
      <c r="I166" s="35"/>
      <c r="L166" s="121"/>
      <c r="M166" s="121"/>
      <c r="N166" s="35"/>
    </row>
    <row r="167" spans="1:14" s="36" customFormat="1" ht="15.75" customHeight="1" x14ac:dyDescent="0.3">
      <c r="A167" s="200">
        <f t="shared" si="4"/>
        <v>4</v>
      </c>
      <c r="B167" s="201" t="s">
        <v>204</v>
      </c>
      <c r="C167" s="61" t="s">
        <v>203</v>
      </c>
      <c r="D167" s="62">
        <f>(2.9*8.72+2.9*6.17)*(10.764)</f>
        <v>464.80028399999992</v>
      </c>
      <c r="E167" s="61">
        <v>0</v>
      </c>
      <c r="F167" s="61">
        <f t="shared" si="5"/>
        <v>743.68045439999992</v>
      </c>
      <c r="G167" s="235"/>
      <c r="H167" s="236"/>
      <c r="I167" s="35"/>
      <c r="L167" s="121"/>
      <c r="M167" s="121"/>
      <c r="N167" s="35"/>
    </row>
    <row r="168" spans="1:14" s="36" customFormat="1" ht="15.75" customHeight="1" x14ac:dyDescent="0.3">
      <c r="A168" s="200">
        <f t="shared" si="4"/>
        <v>5</v>
      </c>
      <c r="B168" s="201" t="s">
        <v>204</v>
      </c>
      <c r="C168" s="61" t="s">
        <v>203</v>
      </c>
      <c r="D168" s="62">
        <f>(3.07*7.37+3.07*3.68)*(10.764)</f>
        <v>365.15255399999995</v>
      </c>
      <c r="E168" s="61">
        <v>0</v>
      </c>
      <c r="F168" s="61">
        <f t="shared" si="5"/>
        <v>584.2440863999999</v>
      </c>
      <c r="G168" s="235"/>
      <c r="H168" s="236"/>
      <c r="I168" s="35"/>
      <c r="L168" s="121"/>
      <c r="M168" s="121"/>
      <c r="N168" s="35"/>
    </row>
    <row r="169" spans="1:14" s="36" customFormat="1" ht="15.75" customHeight="1" x14ac:dyDescent="0.3">
      <c r="A169" s="200">
        <f t="shared" si="4"/>
        <v>6</v>
      </c>
      <c r="B169" s="201" t="s">
        <v>204</v>
      </c>
      <c r="C169" s="61" t="s">
        <v>203</v>
      </c>
      <c r="D169" s="62">
        <f>(3.07*7.37+3.07*3.68)*(10.764)</f>
        <v>365.15255399999995</v>
      </c>
      <c r="E169" s="61">
        <v>0</v>
      </c>
      <c r="F169" s="61">
        <f t="shared" si="5"/>
        <v>584.2440863999999</v>
      </c>
      <c r="G169" s="235"/>
      <c r="H169" s="236"/>
      <c r="I169" s="35"/>
      <c r="L169" s="121"/>
      <c r="M169" s="121"/>
      <c r="N169" s="35"/>
    </row>
    <row r="170" spans="1:14" s="36" customFormat="1" ht="15.75" customHeight="1" x14ac:dyDescent="0.3">
      <c r="A170" s="200">
        <f t="shared" si="4"/>
        <v>7</v>
      </c>
      <c r="B170" s="201" t="s">
        <v>204</v>
      </c>
      <c r="C170" s="61" t="s">
        <v>203</v>
      </c>
      <c r="D170" s="62">
        <f>(2.9*7.37+2.8*3.68)*(10.764)</f>
        <v>340.971228</v>
      </c>
      <c r="E170" s="61">
        <v>0</v>
      </c>
      <c r="F170" s="61">
        <f t="shared" ref="F170:F174" si="6">(D170+E170)*(($F$135)+1)</f>
        <v>545.55396480000002</v>
      </c>
      <c r="G170" s="235"/>
      <c r="H170" s="236"/>
      <c r="I170" s="35"/>
      <c r="L170" s="121"/>
      <c r="M170" s="121"/>
      <c r="N170" s="35"/>
    </row>
    <row r="171" spans="1:14" s="36" customFormat="1" ht="15.75" customHeight="1" x14ac:dyDescent="0.3">
      <c r="A171" s="200">
        <f t="shared" si="4"/>
        <v>8</v>
      </c>
      <c r="B171" s="201" t="s">
        <v>204</v>
      </c>
      <c r="C171" s="61" t="s">
        <v>203</v>
      </c>
      <c r="D171" s="62">
        <f>(2.88*10.67+2.88*5.76)*(10.764)</f>
        <v>509.33525759999992</v>
      </c>
      <c r="E171" s="61">
        <v>0</v>
      </c>
      <c r="F171" s="61">
        <f t="shared" si="6"/>
        <v>814.93641215999992</v>
      </c>
      <c r="G171" s="235"/>
      <c r="H171" s="236"/>
      <c r="I171" s="35"/>
      <c r="L171" s="121"/>
      <c r="M171" s="121"/>
      <c r="N171" s="35"/>
    </row>
    <row r="172" spans="1:14" s="36" customFormat="1" ht="15.75" customHeight="1" x14ac:dyDescent="0.3">
      <c r="A172" s="200">
        <f t="shared" si="4"/>
        <v>9</v>
      </c>
      <c r="B172" s="201" t="s">
        <v>204</v>
      </c>
      <c r="C172" s="61" t="s">
        <v>203</v>
      </c>
      <c r="D172" s="62">
        <f>(3*10.67+3*5.76)*(10.764)</f>
        <v>530.55755999999997</v>
      </c>
      <c r="E172" s="61">
        <v>0</v>
      </c>
      <c r="F172" s="61">
        <f t="shared" si="6"/>
        <v>848.89209600000004</v>
      </c>
      <c r="G172" s="235"/>
      <c r="H172" s="236"/>
      <c r="I172" s="35"/>
      <c r="L172" s="121"/>
      <c r="M172" s="121"/>
      <c r="N172" s="35"/>
    </row>
    <row r="173" spans="1:14" s="36" customFormat="1" ht="15.75" customHeight="1" x14ac:dyDescent="0.3">
      <c r="A173" s="200">
        <f t="shared" si="4"/>
        <v>10</v>
      </c>
      <c r="B173" s="201" t="s">
        <v>204</v>
      </c>
      <c r="C173" s="61" t="s">
        <v>203</v>
      </c>
      <c r="D173" s="62">
        <f>(7.23*7.43+4.15*8.21)*(10.764)</f>
        <v>944.97586560000002</v>
      </c>
      <c r="E173" s="61">
        <v>0</v>
      </c>
      <c r="F173" s="61">
        <f t="shared" si="6"/>
        <v>1511.96138496</v>
      </c>
      <c r="G173" s="235"/>
      <c r="H173" s="236"/>
      <c r="I173" s="35"/>
      <c r="J173" s="68">
        <f>63008150/F173</f>
        <v>41673.121170132879</v>
      </c>
      <c r="L173" s="121"/>
      <c r="M173" s="121"/>
      <c r="N173" s="35"/>
    </row>
    <row r="174" spans="1:14" s="36" customFormat="1" ht="15.75" customHeight="1" x14ac:dyDescent="0.3">
      <c r="A174" s="200">
        <f t="shared" si="4"/>
        <v>11</v>
      </c>
      <c r="B174" s="201" t="s">
        <v>204</v>
      </c>
      <c r="C174" s="61" t="s">
        <v>203</v>
      </c>
      <c r="D174" s="62">
        <f>(8.3*6.6+3.15*4.39+4.15*6.85+3.15*4.39)*(10.764)</f>
        <v>1193.345478</v>
      </c>
      <c r="E174" s="61">
        <v>0</v>
      </c>
      <c r="F174" s="61">
        <f t="shared" si="6"/>
        <v>1909.3527647999999</v>
      </c>
      <c r="G174" s="235"/>
      <c r="H174" s="236"/>
      <c r="I174" s="35"/>
      <c r="J174" s="68">
        <f>72359914/F174</f>
        <v>37897.613963221469</v>
      </c>
      <c r="L174" s="121"/>
      <c r="M174" s="121"/>
      <c r="N174" s="35"/>
    </row>
    <row r="175" spans="1:14" s="36" customFormat="1" ht="15.75" customHeight="1" x14ac:dyDescent="0.3">
      <c r="A175" s="200">
        <f t="shared" si="4"/>
        <v>12</v>
      </c>
      <c r="B175" s="201" t="s">
        <v>204</v>
      </c>
      <c r="C175" s="61" t="s">
        <v>203</v>
      </c>
      <c r="D175" s="62">
        <f>(11.45*7.32+3*0.62+5.73*7.32+3*0.62)*(10.764)</f>
        <v>1393.6968863999998</v>
      </c>
      <c r="E175" s="61">
        <v>0</v>
      </c>
      <c r="F175" s="61">
        <f t="shared" ref="F175" si="7">(D175+E175)*(($F$135)+1)</f>
        <v>2229.9150182399999</v>
      </c>
      <c r="G175" s="237"/>
      <c r="H175" s="238"/>
      <c r="I175" s="35"/>
      <c r="J175" s="68">
        <f>84217536/F175</f>
        <v>37767.150456913012</v>
      </c>
      <c r="L175" s="121"/>
      <c r="M175" s="121"/>
      <c r="N175" s="35"/>
    </row>
    <row r="176" spans="1:14" s="36" customFormat="1" x14ac:dyDescent="0.3">
      <c r="A176" s="115" t="s">
        <v>220</v>
      </c>
      <c r="B176" s="116"/>
      <c r="C176" s="116"/>
      <c r="D176" s="116"/>
      <c r="E176" s="116"/>
      <c r="F176" s="116"/>
      <c r="G176" s="116"/>
      <c r="H176" s="117"/>
      <c r="J176" s="69">
        <f>AVERAGE(J173:J175)</f>
        <v>39112.628530089125</v>
      </c>
    </row>
    <row r="177" spans="1:14" s="36" customFormat="1" ht="15.75" customHeight="1" x14ac:dyDescent="0.3">
      <c r="A177" s="95">
        <v>1</v>
      </c>
      <c r="B177" s="96"/>
      <c r="C177" s="41" t="s">
        <v>221</v>
      </c>
      <c r="D177" s="53">
        <f>(5.63*7.79+5.83*8.23+9.48*2.14)*(10.764)</f>
        <v>1206.9221112</v>
      </c>
      <c r="E177" s="41">
        <v>0</v>
      </c>
      <c r="F177" s="41">
        <f>(D177+E177)*(($F$135)+1)</f>
        <v>1931.0753779200002</v>
      </c>
      <c r="G177" s="193" t="str">
        <f>A176</f>
        <v>1st, 2nd &amp; 3rd Floor</v>
      </c>
      <c r="H177" s="194"/>
      <c r="I177" s="35"/>
      <c r="J177" s="68">
        <f>38907554/F177</f>
        <v>20148.128055937465</v>
      </c>
      <c r="L177" s="121"/>
      <c r="M177" s="121"/>
      <c r="N177" s="35"/>
    </row>
    <row r="178" spans="1:14" s="36" customFormat="1" ht="15.75" customHeight="1" x14ac:dyDescent="0.3">
      <c r="A178" s="95">
        <f t="shared" ref="A178:A181" si="8">A177+1</f>
        <v>2</v>
      </c>
      <c r="B178" s="96"/>
      <c r="C178" s="41" t="s">
        <v>221</v>
      </c>
      <c r="D178" s="53">
        <f>(6.28*7.22+5.83*7.22+2.88*3.3)*(10.764)</f>
        <v>1043.4427848</v>
      </c>
      <c r="E178" s="41">
        <v>0</v>
      </c>
      <c r="F178" s="41">
        <f t="shared" ref="F178:F180" si="9">(D178+E178)*(($F$135)+1)</f>
        <v>1669.5084556800002</v>
      </c>
      <c r="G178" s="195"/>
      <c r="H178" s="196"/>
      <c r="I178" s="35"/>
      <c r="J178" s="68">
        <f>33064748/F178</f>
        <v>19805.079685285295</v>
      </c>
      <c r="L178" s="121"/>
      <c r="M178" s="121"/>
      <c r="N178" s="35"/>
    </row>
    <row r="179" spans="1:14" s="36" customFormat="1" ht="15.75" customHeight="1" x14ac:dyDescent="0.3">
      <c r="A179" s="95">
        <f t="shared" si="8"/>
        <v>3</v>
      </c>
      <c r="B179" s="96"/>
      <c r="C179" s="41" t="s">
        <v>221</v>
      </c>
      <c r="D179" s="53">
        <f>(10.74*7.25)*(10.764)</f>
        <v>838.13885999999991</v>
      </c>
      <c r="E179" s="41">
        <v>0</v>
      </c>
      <c r="F179" s="41">
        <f t="shared" si="9"/>
        <v>1341.0221759999999</v>
      </c>
      <c r="G179" s="195"/>
      <c r="H179" s="196"/>
      <c r="I179" s="35"/>
      <c r="J179" s="68">
        <f>29537708/F179</f>
        <v>22026.263643234488</v>
      </c>
      <c r="L179" s="121"/>
      <c r="M179" s="121"/>
      <c r="N179" s="35"/>
    </row>
    <row r="180" spans="1:14" s="36" customFormat="1" ht="15.75" customHeight="1" x14ac:dyDescent="0.3">
      <c r="A180" s="95">
        <f t="shared" si="8"/>
        <v>4</v>
      </c>
      <c r="B180" s="96"/>
      <c r="C180" s="41" t="s">
        <v>221</v>
      </c>
      <c r="D180" s="53">
        <f>(9.66*6.6)*(10.764)</f>
        <v>686.26958400000001</v>
      </c>
      <c r="E180" s="41">
        <v>0</v>
      </c>
      <c r="F180" s="41">
        <f t="shared" si="9"/>
        <v>1098.0313344000001</v>
      </c>
      <c r="G180" s="195"/>
      <c r="H180" s="196"/>
      <c r="I180" s="35"/>
      <c r="J180" s="68">
        <f>20277977/F180</f>
        <v>18467.575892158435</v>
      </c>
      <c r="L180" s="121"/>
      <c r="M180" s="121"/>
      <c r="N180" s="35"/>
    </row>
    <row r="181" spans="1:14" s="36" customFormat="1" ht="15.75" customHeight="1" x14ac:dyDescent="0.3">
      <c r="A181" s="95">
        <f t="shared" si="8"/>
        <v>5</v>
      </c>
      <c r="B181" s="96"/>
      <c r="C181" s="41" t="s">
        <v>221</v>
      </c>
      <c r="D181" s="53">
        <f>(11.3*7.33+3*0.62)*(10.764)</f>
        <v>911.59239600000001</v>
      </c>
      <c r="E181" s="41">
        <v>0</v>
      </c>
      <c r="F181" s="41">
        <f t="shared" ref="F181" si="10">(D181+E181)*(($F$135)+1)</f>
        <v>1458.5478336000001</v>
      </c>
      <c r="G181" s="197"/>
      <c r="H181" s="198"/>
      <c r="I181" s="35"/>
      <c r="J181" s="68">
        <f>28383835/F181</f>
        <v>19460.338801465823</v>
      </c>
      <c r="L181" s="121"/>
      <c r="M181" s="121"/>
      <c r="N181" s="35"/>
    </row>
    <row r="182" spans="1:14" s="36" customFormat="1" x14ac:dyDescent="0.3">
      <c r="A182" s="115" t="s">
        <v>222</v>
      </c>
      <c r="B182" s="116"/>
      <c r="C182" s="116"/>
      <c r="D182" s="116"/>
      <c r="E182" s="116"/>
      <c r="F182" s="116"/>
      <c r="G182" s="116"/>
      <c r="H182" s="117"/>
      <c r="J182" s="70">
        <f>AVERAGE(J177:J181)</f>
        <v>19981.477215616302</v>
      </c>
    </row>
    <row r="183" spans="1:14" s="36" customFormat="1" x14ac:dyDescent="0.3">
      <c r="A183" s="115" t="s">
        <v>223</v>
      </c>
      <c r="B183" s="116"/>
      <c r="C183" s="116"/>
      <c r="D183" s="116"/>
      <c r="E183" s="116"/>
      <c r="F183" s="116"/>
      <c r="G183" s="116"/>
      <c r="H183" s="117"/>
      <c r="J183" s="35"/>
    </row>
    <row r="184" spans="1:14" s="36" customFormat="1" hidden="1" x14ac:dyDescent="0.3">
      <c r="A184" s="115" t="s">
        <v>120</v>
      </c>
      <c r="B184" s="116"/>
      <c r="C184" s="116"/>
      <c r="D184" s="116"/>
      <c r="E184" s="116"/>
      <c r="F184" s="116"/>
      <c r="G184" s="116"/>
      <c r="H184" s="117"/>
      <c r="J184" s="35"/>
    </row>
    <row r="185" spans="1:14" s="36" customFormat="1" hidden="1" x14ac:dyDescent="0.3">
      <c r="A185" s="95">
        <v>1</v>
      </c>
      <c r="B185" s="96"/>
      <c r="C185" s="41"/>
      <c r="D185" s="41"/>
      <c r="E185" s="41">
        <v>0</v>
      </c>
      <c r="F185" s="41">
        <f>(D185+E185)*(($F$135)+1)</f>
        <v>0</v>
      </c>
      <c r="G185" s="95" t="str">
        <f>A184</f>
        <v>Ground Floor</v>
      </c>
      <c r="H185" s="96"/>
      <c r="I185" s="35"/>
      <c r="L185" s="121"/>
      <c r="M185" s="121"/>
      <c r="N185" s="35"/>
    </row>
    <row r="186" spans="1:14" s="36" customFormat="1" hidden="1" x14ac:dyDescent="0.3">
      <c r="A186" s="95">
        <f t="shared" ref="A186:A188" si="11">A185+1</f>
        <v>2</v>
      </c>
      <c r="B186" s="96"/>
      <c r="C186" s="41"/>
      <c r="D186" s="41"/>
      <c r="E186" s="41">
        <v>0</v>
      </c>
      <c r="F186" s="41">
        <f t="shared" ref="F186:F188" si="12">(D186+E186)*(($F$135)+1)</f>
        <v>0</v>
      </c>
      <c r="G186" s="95" t="str">
        <f t="shared" ref="G186:G188" si="13">G185</f>
        <v>Ground Floor</v>
      </c>
      <c r="H186" s="96"/>
      <c r="I186" s="35"/>
      <c r="L186" s="121"/>
      <c r="M186" s="121"/>
      <c r="N186" s="35"/>
    </row>
    <row r="187" spans="1:14" s="36" customFormat="1" hidden="1" x14ac:dyDescent="0.3">
      <c r="A187" s="95">
        <f t="shared" si="11"/>
        <v>3</v>
      </c>
      <c r="B187" s="96"/>
      <c r="C187" s="41"/>
      <c r="D187" s="41"/>
      <c r="E187" s="41">
        <v>0</v>
      </c>
      <c r="F187" s="41">
        <f t="shared" si="12"/>
        <v>0</v>
      </c>
      <c r="G187" s="95" t="str">
        <f t="shared" si="13"/>
        <v>Ground Floor</v>
      </c>
      <c r="H187" s="96"/>
      <c r="I187" s="35"/>
      <c r="L187" s="121"/>
      <c r="M187" s="121"/>
      <c r="N187" s="35"/>
    </row>
    <row r="188" spans="1:14" s="36" customFormat="1" hidden="1" x14ac:dyDescent="0.3">
      <c r="A188" s="95">
        <f t="shared" si="11"/>
        <v>4</v>
      </c>
      <c r="B188" s="96"/>
      <c r="C188" s="41"/>
      <c r="D188" s="41"/>
      <c r="E188" s="41">
        <v>0</v>
      </c>
      <c r="F188" s="41">
        <f t="shared" si="12"/>
        <v>0</v>
      </c>
      <c r="G188" s="95" t="str">
        <f t="shared" si="13"/>
        <v>Ground Floor</v>
      </c>
      <c r="H188" s="96"/>
      <c r="I188" s="35"/>
      <c r="L188" s="121"/>
      <c r="M188" s="121"/>
      <c r="N188" s="35"/>
    </row>
    <row r="189" spans="1:14" s="36" customFormat="1" x14ac:dyDescent="0.3">
      <c r="A189" s="95"/>
      <c r="B189" s="127"/>
      <c r="C189" s="127"/>
      <c r="D189" s="127"/>
      <c r="E189" s="127"/>
      <c r="F189" s="127"/>
      <c r="G189" s="127"/>
      <c r="H189" s="96"/>
      <c r="I189" s="35"/>
      <c r="N189" s="35"/>
    </row>
    <row r="190" spans="1:14" ht="47.25" customHeight="1" x14ac:dyDescent="0.3">
      <c r="A190" s="128" t="s">
        <v>124</v>
      </c>
      <c r="B190" s="128" t="s">
        <v>125</v>
      </c>
      <c r="C190" s="98" t="s">
        <v>59</v>
      </c>
      <c r="D190" s="98" t="s">
        <v>60</v>
      </c>
      <c r="E190" s="130" t="s">
        <v>61</v>
      </c>
      <c r="F190" s="42" t="s">
        <v>156</v>
      </c>
      <c r="G190" s="128" t="s">
        <v>62</v>
      </c>
      <c r="H190" s="132"/>
      <c r="I190" s="35"/>
    </row>
    <row r="191" spans="1:14" s="36" customFormat="1" x14ac:dyDescent="0.3">
      <c r="A191" s="129"/>
      <c r="B191" s="129"/>
      <c r="C191" s="99"/>
      <c r="D191" s="99"/>
      <c r="E191" s="131"/>
      <c r="F191" s="13">
        <v>0.55000000000000004</v>
      </c>
      <c r="G191" s="129"/>
      <c r="H191" s="133"/>
      <c r="I191" s="35"/>
    </row>
    <row r="192" spans="1:14" s="36" customFormat="1" x14ac:dyDescent="0.3">
      <c r="A192" s="115" t="s">
        <v>201</v>
      </c>
      <c r="B192" s="116"/>
      <c r="C192" s="116"/>
      <c r="D192" s="116"/>
      <c r="E192" s="116"/>
      <c r="F192" s="116"/>
      <c r="G192" s="116"/>
      <c r="H192" s="117"/>
      <c r="J192" s="35"/>
    </row>
    <row r="193" spans="1:14" s="36" customFormat="1" x14ac:dyDescent="0.3">
      <c r="A193" s="115" t="s">
        <v>206</v>
      </c>
      <c r="B193" s="116"/>
      <c r="C193" s="116"/>
      <c r="D193" s="116"/>
      <c r="E193" s="116"/>
      <c r="F193" s="116"/>
      <c r="G193" s="116"/>
      <c r="H193" s="117"/>
      <c r="J193" s="35"/>
    </row>
    <row r="194" spans="1:14" s="36" customFormat="1" x14ac:dyDescent="0.3">
      <c r="A194" s="115" t="s">
        <v>207</v>
      </c>
      <c r="B194" s="116"/>
      <c r="C194" s="116"/>
      <c r="D194" s="116"/>
      <c r="E194" s="116"/>
      <c r="F194" s="116"/>
      <c r="G194" s="116"/>
      <c r="H194" s="117"/>
      <c r="J194" s="35"/>
    </row>
    <row r="195" spans="1:14" s="36" customFormat="1" ht="15.75" customHeight="1" x14ac:dyDescent="0.3">
      <c r="A195" s="41">
        <v>1</v>
      </c>
      <c r="B195" s="41" t="s">
        <v>205</v>
      </c>
      <c r="C195" s="52">
        <v>1</v>
      </c>
      <c r="D195" s="53">
        <f>(2.65*4.08+2.12*2.75+2.75*2.75+1.22*0.91+1.22*1.67)*(10.764)</f>
        <v>294.41800439999997</v>
      </c>
      <c r="E195" s="41">
        <v>0</v>
      </c>
      <c r="F195" s="41">
        <f>D195*(($F$191)+1)+(IF(E195&lt;101,E195,IF(E195&lt;201,E195/2,IF(E195&lt;=301,E195/3,E195/4))))</f>
        <v>456.34790681999999</v>
      </c>
      <c r="G195" s="193" t="str">
        <f>A194</f>
        <v>2nd Floor For Part Residential &amp; Amenities</v>
      </c>
      <c r="H195" s="194"/>
      <c r="I195" s="35"/>
      <c r="J195" s="36">
        <f>2.65*4.08+2.12*2.75+2.75*2.75+1.22*0.91+1.22*1.67</f>
        <v>27.3521</v>
      </c>
      <c r="L195" s="121"/>
      <c r="M195" s="121"/>
      <c r="N195" s="35"/>
    </row>
    <row r="196" spans="1:14" s="36" customFormat="1" ht="15.75" customHeight="1" x14ac:dyDescent="0.3">
      <c r="A196" s="41">
        <f t="shared" ref="A196:A206" si="14">A195+1</f>
        <v>2</v>
      </c>
      <c r="B196" s="41" t="s">
        <v>205</v>
      </c>
      <c r="C196" s="52">
        <v>1</v>
      </c>
      <c r="D196" s="53">
        <f>(2.65*4.08+2.12*2.75+2.75*2.75+1.22*0.91+1.22*1.67)*(10.764)</f>
        <v>294.41800439999997</v>
      </c>
      <c r="E196" s="41">
        <v>0</v>
      </c>
      <c r="F196" s="41">
        <f>D196*(($F$191)+1)+(IF(E196&lt;101,E196,IF(E196&lt;201,E196/2,IF(E196&lt;=301,E196/3,E196/4))))</f>
        <v>456.34790681999999</v>
      </c>
      <c r="G196" s="195"/>
      <c r="H196" s="196"/>
      <c r="I196" s="35"/>
      <c r="L196" s="121"/>
      <c r="M196" s="121"/>
      <c r="N196" s="35"/>
    </row>
    <row r="197" spans="1:14" s="36" customFormat="1" ht="15.75" customHeight="1" x14ac:dyDescent="0.3">
      <c r="A197" s="41">
        <f t="shared" si="14"/>
        <v>3</v>
      </c>
      <c r="B197" s="193" t="s">
        <v>208</v>
      </c>
      <c r="C197" s="231"/>
      <c r="D197" s="231"/>
      <c r="E197" s="231"/>
      <c r="F197" s="194"/>
      <c r="G197" s="195"/>
      <c r="H197" s="196"/>
      <c r="I197" s="35"/>
      <c r="L197" s="121"/>
      <c r="M197" s="121"/>
      <c r="N197" s="35"/>
    </row>
    <row r="198" spans="1:14" s="36" customFormat="1" ht="15.75" customHeight="1" x14ac:dyDescent="0.3">
      <c r="A198" s="41">
        <f t="shared" si="14"/>
        <v>4</v>
      </c>
      <c r="B198" s="197"/>
      <c r="C198" s="232"/>
      <c r="D198" s="232"/>
      <c r="E198" s="232"/>
      <c r="F198" s="198"/>
      <c r="G198" s="195"/>
      <c r="H198" s="196"/>
      <c r="I198" s="35"/>
      <c r="L198" s="121"/>
      <c r="M198" s="121"/>
      <c r="N198" s="35"/>
    </row>
    <row r="199" spans="1:14" s="36" customFormat="1" ht="15.75" customHeight="1" x14ac:dyDescent="0.3">
      <c r="A199" s="41">
        <f t="shared" si="14"/>
        <v>5</v>
      </c>
      <c r="B199" s="193" t="s">
        <v>209</v>
      </c>
      <c r="C199" s="231"/>
      <c r="D199" s="231"/>
      <c r="E199" s="231"/>
      <c r="F199" s="194"/>
      <c r="G199" s="195"/>
      <c r="H199" s="196"/>
      <c r="I199" s="35"/>
      <c r="L199" s="121"/>
      <c r="M199" s="121"/>
      <c r="N199" s="35"/>
    </row>
    <row r="200" spans="1:14" s="36" customFormat="1" ht="15.75" customHeight="1" x14ac:dyDescent="0.3">
      <c r="A200" s="41">
        <f t="shared" si="14"/>
        <v>6</v>
      </c>
      <c r="B200" s="197"/>
      <c r="C200" s="232"/>
      <c r="D200" s="232"/>
      <c r="E200" s="232"/>
      <c r="F200" s="198"/>
      <c r="G200" s="195"/>
      <c r="H200" s="196"/>
      <c r="I200" s="35"/>
      <c r="L200" s="121"/>
      <c r="M200" s="121"/>
      <c r="N200" s="35"/>
    </row>
    <row r="201" spans="1:14" s="36" customFormat="1" ht="15.75" customHeight="1" x14ac:dyDescent="0.3">
      <c r="A201" s="41">
        <f t="shared" si="14"/>
        <v>7</v>
      </c>
      <c r="B201" s="41" t="s">
        <v>205</v>
      </c>
      <c r="C201" s="52">
        <v>1</v>
      </c>
      <c r="D201" s="53">
        <f t="shared" ref="D201:D206" si="15">(2.65*4.08+2.12*2.75+2.75*2.75+1.22*0.91+1.22*1.67)*(10.764)</f>
        <v>294.41800439999997</v>
      </c>
      <c r="E201" s="41">
        <v>0</v>
      </c>
      <c r="F201" s="41">
        <f t="shared" ref="F201:F206" si="16">D201*(($F$191)+1)+(IF(E201&lt;101,E201,IF(E201&lt;201,E201/2,IF(E201&lt;=301,E201/3,E201/4))))</f>
        <v>456.34790681999999</v>
      </c>
      <c r="G201" s="195"/>
      <c r="H201" s="196"/>
      <c r="I201" s="35"/>
      <c r="L201" s="121"/>
      <c r="M201" s="121"/>
      <c r="N201" s="35"/>
    </row>
    <row r="202" spans="1:14" s="36" customFormat="1" ht="15.75" customHeight="1" x14ac:dyDescent="0.3">
      <c r="A202" s="41">
        <f t="shared" si="14"/>
        <v>8</v>
      </c>
      <c r="B202" s="41" t="s">
        <v>205</v>
      </c>
      <c r="C202" s="52">
        <v>1</v>
      </c>
      <c r="D202" s="53">
        <f t="shared" si="15"/>
        <v>294.41800439999997</v>
      </c>
      <c r="E202" s="41">
        <v>0</v>
      </c>
      <c r="F202" s="41">
        <f t="shared" si="16"/>
        <v>456.34790681999999</v>
      </c>
      <c r="G202" s="195"/>
      <c r="H202" s="196"/>
      <c r="I202" s="35"/>
      <c r="L202" s="121"/>
      <c r="M202" s="121"/>
      <c r="N202" s="35"/>
    </row>
    <row r="203" spans="1:14" s="36" customFormat="1" ht="15.75" customHeight="1" x14ac:dyDescent="0.3">
      <c r="A203" s="41">
        <f t="shared" si="14"/>
        <v>9</v>
      </c>
      <c r="B203" s="41" t="s">
        <v>205</v>
      </c>
      <c r="C203" s="52">
        <v>1</v>
      </c>
      <c r="D203" s="53">
        <f t="shared" si="15"/>
        <v>294.41800439999997</v>
      </c>
      <c r="E203" s="41">
        <v>0</v>
      </c>
      <c r="F203" s="41">
        <f t="shared" si="16"/>
        <v>456.34790681999999</v>
      </c>
      <c r="G203" s="195"/>
      <c r="H203" s="196"/>
      <c r="I203" s="35"/>
      <c r="L203" s="121"/>
      <c r="M203" s="121"/>
      <c r="N203" s="35"/>
    </row>
    <row r="204" spans="1:14" s="36" customFormat="1" ht="15.75" customHeight="1" x14ac:dyDescent="0.3">
      <c r="A204" s="41">
        <f t="shared" si="14"/>
        <v>10</v>
      </c>
      <c r="B204" s="41" t="s">
        <v>205</v>
      </c>
      <c r="C204" s="52">
        <v>1</v>
      </c>
      <c r="D204" s="53">
        <f t="shared" si="15"/>
        <v>294.41800439999997</v>
      </c>
      <c r="E204" s="41">
        <v>0</v>
      </c>
      <c r="F204" s="41">
        <f t="shared" si="16"/>
        <v>456.34790681999999</v>
      </c>
      <c r="G204" s="195"/>
      <c r="H204" s="196"/>
      <c r="I204" s="35"/>
      <c r="L204" s="121"/>
      <c r="M204" s="121"/>
      <c r="N204" s="35"/>
    </row>
    <row r="205" spans="1:14" s="36" customFormat="1" ht="15.75" customHeight="1" x14ac:dyDescent="0.3">
      <c r="A205" s="41">
        <f t="shared" si="14"/>
        <v>11</v>
      </c>
      <c r="B205" s="41" t="s">
        <v>205</v>
      </c>
      <c r="C205" s="52">
        <v>1</v>
      </c>
      <c r="D205" s="53">
        <f t="shared" si="15"/>
        <v>294.41800439999997</v>
      </c>
      <c r="E205" s="41">
        <v>0</v>
      </c>
      <c r="F205" s="41">
        <f t="shared" si="16"/>
        <v>456.34790681999999</v>
      </c>
      <c r="G205" s="195"/>
      <c r="H205" s="196"/>
      <c r="I205" s="35"/>
      <c r="L205" s="121"/>
      <c r="M205" s="121"/>
      <c r="N205" s="35"/>
    </row>
    <row r="206" spans="1:14" s="36" customFormat="1" ht="15.75" customHeight="1" x14ac:dyDescent="0.3">
      <c r="A206" s="41">
        <f t="shared" si="14"/>
        <v>12</v>
      </c>
      <c r="B206" s="41" t="s">
        <v>205</v>
      </c>
      <c r="C206" s="52">
        <v>1</v>
      </c>
      <c r="D206" s="53">
        <f t="shared" si="15"/>
        <v>294.41800439999997</v>
      </c>
      <c r="E206" s="41">
        <v>0</v>
      </c>
      <c r="F206" s="41">
        <f t="shared" si="16"/>
        <v>456.34790681999999</v>
      </c>
      <c r="G206" s="197"/>
      <c r="H206" s="198"/>
      <c r="I206" s="35"/>
      <c r="L206" s="121"/>
      <c r="M206" s="121"/>
      <c r="N206" s="35"/>
    </row>
    <row r="207" spans="1:14" s="36" customFormat="1" x14ac:dyDescent="0.3">
      <c r="A207" s="115" t="s">
        <v>210</v>
      </c>
      <c r="B207" s="116"/>
      <c r="C207" s="116"/>
      <c r="D207" s="116"/>
      <c r="E207" s="116"/>
      <c r="F207" s="116"/>
      <c r="G207" s="116"/>
      <c r="H207" s="117"/>
      <c r="J207" s="35"/>
    </row>
    <row r="208" spans="1:14" s="36" customFormat="1" ht="15.75" customHeight="1" x14ac:dyDescent="0.3">
      <c r="A208" s="41">
        <v>1</v>
      </c>
      <c r="B208" s="41" t="s">
        <v>205</v>
      </c>
      <c r="C208" s="52">
        <v>1</v>
      </c>
      <c r="D208" s="53">
        <f t="shared" ref="D208:D219" si="17">(2.65*4.08+2.12*2.75+2.75*2.75+1.22*0.91+1.22*1.67)*(10.764)</f>
        <v>294.41800439999997</v>
      </c>
      <c r="E208" s="41">
        <v>0</v>
      </c>
      <c r="F208" s="41">
        <f t="shared" ref="F208:F219" si="18">D208*(($F$191)+1)+(IF(E208&lt;101,E208,IF(E208&lt;201,E208/2,IF(E208&lt;=301,E208/3,E208/4))))</f>
        <v>456.34790681999999</v>
      </c>
      <c r="G208" s="193" t="str">
        <f>A207</f>
        <v>3rd to 7th &amp; 9th to 12th Floor</v>
      </c>
      <c r="H208" s="194"/>
      <c r="I208" s="35"/>
      <c r="L208" s="121"/>
      <c r="M208" s="121"/>
      <c r="N208" s="35"/>
    </row>
    <row r="209" spans="1:14" s="36" customFormat="1" ht="15.75" customHeight="1" x14ac:dyDescent="0.3">
      <c r="A209" s="41">
        <f t="shared" ref="A209:A219" si="19">A208+1</f>
        <v>2</v>
      </c>
      <c r="B209" s="41" t="s">
        <v>205</v>
      </c>
      <c r="C209" s="52">
        <v>1</v>
      </c>
      <c r="D209" s="53">
        <f t="shared" si="17"/>
        <v>294.41800439999997</v>
      </c>
      <c r="E209" s="41">
        <v>0</v>
      </c>
      <c r="F209" s="41">
        <f t="shared" si="18"/>
        <v>456.34790681999999</v>
      </c>
      <c r="G209" s="195" t="str">
        <f t="shared" ref="G209:G219" si="20">G208</f>
        <v>3rd to 7th &amp; 9th to 12th Floor</v>
      </c>
      <c r="H209" s="196"/>
      <c r="I209" s="35"/>
      <c r="L209" s="121"/>
      <c r="M209" s="121"/>
      <c r="N209" s="35"/>
    </row>
    <row r="210" spans="1:14" s="36" customFormat="1" ht="15.75" customHeight="1" x14ac:dyDescent="0.3">
      <c r="A210" s="41">
        <f t="shared" si="19"/>
        <v>3</v>
      </c>
      <c r="B210" s="41" t="s">
        <v>205</v>
      </c>
      <c r="C210" s="52">
        <v>1</v>
      </c>
      <c r="D210" s="53">
        <f t="shared" si="17"/>
        <v>294.41800439999997</v>
      </c>
      <c r="E210" s="41">
        <v>0</v>
      </c>
      <c r="F210" s="41">
        <f t="shared" si="18"/>
        <v>456.34790681999999</v>
      </c>
      <c r="G210" s="195" t="str">
        <f t="shared" si="20"/>
        <v>3rd to 7th &amp; 9th to 12th Floor</v>
      </c>
      <c r="H210" s="196"/>
      <c r="I210" s="35"/>
      <c r="L210" s="121"/>
      <c r="M210" s="121"/>
      <c r="N210" s="35"/>
    </row>
    <row r="211" spans="1:14" s="36" customFormat="1" ht="15.75" customHeight="1" x14ac:dyDescent="0.3">
      <c r="A211" s="41">
        <f t="shared" si="19"/>
        <v>4</v>
      </c>
      <c r="B211" s="41" t="s">
        <v>205</v>
      </c>
      <c r="C211" s="52">
        <v>1</v>
      </c>
      <c r="D211" s="53">
        <f t="shared" si="17"/>
        <v>294.41800439999997</v>
      </c>
      <c r="E211" s="41">
        <v>0</v>
      </c>
      <c r="F211" s="41">
        <f t="shared" si="18"/>
        <v>456.34790681999999</v>
      </c>
      <c r="G211" s="195" t="str">
        <f t="shared" si="20"/>
        <v>3rd to 7th &amp; 9th to 12th Floor</v>
      </c>
      <c r="H211" s="196"/>
      <c r="I211" s="35"/>
      <c r="L211" s="121"/>
      <c r="M211" s="121"/>
      <c r="N211" s="35"/>
    </row>
    <row r="212" spans="1:14" s="36" customFormat="1" ht="15.75" customHeight="1" x14ac:dyDescent="0.3">
      <c r="A212" s="41">
        <f t="shared" si="19"/>
        <v>5</v>
      </c>
      <c r="B212" s="41" t="s">
        <v>205</v>
      </c>
      <c r="C212" s="52">
        <v>1</v>
      </c>
      <c r="D212" s="53">
        <f t="shared" si="17"/>
        <v>294.41800439999997</v>
      </c>
      <c r="E212" s="41">
        <v>0</v>
      </c>
      <c r="F212" s="41">
        <f t="shared" si="18"/>
        <v>456.34790681999999</v>
      </c>
      <c r="G212" s="195" t="str">
        <f t="shared" si="20"/>
        <v>3rd to 7th &amp; 9th to 12th Floor</v>
      </c>
      <c r="H212" s="196"/>
      <c r="I212" s="35"/>
      <c r="L212" s="121"/>
      <c r="M212" s="121"/>
      <c r="N212" s="35"/>
    </row>
    <row r="213" spans="1:14" s="36" customFormat="1" ht="15.75" customHeight="1" x14ac:dyDescent="0.3">
      <c r="A213" s="41">
        <f t="shared" si="19"/>
        <v>6</v>
      </c>
      <c r="B213" s="41" t="s">
        <v>205</v>
      </c>
      <c r="C213" s="52">
        <v>1</v>
      </c>
      <c r="D213" s="53">
        <f t="shared" si="17"/>
        <v>294.41800439999997</v>
      </c>
      <c r="E213" s="41">
        <v>0</v>
      </c>
      <c r="F213" s="41">
        <f t="shared" si="18"/>
        <v>456.34790681999999</v>
      </c>
      <c r="G213" s="195" t="str">
        <f t="shared" si="20"/>
        <v>3rd to 7th &amp; 9th to 12th Floor</v>
      </c>
      <c r="H213" s="196"/>
      <c r="I213" s="35"/>
      <c r="L213" s="121"/>
      <c r="M213" s="121"/>
      <c r="N213" s="35"/>
    </row>
    <row r="214" spans="1:14" s="36" customFormat="1" ht="15.75" customHeight="1" x14ac:dyDescent="0.3">
      <c r="A214" s="41">
        <f t="shared" si="19"/>
        <v>7</v>
      </c>
      <c r="B214" s="41" t="s">
        <v>205</v>
      </c>
      <c r="C214" s="52">
        <v>1</v>
      </c>
      <c r="D214" s="53">
        <f t="shared" si="17"/>
        <v>294.41800439999997</v>
      </c>
      <c r="E214" s="41">
        <v>0</v>
      </c>
      <c r="F214" s="41">
        <f t="shared" si="18"/>
        <v>456.34790681999999</v>
      </c>
      <c r="G214" s="195" t="str">
        <f t="shared" si="20"/>
        <v>3rd to 7th &amp; 9th to 12th Floor</v>
      </c>
      <c r="H214" s="196"/>
      <c r="I214" s="35"/>
      <c r="L214" s="121"/>
      <c r="M214" s="121"/>
      <c r="N214" s="35"/>
    </row>
    <row r="215" spans="1:14" s="36" customFormat="1" ht="15.75" customHeight="1" x14ac:dyDescent="0.3">
      <c r="A215" s="41">
        <f t="shared" si="19"/>
        <v>8</v>
      </c>
      <c r="B215" s="41" t="s">
        <v>205</v>
      </c>
      <c r="C215" s="52">
        <v>1</v>
      </c>
      <c r="D215" s="53">
        <f t="shared" si="17"/>
        <v>294.41800439999997</v>
      </c>
      <c r="E215" s="41">
        <v>0</v>
      </c>
      <c r="F215" s="41">
        <f t="shared" si="18"/>
        <v>456.34790681999999</v>
      </c>
      <c r="G215" s="195" t="str">
        <f t="shared" si="20"/>
        <v>3rd to 7th &amp; 9th to 12th Floor</v>
      </c>
      <c r="H215" s="196"/>
      <c r="I215" s="35"/>
      <c r="L215" s="121"/>
      <c r="M215" s="121"/>
      <c r="N215" s="35"/>
    </row>
    <row r="216" spans="1:14" s="36" customFormat="1" ht="15.75" customHeight="1" x14ac:dyDescent="0.3">
      <c r="A216" s="41">
        <f t="shared" si="19"/>
        <v>9</v>
      </c>
      <c r="B216" s="41" t="s">
        <v>205</v>
      </c>
      <c r="C216" s="52">
        <v>1</v>
      </c>
      <c r="D216" s="53">
        <f t="shared" si="17"/>
        <v>294.41800439999997</v>
      </c>
      <c r="E216" s="41">
        <v>0</v>
      </c>
      <c r="F216" s="41">
        <f t="shared" si="18"/>
        <v>456.34790681999999</v>
      </c>
      <c r="G216" s="195" t="str">
        <f t="shared" si="20"/>
        <v>3rd to 7th &amp; 9th to 12th Floor</v>
      </c>
      <c r="H216" s="196"/>
      <c r="I216" s="35"/>
      <c r="L216" s="121"/>
      <c r="M216" s="121"/>
      <c r="N216" s="35"/>
    </row>
    <row r="217" spans="1:14" s="36" customFormat="1" ht="15.75" customHeight="1" x14ac:dyDescent="0.3">
      <c r="A217" s="41">
        <f t="shared" si="19"/>
        <v>10</v>
      </c>
      <c r="B217" s="41" t="s">
        <v>205</v>
      </c>
      <c r="C217" s="52">
        <v>1</v>
      </c>
      <c r="D217" s="53">
        <f t="shared" si="17"/>
        <v>294.41800439999997</v>
      </c>
      <c r="E217" s="41">
        <v>0</v>
      </c>
      <c r="F217" s="41">
        <f t="shared" si="18"/>
        <v>456.34790681999999</v>
      </c>
      <c r="G217" s="195" t="str">
        <f t="shared" si="20"/>
        <v>3rd to 7th &amp; 9th to 12th Floor</v>
      </c>
      <c r="H217" s="196"/>
      <c r="I217" s="35"/>
      <c r="L217" s="121"/>
      <c r="M217" s="121"/>
      <c r="N217" s="35"/>
    </row>
    <row r="218" spans="1:14" s="36" customFormat="1" ht="15.75" customHeight="1" x14ac:dyDescent="0.3">
      <c r="A218" s="41">
        <f t="shared" si="19"/>
        <v>11</v>
      </c>
      <c r="B218" s="41" t="s">
        <v>205</v>
      </c>
      <c r="C218" s="52">
        <v>1</v>
      </c>
      <c r="D218" s="53">
        <f t="shared" si="17"/>
        <v>294.41800439999997</v>
      </c>
      <c r="E218" s="41">
        <v>0</v>
      </c>
      <c r="F218" s="41">
        <f t="shared" si="18"/>
        <v>456.34790681999999</v>
      </c>
      <c r="G218" s="195" t="str">
        <f t="shared" si="20"/>
        <v>3rd to 7th &amp; 9th to 12th Floor</v>
      </c>
      <c r="H218" s="196"/>
      <c r="I218" s="35"/>
      <c r="L218" s="121"/>
      <c r="M218" s="121"/>
      <c r="N218" s="35"/>
    </row>
    <row r="219" spans="1:14" s="36" customFormat="1" ht="15.75" customHeight="1" x14ac:dyDescent="0.3">
      <c r="A219" s="41">
        <f t="shared" si="19"/>
        <v>12</v>
      </c>
      <c r="B219" s="41" t="s">
        <v>205</v>
      </c>
      <c r="C219" s="52">
        <v>1</v>
      </c>
      <c r="D219" s="53">
        <f t="shared" si="17"/>
        <v>294.41800439999997</v>
      </c>
      <c r="E219" s="41">
        <v>0</v>
      </c>
      <c r="F219" s="41">
        <f t="shared" si="18"/>
        <v>456.34790681999999</v>
      </c>
      <c r="G219" s="197" t="str">
        <f t="shared" si="20"/>
        <v>3rd to 7th &amp; 9th to 12th Floor</v>
      </c>
      <c r="H219" s="198"/>
      <c r="I219" s="35"/>
      <c r="L219" s="121"/>
      <c r="M219" s="121"/>
      <c r="N219" s="35"/>
    </row>
    <row r="220" spans="1:14" s="36" customFormat="1" x14ac:dyDescent="0.3">
      <c r="A220" s="115" t="s">
        <v>211</v>
      </c>
      <c r="B220" s="116"/>
      <c r="C220" s="116"/>
      <c r="D220" s="116"/>
      <c r="E220" s="116"/>
      <c r="F220" s="116"/>
      <c r="G220" s="116"/>
      <c r="H220" s="117"/>
      <c r="J220" s="35"/>
    </row>
    <row r="221" spans="1:14" s="36" customFormat="1" ht="15.75" customHeight="1" x14ac:dyDescent="0.3">
      <c r="A221" s="41">
        <v>1</v>
      </c>
      <c r="B221" s="41" t="s">
        <v>205</v>
      </c>
      <c r="C221" s="52">
        <v>1</v>
      </c>
      <c r="D221" s="53">
        <f t="shared" ref="D221:D227" si="21">(2.65*4.08+2.12*2.75+2.75*2.75+1.22*0.91+1.22*1.67)*(10.764)</f>
        <v>294.41800439999997</v>
      </c>
      <c r="E221" s="41">
        <v>0</v>
      </c>
      <c r="F221" s="41">
        <f t="shared" ref="F221:F227" si="22">D221*(($F$191)+1)+(IF(E221&lt;101,E221,IF(E221&lt;201,E221/2,IF(E221&lt;=301,E221/3,E221/4))))</f>
        <v>456.34790681999999</v>
      </c>
      <c r="G221" s="193" t="str">
        <f>A220</f>
        <v>8th Floor (Part Refuge Area)</v>
      </c>
      <c r="H221" s="194"/>
      <c r="I221" s="35"/>
      <c r="L221" s="121"/>
      <c r="M221" s="121"/>
      <c r="N221" s="35"/>
    </row>
    <row r="222" spans="1:14" s="36" customFormat="1" ht="15.75" customHeight="1" x14ac:dyDescent="0.3">
      <c r="A222" s="41">
        <f t="shared" ref="A222:A232" si="23">A221+1</f>
        <v>2</v>
      </c>
      <c r="B222" s="41" t="s">
        <v>205</v>
      </c>
      <c r="C222" s="52">
        <v>1</v>
      </c>
      <c r="D222" s="53">
        <f t="shared" si="21"/>
        <v>294.41800439999997</v>
      </c>
      <c r="E222" s="41">
        <v>0</v>
      </c>
      <c r="F222" s="41">
        <f t="shared" si="22"/>
        <v>456.34790681999999</v>
      </c>
      <c r="G222" s="195" t="str">
        <f t="shared" ref="G222:G232" si="24">G221</f>
        <v>8th Floor (Part Refuge Area)</v>
      </c>
      <c r="H222" s="196"/>
      <c r="I222" s="35"/>
      <c r="L222" s="121"/>
      <c r="M222" s="121"/>
      <c r="N222" s="35"/>
    </row>
    <row r="223" spans="1:14" s="36" customFormat="1" ht="15.75" customHeight="1" x14ac:dyDescent="0.3">
      <c r="A223" s="41">
        <f t="shared" si="23"/>
        <v>3</v>
      </c>
      <c r="B223" s="41" t="s">
        <v>205</v>
      </c>
      <c r="C223" s="52">
        <v>1</v>
      </c>
      <c r="D223" s="53">
        <f t="shared" si="21"/>
        <v>294.41800439999997</v>
      </c>
      <c r="E223" s="41">
        <v>0</v>
      </c>
      <c r="F223" s="41">
        <f t="shared" si="22"/>
        <v>456.34790681999999</v>
      </c>
      <c r="G223" s="195" t="str">
        <f t="shared" si="24"/>
        <v>8th Floor (Part Refuge Area)</v>
      </c>
      <c r="H223" s="196"/>
      <c r="I223" s="35"/>
      <c r="L223" s="121"/>
      <c r="M223" s="121"/>
      <c r="N223" s="35"/>
    </row>
    <row r="224" spans="1:14" s="36" customFormat="1" ht="15.75" customHeight="1" x14ac:dyDescent="0.3">
      <c r="A224" s="41">
        <f t="shared" si="23"/>
        <v>4</v>
      </c>
      <c r="B224" s="41" t="s">
        <v>205</v>
      </c>
      <c r="C224" s="52">
        <v>1</v>
      </c>
      <c r="D224" s="53">
        <f t="shared" si="21"/>
        <v>294.41800439999997</v>
      </c>
      <c r="E224" s="41">
        <v>0</v>
      </c>
      <c r="F224" s="41">
        <f t="shared" si="22"/>
        <v>456.34790681999999</v>
      </c>
      <c r="G224" s="195" t="str">
        <f t="shared" si="24"/>
        <v>8th Floor (Part Refuge Area)</v>
      </c>
      <c r="H224" s="196"/>
      <c r="I224" s="35"/>
      <c r="L224" s="121"/>
      <c r="M224" s="121"/>
      <c r="N224" s="35"/>
    </row>
    <row r="225" spans="1:14" s="36" customFormat="1" ht="15.75" customHeight="1" x14ac:dyDescent="0.3">
      <c r="A225" s="41">
        <f t="shared" si="23"/>
        <v>5</v>
      </c>
      <c r="B225" s="41" t="s">
        <v>205</v>
      </c>
      <c r="C225" s="52">
        <v>1</v>
      </c>
      <c r="D225" s="53">
        <f t="shared" si="21"/>
        <v>294.41800439999997</v>
      </c>
      <c r="E225" s="41">
        <v>0</v>
      </c>
      <c r="F225" s="41">
        <f t="shared" si="22"/>
        <v>456.34790681999999</v>
      </c>
      <c r="G225" s="195" t="str">
        <f t="shared" si="24"/>
        <v>8th Floor (Part Refuge Area)</v>
      </c>
      <c r="H225" s="196"/>
      <c r="I225" s="35"/>
      <c r="L225" s="121"/>
      <c r="M225" s="121"/>
      <c r="N225" s="35"/>
    </row>
    <row r="226" spans="1:14" s="36" customFormat="1" ht="15.75" customHeight="1" x14ac:dyDescent="0.3">
      <c r="A226" s="41">
        <f t="shared" si="23"/>
        <v>6</v>
      </c>
      <c r="B226" s="41" t="s">
        <v>205</v>
      </c>
      <c r="C226" s="52">
        <v>1</v>
      </c>
      <c r="D226" s="53">
        <f t="shared" si="21"/>
        <v>294.41800439999997</v>
      </c>
      <c r="E226" s="41">
        <v>0</v>
      </c>
      <c r="F226" s="41">
        <f t="shared" si="22"/>
        <v>456.34790681999999</v>
      </c>
      <c r="G226" s="195" t="str">
        <f t="shared" si="24"/>
        <v>8th Floor (Part Refuge Area)</v>
      </c>
      <c r="H226" s="196"/>
      <c r="I226" s="35"/>
      <c r="L226" s="121"/>
      <c r="M226" s="121"/>
      <c r="N226" s="35"/>
    </row>
    <row r="227" spans="1:14" s="36" customFormat="1" ht="15.75" customHeight="1" x14ac:dyDescent="0.3">
      <c r="A227" s="41">
        <f t="shared" si="23"/>
        <v>7</v>
      </c>
      <c r="B227" s="41" t="s">
        <v>205</v>
      </c>
      <c r="C227" s="52">
        <v>1</v>
      </c>
      <c r="D227" s="53">
        <f t="shared" si="21"/>
        <v>294.41800439999997</v>
      </c>
      <c r="E227" s="41">
        <v>0</v>
      </c>
      <c r="F227" s="41">
        <f t="shared" si="22"/>
        <v>456.34790681999999</v>
      </c>
      <c r="G227" s="195" t="str">
        <f t="shared" si="24"/>
        <v>8th Floor (Part Refuge Area)</v>
      </c>
      <c r="H227" s="196"/>
      <c r="I227" s="35"/>
      <c r="L227" s="121"/>
      <c r="M227" s="121"/>
      <c r="N227" s="35"/>
    </row>
    <row r="228" spans="1:14" s="36" customFormat="1" ht="15.75" customHeight="1" x14ac:dyDescent="0.3">
      <c r="A228" s="41">
        <f t="shared" si="23"/>
        <v>8</v>
      </c>
      <c r="B228" s="95" t="s">
        <v>212</v>
      </c>
      <c r="C228" s="127"/>
      <c r="D228" s="127"/>
      <c r="E228" s="127"/>
      <c r="F228" s="96"/>
      <c r="G228" s="195" t="str">
        <f t="shared" si="24"/>
        <v>8th Floor (Part Refuge Area)</v>
      </c>
      <c r="H228" s="196"/>
      <c r="I228" s="35"/>
      <c r="L228" s="121"/>
      <c r="M228" s="121"/>
      <c r="N228" s="35"/>
    </row>
    <row r="229" spans="1:14" s="36" customFormat="1" ht="15.75" customHeight="1" x14ac:dyDescent="0.3">
      <c r="A229" s="41">
        <f t="shared" si="23"/>
        <v>9</v>
      </c>
      <c r="B229" s="41" t="s">
        <v>205</v>
      </c>
      <c r="C229" s="52">
        <v>1</v>
      </c>
      <c r="D229" s="53">
        <f t="shared" ref="D229:D232" si="25">(2.65*4.08+2.12*2.75+2.75*2.75+1.22*0.91+1.22*1.67)*(10.764)</f>
        <v>294.41800439999997</v>
      </c>
      <c r="E229" s="41">
        <v>0</v>
      </c>
      <c r="F229" s="41">
        <f>D229*(($F$191)+1)+(IF(E229&lt;101,E229,IF(E229&lt;201,E229/2,IF(E229&lt;=301,E229/3,E229/4))))</f>
        <v>456.34790681999999</v>
      </c>
      <c r="G229" s="195" t="str">
        <f t="shared" si="24"/>
        <v>8th Floor (Part Refuge Area)</v>
      </c>
      <c r="H229" s="196"/>
      <c r="I229" s="35"/>
      <c r="L229" s="121"/>
      <c r="M229" s="121"/>
      <c r="N229" s="35"/>
    </row>
    <row r="230" spans="1:14" s="36" customFormat="1" ht="15.75" customHeight="1" x14ac:dyDescent="0.3">
      <c r="A230" s="41">
        <f t="shared" si="23"/>
        <v>10</v>
      </c>
      <c r="B230" s="41" t="s">
        <v>205</v>
      </c>
      <c r="C230" s="52">
        <v>1</v>
      </c>
      <c r="D230" s="53">
        <f t="shared" si="25"/>
        <v>294.41800439999997</v>
      </c>
      <c r="E230" s="41">
        <v>0</v>
      </c>
      <c r="F230" s="41">
        <f>D230*(($F$191)+1)+(IF(E230&lt;101,E230,IF(E230&lt;201,E230/2,IF(E230&lt;=301,E230/3,E230/4))))</f>
        <v>456.34790681999999</v>
      </c>
      <c r="G230" s="195" t="str">
        <f t="shared" si="24"/>
        <v>8th Floor (Part Refuge Area)</v>
      </c>
      <c r="H230" s="196"/>
      <c r="I230" s="35"/>
      <c r="L230" s="121"/>
      <c r="M230" s="121"/>
      <c r="N230" s="35"/>
    </row>
    <row r="231" spans="1:14" s="36" customFormat="1" ht="15.75" customHeight="1" x14ac:dyDescent="0.3">
      <c r="A231" s="41">
        <f t="shared" si="23"/>
        <v>11</v>
      </c>
      <c r="B231" s="41" t="s">
        <v>205</v>
      </c>
      <c r="C231" s="52">
        <v>1</v>
      </c>
      <c r="D231" s="53">
        <f t="shared" si="25"/>
        <v>294.41800439999997</v>
      </c>
      <c r="E231" s="41">
        <v>0</v>
      </c>
      <c r="F231" s="41">
        <f>D231*(($F$191)+1)+(IF(E231&lt;101,E231,IF(E231&lt;201,E231/2,IF(E231&lt;=301,E231/3,E231/4))))</f>
        <v>456.34790681999999</v>
      </c>
      <c r="G231" s="195" t="str">
        <f t="shared" si="24"/>
        <v>8th Floor (Part Refuge Area)</v>
      </c>
      <c r="H231" s="196"/>
      <c r="I231" s="35"/>
      <c r="L231" s="121"/>
      <c r="M231" s="121"/>
      <c r="N231" s="35"/>
    </row>
    <row r="232" spans="1:14" s="36" customFormat="1" ht="15.75" customHeight="1" x14ac:dyDescent="0.3">
      <c r="A232" s="41">
        <f t="shared" si="23"/>
        <v>12</v>
      </c>
      <c r="B232" s="41" t="s">
        <v>205</v>
      </c>
      <c r="C232" s="52">
        <v>1</v>
      </c>
      <c r="D232" s="53">
        <f t="shared" si="25"/>
        <v>294.41800439999997</v>
      </c>
      <c r="E232" s="41">
        <v>0</v>
      </c>
      <c r="F232" s="41">
        <f>D232*(($F$191)+1)+(IF(E232&lt;101,E232,IF(E232&lt;201,E232/2,IF(E232&lt;=301,E232/3,E232/4))))</f>
        <v>456.34790681999999</v>
      </c>
      <c r="G232" s="197" t="str">
        <f t="shared" si="24"/>
        <v>8th Floor (Part Refuge Area)</v>
      </c>
      <c r="H232" s="198"/>
      <c r="I232" s="35"/>
      <c r="L232" s="121"/>
      <c r="M232" s="121"/>
      <c r="N232" s="35"/>
    </row>
    <row r="233" spans="1:14" s="36" customFormat="1" x14ac:dyDescent="0.3">
      <c r="A233" s="115" t="s">
        <v>213</v>
      </c>
      <c r="B233" s="116"/>
      <c r="C233" s="116"/>
      <c r="D233" s="116"/>
      <c r="E233" s="116"/>
      <c r="F233" s="116"/>
      <c r="G233" s="116"/>
      <c r="H233" s="117"/>
      <c r="J233" s="35"/>
    </row>
    <row r="234" spans="1:14" s="36" customFormat="1" ht="15.75" customHeight="1" x14ac:dyDescent="0.3">
      <c r="A234" s="41">
        <v>1</v>
      </c>
      <c r="B234" s="41" t="s">
        <v>205</v>
      </c>
      <c r="C234" s="52">
        <v>1</v>
      </c>
      <c r="D234" s="53">
        <f t="shared" ref="D234:D240" si="26">(2.65*4.08+2.12*2.75+2.75*2.75+1.22*0.91+1.22*1.67)*(10.764)</f>
        <v>294.41800439999997</v>
      </c>
      <c r="E234" s="41">
        <v>0</v>
      </c>
      <c r="F234" s="41">
        <f t="shared" ref="F234:F240" si="27">D234*(($F$191)+1)+(IF(E234&lt;101,E234,IF(E234&lt;201,E234/2,IF(E234&lt;=301,E234/3,E234/4))))</f>
        <v>456.34790681999999</v>
      </c>
      <c r="G234" s="193" t="str">
        <f>A233</f>
        <v>13th Floor (Part Refuge Area)</v>
      </c>
      <c r="H234" s="194"/>
      <c r="I234" s="35"/>
      <c r="L234" s="121"/>
      <c r="M234" s="121"/>
      <c r="N234" s="35"/>
    </row>
    <row r="235" spans="1:14" s="36" customFormat="1" ht="15.75" customHeight="1" x14ac:dyDescent="0.3">
      <c r="A235" s="61">
        <f t="shared" ref="A235:A245" si="28">A234+1</f>
        <v>2</v>
      </c>
      <c r="B235" s="61" t="s">
        <v>205</v>
      </c>
      <c r="C235" s="66">
        <v>1</v>
      </c>
      <c r="D235" s="62">
        <f t="shared" si="26"/>
        <v>294.41800439999997</v>
      </c>
      <c r="E235" s="61">
        <v>0</v>
      </c>
      <c r="F235" s="61">
        <f t="shared" si="27"/>
        <v>456.34790681999999</v>
      </c>
      <c r="G235" s="195" t="str">
        <f t="shared" ref="G235:G245" si="29">G234</f>
        <v>13th Floor (Part Refuge Area)</v>
      </c>
      <c r="H235" s="196"/>
      <c r="I235" s="60" t="s">
        <v>251</v>
      </c>
      <c r="L235" s="121"/>
      <c r="M235" s="121"/>
      <c r="N235" s="35"/>
    </row>
    <row r="236" spans="1:14" s="36" customFormat="1" ht="15.75" customHeight="1" x14ac:dyDescent="0.3">
      <c r="A236" s="41">
        <f t="shared" si="28"/>
        <v>3</v>
      </c>
      <c r="B236" s="41" t="s">
        <v>205</v>
      </c>
      <c r="C236" s="52">
        <v>1</v>
      </c>
      <c r="D236" s="53">
        <f t="shared" si="26"/>
        <v>294.41800439999997</v>
      </c>
      <c r="E236" s="41">
        <v>0</v>
      </c>
      <c r="F236" s="41">
        <f t="shared" si="27"/>
        <v>456.34790681999999</v>
      </c>
      <c r="G236" s="195" t="str">
        <f t="shared" si="29"/>
        <v>13th Floor (Part Refuge Area)</v>
      </c>
      <c r="H236" s="196"/>
      <c r="I236" s="35"/>
      <c r="L236" s="121"/>
      <c r="M236" s="121"/>
      <c r="N236" s="35"/>
    </row>
    <row r="237" spans="1:14" s="36" customFormat="1" ht="15.75" customHeight="1" x14ac:dyDescent="0.3">
      <c r="A237" s="41">
        <f t="shared" si="28"/>
        <v>4</v>
      </c>
      <c r="B237" s="41" t="s">
        <v>205</v>
      </c>
      <c r="C237" s="52">
        <v>1</v>
      </c>
      <c r="D237" s="53">
        <f t="shared" si="26"/>
        <v>294.41800439999997</v>
      </c>
      <c r="E237" s="41">
        <v>0</v>
      </c>
      <c r="F237" s="41">
        <f t="shared" si="27"/>
        <v>456.34790681999999</v>
      </c>
      <c r="G237" s="195" t="str">
        <f t="shared" si="29"/>
        <v>13th Floor (Part Refuge Area)</v>
      </c>
      <c r="H237" s="196"/>
      <c r="I237" s="35"/>
      <c r="L237" s="121"/>
      <c r="M237" s="121"/>
      <c r="N237" s="35"/>
    </row>
    <row r="238" spans="1:14" s="36" customFormat="1" ht="15.75" customHeight="1" x14ac:dyDescent="0.3">
      <c r="A238" s="41">
        <f t="shared" si="28"/>
        <v>5</v>
      </c>
      <c r="B238" s="41" t="s">
        <v>205</v>
      </c>
      <c r="C238" s="52">
        <v>1</v>
      </c>
      <c r="D238" s="53">
        <f t="shared" si="26"/>
        <v>294.41800439999997</v>
      </c>
      <c r="E238" s="41">
        <v>0</v>
      </c>
      <c r="F238" s="41">
        <f t="shared" si="27"/>
        <v>456.34790681999999</v>
      </c>
      <c r="G238" s="195" t="str">
        <f t="shared" si="29"/>
        <v>13th Floor (Part Refuge Area)</v>
      </c>
      <c r="H238" s="196"/>
      <c r="I238" s="35"/>
      <c r="L238" s="121"/>
      <c r="M238" s="121"/>
      <c r="N238" s="35"/>
    </row>
    <row r="239" spans="1:14" s="36" customFormat="1" ht="15.75" customHeight="1" x14ac:dyDescent="0.3">
      <c r="A239" s="41">
        <f t="shared" si="28"/>
        <v>6</v>
      </c>
      <c r="B239" s="41" t="s">
        <v>205</v>
      </c>
      <c r="C239" s="52">
        <v>1</v>
      </c>
      <c r="D239" s="53">
        <f t="shared" si="26"/>
        <v>294.41800439999997</v>
      </c>
      <c r="E239" s="41">
        <v>0</v>
      </c>
      <c r="F239" s="41">
        <f t="shared" si="27"/>
        <v>456.34790681999999</v>
      </c>
      <c r="G239" s="195" t="str">
        <f t="shared" si="29"/>
        <v>13th Floor (Part Refuge Area)</v>
      </c>
      <c r="H239" s="196"/>
      <c r="I239" s="35"/>
      <c r="L239" s="121"/>
      <c r="M239" s="121"/>
      <c r="N239" s="35"/>
    </row>
    <row r="240" spans="1:14" s="36" customFormat="1" ht="15.75" customHeight="1" x14ac:dyDescent="0.3">
      <c r="A240" s="41">
        <f t="shared" si="28"/>
        <v>7</v>
      </c>
      <c r="B240" s="41" t="s">
        <v>205</v>
      </c>
      <c r="C240" s="52">
        <v>1</v>
      </c>
      <c r="D240" s="53">
        <f t="shared" si="26"/>
        <v>294.41800439999997</v>
      </c>
      <c r="E240" s="41">
        <v>0</v>
      </c>
      <c r="F240" s="41">
        <f t="shared" si="27"/>
        <v>456.34790681999999</v>
      </c>
      <c r="G240" s="195" t="str">
        <f t="shared" si="29"/>
        <v>13th Floor (Part Refuge Area)</v>
      </c>
      <c r="H240" s="196"/>
      <c r="I240" s="35"/>
      <c r="L240" s="121"/>
      <c r="M240" s="121"/>
      <c r="N240" s="35"/>
    </row>
    <row r="241" spans="1:14" s="36" customFormat="1" ht="15.75" customHeight="1" x14ac:dyDescent="0.3">
      <c r="A241" s="41">
        <f t="shared" si="28"/>
        <v>8</v>
      </c>
      <c r="B241" s="95" t="s">
        <v>212</v>
      </c>
      <c r="C241" s="127"/>
      <c r="D241" s="127"/>
      <c r="E241" s="127"/>
      <c r="F241" s="96"/>
      <c r="G241" s="195" t="str">
        <f t="shared" si="29"/>
        <v>13th Floor (Part Refuge Area)</v>
      </c>
      <c r="H241" s="196"/>
      <c r="I241" s="35"/>
      <c r="L241" s="121"/>
      <c r="M241" s="121"/>
      <c r="N241" s="35"/>
    </row>
    <row r="242" spans="1:14" s="36" customFormat="1" ht="15.75" customHeight="1" x14ac:dyDescent="0.3">
      <c r="A242" s="41">
        <f t="shared" si="28"/>
        <v>9</v>
      </c>
      <c r="B242" s="41" t="s">
        <v>205</v>
      </c>
      <c r="C242" s="52">
        <v>1</v>
      </c>
      <c r="D242" s="53">
        <f t="shared" ref="D242:D245" si="30">(2.65*4.08+2.12*2.75+2.75*2.75+1.22*0.91+1.22*1.67)*(10.764)</f>
        <v>294.41800439999997</v>
      </c>
      <c r="E242" s="41">
        <v>0</v>
      </c>
      <c r="F242" s="41">
        <f>D242*(($F$191)+1)+(IF(E242&lt;101,E242,IF(E242&lt;201,E242/2,IF(E242&lt;=301,E242/3,E242/4))))</f>
        <v>456.34790681999999</v>
      </c>
      <c r="G242" s="195" t="str">
        <f t="shared" si="29"/>
        <v>13th Floor (Part Refuge Area)</v>
      </c>
      <c r="H242" s="196"/>
      <c r="I242" s="35"/>
      <c r="L242" s="121"/>
      <c r="M242" s="121"/>
      <c r="N242" s="35"/>
    </row>
    <row r="243" spans="1:14" s="36" customFormat="1" ht="15.75" customHeight="1" x14ac:dyDescent="0.3">
      <c r="A243" s="41">
        <f t="shared" si="28"/>
        <v>10</v>
      </c>
      <c r="B243" s="41" t="s">
        <v>205</v>
      </c>
      <c r="C243" s="52">
        <v>1</v>
      </c>
      <c r="D243" s="53">
        <f t="shared" si="30"/>
        <v>294.41800439999997</v>
      </c>
      <c r="E243" s="41">
        <v>0</v>
      </c>
      <c r="F243" s="41">
        <f>D243*(($F$191)+1)+(IF(E243&lt;101,E243,IF(E243&lt;201,E243/2,IF(E243&lt;=301,E243/3,E243/4))))</f>
        <v>456.34790681999999</v>
      </c>
      <c r="G243" s="195" t="str">
        <f t="shared" si="29"/>
        <v>13th Floor (Part Refuge Area)</v>
      </c>
      <c r="H243" s="196"/>
      <c r="I243" s="35"/>
      <c r="L243" s="121"/>
      <c r="M243" s="121"/>
      <c r="N243" s="35"/>
    </row>
    <row r="244" spans="1:14" s="36" customFormat="1" ht="15.75" customHeight="1" x14ac:dyDescent="0.3">
      <c r="A244" s="41">
        <f t="shared" si="28"/>
        <v>11</v>
      </c>
      <c r="B244" s="41" t="s">
        <v>205</v>
      </c>
      <c r="C244" s="52">
        <v>1</v>
      </c>
      <c r="D244" s="53">
        <f t="shared" si="30"/>
        <v>294.41800439999997</v>
      </c>
      <c r="E244" s="41">
        <v>0</v>
      </c>
      <c r="F244" s="41">
        <f>D244*(($F$191)+1)+(IF(E244&lt;101,E244,IF(E244&lt;201,E244/2,IF(E244&lt;=301,E244/3,E244/4))))</f>
        <v>456.34790681999999</v>
      </c>
      <c r="G244" s="195" t="str">
        <f t="shared" si="29"/>
        <v>13th Floor (Part Refuge Area)</v>
      </c>
      <c r="H244" s="196"/>
      <c r="I244" s="35"/>
      <c r="L244" s="121"/>
      <c r="M244" s="121"/>
      <c r="N244" s="35"/>
    </row>
    <row r="245" spans="1:14" s="36" customFormat="1" ht="15.75" customHeight="1" x14ac:dyDescent="0.3">
      <c r="A245" s="41">
        <f t="shared" si="28"/>
        <v>12</v>
      </c>
      <c r="B245" s="41" t="s">
        <v>205</v>
      </c>
      <c r="C245" s="52">
        <v>1</v>
      </c>
      <c r="D245" s="53">
        <f t="shared" si="30"/>
        <v>294.41800439999997</v>
      </c>
      <c r="E245" s="41">
        <v>0</v>
      </c>
      <c r="F245" s="41">
        <f>D245*(($F$191)+1)+(IF(E245&lt;101,E245,IF(E245&lt;201,E245/2,IF(E245&lt;=301,E245/3,E245/4))))</f>
        <v>456.34790681999999</v>
      </c>
      <c r="G245" s="197" t="str">
        <f t="shared" si="29"/>
        <v>13th Floor (Part Refuge Area)</v>
      </c>
      <c r="H245" s="198"/>
      <c r="I245" s="35"/>
      <c r="L245" s="121"/>
      <c r="M245" s="121"/>
      <c r="N245" s="35"/>
    </row>
    <row r="246" spans="1:14" s="36" customFormat="1" x14ac:dyDescent="0.3">
      <c r="A246" s="115" t="s">
        <v>214</v>
      </c>
      <c r="B246" s="116"/>
      <c r="C246" s="116"/>
      <c r="D246" s="116"/>
      <c r="E246" s="116"/>
      <c r="F246" s="116"/>
      <c r="G246" s="116"/>
      <c r="H246" s="117"/>
      <c r="J246" s="35"/>
    </row>
    <row r="247" spans="1:14" s="36" customFormat="1" ht="15.75" customHeight="1" x14ac:dyDescent="0.3">
      <c r="A247" s="41">
        <v>1</v>
      </c>
      <c r="B247" s="61" t="s">
        <v>205</v>
      </c>
      <c r="C247" s="52">
        <v>1</v>
      </c>
      <c r="D247" s="53">
        <f t="shared" ref="D247:D258" si="31">(2.65*4.08+2.12*2.75+2.75*2.75+1.22*0.91+1.22*1.67)*(10.764)</f>
        <v>294.41800439999997</v>
      </c>
      <c r="E247" s="41">
        <v>0</v>
      </c>
      <c r="F247" s="41">
        <f t="shared" ref="F247:F258" si="32">D247*(($F$191)+1)+(IF(E247&lt;101,E247,IF(E247&lt;201,E247/2,IF(E247&lt;=301,E247/3,E247/4))))</f>
        <v>456.34790681999999</v>
      </c>
      <c r="G247" s="193" t="str">
        <f>A246</f>
        <v>14th to 17th, 19th to 22nd &amp; 24th Floor</v>
      </c>
      <c r="H247" s="194"/>
      <c r="I247" s="60" t="s">
        <v>252</v>
      </c>
      <c r="L247" s="121"/>
      <c r="M247" s="121"/>
      <c r="N247" s="35"/>
    </row>
    <row r="248" spans="1:14" s="36" customFormat="1" ht="15.75" customHeight="1" x14ac:dyDescent="0.3">
      <c r="A248" s="41">
        <f t="shared" ref="A248:A258" si="33">A247+1</f>
        <v>2</v>
      </c>
      <c r="B248" s="61" t="s">
        <v>205</v>
      </c>
      <c r="C248" s="52">
        <v>1</v>
      </c>
      <c r="D248" s="53">
        <f t="shared" si="31"/>
        <v>294.41800439999997</v>
      </c>
      <c r="E248" s="41">
        <v>0</v>
      </c>
      <c r="F248" s="41">
        <f t="shared" si="32"/>
        <v>456.34790681999999</v>
      </c>
      <c r="G248" s="195" t="str">
        <f t="shared" ref="G248:G258" si="34">G247</f>
        <v>14th to 17th, 19th to 22nd &amp; 24th Floor</v>
      </c>
      <c r="H248" s="196"/>
      <c r="I248" s="35"/>
      <c r="L248" s="121"/>
      <c r="M248" s="121"/>
      <c r="N248" s="35"/>
    </row>
    <row r="249" spans="1:14" s="36" customFormat="1" ht="15.75" customHeight="1" x14ac:dyDescent="0.3">
      <c r="A249" s="41">
        <f t="shared" si="33"/>
        <v>3</v>
      </c>
      <c r="B249" s="61" t="s">
        <v>205</v>
      </c>
      <c r="C249" s="52">
        <v>1</v>
      </c>
      <c r="D249" s="53">
        <f t="shared" si="31"/>
        <v>294.41800439999997</v>
      </c>
      <c r="E249" s="41">
        <v>0</v>
      </c>
      <c r="F249" s="41">
        <f t="shared" si="32"/>
        <v>456.34790681999999</v>
      </c>
      <c r="G249" s="195" t="str">
        <f t="shared" si="34"/>
        <v>14th to 17th, 19th to 22nd &amp; 24th Floor</v>
      </c>
      <c r="H249" s="196"/>
      <c r="I249" s="35"/>
      <c r="L249" s="121"/>
      <c r="M249" s="121"/>
      <c r="N249" s="35"/>
    </row>
    <row r="250" spans="1:14" s="36" customFormat="1" ht="15.75" customHeight="1" x14ac:dyDescent="0.3">
      <c r="A250" s="41">
        <f t="shared" si="33"/>
        <v>4</v>
      </c>
      <c r="B250" s="61" t="s">
        <v>205</v>
      </c>
      <c r="C250" s="52">
        <v>1</v>
      </c>
      <c r="D250" s="53">
        <f t="shared" si="31"/>
        <v>294.41800439999997</v>
      </c>
      <c r="E250" s="41">
        <v>0</v>
      </c>
      <c r="F250" s="41">
        <f t="shared" si="32"/>
        <v>456.34790681999999</v>
      </c>
      <c r="G250" s="195" t="str">
        <f t="shared" si="34"/>
        <v>14th to 17th, 19th to 22nd &amp; 24th Floor</v>
      </c>
      <c r="H250" s="196"/>
      <c r="I250" s="35"/>
      <c r="L250" s="121"/>
      <c r="M250" s="121"/>
      <c r="N250" s="35"/>
    </row>
    <row r="251" spans="1:14" s="36" customFormat="1" ht="15.75" customHeight="1" x14ac:dyDescent="0.3">
      <c r="A251" s="41">
        <f t="shared" si="33"/>
        <v>5</v>
      </c>
      <c r="B251" s="61" t="s">
        <v>205</v>
      </c>
      <c r="C251" s="52">
        <v>1</v>
      </c>
      <c r="D251" s="53">
        <f t="shared" si="31"/>
        <v>294.41800439999997</v>
      </c>
      <c r="E251" s="41">
        <v>0</v>
      </c>
      <c r="F251" s="41">
        <f t="shared" si="32"/>
        <v>456.34790681999999</v>
      </c>
      <c r="G251" s="195" t="str">
        <f t="shared" si="34"/>
        <v>14th to 17th, 19th to 22nd &amp; 24th Floor</v>
      </c>
      <c r="H251" s="196"/>
      <c r="I251" s="35"/>
      <c r="L251" s="121"/>
      <c r="M251" s="121"/>
      <c r="N251" s="35"/>
    </row>
    <row r="252" spans="1:14" s="36" customFormat="1" ht="15.75" customHeight="1" x14ac:dyDescent="0.3">
      <c r="A252" s="41">
        <f t="shared" si="33"/>
        <v>6</v>
      </c>
      <c r="B252" s="61" t="s">
        <v>205</v>
      </c>
      <c r="C252" s="52">
        <v>1</v>
      </c>
      <c r="D252" s="53">
        <f t="shared" si="31"/>
        <v>294.41800439999997</v>
      </c>
      <c r="E252" s="41">
        <v>0</v>
      </c>
      <c r="F252" s="41">
        <f t="shared" si="32"/>
        <v>456.34790681999999</v>
      </c>
      <c r="G252" s="195" t="str">
        <f t="shared" si="34"/>
        <v>14th to 17th, 19th to 22nd &amp; 24th Floor</v>
      </c>
      <c r="H252" s="196"/>
      <c r="I252" s="35"/>
      <c r="L252" s="121"/>
      <c r="M252" s="121"/>
      <c r="N252" s="35"/>
    </row>
    <row r="253" spans="1:14" s="36" customFormat="1" ht="15.75" customHeight="1" x14ac:dyDescent="0.3">
      <c r="A253" s="41">
        <f t="shared" si="33"/>
        <v>7</v>
      </c>
      <c r="B253" s="61" t="s">
        <v>205</v>
      </c>
      <c r="C253" s="52">
        <v>1</v>
      </c>
      <c r="D253" s="53">
        <f t="shared" si="31"/>
        <v>294.41800439999997</v>
      </c>
      <c r="E253" s="41">
        <v>0</v>
      </c>
      <c r="F253" s="41">
        <f t="shared" si="32"/>
        <v>456.34790681999999</v>
      </c>
      <c r="G253" s="195" t="str">
        <f t="shared" si="34"/>
        <v>14th to 17th, 19th to 22nd &amp; 24th Floor</v>
      </c>
      <c r="H253" s="196"/>
      <c r="I253" s="35"/>
      <c r="L253" s="121"/>
      <c r="M253" s="121"/>
      <c r="N253" s="35"/>
    </row>
    <row r="254" spans="1:14" s="36" customFormat="1" ht="15.75" customHeight="1" x14ac:dyDescent="0.3">
      <c r="A254" s="41">
        <f t="shared" si="33"/>
        <v>8</v>
      </c>
      <c r="B254" s="61" t="s">
        <v>205</v>
      </c>
      <c r="C254" s="52">
        <v>1</v>
      </c>
      <c r="D254" s="53">
        <f t="shared" si="31"/>
        <v>294.41800439999997</v>
      </c>
      <c r="E254" s="41">
        <v>0</v>
      </c>
      <c r="F254" s="41">
        <f t="shared" si="32"/>
        <v>456.34790681999999</v>
      </c>
      <c r="G254" s="195" t="str">
        <f t="shared" si="34"/>
        <v>14th to 17th, 19th to 22nd &amp; 24th Floor</v>
      </c>
      <c r="H254" s="196"/>
      <c r="I254" s="35"/>
      <c r="L254" s="121"/>
      <c r="M254" s="121"/>
      <c r="N254" s="35"/>
    </row>
    <row r="255" spans="1:14" s="36" customFormat="1" ht="15.75" customHeight="1" x14ac:dyDescent="0.3">
      <c r="A255" s="41">
        <f t="shared" si="33"/>
        <v>9</v>
      </c>
      <c r="B255" s="61" t="s">
        <v>205</v>
      </c>
      <c r="C255" s="52">
        <v>1</v>
      </c>
      <c r="D255" s="53">
        <f t="shared" si="31"/>
        <v>294.41800439999997</v>
      </c>
      <c r="E255" s="41">
        <v>0</v>
      </c>
      <c r="F255" s="41">
        <f t="shared" si="32"/>
        <v>456.34790681999999</v>
      </c>
      <c r="G255" s="195" t="str">
        <f t="shared" si="34"/>
        <v>14th to 17th, 19th to 22nd &amp; 24th Floor</v>
      </c>
      <c r="H255" s="196"/>
      <c r="I255" s="35"/>
      <c r="L255" s="121"/>
      <c r="M255" s="121"/>
      <c r="N255" s="35"/>
    </row>
    <row r="256" spans="1:14" s="36" customFormat="1" ht="15.75" customHeight="1" x14ac:dyDescent="0.3">
      <c r="A256" s="41">
        <f t="shared" si="33"/>
        <v>10</v>
      </c>
      <c r="B256" s="61" t="s">
        <v>205</v>
      </c>
      <c r="C256" s="52">
        <v>1</v>
      </c>
      <c r="D256" s="53">
        <f t="shared" si="31"/>
        <v>294.41800439999997</v>
      </c>
      <c r="E256" s="41">
        <v>0</v>
      </c>
      <c r="F256" s="41">
        <f t="shared" si="32"/>
        <v>456.34790681999999</v>
      </c>
      <c r="G256" s="195" t="str">
        <f t="shared" si="34"/>
        <v>14th to 17th, 19th to 22nd &amp; 24th Floor</v>
      </c>
      <c r="H256" s="196"/>
      <c r="I256" s="35"/>
      <c r="L256" s="121"/>
      <c r="M256" s="121"/>
      <c r="N256" s="35"/>
    </row>
    <row r="257" spans="1:14" s="36" customFormat="1" ht="15.75" customHeight="1" x14ac:dyDescent="0.3">
      <c r="A257" s="41">
        <f t="shared" si="33"/>
        <v>11</v>
      </c>
      <c r="B257" s="61" t="s">
        <v>205</v>
      </c>
      <c r="C257" s="52">
        <v>1</v>
      </c>
      <c r="D257" s="53">
        <f t="shared" si="31"/>
        <v>294.41800439999997</v>
      </c>
      <c r="E257" s="41">
        <v>0</v>
      </c>
      <c r="F257" s="41">
        <f t="shared" si="32"/>
        <v>456.34790681999999</v>
      </c>
      <c r="G257" s="195" t="str">
        <f t="shared" si="34"/>
        <v>14th to 17th, 19th to 22nd &amp; 24th Floor</v>
      </c>
      <c r="H257" s="196"/>
      <c r="I257" s="35"/>
      <c r="L257" s="121"/>
      <c r="M257" s="121"/>
      <c r="N257" s="35"/>
    </row>
    <row r="258" spans="1:14" s="36" customFormat="1" ht="15.75" customHeight="1" x14ac:dyDescent="0.3">
      <c r="A258" s="41">
        <f t="shared" si="33"/>
        <v>12</v>
      </c>
      <c r="B258" s="61" t="s">
        <v>205</v>
      </c>
      <c r="C258" s="52">
        <v>1</v>
      </c>
      <c r="D258" s="53">
        <f t="shared" si="31"/>
        <v>294.41800439999997</v>
      </c>
      <c r="E258" s="41">
        <v>0</v>
      </c>
      <c r="F258" s="41">
        <f t="shared" si="32"/>
        <v>456.34790681999999</v>
      </c>
      <c r="G258" s="197" t="str">
        <f t="shared" si="34"/>
        <v>14th to 17th, 19th to 22nd &amp; 24th Floor</v>
      </c>
      <c r="H258" s="198"/>
      <c r="I258" s="35"/>
      <c r="L258" s="121"/>
      <c r="M258" s="121"/>
      <c r="N258" s="35"/>
    </row>
    <row r="259" spans="1:14" s="36" customFormat="1" x14ac:dyDescent="0.3">
      <c r="A259" s="115" t="s">
        <v>215</v>
      </c>
      <c r="B259" s="116"/>
      <c r="C259" s="116"/>
      <c r="D259" s="116"/>
      <c r="E259" s="116"/>
      <c r="F259" s="116"/>
      <c r="G259" s="116"/>
      <c r="H259" s="117"/>
      <c r="J259" s="35"/>
    </row>
    <row r="260" spans="1:14" s="36" customFormat="1" ht="15.75" customHeight="1" x14ac:dyDescent="0.3">
      <c r="A260" s="41">
        <v>1</v>
      </c>
      <c r="B260" s="61" t="s">
        <v>205</v>
      </c>
      <c r="C260" s="52">
        <v>1</v>
      </c>
      <c r="D260" s="53">
        <f t="shared" ref="D260:D266" si="35">(2.65*4.08+2.12*2.75+2.75*2.75+1.22*0.91+1.22*1.67)*(10.764)</f>
        <v>294.41800439999997</v>
      </c>
      <c r="E260" s="41">
        <v>0</v>
      </c>
      <c r="F260" s="41">
        <f t="shared" ref="F260:F266" si="36">D260*(($F$191)+1)+(IF(E260&lt;101,E260,IF(E260&lt;201,E260/2,IF(E260&lt;=301,E260/3,E260/4))))</f>
        <v>456.34790681999999</v>
      </c>
      <c r="G260" s="193" t="str">
        <f>A259</f>
        <v>18th &amp; 23rd Floor (Part Refuge Area)</v>
      </c>
      <c r="H260" s="194"/>
      <c r="I260" s="60" t="s">
        <v>252</v>
      </c>
      <c r="L260" s="121"/>
      <c r="M260" s="121"/>
      <c r="N260" s="35"/>
    </row>
    <row r="261" spans="1:14" s="36" customFormat="1" ht="15.75" customHeight="1" x14ac:dyDescent="0.3">
      <c r="A261" s="41">
        <f t="shared" ref="A261:A271" si="37">A260+1</f>
        <v>2</v>
      </c>
      <c r="B261" s="61" t="s">
        <v>205</v>
      </c>
      <c r="C261" s="52">
        <v>1</v>
      </c>
      <c r="D261" s="53">
        <f t="shared" si="35"/>
        <v>294.41800439999997</v>
      </c>
      <c r="E261" s="41">
        <v>0</v>
      </c>
      <c r="F261" s="41">
        <f t="shared" si="36"/>
        <v>456.34790681999999</v>
      </c>
      <c r="G261" s="195" t="str">
        <f t="shared" ref="G261:G271" si="38">G260</f>
        <v>18th &amp; 23rd Floor (Part Refuge Area)</v>
      </c>
      <c r="H261" s="196"/>
      <c r="I261" s="35"/>
      <c r="L261" s="121"/>
      <c r="M261" s="121"/>
      <c r="N261" s="35"/>
    </row>
    <row r="262" spans="1:14" s="36" customFormat="1" ht="15.75" customHeight="1" x14ac:dyDescent="0.3">
      <c r="A262" s="41">
        <f t="shared" si="37"/>
        <v>3</v>
      </c>
      <c r="B262" s="61" t="s">
        <v>205</v>
      </c>
      <c r="C262" s="52">
        <v>1</v>
      </c>
      <c r="D262" s="53">
        <f t="shared" si="35"/>
        <v>294.41800439999997</v>
      </c>
      <c r="E262" s="41">
        <v>0</v>
      </c>
      <c r="F262" s="41">
        <f t="shared" si="36"/>
        <v>456.34790681999999</v>
      </c>
      <c r="G262" s="195" t="str">
        <f t="shared" si="38"/>
        <v>18th &amp; 23rd Floor (Part Refuge Area)</v>
      </c>
      <c r="H262" s="196"/>
      <c r="I262" s="35"/>
      <c r="L262" s="121"/>
      <c r="M262" s="121"/>
      <c r="N262" s="35"/>
    </row>
    <row r="263" spans="1:14" s="36" customFormat="1" ht="15.75" customHeight="1" x14ac:dyDescent="0.3">
      <c r="A263" s="41">
        <f t="shared" si="37"/>
        <v>4</v>
      </c>
      <c r="B263" s="61" t="s">
        <v>205</v>
      </c>
      <c r="C263" s="52">
        <v>1</v>
      </c>
      <c r="D263" s="53">
        <f t="shared" si="35"/>
        <v>294.41800439999997</v>
      </c>
      <c r="E263" s="41">
        <v>0</v>
      </c>
      <c r="F263" s="41">
        <f t="shared" si="36"/>
        <v>456.34790681999999</v>
      </c>
      <c r="G263" s="195" t="str">
        <f t="shared" si="38"/>
        <v>18th &amp; 23rd Floor (Part Refuge Area)</v>
      </c>
      <c r="H263" s="196"/>
      <c r="I263" s="35"/>
      <c r="L263" s="121"/>
      <c r="M263" s="121"/>
      <c r="N263" s="35"/>
    </row>
    <row r="264" spans="1:14" s="36" customFormat="1" ht="15.75" customHeight="1" x14ac:dyDescent="0.3">
      <c r="A264" s="41">
        <f t="shared" si="37"/>
        <v>5</v>
      </c>
      <c r="B264" s="61" t="s">
        <v>205</v>
      </c>
      <c r="C264" s="52">
        <v>1</v>
      </c>
      <c r="D264" s="53">
        <f t="shared" si="35"/>
        <v>294.41800439999997</v>
      </c>
      <c r="E264" s="41">
        <v>0</v>
      </c>
      <c r="F264" s="41">
        <f t="shared" si="36"/>
        <v>456.34790681999999</v>
      </c>
      <c r="G264" s="195" t="str">
        <f t="shared" si="38"/>
        <v>18th &amp; 23rd Floor (Part Refuge Area)</v>
      </c>
      <c r="H264" s="196"/>
      <c r="I264" s="35"/>
      <c r="L264" s="121"/>
      <c r="M264" s="121"/>
      <c r="N264" s="35"/>
    </row>
    <row r="265" spans="1:14" s="36" customFormat="1" ht="15.75" customHeight="1" x14ac:dyDescent="0.3">
      <c r="A265" s="41">
        <f t="shared" si="37"/>
        <v>6</v>
      </c>
      <c r="B265" s="61" t="s">
        <v>205</v>
      </c>
      <c r="C265" s="52">
        <v>1</v>
      </c>
      <c r="D265" s="53">
        <f t="shared" si="35"/>
        <v>294.41800439999997</v>
      </c>
      <c r="E265" s="41">
        <v>0</v>
      </c>
      <c r="F265" s="41">
        <f t="shared" si="36"/>
        <v>456.34790681999999</v>
      </c>
      <c r="G265" s="195" t="str">
        <f t="shared" si="38"/>
        <v>18th &amp; 23rd Floor (Part Refuge Area)</v>
      </c>
      <c r="H265" s="196"/>
      <c r="I265" s="35"/>
      <c r="L265" s="121"/>
      <c r="M265" s="121"/>
      <c r="N265" s="35"/>
    </row>
    <row r="266" spans="1:14" s="36" customFormat="1" ht="15.75" customHeight="1" x14ac:dyDescent="0.3">
      <c r="A266" s="41">
        <f t="shared" si="37"/>
        <v>7</v>
      </c>
      <c r="B266" s="61" t="s">
        <v>205</v>
      </c>
      <c r="C266" s="52">
        <v>1</v>
      </c>
      <c r="D266" s="53">
        <f t="shared" si="35"/>
        <v>294.41800439999997</v>
      </c>
      <c r="E266" s="41">
        <v>0</v>
      </c>
      <c r="F266" s="41">
        <f t="shared" si="36"/>
        <v>456.34790681999999</v>
      </c>
      <c r="G266" s="195" t="str">
        <f t="shared" si="38"/>
        <v>18th &amp; 23rd Floor (Part Refuge Area)</v>
      </c>
      <c r="H266" s="196"/>
      <c r="I266" s="35"/>
      <c r="L266" s="121"/>
      <c r="M266" s="121"/>
      <c r="N266" s="35"/>
    </row>
    <row r="267" spans="1:14" s="36" customFormat="1" ht="15.75" customHeight="1" x14ac:dyDescent="0.3">
      <c r="A267" s="41">
        <f t="shared" si="37"/>
        <v>8</v>
      </c>
      <c r="B267" s="95" t="s">
        <v>212</v>
      </c>
      <c r="C267" s="127"/>
      <c r="D267" s="127"/>
      <c r="E267" s="127"/>
      <c r="F267" s="96"/>
      <c r="G267" s="195" t="str">
        <f t="shared" si="38"/>
        <v>18th &amp; 23rd Floor (Part Refuge Area)</v>
      </c>
      <c r="H267" s="196"/>
      <c r="I267" s="35"/>
      <c r="L267" s="121"/>
      <c r="M267" s="121"/>
      <c r="N267" s="35"/>
    </row>
    <row r="268" spans="1:14" s="36" customFormat="1" ht="15.75" customHeight="1" x14ac:dyDescent="0.3">
      <c r="A268" s="41">
        <f t="shared" si="37"/>
        <v>9</v>
      </c>
      <c r="B268" s="61" t="s">
        <v>205</v>
      </c>
      <c r="C268" s="52">
        <v>1</v>
      </c>
      <c r="D268" s="53">
        <f t="shared" ref="D268:D271" si="39">(2.65*4.08+2.12*2.75+2.75*2.75+1.22*0.91+1.22*1.67)*(10.764)</f>
        <v>294.41800439999997</v>
      </c>
      <c r="E268" s="41">
        <v>0</v>
      </c>
      <c r="F268" s="41">
        <f>D268*(($F$191)+1)+(IF(E268&lt;101,E268,IF(E268&lt;201,E268/2,IF(E268&lt;=301,E268/3,E268/4))))</f>
        <v>456.34790681999999</v>
      </c>
      <c r="G268" s="195" t="str">
        <f t="shared" si="38"/>
        <v>18th &amp; 23rd Floor (Part Refuge Area)</v>
      </c>
      <c r="H268" s="196"/>
      <c r="I268" s="35"/>
      <c r="L268" s="121"/>
      <c r="M268" s="121"/>
      <c r="N268" s="35"/>
    </row>
    <row r="269" spans="1:14" s="36" customFormat="1" ht="15.75" customHeight="1" x14ac:dyDescent="0.3">
      <c r="A269" s="41">
        <f t="shared" si="37"/>
        <v>10</v>
      </c>
      <c r="B269" s="61" t="s">
        <v>205</v>
      </c>
      <c r="C269" s="52">
        <v>1</v>
      </c>
      <c r="D269" s="53">
        <f t="shared" si="39"/>
        <v>294.41800439999997</v>
      </c>
      <c r="E269" s="41">
        <v>0</v>
      </c>
      <c r="F269" s="41">
        <f>D269*(($F$191)+1)+(IF(E269&lt;101,E269,IF(E269&lt;201,E269/2,IF(E269&lt;=301,E269/3,E269/4))))</f>
        <v>456.34790681999999</v>
      </c>
      <c r="G269" s="195" t="str">
        <f t="shared" si="38"/>
        <v>18th &amp; 23rd Floor (Part Refuge Area)</v>
      </c>
      <c r="H269" s="196"/>
      <c r="I269" s="35"/>
      <c r="L269" s="121"/>
      <c r="M269" s="121"/>
      <c r="N269" s="35"/>
    </row>
    <row r="270" spans="1:14" s="36" customFormat="1" ht="15.75" customHeight="1" x14ac:dyDescent="0.3">
      <c r="A270" s="41">
        <f t="shared" si="37"/>
        <v>11</v>
      </c>
      <c r="B270" s="61" t="s">
        <v>205</v>
      </c>
      <c r="C270" s="52">
        <v>1</v>
      </c>
      <c r="D270" s="53">
        <f t="shared" si="39"/>
        <v>294.41800439999997</v>
      </c>
      <c r="E270" s="41">
        <v>0</v>
      </c>
      <c r="F270" s="41">
        <f>D270*(($F$191)+1)+(IF(E270&lt;101,E270,IF(E270&lt;201,E270/2,IF(E270&lt;=301,E270/3,E270/4))))</f>
        <v>456.34790681999999</v>
      </c>
      <c r="G270" s="195" t="str">
        <f t="shared" si="38"/>
        <v>18th &amp; 23rd Floor (Part Refuge Area)</v>
      </c>
      <c r="H270" s="196"/>
      <c r="I270" s="35"/>
      <c r="L270" s="121"/>
      <c r="M270" s="121"/>
      <c r="N270" s="35"/>
    </row>
    <row r="271" spans="1:14" s="36" customFormat="1" ht="15.75" customHeight="1" x14ac:dyDescent="0.3">
      <c r="A271" s="41">
        <f t="shared" si="37"/>
        <v>12</v>
      </c>
      <c r="B271" s="61" t="s">
        <v>205</v>
      </c>
      <c r="C271" s="52">
        <v>1</v>
      </c>
      <c r="D271" s="53">
        <f t="shared" si="39"/>
        <v>294.41800439999997</v>
      </c>
      <c r="E271" s="41">
        <v>0</v>
      </c>
      <c r="F271" s="41">
        <f>D271*(($F$191)+1)+(IF(E271&lt;101,E271,IF(E271&lt;201,E271/2,IF(E271&lt;=301,E271/3,E271/4))))</f>
        <v>456.34790681999999</v>
      </c>
      <c r="G271" s="197" t="str">
        <f t="shared" si="38"/>
        <v>18th &amp; 23rd Floor (Part Refuge Area)</v>
      </c>
      <c r="H271" s="198"/>
      <c r="I271" s="35"/>
      <c r="L271" s="121"/>
      <c r="M271" s="121"/>
      <c r="N271" s="35"/>
    </row>
    <row r="272" spans="1:14" s="36" customFormat="1" x14ac:dyDescent="0.3">
      <c r="A272" s="115" t="s">
        <v>216</v>
      </c>
      <c r="B272" s="116"/>
      <c r="C272" s="116"/>
      <c r="D272" s="116"/>
      <c r="E272" s="116"/>
      <c r="F272" s="116"/>
      <c r="G272" s="116"/>
      <c r="H272" s="117"/>
      <c r="J272" s="35"/>
    </row>
    <row r="273" spans="1:14" s="36" customFormat="1" ht="15.75" customHeight="1" x14ac:dyDescent="0.3">
      <c r="A273" s="41">
        <v>1</v>
      </c>
      <c r="B273" s="58" t="s">
        <v>204</v>
      </c>
      <c r="C273" s="52">
        <v>1</v>
      </c>
      <c r="D273" s="53">
        <f t="shared" ref="D273:D284" si="40">(2.65*4.08+2.12*2.75+2.75*2.75+1.22*0.91+1.22*1.67)*(10.764)</f>
        <v>294.41800439999997</v>
      </c>
      <c r="E273" s="41">
        <v>0</v>
      </c>
      <c r="F273" s="41">
        <f t="shared" ref="F273:F284" si="41">D273*(($F$191)+1)+(IF(E273&lt;101,E273,IF(E273&lt;201,E273/2,IF(E273&lt;=301,E273/3,E273/4))))</f>
        <v>456.34790681999999</v>
      </c>
      <c r="G273" s="193" t="str">
        <f>A272</f>
        <v>25th Floor</v>
      </c>
      <c r="H273" s="194"/>
      <c r="I273" s="35"/>
      <c r="L273" s="121"/>
      <c r="M273" s="121"/>
      <c r="N273" s="35"/>
    </row>
    <row r="274" spans="1:14" s="36" customFormat="1" ht="15.75" customHeight="1" x14ac:dyDescent="0.3">
      <c r="A274" s="41">
        <f t="shared" ref="A274:A284" si="42">A273+1</f>
        <v>2</v>
      </c>
      <c r="B274" s="61" t="s">
        <v>205</v>
      </c>
      <c r="C274" s="52">
        <v>1</v>
      </c>
      <c r="D274" s="53">
        <f t="shared" si="40"/>
        <v>294.41800439999997</v>
      </c>
      <c r="E274" s="41">
        <v>0</v>
      </c>
      <c r="F274" s="41">
        <f t="shared" si="41"/>
        <v>456.34790681999999</v>
      </c>
      <c r="G274" s="195" t="str">
        <f t="shared" ref="G274:G284" si="43">G273</f>
        <v>25th Floor</v>
      </c>
      <c r="H274" s="196"/>
      <c r="I274" s="35" t="s">
        <v>252</v>
      </c>
      <c r="J274" s="36" t="s">
        <v>253</v>
      </c>
      <c r="L274" s="121"/>
      <c r="M274" s="121"/>
      <c r="N274" s="35"/>
    </row>
    <row r="275" spans="1:14" s="36" customFormat="1" ht="15.75" customHeight="1" x14ac:dyDescent="0.3">
      <c r="A275" s="41">
        <f t="shared" si="42"/>
        <v>3</v>
      </c>
      <c r="B275" s="61" t="s">
        <v>205</v>
      </c>
      <c r="C275" s="52">
        <v>1</v>
      </c>
      <c r="D275" s="53">
        <f t="shared" si="40"/>
        <v>294.41800439999997</v>
      </c>
      <c r="E275" s="41">
        <v>0</v>
      </c>
      <c r="F275" s="41">
        <f t="shared" si="41"/>
        <v>456.34790681999999</v>
      </c>
      <c r="G275" s="195" t="str">
        <f t="shared" si="43"/>
        <v>25th Floor</v>
      </c>
      <c r="H275" s="196"/>
      <c r="I275" s="35"/>
      <c r="L275" s="121"/>
      <c r="M275" s="121"/>
      <c r="N275" s="35"/>
    </row>
    <row r="276" spans="1:14" s="36" customFormat="1" ht="15.75" customHeight="1" x14ac:dyDescent="0.3">
      <c r="A276" s="41">
        <f t="shared" si="42"/>
        <v>4</v>
      </c>
      <c r="B276" s="61" t="s">
        <v>205</v>
      </c>
      <c r="C276" s="52">
        <v>1</v>
      </c>
      <c r="D276" s="53">
        <f t="shared" si="40"/>
        <v>294.41800439999997</v>
      </c>
      <c r="E276" s="41">
        <v>0</v>
      </c>
      <c r="F276" s="41">
        <f t="shared" si="41"/>
        <v>456.34790681999999</v>
      </c>
      <c r="G276" s="195" t="str">
        <f t="shared" si="43"/>
        <v>25th Floor</v>
      </c>
      <c r="H276" s="196"/>
      <c r="I276" s="35"/>
      <c r="L276" s="121"/>
      <c r="M276" s="121"/>
      <c r="N276" s="35"/>
    </row>
    <row r="277" spans="1:14" s="36" customFormat="1" ht="15.75" customHeight="1" x14ac:dyDescent="0.3">
      <c r="A277" s="41">
        <f t="shared" si="42"/>
        <v>5</v>
      </c>
      <c r="B277" s="61" t="s">
        <v>205</v>
      </c>
      <c r="C277" s="52">
        <v>1</v>
      </c>
      <c r="D277" s="53">
        <f t="shared" si="40"/>
        <v>294.41800439999997</v>
      </c>
      <c r="E277" s="41">
        <v>0</v>
      </c>
      <c r="F277" s="41">
        <f t="shared" si="41"/>
        <v>456.34790681999999</v>
      </c>
      <c r="G277" s="195" t="str">
        <f t="shared" si="43"/>
        <v>25th Floor</v>
      </c>
      <c r="H277" s="196"/>
      <c r="I277" s="35"/>
      <c r="L277" s="121"/>
      <c r="M277" s="121"/>
      <c r="N277" s="35"/>
    </row>
    <row r="278" spans="1:14" s="36" customFormat="1" ht="15.75" customHeight="1" x14ac:dyDescent="0.3">
      <c r="A278" s="41">
        <f t="shared" si="42"/>
        <v>6</v>
      </c>
      <c r="B278" s="61" t="s">
        <v>205</v>
      </c>
      <c r="C278" s="52">
        <v>1</v>
      </c>
      <c r="D278" s="53">
        <f t="shared" si="40"/>
        <v>294.41800439999997</v>
      </c>
      <c r="E278" s="41">
        <v>0</v>
      </c>
      <c r="F278" s="41">
        <f t="shared" si="41"/>
        <v>456.34790681999999</v>
      </c>
      <c r="G278" s="195" t="str">
        <f t="shared" si="43"/>
        <v>25th Floor</v>
      </c>
      <c r="H278" s="196"/>
      <c r="I278" s="35"/>
      <c r="L278" s="121"/>
      <c r="M278" s="121"/>
      <c r="N278" s="35"/>
    </row>
    <row r="279" spans="1:14" s="36" customFormat="1" ht="15.75" customHeight="1" x14ac:dyDescent="0.3">
      <c r="A279" s="41">
        <f t="shared" si="42"/>
        <v>7</v>
      </c>
      <c r="B279" s="61" t="s">
        <v>205</v>
      </c>
      <c r="C279" s="52">
        <v>1</v>
      </c>
      <c r="D279" s="53">
        <f t="shared" si="40"/>
        <v>294.41800439999997</v>
      </c>
      <c r="E279" s="41">
        <v>0</v>
      </c>
      <c r="F279" s="41">
        <f t="shared" si="41"/>
        <v>456.34790681999999</v>
      </c>
      <c r="G279" s="195" t="str">
        <f t="shared" si="43"/>
        <v>25th Floor</v>
      </c>
      <c r="H279" s="196"/>
      <c r="I279" s="35"/>
      <c r="L279" s="121"/>
      <c r="M279" s="121"/>
      <c r="N279" s="35"/>
    </row>
    <row r="280" spans="1:14" s="36" customFormat="1" ht="15.75" customHeight="1" x14ac:dyDescent="0.3">
      <c r="A280" s="41">
        <f t="shared" si="42"/>
        <v>8</v>
      </c>
      <c r="B280" s="61" t="s">
        <v>205</v>
      </c>
      <c r="C280" s="52">
        <v>1</v>
      </c>
      <c r="D280" s="53">
        <f t="shared" si="40"/>
        <v>294.41800439999997</v>
      </c>
      <c r="E280" s="41">
        <v>0</v>
      </c>
      <c r="F280" s="41">
        <f t="shared" si="41"/>
        <v>456.34790681999999</v>
      </c>
      <c r="G280" s="195" t="str">
        <f t="shared" si="43"/>
        <v>25th Floor</v>
      </c>
      <c r="H280" s="196"/>
      <c r="I280" s="35"/>
      <c r="L280" s="121"/>
      <c r="M280" s="121"/>
      <c r="N280" s="35"/>
    </row>
    <row r="281" spans="1:14" s="36" customFormat="1" ht="15.75" customHeight="1" x14ac:dyDescent="0.3">
      <c r="A281" s="41">
        <f t="shared" si="42"/>
        <v>9</v>
      </c>
      <c r="B281" s="58" t="s">
        <v>204</v>
      </c>
      <c r="C281" s="52">
        <v>1</v>
      </c>
      <c r="D281" s="53">
        <f t="shared" si="40"/>
        <v>294.41800439999997</v>
      </c>
      <c r="E281" s="41">
        <v>0</v>
      </c>
      <c r="F281" s="41">
        <f t="shared" si="41"/>
        <v>456.34790681999999</v>
      </c>
      <c r="G281" s="195" t="str">
        <f t="shared" si="43"/>
        <v>25th Floor</v>
      </c>
      <c r="H281" s="196"/>
      <c r="I281" s="35"/>
      <c r="L281" s="121"/>
      <c r="M281" s="121"/>
      <c r="N281" s="35"/>
    </row>
    <row r="282" spans="1:14" s="36" customFormat="1" ht="15.75" customHeight="1" x14ac:dyDescent="0.3">
      <c r="A282" s="41">
        <f t="shared" si="42"/>
        <v>10</v>
      </c>
      <c r="B282" s="58" t="s">
        <v>204</v>
      </c>
      <c r="C282" s="52">
        <v>1</v>
      </c>
      <c r="D282" s="53">
        <f t="shared" si="40"/>
        <v>294.41800439999997</v>
      </c>
      <c r="E282" s="41">
        <v>0</v>
      </c>
      <c r="F282" s="41">
        <f t="shared" si="41"/>
        <v>456.34790681999999</v>
      </c>
      <c r="G282" s="195" t="str">
        <f t="shared" si="43"/>
        <v>25th Floor</v>
      </c>
      <c r="H282" s="196"/>
      <c r="I282" s="35"/>
      <c r="L282" s="121"/>
      <c r="M282" s="121"/>
      <c r="N282" s="35"/>
    </row>
    <row r="283" spans="1:14" s="36" customFormat="1" ht="15.75" customHeight="1" x14ac:dyDescent="0.3">
      <c r="A283" s="41">
        <f t="shared" si="42"/>
        <v>11</v>
      </c>
      <c r="B283" s="58" t="s">
        <v>204</v>
      </c>
      <c r="C283" s="52">
        <v>1</v>
      </c>
      <c r="D283" s="53">
        <f t="shared" si="40"/>
        <v>294.41800439999997</v>
      </c>
      <c r="E283" s="41">
        <v>0</v>
      </c>
      <c r="F283" s="41">
        <f t="shared" si="41"/>
        <v>456.34790681999999</v>
      </c>
      <c r="G283" s="195" t="str">
        <f t="shared" si="43"/>
        <v>25th Floor</v>
      </c>
      <c r="H283" s="196"/>
      <c r="I283" s="35"/>
      <c r="L283" s="121"/>
      <c r="M283" s="121"/>
      <c r="N283" s="35"/>
    </row>
    <row r="284" spans="1:14" s="36" customFormat="1" ht="15.75" customHeight="1" x14ac:dyDescent="0.3">
      <c r="A284" s="41">
        <f t="shared" si="42"/>
        <v>12</v>
      </c>
      <c r="B284" s="58" t="s">
        <v>204</v>
      </c>
      <c r="C284" s="52">
        <v>1</v>
      </c>
      <c r="D284" s="53">
        <f t="shared" si="40"/>
        <v>294.41800439999997</v>
      </c>
      <c r="E284" s="41">
        <v>0</v>
      </c>
      <c r="F284" s="41">
        <f t="shared" si="41"/>
        <v>456.34790681999999</v>
      </c>
      <c r="G284" s="197" t="str">
        <f t="shared" si="43"/>
        <v>25th Floor</v>
      </c>
      <c r="H284" s="198"/>
      <c r="I284" s="35"/>
      <c r="L284" s="121"/>
      <c r="M284" s="121"/>
      <c r="N284" s="35"/>
    </row>
    <row r="285" spans="1:14" s="36" customFormat="1" x14ac:dyDescent="0.3">
      <c r="A285" s="115" t="s">
        <v>217</v>
      </c>
      <c r="B285" s="116"/>
      <c r="C285" s="116"/>
      <c r="D285" s="116"/>
      <c r="E285" s="116"/>
      <c r="F285" s="116"/>
      <c r="G285" s="116"/>
      <c r="H285" s="117"/>
      <c r="J285" s="35"/>
    </row>
    <row r="286" spans="1:14" s="36" customFormat="1" ht="15.75" customHeight="1" x14ac:dyDescent="0.3">
      <c r="A286" s="41">
        <v>1</v>
      </c>
      <c r="B286" s="58" t="s">
        <v>204</v>
      </c>
      <c r="C286" s="52">
        <v>1</v>
      </c>
      <c r="D286" s="53">
        <f t="shared" ref="D286:D297" si="44">(2.65*4.08+2.12*2.75+2.75*2.75+1.22*0.91+1.22*1.67)*(10.764)</f>
        <v>294.41800439999997</v>
      </c>
      <c r="E286" s="41">
        <v>0</v>
      </c>
      <c r="F286" s="41">
        <f t="shared" ref="F286:F297" si="45">D286*(($F$191)+1)+(IF(E286&lt;101,E286,IF(E286&lt;201,E286/2,IF(E286&lt;=301,E286/3,E286/4))))</f>
        <v>456.34790681999999</v>
      </c>
      <c r="G286" s="193" t="str">
        <f>A285</f>
        <v>26th, 27th, 29th &amp; 30th Floor</v>
      </c>
      <c r="H286" s="194"/>
      <c r="I286" s="35"/>
      <c r="L286" s="121"/>
      <c r="M286" s="121"/>
      <c r="N286" s="35"/>
    </row>
    <row r="287" spans="1:14" s="36" customFormat="1" ht="15.75" customHeight="1" x14ac:dyDescent="0.3">
      <c r="A287" s="41">
        <f t="shared" ref="A287:A297" si="46">A286+1</f>
        <v>2</v>
      </c>
      <c r="B287" s="58" t="s">
        <v>204</v>
      </c>
      <c r="C287" s="52">
        <v>1</v>
      </c>
      <c r="D287" s="53">
        <f t="shared" si="44"/>
        <v>294.41800439999997</v>
      </c>
      <c r="E287" s="41">
        <v>0</v>
      </c>
      <c r="F287" s="41">
        <f t="shared" si="45"/>
        <v>456.34790681999999</v>
      </c>
      <c r="G287" s="195" t="str">
        <f t="shared" ref="G287:G297" si="47">G286</f>
        <v>26th, 27th, 29th &amp; 30th Floor</v>
      </c>
      <c r="H287" s="196"/>
      <c r="I287" s="35"/>
      <c r="L287" s="121"/>
      <c r="M287" s="121"/>
      <c r="N287" s="35"/>
    </row>
    <row r="288" spans="1:14" s="36" customFormat="1" ht="15.75" customHeight="1" x14ac:dyDescent="0.3">
      <c r="A288" s="41">
        <f t="shared" si="46"/>
        <v>3</v>
      </c>
      <c r="B288" s="58" t="s">
        <v>204</v>
      </c>
      <c r="C288" s="52">
        <v>1</v>
      </c>
      <c r="D288" s="53">
        <f t="shared" si="44"/>
        <v>294.41800439999997</v>
      </c>
      <c r="E288" s="41">
        <v>0</v>
      </c>
      <c r="F288" s="41">
        <f t="shared" si="45"/>
        <v>456.34790681999999</v>
      </c>
      <c r="G288" s="195" t="str">
        <f t="shared" si="47"/>
        <v>26th, 27th, 29th &amp; 30th Floor</v>
      </c>
      <c r="H288" s="196"/>
      <c r="I288" s="35"/>
      <c r="L288" s="121"/>
      <c r="M288" s="121"/>
      <c r="N288" s="35"/>
    </row>
    <row r="289" spans="1:14" s="36" customFormat="1" ht="15.75" customHeight="1" x14ac:dyDescent="0.3">
      <c r="A289" s="41">
        <f t="shared" si="46"/>
        <v>4</v>
      </c>
      <c r="B289" s="58" t="s">
        <v>204</v>
      </c>
      <c r="C289" s="52">
        <v>1</v>
      </c>
      <c r="D289" s="53">
        <f t="shared" si="44"/>
        <v>294.41800439999997</v>
      </c>
      <c r="E289" s="41">
        <v>0</v>
      </c>
      <c r="F289" s="41">
        <f t="shared" si="45"/>
        <v>456.34790681999999</v>
      </c>
      <c r="G289" s="195" t="str">
        <f t="shared" si="47"/>
        <v>26th, 27th, 29th &amp; 30th Floor</v>
      </c>
      <c r="H289" s="196"/>
      <c r="I289" s="35"/>
      <c r="L289" s="121"/>
      <c r="M289" s="121"/>
      <c r="N289" s="35"/>
    </row>
    <row r="290" spans="1:14" s="36" customFormat="1" ht="15.75" customHeight="1" x14ac:dyDescent="0.3">
      <c r="A290" s="41">
        <f t="shared" si="46"/>
        <v>5</v>
      </c>
      <c r="B290" s="58" t="s">
        <v>204</v>
      </c>
      <c r="C290" s="52">
        <v>1</v>
      </c>
      <c r="D290" s="53">
        <f t="shared" si="44"/>
        <v>294.41800439999997</v>
      </c>
      <c r="E290" s="41">
        <v>0</v>
      </c>
      <c r="F290" s="41">
        <f t="shared" si="45"/>
        <v>456.34790681999999</v>
      </c>
      <c r="G290" s="195" t="str">
        <f t="shared" si="47"/>
        <v>26th, 27th, 29th &amp; 30th Floor</v>
      </c>
      <c r="H290" s="196"/>
      <c r="I290" s="35"/>
      <c r="L290" s="121"/>
      <c r="M290" s="121"/>
      <c r="N290" s="35"/>
    </row>
    <row r="291" spans="1:14" s="36" customFormat="1" ht="15.75" customHeight="1" x14ac:dyDescent="0.3">
      <c r="A291" s="41">
        <f t="shared" si="46"/>
        <v>6</v>
      </c>
      <c r="B291" s="58" t="s">
        <v>204</v>
      </c>
      <c r="C291" s="52">
        <v>1</v>
      </c>
      <c r="D291" s="53">
        <f t="shared" si="44"/>
        <v>294.41800439999997</v>
      </c>
      <c r="E291" s="41">
        <v>0</v>
      </c>
      <c r="F291" s="41">
        <f t="shared" si="45"/>
        <v>456.34790681999999</v>
      </c>
      <c r="G291" s="195" t="str">
        <f t="shared" si="47"/>
        <v>26th, 27th, 29th &amp; 30th Floor</v>
      </c>
      <c r="H291" s="196"/>
      <c r="I291" s="35"/>
      <c r="L291" s="121"/>
      <c r="M291" s="121"/>
      <c r="N291" s="35"/>
    </row>
    <row r="292" spans="1:14" s="36" customFormat="1" ht="15.75" customHeight="1" x14ac:dyDescent="0.3">
      <c r="A292" s="41">
        <f t="shared" si="46"/>
        <v>7</v>
      </c>
      <c r="B292" s="58" t="s">
        <v>204</v>
      </c>
      <c r="C292" s="52">
        <v>1</v>
      </c>
      <c r="D292" s="53">
        <f t="shared" si="44"/>
        <v>294.41800439999997</v>
      </c>
      <c r="E292" s="41">
        <v>0</v>
      </c>
      <c r="F292" s="41">
        <f t="shared" si="45"/>
        <v>456.34790681999999</v>
      </c>
      <c r="G292" s="195" t="str">
        <f t="shared" si="47"/>
        <v>26th, 27th, 29th &amp; 30th Floor</v>
      </c>
      <c r="H292" s="196"/>
      <c r="I292" s="35"/>
      <c r="L292" s="121"/>
      <c r="M292" s="121"/>
      <c r="N292" s="35"/>
    </row>
    <row r="293" spans="1:14" s="36" customFormat="1" ht="15.75" customHeight="1" x14ac:dyDescent="0.3">
      <c r="A293" s="41">
        <f t="shared" si="46"/>
        <v>8</v>
      </c>
      <c r="B293" s="58" t="s">
        <v>204</v>
      </c>
      <c r="C293" s="52">
        <v>1</v>
      </c>
      <c r="D293" s="53">
        <f t="shared" si="44"/>
        <v>294.41800439999997</v>
      </c>
      <c r="E293" s="41">
        <v>0</v>
      </c>
      <c r="F293" s="41">
        <f t="shared" si="45"/>
        <v>456.34790681999999</v>
      </c>
      <c r="G293" s="195" t="str">
        <f t="shared" si="47"/>
        <v>26th, 27th, 29th &amp; 30th Floor</v>
      </c>
      <c r="H293" s="196"/>
      <c r="I293" s="35"/>
      <c r="L293" s="121"/>
      <c r="M293" s="121"/>
      <c r="N293" s="35"/>
    </row>
    <row r="294" spans="1:14" s="36" customFormat="1" ht="15.75" customHeight="1" x14ac:dyDescent="0.3">
      <c r="A294" s="41">
        <f t="shared" si="46"/>
        <v>9</v>
      </c>
      <c r="B294" s="58" t="s">
        <v>204</v>
      </c>
      <c r="C294" s="52">
        <v>1</v>
      </c>
      <c r="D294" s="53">
        <f t="shared" si="44"/>
        <v>294.41800439999997</v>
      </c>
      <c r="E294" s="41">
        <v>0</v>
      </c>
      <c r="F294" s="41">
        <f t="shared" si="45"/>
        <v>456.34790681999999</v>
      </c>
      <c r="G294" s="195" t="str">
        <f t="shared" si="47"/>
        <v>26th, 27th, 29th &amp; 30th Floor</v>
      </c>
      <c r="H294" s="196"/>
      <c r="I294" s="35"/>
      <c r="L294" s="121"/>
      <c r="M294" s="121"/>
      <c r="N294" s="35"/>
    </row>
    <row r="295" spans="1:14" s="36" customFormat="1" ht="15.75" customHeight="1" x14ac:dyDescent="0.3">
      <c r="A295" s="41">
        <f t="shared" si="46"/>
        <v>10</v>
      </c>
      <c r="B295" s="58" t="s">
        <v>204</v>
      </c>
      <c r="C295" s="52">
        <v>1</v>
      </c>
      <c r="D295" s="53">
        <f t="shared" si="44"/>
        <v>294.41800439999997</v>
      </c>
      <c r="E295" s="41">
        <v>0</v>
      </c>
      <c r="F295" s="41">
        <f t="shared" si="45"/>
        <v>456.34790681999999</v>
      </c>
      <c r="G295" s="195" t="str">
        <f t="shared" si="47"/>
        <v>26th, 27th, 29th &amp; 30th Floor</v>
      </c>
      <c r="H295" s="196"/>
      <c r="I295" s="35"/>
      <c r="L295" s="121"/>
      <c r="M295" s="121"/>
      <c r="N295" s="35"/>
    </row>
    <row r="296" spans="1:14" s="36" customFormat="1" ht="15.75" customHeight="1" x14ac:dyDescent="0.3">
      <c r="A296" s="41">
        <f t="shared" si="46"/>
        <v>11</v>
      </c>
      <c r="B296" s="58" t="s">
        <v>204</v>
      </c>
      <c r="C296" s="52">
        <v>1</v>
      </c>
      <c r="D296" s="53">
        <f t="shared" si="44"/>
        <v>294.41800439999997</v>
      </c>
      <c r="E296" s="41">
        <v>0</v>
      </c>
      <c r="F296" s="41">
        <f t="shared" si="45"/>
        <v>456.34790681999999</v>
      </c>
      <c r="G296" s="195" t="str">
        <f t="shared" si="47"/>
        <v>26th, 27th, 29th &amp; 30th Floor</v>
      </c>
      <c r="H296" s="196"/>
      <c r="I296" s="35"/>
      <c r="L296" s="121"/>
      <c r="M296" s="121"/>
      <c r="N296" s="35"/>
    </row>
    <row r="297" spans="1:14" s="36" customFormat="1" ht="15.75" customHeight="1" x14ac:dyDescent="0.3">
      <c r="A297" s="41">
        <f t="shared" si="46"/>
        <v>12</v>
      </c>
      <c r="B297" s="58" t="s">
        <v>204</v>
      </c>
      <c r="C297" s="52">
        <v>1</v>
      </c>
      <c r="D297" s="53">
        <f t="shared" si="44"/>
        <v>294.41800439999997</v>
      </c>
      <c r="E297" s="41">
        <v>0</v>
      </c>
      <c r="F297" s="41">
        <f t="shared" si="45"/>
        <v>456.34790681999999</v>
      </c>
      <c r="G297" s="197" t="str">
        <f t="shared" si="47"/>
        <v>26th, 27th, 29th &amp; 30th Floor</v>
      </c>
      <c r="H297" s="198"/>
      <c r="I297" s="35"/>
      <c r="L297" s="121"/>
      <c r="M297" s="121"/>
      <c r="N297" s="35"/>
    </row>
    <row r="298" spans="1:14" s="36" customFormat="1" x14ac:dyDescent="0.3">
      <c r="A298" s="115" t="s">
        <v>218</v>
      </c>
      <c r="B298" s="116"/>
      <c r="C298" s="116"/>
      <c r="D298" s="116"/>
      <c r="E298" s="116"/>
      <c r="F298" s="116"/>
      <c r="G298" s="116"/>
      <c r="H298" s="117"/>
      <c r="J298" s="35"/>
    </row>
    <row r="299" spans="1:14" s="36" customFormat="1" ht="15.75" customHeight="1" x14ac:dyDescent="0.3">
      <c r="A299" s="41">
        <v>1</v>
      </c>
      <c r="B299" s="58" t="s">
        <v>204</v>
      </c>
      <c r="C299" s="52">
        <v>1</v>
      </c>
      <c r="D299" s="53">
        <f t="shared" ref="D299:D305" si="48">(2.65*4.08+2.12*2.75+2.75*2.75+1.22*0.91+1.22*1.67)*(10.764)</f>
        <v>294.41800439999997</v>
      </c>
      <c r="E299" s="41">
        <v>0</v>
      </c>
      <c r="F299" s="41">
        <f t="shared" ref="F299:F305" si="49">D299*(($F$191)+1)+(IF(E299&lt;101,E299,IF(E299&lt;201,E299/2,IF(E299&lt;=301,E299/3,E299/4))))</f>
        <v>456.34790681999999</v>
      </c>
      <c r="G299" s="193" t="str">
        <f>A298</f>
        <v>28th Floor (Part Refuge Area)</v>
      </c>
      <c r="H299" s="194"/>
      <c r="I299" s="35"/>
      <c r="L299" s="121"/>
      <c r="M299" s="121"/>
      <c r="N299" s="35"/>
    </row>
    <row r="300" spans="1:14" s="36" customFormat="1" ht="15.75" customHeight="1" x14ac:dyDescent="0.3">
      <c r="A300" s="41">
        <f t="shared" ref="A300:A310" si="50">A299+1</f>
        <v>2</v>
      </c>
      <c r="B300" s="58" t="s">
        <v>204</v>
      </c>
      <c r="C300" s="52">
        <v>1</v>
      </c>
      <c r="D300" s="53">
        <f t="shared" si="48"/>
        <v>294.41800439999997</v>
      </c>
      <c r="E300" s="41">
        <v>0</v>
      </c>
      <c r="F300" s="41">
        <f t="shared" si="49"/>
        <v>456.34790681999999</v>
      </c>
      <c r="G300" s="195" t="str">
        <f t="shared" ref="G300:G310" si="51">G299</f>
        <v>28th Floor (Part Refuge Area)</v>
      </c>
      <c r="H300" s="196"/>
      <c r="I300" s="35"/>
      <c r="L300" s="121"/>
      <c r="M300" s="121"/>
      <c r="N300" s="35"/>
    </row>
    <row r="301" spans="1:14" s="36" customFormat="1" ht="15.75" customHeight="1" x14ac:dyDescent="0.3">
      <c r="A301" s="41">
        <f t="shared" si="50"/>
        <v>3</v>
      </c>
      <c r="B301" s="58" t="s">
        <v>204</v>
      </c>
      <c r="C301" s="52">
        <v>1</v>
      </c>
      <c r="D301" s="53">
        <f t="shared" si="48"/>
        <v>294.41800439999997</v>
      </c>
      <c r="E301" s="41">
        <v>0</v>
      </c>
      <c r="F301" s="41">
        <f t="shared" si="49"/>
        <v>456.34790681999999</v>
      </c>
      <c r="G301" s="195" t="str">
        <f t="shared" si="51"/>
        <v>28th Floor (Part Refuge Area)</v>
      </c>
      <c r="H301" s="196"/>
      <c r="I301" s="35"/>
      <c r="J301" s="36">
        <f>5000000/F300</f>
        <v>10956.552939711806</v>
      </c>
      <c r="L301" s="121"/>
      <c r="M301" s="121"/>
      <c r="N301" s="35"/>
    </row>
    <row r="302" spans="1:14" s="36" customFormat="1" ht="15.75" customHeight="1" x14ac:dyDescent="0.3">
      <c r="A302" s="41">
        <f t="shared" si="50"/>
        <v>4</v>
      </c>
      <c r="B302" s="58" t="s">
        <v>204</v>
      </c>
      <c r="C302" s="52">
        <v>1</v>
      </c>
      <c r="D302" s="53">
        <f t="shared" si="48"/>
        <v>294.41800439999997</v>
      </c>
      <c r="E302" s="41">
        <v>0</v>
      </c>
      <c r="F302" s="41">
        <f t="shared" si="49"/>
        <v>456.34790681999999</v>
      </c>
      <c r="G302" s="195" t="str">
        <f t="shared" si="51"/>
        <v>28th Floor (Part Refuge Area)</v>
      </c>
      <c r="H302" s="196"/>
      <c r="I302" s="35"/>
      <c r="L302" s="121"/>
      <c r="M302" s="121"/>
      <c r="N302" s="35"/>
    </row>
    <row r="303" spans="1:14" s="36" customFormat="1" ht="15.75" customHeight="1" x14ac:dyDescent="0.3">
      <c r="A303" s="41">
        <f t="shared" si="50"/>
        <v>5</v>
      </c>
      <c r="B303" s="58" t="s">
        <v>204</v>
      </c>
      <c r="C303" s="52">
        <v>1</v>
      </c>
      <c r="D303" s="53">
        <f t="shared" si="48"/>
        <v>294.41800439999997</v>
      </c>
      <c r="E303" s="41">
        <v>0</v>
      </c>
      <c r="F303" s="41">
        <f t="shared" si="49"/>
        <v>456.34790681999999</v>
      </c>
      <c r="G303" s="195" t="str">
        <f t="shared" si="51"/>
        <v>28th Floor (Part Refuge Area)</v>
      </c>
      <c r="H303" s="196"/>
      <c r="I303" s="35"/>
      <c r="L303" s="121"/>
      <c r="M303" s="121"/>
      <c r="N303" s="35"/>
    </row>
    <row r="304" spans="1:14" s="36" customFormat="1" ht="15.75" customHeight="1" x14ac:dyDescent="0.3">
      <c r="A304" s="41">
        <f t="shared" si="50"/>
        <v>6</v>
      </c>
      <c r="B304" s="58" t="s">
        <v>204</v>
      </c>
      <c r="C304" s="52">
        <v>1</v>
      </c>
      <c r="D304" s="53">
        <f t="shared" si="48"/>
        <v>294.41800439999997</v>
      </c>
      <c r="E304" s="41">
        <v>0</v>
      </c>
      <c r="F304" s="41">
        <f t="shared" si="49"/>
        <v>456.34790681999999</v>
      </c>
      <c r="G304" s="195" t="str">
        <f t="shared" si="51"/>
        <v>28th Floor (Part Refuge Area)</v>
      </c>
      <c r="H304" s="196"/>
      <c r="I304" s="35"/>
      <c r="L304" s="121"/>
      <c r="M304" s="121"/>
      <c r="N304" s="35"/>
    </row>
    <row r="305" spans="1:14" s="36" customFormat="1" ht="15.75" customHeight="1" x14ac:dyDescent="0.3">
      <c r="A305" s="41">
        <f t="shared" si="50"/>
        <v>7</v>
      </c>
      <c r="B305" s="58" t="s">
        <v>204</v>
      </c>
      <c r="C305" s="52">
        <v>1</v>
      </c>
      <c r="D305" s="53">
        <f t="shared" si="48"/>
        <v>294.41800439999997</v>
      </c>
      <c r="E305" s="41">
        <v>0</v>
      </c>
      <c r="F305" s="41">
        <f t="shared" si="49"/>
        <v>456.34790681999999</v>
      </c>
      <c r="G305" s="195" t="str">
        <f t="shared" si="51"/>
        <v>28th Floor (Part Refuge Area)</v>
      </c>
      <c r="H305" s="196"/>
      <c r="I305" s="35"/>
      <c r="L305" s="121"/>
      <c r="M305" s="121"/>
      <c r="N305" s="35"/>
    </row>
    <row r="306" spans="1:14" s="36" customFormat="1" ht="15.75" customHeight="1" x14ac:dyDescent="0.3">
      <c r="A306" s="41">
        <f t="shared" si="50"/>
        <v>8</v>
      </c>
      <c r="B306" s="95" t="s">
        <v>212</v>
      </c>
      <c r="C306" s="127"/>
      <c r="D306" s="127"/>
      <c r="E306" s="127"/>
      <c r="F306" s="96"/>
      <c r="G306" s="195" t="str">
        <f t="shared" si="51"/>
        <v>28th Floor (Part Refuge Area)</v>
      </c>
      <c r="H306" s="196"/>
      <c r="I306" s="35"/>
      <c r="L306" s="121"/>
      <c r="M306" s="121"/>
      <c r="N306" s="35"/>
    </row>
    <row r="307" spans="1:14" s="36" customFormat="1" ht="15.75" customHeight="1" x14ac:dyDescent="0.3">
      <c r="A307" s="41">
        <f t="shared" si="50"/>
        <v>9</v>
      </c>
      <c r="B307" s="58" t="s">
        <v>204</v>
      </c>
      <c r="C307" s="52">
        <v>1</v>
      </c>
      <c r="D307" s="53">
        <f t="shared" ref="D307:D310" si="52">(2.65*4.08+2.12*2.75+2.75*2.75+1.22*0.91+1.22*1.67)*(10.764)</f>
        <v>294.41800439999997</v>
      </c>
      <c r="E307" s="41">
        <v>0</v>
      </c>
      <c r="F307" s="41">
        <f>D307*(($F$191)+1)+(IF(E307&lt;101,E307,IF(E307&lt;201,E307/2,IF(E307&lt;=301,E307/3,E307/4))))</f>
        <v>456.34790681999999</v>
      </c>
      <c r="G307" s="195" t="str">
        <f t="shared" si="51"/>
        <v>28th Floor (Part Refuge Area)</v>
      </c>
      <c r="H307" s="196"/>
      <c r="I307" s="35"/>
      <c r="L307" s="121"/>
      <c r="M307" s="121"/>
      <c r="N307" s="35"/>
    </row>
    <row r="308" spans="1:14" s="36" customFormat="1" ht="15.75" customHeight="1" x14ac:dyDescent="0.3">
      <c r="A308" s="41">
        <f t="shared" si="50"/>
        <v>10</v>
      </c>
      <c r="B308" s="58" t="s">
        <v>204</v>
      </c>
      <c r="C308" s="52">
        <v>1</v>
      </c>
      <c r="D308" s="53">
        <f t="shared" si="52"/>
        <v>294.41800439999997</v>
      </c>
      <c r="E308" s="41">
        <v>0</v>
      </c>
      <c r="F308" s="41">
        <f>D308*(($F$191)+1)+(IF(E308&lt;101,E308,IF(E308&lt;201,E308/2,IF(E308&lt;=301,E308/3,E308/4))))</f>
        <v>456.34790681999999</v>
      </c>
      <c r="G308" s="195" t="str">
        <f t="shared" si="51"/>
        <v>28th Floor (Part Refuge Area)</v>
      </c>
      <c r="H308" s="196"/>
      <c r="I308" s="35"/>
      <c r="L308" s="121"/>
      <c r="M308" s="121"/>
      <c r="N308" s="35"/>
    </row>
    <row r="309" spans="1:14" s="36" customFormat="1" ht="15.75" customHeight="1" x14ac:dyDescent="0.3">
      <c r="A309" s="41">
        <f t="shared" si="50"/>
        <v>11</v>
      </c>
      <c r="B309" s="58" t="s">
        <v>204</v>
      </c>
      <c r="C309" s="52">
        <v>1</v>
      </c>
      <c r="D309" s="53">
        <f t="shared" si="52"/>
        <v>294.41800439999997</v>
      </c>
      <c r="E309" s="41">
        <v>0</v>
      </c>
      <c r="F309" s="41">
        <f>D309*(($F$191)+1)+(IF(E309&lt;101,E309,IF(E309&lt;201,E309/2,IF(E309&lt;=301,E309/3,E309/4))))</f>
        <v>456.34790681999999</v>
      </c>
      <c r="G309" s="195" t="str">
        <f t="shared" si="51"/>
        <v>28th Floor (Part Refuge Area)</v>
      </c>
      <c r="H309" s="196"/>
      <c r="I309" s="35"/>
      <c r="L309" s="121"/>
      <c r="M309" s="121"/>
      <c r="N309" s="35"/>
    </row>
    <row r="310" spans="1:14" s="36" customFormat="1" ht="15.75" customHeight="1" x14ac:dyDescent="0.3">
      <c r="A310" s="41">
        <f t="shared" si="50"/>
        <v>12</v>
      </c>
      <c r="B310" s="58" t="s">
        <v>204</v>
      </c>
      <c r="C310" s="52">
        <v>1</v>
      </c>
      <c r="D310" s="53">
        <f t="shared" si="52"/>
        <v>294.41800439999997</v>
      </c>
      <c r="E310" s="41">
        <v>0</v>
      </c>
      <c r="F310" s="41">
        <f>D310*(($F$191)+1)+(IF(E310&lt;101,E310,IF(E310&lt;201,E310/2,IF(E310&lt;=301,E310/3,E310/4))))</f>
        <v>456.34790681999999</v>
      </c>
      <c r="G310" s="197" t="str">
        <f t="shared" si="51"/>
        <v>28th Floor (Part Refuge Area)</v>
      </c>
      <c r="H310" s="198"/>
      <c r="I310" s="35"/>
      <c r="L310" s="121"/>
      <c r="M310" s="121"/>
      <c r="N310" s="35"/>
    </row>
    <row r="311" spans="1:14" s="36" customFormat="1" x14ac:dyDescent="0.3">
      <c r="A311" s="115" t="s">
        <v>219</v>
      </c>
      <c r="B311" s="116"/>
      <c r="C311" s="116"/>
      <c r="D311" s="116"/>
      <c r="E311" s="116"/>
      <c r="F311" s="116"/>
      <c r="G311" s="116"/>
      <c r="H311" s="117"/>
      <c r="J311" s="35"/>
    </row>
    <row r="312" spans="1:14" s="36" customFormat="1" ht="15.75" customHeight="1" x14ac:dyDescent="0.3">
      <c r="A312" s="115" t="s">
        <v>226</v>
      </c>
      <c r="B312" s="116"/>
      <c r="C312" s="116"/>
      <c r="D312" s="116"/>
      <c r="E312" s="116"/>
      <c r="F312" s="116"/>
      <c r="G312" s="116"/>
      <c r="H312" s="117"/>
      <c r="J312" s="53">
        <f>10.764</f>
        <v>10.763999999999999</v>
      </c>
    </row>
    <row r="313" spans="1:14" s="36" customFormat="1" ht="15.75" customHeight="1" x14ac:dyDescent="0.3">
      <c r="A313" s="95">
        <v>1</v>
      </c>
      <c r="B313" s="96"/>
      <c r="C313" s="52">
        <v>3</v>
      </c>
      <c r="D313" s="53">
        <f>(3.17*1.35+1.07*1.24+6.55*3.22+3.34*2.31+2.45*1.36+4.1*3.2+3.08*3.81+1.35*2.25+1.35*2.16+3.02*3.2+1.5*1.36+3.06*3.76+3.22*1.51+2.31*1.51+1.8*0.6)*(10.764)</f>
        <v>1089.2403756000001</v>
      </c>
      <c r="E313" s="41">
        <v>0</v>
      </c>
      <c r="F313" s="41">
        <f>D313*(($F$191)+1)+(IF(E313&lt;101,E313,IF(E313&lt;201,E313/2,IF(E313&lt;=301,E313/3,E313/4))))</f>
        <v>1688.3225821800002</v>
      </c>
      <c r="G313" s="193" t="str">
        <f>A312</f>
        <v>6th Floor For Part Residential (Part Refuge Area)</v>
      </c>
      <c r="H313" s="194"/>
      <c r="I313" s="35">
        <f>24338157/F313</f>
        <v>14415.584590815592</v>
      </c>
      <c r="J313" s="36">
        <f>3.17*1.35+1.07*1.24+6.55*3.22+3.34*2.31+2.45*1.36+4.1*3.2+3.08*3.81+1.35*2.25+1.35*2.16+3.02*3.2+1.5*1.36+3.06*3.76</f>
        <v>91.762600000000006</v>
      </c>
      <c r="K313" s="36">
        <f>3.22*1.51+2.31*1.51</f>
        <v>8.3503000000000007</v>
      </c>
      <c r="L313" s="121">
        <f t="shared" ref="L313" si="53">1.8*0.6</f>
        <v>1.08</v>
      </c>
      <c r="M313" s="121"/>
      <c r="N313" s="35"/>
    </row>
    <row r="314" spans="1:14" s="36" customFormat="1" ht="15.75" customHeight="1" x14ac:dyDescent="0.3">
      <c r="A314" s="95">
        <f t="shared" ref="A314:A318" si="54">A313+1</f>
        <v>2</v>
      </c>
      <c r="B314" s="96"/>
      <c r="C314" s="52">
        <v>3</v>
      </c>
      <c r="D314" s="53">
        <f>(3.17*1.35+1.07*1.24+6.55*3.22+3.34*2.31+2.45*1.36+4.1*3.35+3.08*3.81+1.35*2.25+1.35*2.16+3.02*3.2+1.5*1.36+3.06*3.64+3.22*1.51+2.31*1.51+1.82*0.65)*(10.764)</f>
        <v>1093.0163868000002</v>
      </c>
      <c r="E314" s="41">
        <v>0</v>
      </c>
      <c r="F314" s="41">
        <f>D314*(($F$191)+1)+(IF(E314&lt;101,E314,IF(E314&lt;201,E314/2,IF(E314&lt;=301,E314/3,E314/4))))</f>
        <v>1694.1753995400004</v>
      </c>
      <c r="G314" s="195"/>
      <c r="H314" s="196"/>
      <c r="I314" s="35">
        <f>24478305/F314</f>
        <v>14448.506929475134</v>
      </c>
      <c r="J314" s="36">
        <f>J313+K313+L313</f>
        <v>101.19290000000001</v>
      </c>
      <c r="L314" s="121"/>
      <c r="M314" s="121"/>
      <c r="N314" s="35"/>
    </row>
    <row r="315" spans="1:14" s="36" customFormat="1" ht="15.75" customHeight="1" x14ac:dyDescent="0.3">
      <c r="A315" s="95">
        <f t="shared" si="54"/>
        <v>3</v>
      </c>
      <c r="B315" s="96"/>
      <c r="C315" s="52">
        <v>2</v>
      </c>
      <c r="D315" s="53">
        <f>(1.52*2.29+3.07*6.07+3.06*2.14+1.42*2.13+2.13*1.22+2.88*3.9+2.8*3.35+3.2*1+1.98*0.6+1.29*0.6+3.07*1.08+2.14*0.9)*(10.764)</f>
        <v>702.92041560000007</v>
      </c>
      <c r="E315" s="53">
        <f>(3.2*0.7+2.88*1.8+1.5*1.15+1.7*0.6)*(10.764)</f>
        <v>109.45911599999998</v>
      </c>
      <c r="F315" s="41">
        <f>D315*(($F$191)+1)+(IF(E315&lt;101,E315,IF(E315&lt;201,E315/2,IF(E315&lt;=301,E315/3,E315/4))))</f>
        <v>1144.2562021800002</v>
      </c>
      <c r="G315" s="195"/>
      <c r="H315" s="196"/>
      <c r="I315" s="35">
        <f>15698756/F315</f>
        <v>13719.616262591571</v>
      </c>
      <c r="L315" s="121"/>
      <c r="M315" s="121"/>
      <c r="N315" s="35"/>
    </row>
    <row r="316" spans="1:14" s="36" customFormat="1" ht="15.75" customHeight="1" x14ac:dyDescent="0.3">
      <c r="A316" s="95">
        <f t="shared" si="54"/>
        <v>4</v>
      </c>
      <c r="B316" s="96"/>
      <c r="C316" s="239" t="s">
        <v>212</v>
      </c>
      <c r="D316" s="240"/>
      <c r="E316" s="240"/>
      <c r="F316" s="241"/>
      <c r="G316" s="195"/>
      <c r="H316" s="196"/>
      <c r="I316" s="35"/>
      <c r="J316" s="36">
        <f>1.52*2.29+3.07*6.07+3.06*2.14+1.42*2.13+2.13*1.22+1.98*0.6+2.88*3.9+2.8*3.35+1.29*0.6+3.2*1+3.07*1.08+2.14*0.9</f>
        <v>65.302900000000008</v>
      </c>
      <c r="L316" s="121"/>
      <c r="M316" s="121"/>
      <c r="N316" s="35"/>
    </row>
    <row r="317" spans="1:14" s="36" customFormat="1" ht="15.75" customHeight="1" x14ac:dyDescent="0.3">
      <c r="A317" s="95">
        <f t="shared" si="54"/>
        <v>5</v>
      </c>
      <c r="B317" s="96"/>
      <c r="C317" s="52" t="s">
        <v>224</v>
      </c>
      <c r="D317" s="53">
        <f>(1.5*2.58+3.05*6.08+3.05*2.205+2.13*1.22+2.28*1.22+3.05*3.75+2.9*3.2+2.33*3.2+2.58*2.37+3.3*1+2*(1.35*0.6)+3.05*1.075+2.205*0.9)*(10.764)</f>
        <v>850.25697120000007</v>
      </c>
      <c r="E317" s="53">
        <f>(3.2*0.4+2.33*1.9+6.1*1.3+1.4*0.6+1.5*1.2+1.5*0.6)*(10.764)</f>
        <v>184.89322799999999</v>
      </c>
      <c r="F317" s="41">
        <f>D317*(($F$191)+1)+(IF(E317&lt;101,E317,IF(E317&lt;201,E317/2,IF(E317&lt;=301,E317/3,E317/4))))</f>
        <v>1410.3449193600002</v>
      </c>
      <c r="G317" s="195"/>
      <c r="H317" s="196"/>
      <c r="I317" s="35">
        <f>18901799/F317</f>
        <v>13402.252697572336</v>
      </c>
      <c r="L317" s="121"/>
      <c r="M317" s="121"/>
      <c r="N317" s="35"/>
    </row>
    <row r="318" spans="1:14" s="36" customFormat="1" ht="15.75" customHeight="1" x14ac:dyDescent="0.3">
      <c r="A318" s="95">
        <f t="shared" si="54"/>
        <v>6</v>
      </c>
      <c r="B318" s="96"/>
      <c r="C318" s="52" t="s">
        <v>224</v>
      </c>
      <c r="D318" s="53">
        <f>(3.05*6.08+3.05*2.205+2.13*1.22+2.28*1.22+3.05*3.75+2.9*3.2+2.33*3.2+2.58*2.37+3.3*1+2*(1.35*0.6)+3.05*1.075+2.205*0.9)*(10.764)</f>
        <v>808.60029120000002</v>
      </c>
      <c r="E318" s="41">
        <v>0</v>
      </c>
      <c r="F318" s="41">
        <f>D318*(($F$191)+1)+(IF(E318&lt;101,E318,IF(E318&lt;201,E318/2,IF(E318&lt;=301,E318/3,E318/4))))</f>
        <v>1253.3304513600001</v>
      </c>
      <c r="G318" s="197"/>
      <c r="H318" s="198"/>
      <c r="I318" s="35">
        <f>17968238/F318</f>
        <v>14336.393072156274</v>
      </c>
      <c r="L318" s="121"/>
      <c r="M318" s="121"/>
      <c r="N318" s="35"/>
    </row>
    <row r="319" spans="1:14" s="36" customFormat="1" ht="31.5" customHeight="1" x14ac:dyDescent="0.3">
      <c r="A319" s="115" t="s">
        <v>225</v>
      </c>
      <c r="B319" s="116"/>
      <c r="C319" s="116"/>
      <c r="D319" s="116"/>
      <c r="E319" s="116"/>
      <c r="F319" s="116"/>
      <c r="G319" s="116"/>
      <c r="H319" s="117"/>
      <c r="J319" s="35"/>
    </row>
    <row r="320" spans="1:14" s="36" customFormat="1" ht="15.75" customHeight="1" x14ac:dyDescent="0.3">
      <c r="A320" s="95">
        <v>1</v>
      </c>
      <c r="B320" s="96"/>
      <c r="C320" s="52">
        <v>3</v>
      </c>
      <c r="D320" s="53">
        <f>(3.17*1.35+1.07*1.24+6.55*3.22+3.34*2.31+2.45*1.36+4.1*3.2+3.08*3.81+1.35*2.25+1.35*2.16+3.02*3.2+1.5*1.36+3.06*3.76+3.22*1.51+2.31*1.51+1.8*0.6)*(10.764)</f>
        <v>1089.2403756000001</v>
      </c>
      <c r="E320" s="41">
        <v>0</v>
      </c>
      <c r="F320" s="41">
        <f t="shared" ref="F320:F325" si="55">D320*(($F$191)+1)+(IF(E320&lt;101,E320,IF(E320&lt;201,E320/2,IF(E320&lt;=301,E320/3,E320/4))))</f>
        <v>1688.3225821800002</v>
      </c>
      <c r="G320" s="193" t="str">
        <f>A319</f>
        <v xml:space="preserve">7th to 9th, 11th to 14th,16th to 19th, 21st to 23rd, 26th to 29th, 31st to 34th, 
36th to 39th, 41st to 44th &amp; 46th to 49th Floor </v>
      </c>
      <c r="H320" s="194"/>
      <c r="I320" s="65">
        <f>24338157/F320</f>
        <v>14415.584590815592</v>
      </c>
      <c r="L320" s="121"/>
      <c r="M320" s="121"/>
      <c r="N320" s="35"/>
    </row>
    <row r="321" spans="1:14" s="36" customFormat="1" ht="15.75" customHeight="1" x14ac:dyDescent="0.3">
      <c r="A321" s="95">
        <f t="shared" ref="A321:A325" si="56">A320+1</f>
        <v>2</v>
      </c>
      <c r="B321" s="96"/>
      <c r="C321" s="52">
        <v>3</v>
      </c>
      <c r="D321" s="53">
        <f>(3.17*1.35+1.07*1.24+6.55*3.22+3.34*2.31+2.45*1.36+4.1*3.35+3.08*3.81+1.35*2.25+1.35*2.16+3.02*3.2+1.5*1.36+3.06*3.64+3.22*1.51+2.31*1.51+1.82*0.65)*(10.764)</f>
        <v>1093.0163868000002</v>
      </c>
      <c r="E321" s="41">
        <v>0</v>
      </c>
      <c r="F321" s="41">
        <f t="shared" si="55"/>
        <v>1694.1753995400004</v>
      </c>
      <c r="G321" s="195" t="str">
        <f t="shared" ref="G321:G325" si="57">G320</f>
        <v xml:space="preserve">7th to 9th, 11th to 14th,16th to 19th, 21st to 23rd, 26th to 29th, 31st to 34th, 
36th to 39th, 41st to 44th &amp; 46th to 49th Floor </v>
      </c>
      <c r="H321" s="196"/>
      <c r="I321" s="65">
        <f>24478305/F321</f>
        <v>14448.506929475134</v>
      </c>
      <c r="L321" s="121"/>
      <c r="M321" s="121"/>
      <c r="N321" s="35"/>
    </row>
    <row r="322" spans="1:14" s="36" customFormat="1" ht="15.75" customHeight="1" x14ac:dyDescent="0.3">
      <c r="A322" s="95">
        <f t="shared" si="56"/>
        <v>3</v>
      </c>
      <c r="B322" s="96"/>
      <c r="C322" s="52">
        <v>2</v>
      </c>
      <c r="D322" s="53">
        <f>(1.52*2.29+3.07*6.07+3.06*2.14+1.42*2.13+2.13*1.22+2.88*3.9+2.8*3.35+3.2*1+1.98*0.6+1.29*0.6+3.07*1.08+2.14*0.9)*(10.764)</f>
        <v>702.92041560000007</v>
      </c>
      <c r="E322" s="41">
        <v>0</v>
      </c>
      <c r="F322" s="41">
        <f t="shared" si="55"/>
        <v>1089.5266441800002</v>
      </c>
      <c r="G322" s="195" t="str">
        <f t="shared" si="57"/>
        <v xml:space="preserve">7th to 9th, 11th to 14th,16th to 19th, 21st to 23rd, 26th to 29th, 31st to 34th, 
36th to 39th, 41st to 44th &amp; 46th to 49th Floor </v>
      </c>
      <c r="H322" s="196"/>
      <c r="I322" s="65">
        <f>15698756/F322</f>
        <v>14408.785763853624</v>
      </c>
      <c r="L322" s="121"/>
      <c r="M322" s="121"/>
      <c r="N322" s="35"/>
    </row>
    <row r="323" spans="1:14" s="36" customFormat="1" ht="15.75" customHeight="1" x14ac:dyDescent="0.3">
      <c r="A323" s="95">
        <f t="shared" si="56"/>
        <v>4</v>
      </c>
      <c r="B323" s="96"/>
      <c r="C323" s="52">
        <v>2</v>
      </c>
      <c r="D323" s="53">
        <f>(1.52*2.29+3.07*6.07+3.06*2.14+1.42*2.13+2.13*1.22+2.88*3.9+2.8*3.35+3.2*1+1.98*0.6+1.29*0.6+3.07*1.08+2.14*0.9)*(10.764)</f>
        <v>702.92041560000007</v>
      </c>
      <c r="E323" s="41">
        <v>0</v>
      </c>
      <c r="F323" s="41">
        <f t="shared" si="55"/>
        <v>1089.5266441800002</v>
      </c>
      <c r="G323" s="195" t="str">
        <f t="shared" si="57"/>
        <v xml:space="preserve">7th to 9th, 11th to 14th,16th to 19th, 21st to 23rd, 26th to 29th, 31st to 34th, 
36th to 39th, 41st to 44th &amp; 46th to 49th Floor </v>
      </c>
      <c r="H323" s="196"/>
      <c r="I323" s="65">
        <f>15712318/F323</f>
        <v>14421.233371328342</v>
      </c>
      <c r="L323" s="121"/>
      <c r="M323" s="121"/>
      <c r="N323" s="35"/>
    </row>
    <row r="324" spans="1:14" s="36" customFormat="1" ht="15.75" customHeight="1" x14ac:dyDescent="0.3">
      <c r="A324" s="95">
        <f t="shared" si="56"/>
        <v>5</v>
      </c>
      <c r="B324" s="96"/>
      <c r="C324" s="52" t="s">
        <v>224</v>
      </c>
      <c r="D324" s="53">
        <f>(1.5*2.58+3.05*6.08+3.05*2.205+2.13*1.22+2.28*1.22+3.05*3.75+2.9*3.2+2.33*3.2+2.58*2.37+3.3*1+2*(1.35*0.6)+3.05*1.075+2.205*0.9)*(10.764)</f>
        <v>850.25697120000007</v>
      </c>
      <c r="E324" s="41">
        <v>0</v>
      </c>
      <c r="F324" s="41">
        <f t="shared" si="55"/>
        <v>1317.8983053600002</v>
      </c>
      <c r="G324" s="195" t="str">
        <f t="shared" si="57"/>
        <v xml:space="preserve">7th to 9th, 11th to 14th,16th to 19th, 21st to 23rd, 26th to 29th, 31st to 34th, 
36th to 39th, 41st to 44th &amp; 46th to 49th Floor </v>
      </c>
      <c r="H324" s="196"/>
      <c r="I324" s="65">
        <f>18901799/F324</f>
        <v>14342.380533554704</v>
      </c>
      <c r="L324" s="121"/>
      <c r="M324" s="121"/>
      <c r="N324" s="35"/>
    </row>
    <row r="325" spans="1:14" s="36" customFormat="1" ht="15.75" customHeight="1" x14ac:dyDescent="0.3">
      <c r="A325" s="95">
        <f t="shared" si="56"/>
        <v>6</v>
      </c>
      <c r="B325" s="96"/>
      <c r="C325" s="52" t="s">
        <v>224</v>
      </c>
      <c r="D325" s="53">
        <f>(3.05*6.08+3.05*2.205+2.13*1.22+2.28*1.22+3.05*3.75+2.9*3.2+2.33*3.2+2.58*2.37+3.3*1+2*(1.35*0.6)+3.05*1.075+2.205*0.9)*(10.764)</f>
        <v>808.60029120000002</v>
      </c>
      <c r="E325" s="41">
        <v>0</v>
      </c>
      <c r="F325" s="41">
        <f t="shared" si="55"/>
        <v>1253.3304513600001</v>
      </c>
      <c r="G325" s="197" t="str">
        <f t="shared" si="57"/>
        <v xml:space="preserve">7th to 9th, 11th to 14th,16th to 19th, 21st to 23rd, 26th to 29th, 31st to 34th, 
36th to 39th, 41st to 44th &amp; 46th to 49th Floor </v>
      </c>
      <c r="H325" s="198"/>
      <c r="I325" s="65">
        <f>17968238/F325</f>
        <v>14336.393072156274</v>
      </c>
      <c r="L325" s="121"/>
      <c r="M325" s="121"/>
      <c r="N325" s="35"/>
    </row>
    <row r="326" spans="1:14" s="36" customFormat="1" ht="15.75" customHeight="1" x14ac:dyDescent="0.3">
      <c r="A326" s="115" t="s">
        <v>227</v>
      </c>
      <c r="B326" s="116"/>
      <c r="C326" s="116"/>
      <c r="D326" s="116"/>
      <c r="E326" s="116"/>
      <c r="F326" s="116"/>
      <c r="G326" s="116"/>
      <c r="H326" s="117"/>
      <c r="J326" s="35"/>
    </row>
    <row r="327" spans="1:14" s="36" customFormat="1" ht="15.75" customHeight="1" x14ac:dyDescent="0.3">
      <c r="A327" s="95">
        <v>1</v>
      </c>
      <c r="B327" s="96"/>
      <c r="C327" s="52">
        <v>3</v>
      </c>
      <c r="D327" s="53">
        <f>(3.17*1.35+1.07*1.24+6.55*3.22+3.34*2.31+2.45*1.36+4.1*3.2+3.08*3.81+1.35*2.25+1.35*2.16+3.02*3.2+1.5*1.36+3.06*3.76+3.22*1.51+2.31*1.51+1.8*0.6)*(10.764)</f>
        <v>1089.2403756000001</v>
      </c>
      <c r="E327" s="41">
        <v>0</v>
      </c>
      <c r="F327" s="41">
        <f>D327*(($F$191)+1)+(IF(E327&lt;101,E327,IF(E327&lt;201,E327/2,IF(E327&lt;=301,E327/3,E327/4))))</f>
        <v>1688.3225821800002</v>
      </c>
      <c r="G327" s="193" t="str">
        <f>A326</f>
        <v>10th, 15th, 20th, 30th, 35th, 40th, 45th &amp; 50th Floor (Part Refuge Area)</v>
      </c>
      <c r="H327" s="194"/>
      <c r="I327" s="35"/>
      <c r="J327" s="36">
        <f>12000000/F329</f>
        <v>11013.957358547614</v>
      </c>
      <c r="L327" s="121"/>
      <c r="M327" s="121"/>
      <c r="N327" s="35"/>
    </row>
    <row r="328" spans="1:14" s="36" customFormat="1" ht="15.75" customHeight="1" x14ac:dyDescent="0.3">
      <c r="A328" s="95">
        <f t="shared" ref="A328:A332" si="58">A327+1</f>
        <v>2</v>
      </c>
      <c r="B328" s="96"/>
      <c r="C328" s="52">
        <v>3</v>
      </c>
      <c r="D328" s="53">
        <f>(3.17*1.35+1.07*1.24+6.55*3.22+3.34*2.31+2.45*1.36+4.1*3.35+3.08*3.81+1.35*2.25+1.35*2.16+3.02*3.2+1.5*1.36+3.06*3.64+3.22*1.51+2.31*1.51+1.82*0.65)*(10.764)</f>
        <v>1093.0163868000002</v>
      </c>
      <c r="E328" s="41">
        <v>0</v>
      </c>
      <c r="F328" s="41">
        <f>D328*(($F$191)+1)+(IF(E328&lt;101,E328,IF(E328&lt;201,E328/2,IF(E328&lt;=301,E328/3,E328/4))))</f>
        <v>1694.1753995400004</v>
      </c>
      <c r="G328" s="195"/>
      <c r="H328" s="196"/>
      <c r="I328" s="35"/>
      <c r="L328" s="121"/>
      <c r="M328" s="121"/>
      <c r="N328" s="35"/>
    </row>
    <row r="329" spans="1:14" s="36" customFormat="1" ht="15.75" customHeight="1" x14ac:dyDescent="0.3">
      <c r="A329" s="95">
        <f t="shared" si="58"/>
        <v>3</v>
      </c>
      <c r="B329" s="96"/>
      <c r="C329" s="52">
        <v>2</v>
      </c>
      <c r="D329" s="53">
        <f>(1.52*2.29+3.07*6.07+3.06*2.14+1.42*2.13+2.13*1.22+2.88*3.9+2.8*3.35+3.2*1+1.98*0.6+1.29*0.6+3.07*1.08+2.14*0.9)*(10.764)</f>
        <v>702.92041560000007</v>
      </c>
      <c r="E329" s="41">
        <v>0</v>
      </c>
      <c r="F329" s="41">
        <f>D329*(($F$191)+1)+(IF(E329&lt;101,E329,IF(E329&lt;201,E329/2,IF(E329&lt;=301,E329/3,E329/4))))</f>
        <v>1089.5266441800002</v>
      </c>
      <c r="G329" s="195"/>
      <c r="H329" s="196"/>
      <c r="I329" s="35"/>
      <c r="L329" s="121"/>
      <c r="M329" s="121"/>
      <c r="N329" s="35"/>
    </row>
    <row r="330" spans="1:14" s="36" customFormat="1" ht="15.75" customHeight="1" x14ac:dyDescent="0.3">
      <c r="A330" s="95">
        <f t="shared" si="58"/>
        <v>4</v>
      </c>
      <c r="B330" s="96"/>
      <c r="C330" s="239" t="s">
        <v>212</v>
      </c>
      <c r="D330" s="240"/>
      <c r="E330" s="240"/>
      <c r="F330" s="241"/>
      <c r="G330" s="195"/>
      <c r="H330" s="196"/>
      <c r="I330" s="35"/>
      <c r="L330" s="121"/>
      <c r="M330" s="121"/>
      <c r="N330" s="35"/>
    </row>
    <row r="331" spans="1:14" s="36" customFormat="1" ht="15.75" customHeight="1" x14ac:dyDescent="0.3">
      <c r="A331" s="95">
        <f t="shared" si="58"/>
        <v>5</v>
      </c>
      <c r="B331" s="96"/>
      <c r="C331" s="52" t="s">
        <v>224</v>
      </c>
      <c r="D331" s="53">
        <f>(1.5*2.58+3.05*6.08+3.05*2.205+2.13*1.22+2.28*1.22+3.05*3.75+2.9*3.2+2.33*3.2+2.58*2.37+3.3*1+2*(1.35*0.6)+3.05*1.075+2.205*0.9)*(10.764)</f>
        <v>850.25697120000007</v>
      </c>
      <c r="E331" s="41">
        <v>0</v>
      </c>
      <c r="F331" s="41">
        <f>D331*(($F$191)+1)+(IF(E331&lt;101,E331,IF(E331&lt;201,E331/2,IF(E331&lt;=301,E331/3,E331/4))))</f>
        <v>1317.8983053600002</v>
      </c>
      <c r="G331" s="195"/>
      <c r="H331" s="196"/>
      <c r="I331" s="35"/>
      <c r="L331" s="121"/>
      <c r="M331" s="121"/>
      <c r="N331" s="35"/>
    </row>
    <row r="332" spans="1:14" s="36" customFormat="1" ht="15.75" customHeight="1" x14ac:dyDescent="0.3">
      <c r="A332" s="95">
        <f t="shared" si="58"/>
        <v>6</v>
      </c>
      <c r="B332" s="96"/>
      <c r="C332" s="52" t="s">
        <v>224</v>
      </c>
      <c r="D332" s="53">
        <f>(3.05*6.08+3.05*2.205+2.13*1.22+2.28*1.22+3.05*3.75+2.9*3.2+2.33*3.2+2.58*2.37+3.3*1+2*(1.35*0.6)+3.05*1.075+2.205*0.9)*(10.764)</f>
        <v>808.60029120000002</v>
      </c>
      <c r="E332" s="41">
        <v>0</v>
      </c>
      <c r="F332" s="41">
        <f>D332*(($F$191)+1)+(IF(E332&lt;101,E332,IF(E332&lt;201,E332/2,IF(E332&lt;=301,E332/3,E332/4))))</f>
        <v>1253.3304513600001</v>
      </c>
      <c r="G332" s="197"/>
      <c r="H332" s="198"/>
      <c r="I332" s="35"/>
      <c r="L332" s="121"/>
      <c r="M332" s="121"/>
      <c r="N332" s="35"/>
    </row>
    <row r="333" spans="1:14" s="36" customFormat="1" ht="15.75" customHeight="1" x14ac:dyDescent="0.3">
      <c r="A333" s="115" t="s">
        <v>228</v>
      </c>
      <c r="B333" s="116"/>
      <c r="C333" s="116"/>
      <c r="D333" s="116"/>
      <c r="E333" s="116"/>
      <c r="F333" s="116"/>
      <c r="G333" s="116"/>
      <c r="H333" s="117"/>
      <c r="J333" s="35"/>
    </row>
    <row r="334" spans="1:14" s="36" customFormat="1" ht="15.75" customHeight="1" x14ac:dyDescent="0.3">
      <c r="A334" s="95">
        <v>1</v>
      </c>
      <c r="B334" s="96"/>
      <c r="C334" s="52">
        <v>3</v>
      </c>
      <c r="D334" s="53">
        <f>(3.17*1.35+1.07*1.24+6.55*3.22+3.34*2.31+2.45*1.36+4.1*3.2+3.08*3.81+1.35*2.25+1.35*2.16+3.02*3.2+1.5*1.36+3.06*3.76+3.22*1.51+2.31*1.51+1.8*0.6)*(10.764)</f>
        <v>1089.2403756000001</v>
      </c>
      <c r="E334" s="41">
        <v>0</v>
      </c>
      <c r="F334" s="41">
        <f>D334*(($F$191)+1)+(IF(E334&lt;101,E334,IF(E334&lt;201,E334/2,IF(E334&lt;=301,E334/3,E334/4))))</f>
        <v>1688.3225821800002</v>
      </c>
      <c r="G334" s="193" t="str">
        <f>A333</f>
        <v>25th Floor (Part Refuge Area)</v>
      </c>
      <c r="H334" s="194"/>
      <c r="I334" s="35"/>
      <c r="L334" s="121"/>
      <c r="M334" s="121"/>
      <c r="N334" s="35"/>
    </row>
    <row r="335" spans="1:14" s="36" customFormat="1" ht="15.75" customHeight="1" x14ac:dyDescent="0.3">
      <c r="A335" s="95">
        <f t="shared" ref="A335:A339" si="59">A334+1</f>
        <v>2</v>
      </c>
      <c r="B335" s="96"/>
      <c r="C335" s="52">
        <v>3</v>
      </c>
      <c r="D335" s="53">
        <f>(3.17*1.35+1.07*1.24+6.55*3.22+3.34*2.31+2.45*1.36+4.1*3.35+3.08*3.81+1.35*2.25+1.35*2.16+3.02*3.2+1.5*1.36+3.06*3.64+3.22*1.51+2.31*1.51+1.82*0.65)*(10.764)</f>
        <v>1093.0163868000002</v>
      </c>
      <c r="E335" s="41">
        <v>0</v>
      </c>
      <c r="F335" s="41">
        <f>D335*(($F$191)+1)+(IF(E335&lt;101,E335,IF(E335&lt;201,E335/2,IF(E335&lt;=301,E335/3,E335/4))))</f>
        <v>1694.1753995400004</v>
      </c>
      <c r="G335" s="195"/>
      <c r="H335" s="196"/>
      <c r="I335" s="35"/>
      <c r="L335" s="121"/>
      <c r="M335" s="121"/>
      <c r="N335" s="35"/>
    </row>
    <row r="336" spans="1:14" s="36" customFormat="1" ht="15.75" customHeight="1" x14ac:dyDescent="0.3">
      <c r="A336" s="95">
        <f t="shared" si="59"/>
        <v>3</v>
      </c>
      <c r="B336" s="96"/>
      <c r="C336" s="52">
        <v>2</v>
      </c>
      <c r="D336" s="53">
        <f>(1.52*2.29+3.07*6.07+3.06*2.14+1.42*2.13+2.13*1.22+2.88*3.9+2.8*3.35+3.2*1+1.98*0.6+1.29*0.6+3.07*1.08+2.14*0.9)*(10.764)</f>
        <v>702.92041560000007</v>
      </c>
      <c r="E336" s="41">
        <v>0</v>
      </c>
      <c r="F336" s="41">
        <f>D336*(($F$191)+1)+(IF(E336&lt;101,E336,IF(E336&lt;201,E336/2,IF(E336&lt;=301,E336/3,E336/4))))</f>
        <v>1089.5266441800002</v>
      </c>
      <c r="G336" s="195"/>
      <c r="H336" s="196"/>
      <c r="I336" s="35"/>
      <c r="L336" s="121"/>
      <c r="M336" s="121"/>
      <c r="N336" s="35"/>
    </row>
    <row r="337" spans="1:14" s="36" customFormat="1" ht="15.75" customHeight="1" x14ac:dyDescent="0.3">
      <c r="A337" s="95">
        <f t="shared" si="59"/>
        <v>4</v>
      </c>
      <c r="B337" s="96"/>
      <c r="C337" s="239" t="s">
        <v>212</v>
      </c>
      <c r="D337" s="240"/>
      <c r="E337" s="240"/>
      <c r="F337" s="241"/>
      <c r="G337" s="195"/>
      <c r="H337" s="196"/>
      <c r="I337" s="35"/>
      <c r="L337" s="121"/>
      <c r="M337" s="121"/>
      <c r="N337" s="35"/>
    </row>
    <row r="338" spans="1:14" s="36" customFormat="1" ht="15.75" customHeight="1" x14ac:dyDescent="0.3">
      <c r="A338" s="95">
        <f t="shared" si="59"/>
        <v>5</v>
      </c>
      <c r="B338" s="96"/>
      <c r="C338" s="52" t="s">
        <v>224</v>
      </c>
      <c r="D338" s="53">
        <f>(1.5*2.58+3.05*6.08+3.05*2.205+2.13*1.22+2.28*1.22+3.05*3.75+2.9*3.2+2.33*3.2+2.58*2.37+3.3*1+2*(1.35*0.6)+3.05*1.075+2.205*0.9)*(10.764)</f>
        <v>850.25697120000007</v>
      </c>
      <c r="E338" s="41">
        <v>0</v>
      </c>
      <c r="F338" s="41">
        <f>D338*(($F$191)+1)+(IF(E338&lt;101,E338,IF(E338&lt;201,E338/2,IF(E338&lt;=301,E338/3,E338/4))))</f>
        <v>1317.8983053600002</v>
      </c>
      <c r="G338" s="195"/>
      <c r="H338" s="196"/>
      <c r="I338" s="35"/>
      <c r="L338" s="121"/>
      <c r="M338" s="121"/>
      <c r="N338" s="35"/>
    </row>
    <row r="339" spans="1:14" s="36" customFormat="1" ht="15.75" customHeight="1" x14ac:dyDescent="0.3">
      <c r="A339" s="95">
        <f t="shared" si="59"/>
        <v>6</v>
      </c>
      <c r="B339" s="96"/>
      <c r="C339" s="52" t="s">
        <v>224</v>
      </c>
      <c r="D339" s="53">
        <f>(3.05*6.08+3.05*2.205+2.13*1.22+2.28*1.22+3.05*3.75+2.9*3.2+2.33*3.2+2.58*2.37+3.3*1+2*(1.35*0.6)+3.05*1.075+2.205*0.9)*(10.764)</f>
        <v>808.60029120000002</v>
      </c>
      <c r="E339" s="41">
        <v>0</v>
      </c>
      <c r="F339" s="41">
        <f>D339*(($F$191)+1)+(IF(E339&lt;101,E339,IF(E339&lt;201,E339/2,IF(E339&lt;=301,E339/3,E339/4))))</f>
        <v>1253.3304513600001</v>
      </c>
      <c r="G339" s="197"/>
      <c r="H339" s="198"/>
      <c r="I339" s="35"/>
      <c r="L339" s="121"/>
      <c r="M339" s="121"/>
      <c r="N339" s="35"/>
    </row>
    <row r="340" spans="1:14" s="36" customFormat="1" x14ac:dyDescent="0.3">
      <c r="A340" s="115" t="s">
        <v>229</v>
      </c>
      <c r="B340" s="116"/>
      <c r="C340" s="116"/>
      <c r="D340" s="116"/>
      <c r="E340" s="116"/>
      <c r="F340" s="116"/>
      <c r="G340" s="116"/>
      <c r="H340" s="117"/>
      <c r="J340" s="35"/>
    </row>
    <row r="341" spans="1:14" s="36" customFormat="1" ht="15.75" customHeight="1" x14ac:dyDescent="0.3">
      <c r="A341" s="95">
        <v>1</v>
      </c>
      <c r="B341" s="96"/>
      <c r="C341" s="52">
        <v>3</v>
      </c>
      <c r="D341" s="53">
        <f>(3.17*1.35+1.07*1.24+6.55*3.22+3.34*2.31+2.45*1.36+4.1*3.2+3.08*3.81+1.35*2.25+1.35*2.16+3.02*3.2+1.5*1.36+3.06*3.76+3.22*1.51+2.31*1.51+1.8*0.6)*(10.764)</f>
        <v>1089.2403756000001</v>
      </c>
      <c r="E341" s="41">
        <v>0</v>
      </c>
      <c r="F341" s="41">
        <f t="shared" ref="F341:F346" si="60">D341*(($F$191)+1)+(IF(E341&lt;101,E341,IF(E341&lt;201,E341/2,IF(E341&lt;=301,E341/3,E341/4))))</f>
        <v>1688.3225821800002</v>
      </c>
      <c r="G341" s="193" t="str">
        <f>A340</f>
        <v xml:space="preserve">24th Floor </v>
      </c>
      <c r="H341" s="194"/>
      <c r="I341" s="35"/>
      <c r="L341" s="121"/>
      <c r="M341" s="121"/>
      <c r="N341" s="35"/>
    </row>
    <row r="342" spans="1:14" s="36" customFormat="1" ht="15.75" customHeight="1" x14ac:dyDescent="0.3">
      <c r="A342" s="95">
        <f t="shared" ref="A342:A346" si="61">A341+1</f>
        <v>2</v>
      </c>
      <c r="B342" s="96"/>
      <c r="C342" s="52">
        <v>3</v>
      </c>
      <c r="D342" s="53">
        <f>(3.17*1.35+1.07*1.24+6.55*3.22+3.34*2.31+2.45*1.36+4.1*3.35+3.08*3.81+1.35*2.25+1.35*2.16+3.02*3.2+1.5*1.36+3.06*3.64+3.22*1.51+2.31*1.51+1.82*0.65)*(10.764)</f>
        <v>1093.0163868000002</v>
      </c>
      <c r="E342" s="41">
        <v>0</v>
      </c>
      <c r="F342" s="41">
        <f t="shared" si="60"/>
        <v>1694.1753995400004</v>
      </c>
      <c r="G342" s="195" t="str">
        <f t="shared" ref="G342:G346" si="62">G341</f>
        <v xml:space="preserve">24th Floor </v>
      </c>
      <c r="H342" s="196"/>
      <c r="I342" s="35"/>
      <c r="L342" s="121"/>
      <c r="M342" s="121"/>
      <c r="N342" s="35"/>
    </row>
    <row r="343" spans="1:14" s="36" customFormat="1" ht="15.75" customHeight="1" x14ac:dyDescent="0.3">
      <c r="A343" s="95">
        <f t="shared" si="61"/>
        <v>3</v>
      </c>
      <c r="B343" s="96"/>
      <c r="C343" s="52">
        <v>2</v>
      </c>
      <c r="D343" s="53">
        <f>(1.52*2.29+3.07*6.07+3.06*2.14+1.42*2.13+2.13*1.22+2.88*3.9+2.8*3.35+3.2*1+1.98*0.6+1.29*0.6+3.07*1.08+2.14*0.9)*(10.764)</f>
        <v>702.92041560000007</v>
      </c>
      <c r="E343" s="41">
        <v>0</v>
      </c>
      <c r="F343" s="41">
        <f t="shared" si="60"/>
        <v>1089.5266441800002</v>
      </c>
      <c r="G343" s="195" t="str">
        <f t="shared" si="62"/>
        <v xml:space="preserve">24th Floor </v>
      </c>
      <c r="H343" s="196"/>
      <c r="I343" s="35"/>
      <c r="L343" s="121"/>
      <c r="M343" s="121"/>
      <c r="N343" s="35"/>
    </row>
    <row r="344" spans="1:14" s="36" customFormat="1" ht="15.75" customHeight="1" x14ac:dyDescent="0.3">
      <c r="A344" s="95">
        <f t="shared" si="61"/>
        <v>4</v>
      </c>
      <c r="B344" s="96"/>
      <c r="C344" s="52">
        <v>2</v>
      </c>
      <c r="D344" s="53">
        <f>(1.52*2.29+3.07*6.07+3.06*2.14+1.42*2.13+2.13*1.22+2.88*3.9+2.8*3.35+3.2*1+1.98*0.6+1.29*0.6+3.07*1.08+2.14*0.9)*(10.764)</f>
        <v>702.92041560000007</v>
      </c>
      <c r="E344" s="41">
        <v>0</v>
      </c>
      <c r="F344" s="41">
        <f t="shared" si="60"/>
        <v>1089.5266441800002</v>
      </c>
      <c r="G344" s="195" t="str">
        <f t="shared" si="62"/>
        <v xml:space="preserve">24th Floor </v>
      </c>
      <c r="H344" s="196"/>
      <c r="I344" s="35"/>
      <c r="K344" s="36">
        <f>14500000/F344</f>
        <v>13308.531808245032</v>
      </c>
      <c r="L344" s="121"/>
      <c r="M344" s="121"/>
      <c r="N344" s="35"/>
    </row>
    <row r="345" spans="1:14" s="36" customFormat="1" ht="15.75" customHeight="1" x14ac:dyDescent="0.3">
      <c r="A345" s="95">
        <f t="shared" si="61"/>
        <v>5</v>
      </c>
      <c r="B345" s="96"/>
      <c r="C345" s="52" t="s">
        <v>224</v>
      </c>
      <c r="D345" s="53">
        <f>(1.5*2.58+3.05*6.08+3.05*2.205+2.13*1.22+2.28*1.22+3.05*3.75+2.9*3.2+2.33*3.2+2.58*2.37+3.3*1+2*(1.35*0.6)+3.05*1.075+2.205*0.9)*(10.764)</f>
        <v>850.25697120000007</v>
      </c>
      <c r="E345" s="41">
        <v>0</v>
      </c>
      <c r="F345" s="41">
        <f t="shared" si="60"/>
        <v>1317.8983053600002</v>
      </c>
      <c r="G345" s="195" t="str">
        <f t="shared" si="62"/>
        <v xml:space="preserve">24th Floor </v>
      </c>
      <c r="H345" s="196"/>
      <c r="I345" s="35"/>
      <c r="L345" s="121"/>
      <c r="M345" s="121"/>
      <c r="N345" s="35"/>
    </row>
    <row r="346" spans="1:14" s="36" customFormat="1" ht="15.75" customHeight="1" x14ac:dyDescent="0.3">
      <c r="A346" s="95">
        <f t="shared" si="61"/>
        <v>6</v>
      </c>
      <c r="B346" s="96"/>
      <c r="C346" s="52" t="s">
        <v>224</v>
      </c>
      <c r="D346" s="53">
        <f>(3.05*6.08+3.05*2.205+2.13*1.22+2.28*1.22+3.05*3.75+2.9*3.2+2.33*3.2+2.58*2.37+3.3*1+2*(1.35*0.6)+3.05*1.075+2.205*0.9)*(10.764)</f>
        <v>808.60029120000002</v>
      </c>
      <c r="E346" s="41">
        <v>0</v>
      </c>
      <c r="F346" s="41">
        <f t="shared" si="60"/>
        <v>1253.3304513600001</v>
      </c>
      <c r="G346" s="197" t="str">
        <f t="shared" si="62"/>
        <v xml:space="preserve">24th Floor </v>
      </c>
      <c r="H346" s="198"/>
      <c r="I346" s="35"/>
      <c r="L346" s="121"/>
      <c r="M346" s="121"/>
      <c r="N346" s="35"/>
    </row>
    <row r="347" spans="1:14" s="36" customFormat="1" hidden="1" x14ac:dyDescent="0.3">
      <c r="A347" s="115" t="s">
        <v>120</v>
      </c>
      <c r="B347" s="116"/>
      <c r="C347" s="116"/>
      <c r="D347" s="116"/>
      <c r="E347" s="116"/>
      <c r="F347" s="116"/>
      <c r="G347" s="116"/>
      <c r="H347" s="117"/>
      <c r="J347" s="35"/>
    </row>
    <row r="348" spans="1:14" s="36" customFormat="1" hidden="1" x14ac:dyDescent="0.3">
      <c r="A348" s="95">
        <v>1</v>
      </c>
      <c r="B348" s="96"/>
      <c r="C348" s="52"/>
      <c r="D348" s="41"/>
      <c r="E348" s="41">
        <v>0</v>
      </c>
      <c r="F348" s="41">
        <f>D348*(($F$191)+1)+(IF(E348&lt;101,E348,IF(E348&lt;201,E348/2,IF(E348&lt;=301,E348/3,E348/4))))</f>
        <v>0</v>
      </c>
      <c r="G348" s="95" t="str">
        <f>A347</f>
        <v>Ground Floor</v>
      </c>
      <c r="H348" s="96"/>
      <c r="I348" s="35"/>
      <c r="L348" s="121"/>
      <c r="M348" s="121"/>
      <c r="N348" s="35"/>
    </row>
    <row r="349" spans="1:14" s="36" customFormat="1" hidden="1" x14ac:dyDescent="0.3">
      <c r="A349" s="95">
        <f t="shared" ref="A349:A351" si="63">A348+1</f>
        <v>2</v>
      </c>
      <c r="B349" s="96"/>
      <c r="C349" s="52"/>
      <c r="D349" s="41"/>
      <c r="E349" s="41">
        <v>0</v>
      </c>
      <c r="F349" s="41">
        <f>D349*(($F$191)+1)+(IF(E349&lt;101,E349,IF(E349&lt;201,E349/2,IF(E349&lt;=301,E349/3,E349/4))))</f>
        <v>0</v>
      </c>
      <c r="G349" s="95" t="str">
        <f t="shared" ref="G349:G351" si="64">G348</f>
        <v>Ground Floor</v>
      </c>
      <c r="H349" s="96"/>
      <c r="I349" s="35"/>
      <c r="L349" s="121"/>
      <c r="M349" s="121"/>
      <c r="N349" s="35"/>
    </row>
    <row r="350" spans="1:14" s="36" customFormat="1" hidden="1" x14ac:dyDescent="0.3">
      <c r="A350" s="95">
        <f t="shared" si="63"/>
        <v>3</v>
      </c>
      <c r="B350" s="96"/>
      <c r="C350" s="52"/>
      <c r="D350" s="41"/>
      <c r="E350" s="41">
        <v>0</v>
      </c>
      <c r="F350" s="41">
        <f>D350*(($F$191)+1)+(IF(E350&lt;101,E350,IF(E350&lt;201,E350/2,IF(E350&lt;=301,E350/3,E350/4))))</f>
        <v>0</v>
      </c>
      <c r="G350" s="95" t="str">
        <f t="shared" si="64"/>
        <v>Ground Floor</v>
      </c>
      <c r="H350" s="96"/>
      <c r="I350" s="35"/>
      <c r="L350" s="121"/>
      <c r="M350" s="121"/>
      <c r="N350" s="35"/>
    </row>
    <row r="351" spans="1:14" s="36" customFormat="1" hidden="1" x14ac:dyDescent="0.3">
      <c r="A351" s="95">
        <f t="shared" si="63"/>
        <v>4</v>
      </c>
      <c r="B351" s="96"/>
      <c r="C351" s="52"/>
      <c r="D351" s="41"/>
      <c r="E351" s="41">
        <v>0</v>
      </c>
      <c r="F351" s="41">
        <f>D351*(($F$191)+1)+(IF(E351&lt;101,E351,IF(E351&lt;201,E351/2,IF(E351&lt;=301,E351/3,E351/4))))</f>
        <v>0</v>
      </c>
      <c r="G351" s="95" t="str">
        <f t="shared" si="64"/>
        <v>Ground Floor</v>
      </c>
      <c r="H351" s="96"/>
      <c r="I351" s="35"/>
      <c r="L351" s="121"/>
      <c r="M351" s="121"/>
      <c r="N351" s="35"/>
    </row>
    <row r="352" spans="1:14" s="36" customFormat="1" hidden="1" x14ac:dyDescent="0.3">
      <c r="A352" s="190" t="s">
        <v>121</v>
      </c>
      <c r="B352" s="190"/>
      <c r="C352" s="190"/>
      <c r="D352" s="190"/>
      <c r="E352" s="190"/>
      <c r="F352" s="190"/>
      <c r="G352" s="190"/>
      <c r="H352" s="190"/>
      <c r="I352" s="35"/>
      <c r="L352" s="121"/>
      <c r="M352" s="121"/>
    </row>
    <row r="353" spans="1:14" s="36" customFormat="1" hidden="1" x14ac:dyDescent="0.3">
      <c r="A353" s="97">
        <f>LEFT(A352,SUM(LEN(A352)-LEN(SUBSTITUTE(A352,{"0","1","2","3","4","5","6","7","8","9"},""))))*100+1</f>
        <v>201</v>
      </c>
      <c r="B353" s="97"/>
      <c r="C353" s="52"/>
      <c r="D353" s="41"/>
      <c r="E353" s="41">
        <v>0</v>
      </c>
      <c r="F353" s="41">
        <f t="shared" ref="F353:F354" si="65">D353*(($F$191)+1)+(IF(E353&lt;101,E353,IF(E353&lt;201,E353/2,IF(E353&lt;=301,E353/3,E353/4))))</f>
        <v>0</v>
      </c>
      <c r="G353" s="97" t="str">
        <f>A352</f>
        <v>2nd Floor</v>
      </c>
      <c r="H353" s="97"/>
      <c r="I353" s="35"/>
      <c r="N353" s="35"/>
    </row>
    <row r="354" spans="1:14" s="36" customFormat="1" hidden="1" x14ac:dyDescent="0.3">
      <c r="A354" s="97">
        <f>A353+1</f>
        <v>202</v>
      </c>
      <c r="B354" s="97"/>
      <c r="C354" s="52"/>
      <c r="D354" s="41"/>
      <c r="E354" s="41">
        <v>0</v>
      </c>
      <c r="F354" s="41">
        <f t="shared" si="65"/>
        <v>0</v>
      </c>
      <c r="G354" s="97" t="str">
        <f>G353</f>
        <v>2nd Floor</v>
      </c>
      <c r="H354" s="97"/>
      <c r="I354" s="35"/>
      <c r="N354" s="35"/>
    </row>
    <row r="355" spans="1:14" s="36" customFormat="1" hidden="1" x14ac:dyDescent="0.3">
      <c r="A355" s="97">
        <f>A354+1</f>
        <v>203</v>
      </c>
      <c r="B355" s="97"/>
      <c r="C355" s="52"/>
      <c r="D355" s="41"/>
      <c r="E355" s="41">
        <v>0</v>
      </c>
      <c r="F355" s="41">
        <f>D355*(($F$191)+1)+(IF(E355&lt;101,E355,IF(E355&lt;201,E355/2,IF(E355&lt;=301,E355/3,E355/4))))</f>
        <v>0</v>
      </c>
      <c r="G355" s="97" t="str">
        <f>G354</f>
        <v>2nd Floor</v>
      </c>
      <c r="H355" s="97"/>
      <c r="I355" s="35"/>
      <c r="N355" s="35"/>
    </row>
    <row r="356" spans="1:14" s="36" customFormat="1" hidden="1" x14ac:dyDescent="0.3">
      <c r="A356" s="97">
        <f>A355+1</f>
        <v>204</v>
      </c>
      <c r="B356" s="97"/>
      <c r="C356" s="52"/>
      <c r="D356" s="41"/>
      <c r="E356" s="41">
        <v>0</v>
      </c>
      <c r="F356" s="41">
        <f>D356*(($F$191)+1)+(IF(E356&lt;101,E356,IF(E356&lt;201,E356/2,IF(E356&lt;=301,E356/3,E356/4))))</f>
        <v>0</v>
      </c>
      <c r="G356" s="97" t="str">
        <f>G355</f>
        <v>2nd Floor</v>
      </c>
      <c r="H356" s="97"/>
      <c r="I356" s="35"/>
      <c r="N356" s="35"/>
    </row>
    <row r="357" spans="1:14" s="36" customFormat="1" hidden="1" x14ac:dyDescent="0.3">
      <c r="A357" s="97">
        <f>A356+1</f>
        <v>205</v>
      </c>
      <c r="B357" s="97"/>
      <c r="C357" s="52"/>
      <c r="D357" s="41"/>
      <c r="E357" s="41">
        <v>0</v>
      </c>
      <c r="F357" s="41">
        <f>D357*(($F$191)+1)+(IF(E357&lt;101,E357,IF(E357&lt;201,E357/2,IF(E357&lt;=301,E357/3,E357/4))))</f>
        <v>0</v>
      </c>
      <c r="G357" s="97" t="str">
        <f>G356</f>
        <v>2nd Floor</v>
      </c>
      <c r="H357" s="97"/>
      <c r="I357" s="35"/>
      <c r="N357" s="35"/>
    </row>
    <row r="358" spans="1:14" s="36" customFormat="1" ht="15.75" hidden="1" customHeight="1" x14ac:dyDescent="0.3">
      <c r="A358" s="115" t="s">
        <v>157</v>
      </c>
      <c r="B358" s="116"/>
      <c r="C358" s="116"/>
      <c r="D358" s="116"/>
      <c r="E358" s="116"/>
      <c r="F358" s="116"/>
      <c r="G358" s="116"/>
      <c r="H358" s="117"/>
      <c r="I358" s="35"/>
    </row>
    <row r="359" spans="1:14" s="36" customFormat="1" hidden="1" x14ac:dyDescent="0.3">
      <c r="A359" s="95" t="str">
        <f ca="1">(SUMPRODUCT(MID(0&amp;(LEFT(A358,SUM(LEN(A358)-LEN(SUBSTITUTE(A358,{"0","1","2"},""))))), LARGE(INDEX(ISNUMBER(--MID((LEFT(A358,SUM(LEN(A358)-LEN(SUBSTITUTE(A358,{"0","1","2"},""))))), ROW(INDIRECT("1:"&amp;LEN((LEFT(A358,SUM(LEN(A358)-LEN(SUBSTITUTE(A358,{"0","1","2"},"")))))))), 1)) * ROW(INDIRECT("1:"&amp;LEN((LEFT(A358,SUM(LEN(A358)-LEN(SUBSTITUTE(A358,{"0","1","2"},"")))))))), 0), ROW(INDIRECT("1:"&amp;LEN((LEFT(A358,SUM(LEN(A358)-LEN(SUBSTITUTE(A358,{"0","1","2"},"")))))))))+1, 1) * 10^ROW(INDIRECT("1:"&amp;LEN((LEFT(A358,SUM(LEN(A358)-LEN(SUBSTITUTE(A358,{"0","1","2"},""))))))))/10))*100+1&amp;""&amp;" ,.., "&amp;""&amp;(SUMPRODUCT(MID(0&amp;(--TRIM(RIGHT(SUBSTITUTE(LEFT(A358,_xlfn.AGGREGATE(16,6,FIND({0,1,2,3,4,5,6,7,8,9},A358,ROW(INDIRECT("1:"&amp;LEN(A358)))),1))," ",REPT(" ",LEN(A358))),LEN(A358)))), LARGE(INDEX(ISNUMBER(--MID((--TRIM(RIGHT(SUBSTITUTE(LEFT(A358,_xlfn.AGGREGATE(16,6,FIND({0,1,2,3,4,5,6,7,8,9},A358,ROW(INDIRECT("1:"&amp;LEN(A358)))),1))," ",REPT(" ",LEN(A358))),LEN(A358)))), ROW(INDIRECT("1:"&amp;LEN((--TRIM(RIGHT(SUBSTITUTE(LEFT(A358,_xlfn.AGGREGATE(16,6,FIND({0,1,2,3,4,5,6,7,8,9},A358,ROW(INDIRECT("1:"&amp;LEN(A358)))),1))," ",REPT(" ",LEN(A358))),LEN(A358))))))), 1)) * ROW(INDIRECT("1:"&amp;LEN((--TRIM(RIGHT(SUBSTITUTE(LEFT(A358,_xlfn.AGGREGATE(16,6,FIND({0,1,2,3,4,5,6,7,8,9},A358,ROW(INDIRECT("1:"&amp;LEN(A358)))),1))," ",REPT(" ",LEN(A358))),LEN(A358))))))), 0), ROW(INDIRECT("1:"&amp;LEN((--TRIM(RIGHT(SUBSTITUTE(LEFT(A358,_xlfn.AGGREGATE(16,6,FIND({0,1,2,3,4,5,6,7,8,9},A358,ROW(INDIRECT("1:"&amp;LEN(A358)))),1))," ",REPT(" ",LEN(A358))),LEN(A358))))))))+1, 1) * 10^ROW(INDIRECT("1:"&amp;LEN((--TRIM(RIGHT(SUBSTITUTE(LEFT(A358,_xlfn.AGGREGATE(16,6,FIND({0,1,2,3,4,5,6,7,8,9},A358,ROW(INDIRECT("1:"&amp;LEN(A358)))),1))," ",REPT(" ",LEN(A358))),LEN(A358)))))))/10))*100+1</f>
        <v>301 ,.., 1501</v>
      </c>
      <c r="B359" s="96"/>
      <c r="C359" s="52"/>
      <c r="D359" s="41"/>
      <c r="E359" s="41">
        <v>0</v>
      </c>
      <c r="F359" s="41">
        <f>D359*(($F$191)+1)+(IF(E359&lt;101,E359,IF(E359&lt;201,E359/2,IF(E359&lt;=301,E359/3,E359/4))))</f>
        <v>0</v>
      </c>
      <c r="G359" s="95" t="str">
        <f>A358</f>
        <v>3rd, 5th, 7th, 9th, 11th, 13th, 15th Floor</v>
      </c>
      <c r="H359" s="96"/>
      <c r="I359" s="35"/>
    </row>
    <row r="360" spans="1:14" s="36" customFormat="1" hidden="1" x14ac:dyDescent="0.3">
      <c r="A360" s="95" t="str">
        <f ca="1">(SUMPRODUCT(MID(0&amp;(LEFT(A359,SUM(LEN(A359)-LEN(SUBSTITUTE(A359,{"0","1","2"},""))))), LARGE(INDEX(ISNUMBER(--MID((LEFT(A359,SUM(LEN(A359)-LEN(SUBSTITUTE(A359,{"0","1","2"},""))))), ROW(INDIRECT("1:"&amp;LEN((LEFT(A359,SUM(LEN(A359)-LEN(SUBSTITUTE(A359,{"0","1","2"},"")))))))), 1)) * ROW(INDIRECT("1:"&amp;LEN((LEFT(A359,SUM(LEN(A359)-LEN(SUBSTITUTE(A359,{"0","1","2"},"")))))))), 0), ROW(INDIRECT("1:"&amp;LEN((LEFT(A359,SUM(LEN(A359)-LEN(SUBSTITUTE(A359,{"0","1","2"},"")))))))))+1, 1) * 10^ROW(INDIRECT("1:"&amp;LEN((LEFT(A359,SUM(LEN(A359)-LEN(SUBSTITUTE(A359,{"0","1","2"},""))))))))/10))*1+1&amp;""&amp;" ,.., "&amp;""&amp;(SUMPRODUCT(MID(0&amp;(--TRIM(RIGHT(SUBSTITUTE(LEFT(A359,_xlfn.AGGREGATE(16,6,FIND({0,1,2,3,4,5,6,7,8,9},A359,ROW(INDIRECT("1:"&amp;LEN(A359)))),1))," ",REPT(" ",LEN(A359))),LEN(A359)))), LARGE(INDEX(ISNUMBER(--MID((--TRIM(RIGHT(SUBSTITUTE(LEFT(A359,_xlfn.AGGREGATE(16,6,FIND({0,1,2,3,4,5,6,7,8,9},A359,ROW(INDIRECT("1:"&amp;LEN(A359)))),1))," ",REPT(" ",LEN(A359))),LEN(A359)))), ROW(INDIRECT("1:"&amp;LEN((--TRIM(RIGHT(SUBSTITUTE(LEFT(A359,_xlfn.AGGREGATE(16,6,FIND({0,1,2,3,4,5,6,7,8,9},A359,ROW(INDIRECT("1:"&amp;LEN(A359)))),1))," ",REPT(" ",LEN(A359))),LEN(A359))))))), 1)) * ROW(INDIRECT("1:"&amp;LEN((--TRIM(RIGHT(SUBSTITUTE(LEFT(A359,_xlfn.AGGREGATE(16,6,FIND({0,1,2,3,4,5,6,7,8,9},A359,ROW(INDIRECT("1:"&amp;LEN(A359)))),1))," ",REPT(" ",LEN(A359))),LEN(A359))))))), 0), ROW(INDIRECT("1:"&amp;LEN((--TRIM(RIGHT(SUBSTITUTE(LEFT(A359,_xlfn.AGGREGATE(16,6,FIND({0,1,2,3,4,5,6,7,8,9},A359,ROW(INDIRECT("1:"&amp;LEN(A359)))),1))," ",REPT(" ",LEN(A359))),LEN(A359))))))))+1, 1) * 10^ROW(INDIRECT("1:"&amp;LEN((--TRIM(RIGHT(SUBSTITUTE(LEFT(A359,_xlfn.AGGREGATE(16,6,FIND({0,1,2,3,4,5,6,7,8,9},A359,ROW(INDIRECT("1:"&amp;LEN(A359)))),1))," ",REPT(" ",LEN(A359))),LEN(A359)))))))/10))*1+1</f>
        <v>302 ,.., 1502</v>
      </c>
      <c r="B360" s="96"/>
      <c r="C360" s="52"/>
      <c r="D360" s="41"/>
      <c r="E360" s="41">
        <v>0</v>
      </c>
      <c r="F360" s="41">
        <f>D360*(($F$191)+1)+(IF(E360&lt;101,E360,IF(E360&lt;201,E360/2,IF(E360&lt;=301,E360/3,E360/4))))</f>
        <v>0</v>
      </c>
      <c r="G360" s="95" t="str">
        <f>G359</f>
        <v>3rd, 5th, 7th, 9th, 11th, 13th, 15th Floor</v>
      </c>
      <c r="H360" s="96"/>
      <c r="I360" s="35"/>
    </row>
    <row r="361" spans="1:14" s="36" customFormat="1" ht="15.75" hidden="1" customHeight="1" x14ac:dyDescent="0.3">
      <c r="A361" s="95" t="str">
        <f ca="1">(SUMPRODUCT(MID(0&amp;(LEFT(A360,SUM(LEN(A360)-LEN(SUBSTITUTE(A360,{"0","1","2"},""))))), LARGE(INDEX(ISNUMBER(--MID((LEFT(A360,SUM(LEN(A360)-LEN(SUBSTITUTE(A360,{"0","1","2"},""))))), ROW(INDIRECT("1:"&amp;LEN((LEFT(A360,SUM(LEN(A360)-LEN(SUBSTITUTE(A360,{"0","1","2"},"")))))))), 1)) * ROW(INDIRECT("1:"&amp;LEN((LEFT(A360,SUM(LEN(A360)-LEN(SUBSTITUTE(A360,{"0","1","2"},"")))))))), 0), ROW(INDIRECT("1:"&amp;LEN((LEFT(A360,SUM(LEN(A360)-LEN(SUBSTITUTE(A360,{"0","1","2"},"")))))))))+1, 1) * 10^ROW(INDIRECT("1:"&amp;LEN((LEFT(A360,SUM(LEN(A360)-LEN(SUBSTITUTE(A360,{"0","1","2"},""))))))))/10))*1+1&amp;""&amp;" ,.., "&amp;""&amp;(SUMPRODUCT(MID(0&amp;(--TRIM(RIGHT(SUBSTITUTE(LEFT(A360,_xlfn.AGGREGATE(16,6,FIND({0,1,2,3,4,5,6,7,8,9},A360,ROW(INDIRECT("1:"&amp;LEN(A360)))),1))," ",REPT(" ",LEN(A360))),LEN(A360)))), LARGE(INDEX(ISNUMBER(--MID((--TRIM(RIGHT(SUBSTITUTE(LEFT(A360,_xlfn.AGGREGATE(16,6,FIND({0,1,2,3,4,5,6,7,8,9},A360,ROW(INDIRECT("1:"&amp;LEN(A360)))),1))," ",REPT(" ",LEN(A360))),LEN(A360)))), ROW(INDIRECT("1:"&amp;LEN((--TRIM(RIGHT(SUBSTITUTE(LEFT(A360,_xlfn.AGGREGATE(16,6,FIND({0,1,2,3,4,5,6,7,8,9},A360,ROW(INDIRECT("1:"&amp;LEN(A360)))),1))," ",REPT(" ",LEN(A360))),LEN(A360))))))), 1)) * ROW(INDIRECT("1:"&amp;LEN((--TRIM(RIGHT(SUBSTITUTE(LEFT(A360,_xlfn.AGGREGATE(16,6,FIND({0,1,2,3,4,5,6,7,8,9},A360,ROW(INDIRECT("1:"&amp;LEN(A360)))),1))," ",REPT(" ",LEN(A360))),LEN(A360))))))), 0), ROW(INDIRECT("1:"&amp;LEN((--TRIM(RIGHT(SUBSTITUTE(LEFT(A360,_xlfn.AGGREGATE(16,6,FIND({0,1,2,3,4,5,6,7,8,9},A360,ROW(INDIRECT("1:"&amp;LEN(A360)))),1))," ",REPT(" ",LEN(A360))),LEN(A360))))))))+1, 1) * 10^ROW(INDIRECT("1:"&amp;LEN((--TRIM(RIGHT(SUBSTITUTE(LEFT(A360,_xlfn.AGGREGATE(16,6,FIND({0,1,2,3,4,5,6,7,8,9},A360,ROW(INDIRECT("1:"&amp;LEN(A360)))),1))," ",REPT(" ",LEN(A360))),LEN(A360)))))))/10))*1+1</f>
        <v>303 ,.., 1503</v>
      </c>
      <c r="B361" s="96"/>
      <c r="C361" s="52"/>
      <c r="D361" s="41"/>
      <c r="E361" s="41">
        <v>0</v>
      </c>
      <c r="F361" s="41">
        <f>D361*(($F$191)+1)+(IF(E361&lt;101,E361,IF(E361&lt;201,E361/2,IF(E361&lt;=301,E361/3,E361/4))))</f>
        <v>0</v>
      </c>
      <c r="G361" s="95" t="str">
        <f>G360</f>
        <v>3rd, 5th, 7th, 9th, 11th, 13th, 15th Floor</v>
      </c>
      <c r="H361" s="96"/>
      <c r="I361" s="35"/>
    </row>
    <row r="362" spans="1:14" s="36" customFormat="1" ht="15.75" hidden="1" customHeight="1" x14ac:dyDescent="0.3">
      <c r="A362" s="95" t="str">
        <f ca="1">(SUMPRODUCT(MID(0&amp;(LEFT(A361,SUM(LEN(A361)-LEN(SUBSTITUTE(A361,{"0","1","2"},""))))), LARGE(INDEX(ISNUMBER(--MID((LEFT(A361,SUM(LEN(A361)-LEN(SUBSTITUTE(A361,{"0","1","2"},""))))), ROW(INDIRECT("1:"&amp;LEN((LEFT(A361,SUM(LEN(A361)-LEN(SUBSTITUTE(A361,{"0","1","2"},"")))))))), 1)) * ROW(INDIRECT("1:"&amp;LEN((LEFT(A361,SUM(LEN(A361)-LEN(SUBSTITUTE(A361,{"0","1","2"},"")))))))), 0), ROW(INDIRECT("1:"&amp;LEN((LEFT(A361,SUM(LEN(A361)-LEN(SUBSTITUTE(A361,{"0","1","2"},"")))))))))+1, 1) * 10^ROW(INDIRECT("1:"&amp;LEN((LEFT(A361,SUM(LEN(A361)-LEN(SUBSTITUTE(A361,{"0","1","2"},""))))))))/10))*1+1&amp;""&amp;" ,.., "&amp;""&amp;(SUMPRODUCT(MID(0&amp;(--TRIM(RIGHT(SUBSTITUTE(LEFT(A361,_xlfn.AGGREGATE(16,6,FIND({0,1,2,3,4,5,6,7,8,9},A361,ROW(INDIRECT("1:"&amp;LEN(A361)))),1))," ",REPT(" ",LEN(A361))),LEN(A361)))), LARGE(INDEX(ISNUMBER(--MID((--TRIM(RIGHT(SUBSTITUTE(LEFT(A361,_xlfn.AGGREGATE(16,6,FIND({0,1,2,3,4,5,6,7,8,9},A361,ROW(INDIRECT("1:"&amp;LEN(A361)))),1))," ",REPT(" ",LEN(A361))),LEN(A361)))), ROW(INDIRECT("1:"&amp;LEN((--TRIM(RIGHT(SUBSTITUTE(LEFT(A361,_xlfn.AGGREGATE(16,6,FIND({0,1,2,3,4,5,6,7,8,9},A361,ROW(INDIRECT("1:"&amp;LEN(A361)))),1))," ",REPT(" ",LEN(A361))),LEN(A361))))))), 1)) * ROW(INDIRECT("1:"&amp;LEN((--TRIM(RIGHT(SUBSTITUTE(LEFT(A361,_xlfn.AGGREGATE(16,6,FIND({0,1,2,3,4,5,6,7,8,9},A361,ROW(INDIRECT("1:"&amp;LEN(A361)))),1))," ",REPT(" ",LEN(A361))),LEN(A361))))))), 0), ROW(INDIRECT("1:"&amp;LEN((--TRIM(RIGHT(SUBSTITUTE(LEFT(A361,_xlfn.AGGREGATE(16,6,FIND({0,1,2,3,4,5,6,7,8,9},A361,ROW(INDIRECT("1:"&amp;LEN(A361)))),1))," ",REPT(" ",LEN(A361))),LEN(A361))))))))+1, 1) * 10^ROW(INDIRECT("1:"&amp;LEN((--TRIM(RIGHT(SUBSTITUTE(LEFT(A361,_xlfn.AGGREGATE(16,6,FIND({0,1,2,3,4,5,6,7,8,9},A361,ROW(INDIRECT("1:"&amp;LEN(A361)))),1))," ",REPT(" ",LEN(A361))),LEN(A361)))))))/10))*1+1</f>
        <v>304 ,.., 1504</v>
      </c>
      <c r="B362" s="96"/>
      <c r="C362" s="52"/>
      <c r="D362" s="41"/>
      <c r="E362" s="41">
        <v>0</v>
      </c>
      <c r="F362" s="41">
        <f>D362*(($F$191)+1)+(IF(E362&lt;101,E362,IF(E362&lt;201,E362/2,IF(E362&lt;=301,E362/3,E362/4))))</f>
        <v>0</v>
      </c>
      <c r="G362" s="95" t="str">
        <f>G361</f>
        <v>3rd, 5th, 7th, 9th, 11th, 13th, 15th Floor</v>
      </c>
      <c r="H362" s="96"/>
      <c r="I362" s="35"/>
    </row>
    <row r="363" spans="1:14" s="36" customFormat="1" ht="15.75" hidden="1" customHeight="1" x14ac:dyDescent="0.3">
      <c r="A363" s="95" t="str">
        <f ca="1">(SUMPRODUCT(MID(0&amp;(LEFT(A362,SUM(LEN(A362)-LEN(SUBSTITUTE(A362,{"0","1","2"},""))))), LARGE(INDEX(ISNUMBER(--MID((LEFT(A362,SUM(LEN(A362)-LEN(SUBSTITUTE(A362,{"0","1","2"},""))))), ROW(INDIRECT("1:"&amp;LEN((LEFT(A362,SUM(LEN(A362)-LEN(SUBSTITUTE(A362,{"0","1","2"},"")))))))), 1)) * ROW(INDIRECT("1:"&amp;LEN((LEFT(A362,SUM(LEN(A362)-LEN(SUBSTITUTE(A362,{"0","1","2"},"")))))))), 0), ROW(INDIRECT("1:"&amp;LEN((LEFT(A362,SUM(LEN(A362)-LEN(SUBSTITUTE(A362,{"0","1","2"},"")))))))))+1, 1) * 10^ROW(INDIRECT("1:"&amp;LEN((LEFT(A362,SUM(LEN(A362)-LEN(SUBSTITUTE(A362,{"0","1","2"},""))))))))/10))*1+1&amp;""&amp;" ,.., "&amp;""&amp;(SUMPRODUCT(MID(0&amp;(--TRIM(RIGHT(SUBSTITUTE(LEFT(A362,_xlfn.AGGREGATE(16,6,FIND({0,1,2,3,4,5,6,7,8,9},A362,ROW(INDIRECT("1:"&amp;LEN(A362)))),1))," ",REPT(" ",LEN(A362))),LEN(A362)))), LARGE(INDEX(ISNUMBER(--MID((--TRIM(RIGHT(SUBSTITUTE(LEFT(A362,_xlfn.AGGREGATE(16,6,FIND({0,1,2,3,4,5,6,7,8,9},A362,ROW(INDIRECT("1:"&amp;LEN(A362)))),1))," ",REPT(" ",LEN(A362))),LEN(A362)))), ROW(INDIRECT("1:"&amp;LEN((--TRIM(RIGHT(SUBSTITUTE(LEFT(A362,_xlfn.AGGREGATE(16,6,FIND({0,1,2,3,4,5,6,7,8,9},A362,ROW(INDIRECT("1:"&amp;LEN(A362)))),1))," ",REPT(" ",LEN(A362))),LEN(A362))))))), 1)) * ROW(INDIRECT("1:"&amp;LEN((--TRIM(RIGHT(SUBSTITUTE(LEFT(A362,_xlfn.AGGREGATE(16,6,FIND({0,1,2,3,4,5,6,7,8,9},A362,ROW(INDIRECT("1:"&amp;LEN(A362)))),1))," ",REPT(" ",LEN(A362))),LEN(A362))))))), 0), ROW(INDIRECT("1:"&amp;LEN((--TRIM(RIGHT(SUBSTITUTE(LEFT(A362,_xlfn.AGGREGATE(16,6,FIND({0,1,2,3,4,5,6,7,8,9},A362,ROW(INDIRECT("1:"&amp;LEN(A362)))),1))," ",REPT(" ",LEN(A362))),LEN(A362))))))))+1, 1) * 10^ROW(INDIRECT("1:"&amp;LEN((--TRIM(RIGHT(SUBSTITUTE(LEFT(A362,_xlfn.AGGREGATE(16,6,FIND({0,1,2,3,4,5,6,7,8,9},A362,ROW(INDIRECT("1:"&amp;LEN(A362)))),1))," ",REPT(" ",LEN(A362))),LEN(A362)))))))/10))*1+1</f>
        <v>305 ,.., 1505</v>
      </c>
      <c r="B363" s="96"/>
      <c r="C363" s="52"/>
      <c r="D363" s="41"/>
      <c r="E363" s="41">
        <v>0</v>
      </c>
      <c r="F363" s="41">
        <f>D363*(($F$191)+1)+(IF(E363&lt;101,E363,IF(E363&lt;201,E363/2,IF(E363&lt;=301,E363/3,E363/4))))</f>
        <v>0</v>
      </c>
      <c r="G363" s="95" t="str">
        <f>G362</f>
        <v>3rd, 5th, 7th, 9th, 11th, 13th, 15th Floor</v>
      </c>
      <c r="H363" s="96"/>
      <c r="I363" s="35"/>
    </row>
    <row r="364" spans="1:14" s="36" customFormat="1" hidden="1" x14ac:dyDescent="0.3">
      <c r="A364" s="115" t="s">
        <v>151</v>
      </c>
      <c r="B364" s="116"/>
      <c r="C364" s="116"/>
      <c r="D364" s="116"/>
      <c r="E364" s="116"/>
      <c r="F364" s="116"/>
      <c r="G364" s="116"/>
      <c r="H364" s="117"/>
      <c r="I364" s="35"/>
    </row>
    <row r="365" spans="1:14" s="36" customFormat="1" hidden="1" x14ac:dyDescent="0.3">
      <c r="A365" s="95" t="str">
        <f ca="1">(SUMPRODUCT(MID(0&amp;(LEFT(A364,SUM(LEN(A364)-LEN(SUBSTITUTE(A364,{"0","1","2"},""))))), LARGE(INDEX(ISNUMBER(--MID((LEFT(A364,SUM(LEN(A364)-LEN(SUBSTITUTE(A364,{"0","1","2"},""))))), ROW(INDIRECT("1:"&amp;LEN((LEFT(A364,SUM(LEN(A364)-LEN(SUBSTITUTE(A364,{"0","1","2"},"")))))))), 1)) * ROW(INDIRECT("1:"&amp;LEN((LEFT(A364,SUM(LEN(A364)-LEN(SUBSTITUTE(A364,{"0","1","2"},"")))))))), 0), ROW(INDIRECT("1:"&amp;LEN((LEFT(A364,SUM(LEN(A364)-LEN(SUBSTITUTE(A364,{"0","1","2"},"")))))))))+1, 1) * 10^ROW(INDIRECT("1:"&amp;LEN((LEFT(A364,SUM(LEN(A364)-LEN(SUBSTITUTE(A364,{"0","1","2"},""))))))))/10))*100+1&amp;""&amp;" to "&amp;""&amp;(SUMPRODUCT(MID(0&amp;(--TRIM(RIGHT(SUBSTITUTE(LEFT(A364,_xlfn.AGGREGATE(16,6,FIND({0,1,2,3,4,5,6,7,8,9},A364,ROW(INDIRECT("1:"&amp;LEN(A364)))),1))," ",REPT(" ",LEN(A364))),LEN(A364)))), LARGE(INDEX(ISNUMBER(--MID((--TRIM(RIGHT(SUBSTITUTE(LEFT(A364,_xlfn.AGGREGATE(16,6,FIND({0,1,2,3,4,5,6,7,8,9},A364,ROW(INDIRECT("1:"&amp;LEN(A364)))),1))," ",REPT(" ",LEN(A364))),LEN(A364)))), ROW(INDIRECT("1:"&amp;LEN((--TRIM(RIGHT(SUBSTITUTE(LEFT(A364,_xlfn.AGGREGATE(16,6,FIND({0,1,2,3,4,5,6,7,8,9},A364,ROW(INDIRECT("1:"&amp;LEN(A364)))),1))," ",REPT(" ",LEN(A364))),LEN(A364))))))), 1)) * ROW(INDIRECT("1:"&amp;LEN((--TRIM(RIGHT(SUBSTITUTE(LEFT(A364,_xlfn.AGGREGATE(16,6,FIND({0,1,2,3,4,5,6,7,8,9},A364,ROW(INDIRECT("1:"&amp;LEN(A364)))),1))," ",REPT(" ",LEN(A364))),LEN(A364))))))), 0), ROW(INDIRECT("1:"&amp;LEN((--TRIM(RIGHT(SUBSTITUTE(LEFT(A364,_xlfn.AGGREGATE(16,6,FIND({0,1,2,3,4,5,6,7,8,9},A364,ROW(INDIRECT("1:"&amp;LEN(A364)))),1))," ",REPT(" ",LEN(A364))),LEN(A364))))))))+1, 1) * 10^ROW(INDIRECT("1:"&amp;LEN((--TRIM(RIGHT(SUBSTITUTE(LEFT(A364,_xlfn.AGGREGATE(16,6,FIND({0,1,2,3,4,5,6,7,8,9},A364,ROW(INDIRECT("1:"&amp;LEN(A364)))),1))," ",REPT(" ",LEN(A364))),LEN(A364)))))))/10))*100+1</f>
        <v>201 to 501</v>
      </c>
      <c r="B365" s="96"/>
      <c r="C365" s="52"/>
      <c r="D365" s="41"/>
      <c r="E365" s="41">
        <v>0</v>
      </c>
      <c r="F365" s="41">
        <f>D365*(($F$191)+1)+(IF(E365&lt;101,E365,IF(E365&lt;201,E365/2,IF(E365&lt;=301,E365/3,E365/4))))</f>
        <v>0</v>
      </c>
      <c r="G365" s="95" t="str">
        <f>A364</f>
        <v>2nd to 5th Floor</v>
      </c>
      <c r="H365" s="96"/>
      <c r="I365" s="35"/>
    </row>
    <row r="366" spans="1:14" s="36" customFormat="1" hidden="1" x14ac:dyDescent="0.3">
      <c r="A366" s="95" t="str">
        <f ca="1">(SUMPRODUCT(MID(0&amp;(LEFT(A365,SUM(LEN(A365)-LEN(SUBSTITUTE(A365,{"0","1","2"},""))))), LARGE(INDEX(ISNUMBER(--MID((LEFT(A365,SUM(LEN(A365)-LEN(SUBSTITUTE(A365,{"0","1","2"},""))))), ROW(INDIRECT("1:"&amp;LEN((LEFT(A365,SUM(LEN(A365)-LEN(SUBSTITUTE(A365,{"0","1","2"},"")))))))), 1)) * ROW(INDIRECT("1:"&amp;LEN((LEFT(A365,SUM(LEN(A365)-LEN(SUBSTITUTE(A365,{"0","1","2"},"")))))))), 0), ROW(INDIRECT("1:"&amp;LEN((LEFT(A365,SUM(LEN(A365)-LEN(SUBSTITUTE(A365,{"0","1","2"},"")))))))))+1, 1) * 10^ROW(INDIRECT("1:"&amp;LEN((LEFT(A365,SUM(LEN(A365)-LEN(SUBSTITUTE(A365,{"0","1","2"},""))))))))/10))*1+1&amp;""&amp;" to "&amp;""&amp;(SUMPRODUCT(MID(0&amp;(--TRIM(RIGHT(SUBSTITUTE(LEFT(A365,_xlfn.AGGREGATE(16,6,FIND({0,1,2,3,4,5,6,7,8,9},A365,ROW(INDIRECT("1:"&amp;LEN(A365)))),1))," ",REPT(" ",LEN(A365))),LEN(A365)))), LARGE(INDEX(ISNUMBER(--MID((--TRIM(RIGHT(SUBSTITUTE(LEFT(A365,_xlfn.AGGREGATE(16,6,FIND({0,1,2,3,4,5,6,7,8,9},A365,ROW(INDIRECT("1:"&amp;LEN(A365)))),1))," ",REPT(" ",LEN(A365))),LEN(A365)))), ROW(INDIRECT("1:"&amp;LEN((--TRIM(RIGHT(SUBSTITUTE(LEFT(A365,_xlfn.AGGREGATE(16,6,FIND({0,1,2,3,4,5,6,7,8,9},A365,ROW(INDIRECT("1:"&amp;LEN(A365)))),1))," ",REPT(" ",LEN(A365))),LEN(A365))))))), 1)) * ROW(INDIRECT("1:"&amp;LEN((--TRIM(RIGHT(SUBSTITUTE(LEFT(A365,_xlfn.AGGREGATE(16,6,FIND({0,1,2,3,4,5,6,7,8,9},A365,ROW(INDIRECT("1:"&amp;LEN(A365)))),1))," ",REPT(" ",LEN(A365))),LEN(A365))))))), 0), ROW(INDIRECT("1:"&amp;LEN((--TRIM(RIGHT(SUBSTITUTE(LEFT(A365,_xlfn.AGGREGATE(16,6,FIND({0,1,2,3,4,5,6,7,8,9},A365,ROW(INDIRECT("1:"&amp;LEN(A365)))),1))," ",REPT(" ",LEN(A365))),LEN(A365))))))))+1, 1) * 10^ROW(INDIRECT("1:"&amp;LEN((--TRIM(RIGHT(SUBSTITUTE(LEFT(A365,_xlfn.AGGREGATE(16,6,FIND({0,1,2,3,4,5,6,7,8,9},A365,ROW(INDIRECT("1:"&amp;LEN(A365)))),1))," ",REPT(" ",LEN(A365))),LEN(A365)))))))/10))*1+1</f>
        <v>202 to 502</v>
      </c>
      <c r="B366" s="96"/>
      <c r="C366" s="52"/>
      <c r="D366" s="41"/>
      <c r="E366" s="41">
        <v>0</v>
      </c>
      <c r="F366" s="41">
        <f>D366*(($F$191)+1)+(IF(E366&lt;101,E366,IF(E366&lt;201,E366/2,IF(E366&lt;=301,E366/3,E366/4))))</f>
        <v>0</v>
      </c>
      <c r="G366" s="95" t="str">
        <f>G365</f>
        <v>2nd to 5th Floor</v>
      </c>
      <c r="H366" s="96"/>
      <c r="I366" s="35"/>
    </row>
    <row r="367" spans="1:14" s="36" customFormat="1" hidden="1" x14ac:dyDescent="0.3">
      <c r="A367" s="95" t="str">
        <f ca="1">(SUMPRODUCT(MID(0&amp;(LEFT(A366,SUM(LEN(A366)-LEN(SUBSTITUTE(A366,{"0","1","2"},""))))), LARGE(INDEX(ISNUMBER(--MID((LEFT(A366,SUM(LEN(A366)-LEN(SUBSTITUTE(A366,{"0","1","2"},""))))), ROW(INDIRECT("1:"&amp;LEN((LEFT(A366,SUM(LEN(A366)-LEN(SUBSTITUTE(A366,{"0","1","2"},"")))))))), 1)) * ROW(INDIRECT("1:"&amp;LEN((LEFT(A366,SUM(LEN(A366)-LEN(SUBSTITUTE(A366,{"0","1","2"},"")))))))), 0), ROW(INDIRECT("1:"&amp;LEN((LEFT(A366,SUM(LEN(A366)-LEN(SUBSTITUTE(A366,{"0","1","2"},"")))))))))+1, 1) * 10^ROW(INDIRECT("1:"&amp;LEN((LEFT(A366,SUM(LEN(A366)-LEN(SUBSTITUTE(A366,{"0","1","2"},""))))))))/10))*1+1&amp;""&amp;" to "&amp;""&amp;(SUMPRODUCT(MID(0&amp;(--TRIM(RIGHT(SUBSTITUTE(LEFT(A366,_xlfn.AGGREGATE(16,6,FIND({0,1,2,3,4,5,6,7,8,9},A366,ROW(INDIRECT("1:"&amp;LEN(A366)))),1))," ",REPT(" ",LEN(A366))),LEN(A366)))), LARGE(INDEX(ISNUMBER(--MID((--TRIM(RIGHT(SUBSTITUTE(LEFT(A366,_xlfn.AGGREGATE(16,6,FIND({0,1,2,3,4,5,6,7,8,9},A366,ROW(INDIRECT("1:"&amp;LEN(A366)))),1))," ",REPT(" ",LEN(A366))),LEN(A366)))), ROW(INDIRECT("1:"&amp;LEN((--TRIM(RIGHT(SUBSTITUTE(LEFT(A366,_xlfn.AGGREGATE(16,6,FIND({0,1,2,3,4,5,6,7,8,9},A366,ROW(INDIRECT("1:"&amp;LEN(A366)))),1))," ",REPT(" ",LEN(A366))),LEN(A366))))))), 1)) * ROW(INDIRECT("1:"&amp;LEN((--TRIM(RIGHT(SUBSTITUTE(LEFT(A366,_xlfn.AGGREGATE(16,6,FIND({0,1,2,3,4,5,6,7,8,9},A366,ROW(INDIRECT("1:"&amp;LEN(A366)))),1))," ",REPT(" ",LEN(A366))),LEN(A366))))))), 0), ROW(INDIRECT("1:"&amp;LEN((--TRIM(RIGHT(SUBSTITUTE(LEFT(A366,_xlfn.AGGREGATE(16,6,FIND({0,1,2,3,4,5,6,7,8,9},A366,ROW(INDIRECT("1:"&amp;LEN(A366)))),1))," ",REPT(" ",LEN(A366))),LEN(A366))))))))+1, 1) * 10^ROW(INDIRECT("1:"&amp;LEN((--TRIM(RIGHT(SUBSTITUTE(LEFT(A366,_xlfn.AGGREGATE(16,6,FIND({0,1,2,3,4,5,6,7,8,9},A366,ROW(INDIRECT("1:"&amp;LEN(A366)))),1))," ",REPT(" ",LEN(A366))),LEN(A366)))))))/10))*1+1</f>
        <v>203 to 503</v>
      </c>
      <c r="B367" s="96"/>
      <c r="C367" s="52"/>
      <c r="D367" s="41"/>
      <c r="E367" s="41">
        <v>0</v>
      </c>
      <c r="F367" s="41">
        <f>D367*(($F$191)+1)+(IF(E367&lt;101,E367,IF(E367&lt;201,E367/2,IF(E367&lt;=301,E367/3,E367/4))))</f>
        <v>0</v>
      </c>
      <c r="G367" s="95" t="str">
        <f>G366</f>
        <v>2nd to 5th Floor</v>
      </c>
      <c r="H367" s="96"/>
      <c r="I367" s="35"/>
    </row>
    <row r="368" spans="1:14" s="36" customFormat="1" hidden="1" x14ac:dyDescent="0.3">
      <c r="A368" s="95" t="str">
        <f ca="1">(SUMPRODUCT(MID(0&amp;(LEFT(A367,SUM(LEN(A367)-LEN(SUBSTITUTE(A367,{"0","1","2"},""))))), LARGE(INDEX(ISNUMBER(--MID((LEFT(A367,SUM(LEN(A367)-LEN(SUBSTITUTE(A367,{"0","1","2"},""))))), ROW(INDIRECT("1:"&amp;LEN((LEFT(A367,SUM(LEN(A367)-LEN(SUBSTITUTE(A367,{"0","1","2"},"")))))))), 1)) * ROW(INDIRECT("1:"&amp;LEN((LEFT(A367,SUM(LEN(A367)-LEN(SUBSTITUTE(A367,{"0","1","2"},"")))))))), 0), ROW(INDIRECT("1:"&amp;LEN((LEFT(A367,SUM(LEN(A367)-LEN(SUBSTITUTE(A367,{"0","1","2"},"")))))))))+1, 1) * 10^ROW(INDIRECT("1:"&amp;LEN((LEFT(A367,SUM(LEN(A367)-LEN(SUBSTITUTE(A367,{"0","1","2"},""))))))))/10))*1+1&amp;""&amp;" to "&amp;""&amp;(SUMPRODUCT(MID(0&amp;(--TRIM(RIGHT(SUBSTITUTE(LEFT(A367,_xlfn.AGGREGATE(16,6,FIND({0,1,2,3,4,5,6,7,8,9},A367,ROW(INDIRECT("1:"&amp;LEN(A367)))),1))," ",REPT(" ",LEN(A367))),LEN(A367)))), LARGE(INDEX(ISNUMBER(--MID((--TRIM(RIGHT(SUBSTITUTE(LEFT(A367,_xlfn.AGGREGATE(16,6,FIND({0,1,2,3,4,5,6,7,8,9},A367,ROW(INDIRECT("1:"&amp;LEN(A367)))),1))," ",REPT(" ",LEN(A367))),LEN(A367)))), ROW(INDIRECT("1:"&amp;LEN((--TRIM(RIGHT(SUBSTITUTE(LEFT(A367,_xlfn.AGGREGATE(16,6,FIND({0,1,2,3,4,5,6,7,8,9},A367,ROW(INDIRECT("1:"&amp;LEN(A367)))),1))," ",REPT(" ",LEN(A367))),LEN(A367))))))), 1)) * ROW(INDIRECT("1:"&amp;LEN((--TRIM(RIGHT(SUBSTITUTE(LEFT(A367,_xlfn.AGGREGATE(16,6,FIND({0,1,2,3,4,5,6,7,8,9},A367,ROW(INDIRECT("1:"&amp;LEN(A367)))),1))," ",REPT(" ",LEN(A367))),LEN(A367))))))), 0), ROW(INDIRECT("1:"&amp;LEN((--TRIM(RIGHT(SUBSTITUTE(LEFT(A367,_xlfn.AGGREGATE(16,6,FIND({0,1,2,3,4,5,6,7,8,9},A367,ROW(INDIRECT("1:"&amp;LEN(A367)))),1))," ",REPT(" ",LEN(A367))),LEN(A367))))))))+1, 1) * 10^ROW(INDIRECT("1:"&amp;LEN((--TRIM(RIGHT(SUBSTITUTE(LEFT(A367,_xlfn.AGGREGATE(16,6,FIND({0,1,2,3,4,5,6,7,8,9},A367,ROW(INDIRECT("1:"&amp;LEN(A367)))),1))," ",REPT(" ",LEN(A367))),LEN(A367)))))))/10))*1+1</f>
        <v>204 to 504</v>
      </c>
      <c r="B368" s="96"/>
      <c r="C368" s="52"/>
      <c r="D368" s="41"/>
      <c r="E368" s="41">
        <v>0</v>
      </c>
      <c r="F368" s="41">
        <f>D368*(($F$191)+1)+(IF(E368&lt;101,E368,IF(E368&lt;201,E368/2,IF(E368&lt;=301,E368/3,E368/4))))</f>
        <v>0</v>
      </c>
      <c r="G368" s="95" t="str">
        <f>G367</f>
        <v>2nd to 5th Floor</v>
      </c>
      <c r="H368" s="96"/>
      <c r="I368" s="35"/>
    </row>
    <row r="369" spans="1:9" s="36" customFormat="1" hidden="1" x14ac:dyDescent="0.3">
      <c r="A369" s="95" t="str">
        <f ca="1">(SUMPRODUCT(MID(0&amp;(LEFT(A368,SUM(LEN(A368)-LEN(SUBSTITUTE(A368,{"0","1","2"},""))))), LARGE(INDEX(ISNUMBER(--MID((LEFT(A368,SUM(LEN(A368)-LEN(SUBSTITUTE(A368,{"0","1","2"},""))))), ROW(INDIRECT("1:"&amp;LEN((LEFT(A368,SUM(LEN(A368)-LEN(SUBSTITUTE(A368,{"0","1","2"},"")))))))), 1)) * ROW(INDIRECT("1:"&amp;LEN((LEFT(A368,SUM(LEN(A368)-LEN(SUBSTITUTE(A368,{"0","1","2"},"")))))))), 0), ROW(INDIRECT("1:"&amp;LEN((LEFT(A368,SUM(LEN(A368)-LEN(SUBSTITUTE(A368,{"0","1","2"},"")))))))))+1, 1) * 10^ROW(INDIRECT("1:"&amp;LEN((LEFT(A368,SUM(LEN(A368)-LEN(SUBSTITUTE(A368,{"0","1","2"},""))))))))/10))*1+1&amp;""&amp;" to "&amp;""&amp;(SUMPRODUCT(MID(0&amp;(--TRIM(RIGHT(SUBSTITUTE(LEFT(A368,_xlfn.AGGREGATE(16,6,FIND({0,1,2,3,4,5,6,7,8,9},A368,ROW(INDIRECT("1:"&amp;LEN(A368)))),1))," ",REPT(" ",LEN(A368))),LEN(A368)))), LARGE(INDEX(ISNUMBER(--MID((--TRIM(RIGHT(SUBSTITUTE(LEFT(A368,_xlfn.AGGREGATE(16,6,FIND({0,1,2,3,4,5,6,7,8,9},A368,ROW(INDIRECT("1:"&amp;LEN(A368)))),1))," ",REPT(" ",LEN(A368))),LEN(A368)))), ROW(INDIRECT("1:"&amp;LEN((--TRIM(RIGHT(SUBSTITUTE(LEFT(A368,_xlfn.AGGREGATE(16,6,FIND({0,1,2,3,4,5,6,7,8,9},A368,ROW(INDIRECT("1:"&amp;LEN(A368)))),1))," ",REPT(" ",LEN(A368))),LEN(A368))))))), 1)) * ROW(INDIRECT("1:"&amp;LEN((--TRIM(RIGHT(SUBSTITUTE(LEFT(A368,_xlfn.AGGREGATE(16,6,FIND({0,1,2,3,4,5,6,7,8,9},A368,ROW(INDIRECT("1:"&amp;LEN(A368)))),1))," ",REPT(" ",LEN(A368))),LEN(A368))))))), 0), ROW(INDIRECT("1:"&amp;LEN((--TRIM(RIGHT(SUBSTITUTE(LEFT(A368,_xlfn.AGGREGATE(16,6,FIND({0,1,2,3,4,5,6,7,8,9},A368,ROW(INDIRECT("1:"&amp;LEN(A368)))),1))," ",REPT(" ",LEN(A368))),LEN(A368))))))))+1, 1) * 10^ROW(INDIRECT("1:"&amp;LEN((--TRIM(RIGHT(SUBSTITUTE(LEFT(A368,_xlfn.AGGREGATE(16,6,FIND({0,1,2,3,4,5,6,7,8,9},A368,ROW(INDIRECT("1:"&amp;LEN(A368)))),1))," ",REPT(" ",LEN(A368))),LEN(A368)))))))/10))*1+1</f>
        <v>205 to 505</v>
      </c>
      <c r="B369" s="96"/>
      <c r="C369" s="52"/>
      <c r="D369" s="41"/>
      <c r="E369" s="41">
        <v>0</v>
      </c>
      <c r="F369" s="41">
        <f>D369*(($F$191)+1)+(IF(E369&lt;101,E369,IF(E369&lt;201,E369/2,IF(E369&lt;=301,E369/3,E369/4))))</f>
        <v>0</v>
      </c>
      <c r="G369" s="95" t="str">
        <f>G368</f>
        <v>2nd to 5th Floor</v>
      </c>
      <c r="H369" s="96"/>
      <c r="I369" s="35"/>
    </row>
    <row r="370" spans="1:9" s="36" customFormat="1" hidden="1" x14ac:dyDescent="0.3">
      <c r="A370" s="115" t="s">
        <v>152</v>
      </c>
      <c r="B370" s="116"/>
      <c r="C370" s="116"/>
      <c r="D370" s="116"/>
      <c r="E370" s="116"/>
      <c r="F370" s="116"/>
      <c r="G370" s="116"/>
      <c r="H370" s="117"/>
      <c r="I370" s="35"/>
    </row>
    <row r="371" spans="1:9" s="36" customFormat="1" hidden="1" x14ac:dyDescent="0.3">
      <c r="A371" s="95" t="str">
        <f ca="1">(SUMPRODUCT(MID(0&amp;(LEFT(A370,SUM(LEN(A370)-LEN(SUBSTITUTE(A370,{"0","1","2"},""))))), LARGE(INDEX(ISNUMBER(--MID((LEFT(A370,SUM(LEN(A370)-LEN(SUBSTITUTE(A370,{"0","1","2"},""))))), ROW(INDIRECT("1:"&amp;LEN((LEFT(A370,SUM(LEN(A370)-LEN(SUBSTITUTE(A370,{"0","1","2"},"")))))))), 1)) * ROW(INDIRECT("1:"&amp;LEN((LEFT(A370,SUM(LEN(A370)-LEN(SUBSTITUTE(A370,{"0","1","2"},"")))))))), 0), ROW(INDIRECT("1:"&amp;LEN((LEFT(A370,SUM(LEN(A370)-LEN(SUBSTITUTE(A370,{"0","1","2"},"")))))))))+1, 1) * 10^ROW(INDIRECT("1:"&amp;LEN((LEFT(A370,SUM(LEN(A370)-LEN(SUBSTITUTE(A370,{"0","1","2"},""))))))))/10))*100+1&amp;""&amp;" &amp; "&amp;""&amp;(SUMPRODUCT(MID(0&amp;(--TRIM(RIGHT(SUBSTITUTE(LEFT(A370,_xlfn.AGGREGATE(16,6,FIND({0,1,2,3,4,5,6,7,8,9},A370,ROW(INDIRECT("1:"&amp;LEN(A370)))),1))," ",REPT(" ",LEN(A370))),LEN(A370)))), LARGE(INDEX(ISNUMBER(--MID((--TRIM(RIGHT(SUBSTITUTE(LEFT(A370,_xlfn.AGGREGATE(16,6,FIND({0,1,2,3,4,5,6,7,8,9},A370,ROW(INDIRECT("1:"&amp;LEN(A370)))),1))," ",REPT(" ",LEN(A370))),LEN(A370)))), ROW(INDIRECT("1:"&amp;LEN((--TRIM(RIGHT(SUBSTITUTE(LEFT(A370,_xlfn.AGGREGATE(16,6,FIND({0,1,2,3,4,5,6,7,8,9},A370,ROW(INDIRECT("1:"&amp;LEN(A370)))),1))," ",REPT(" ",LEN(A370))),LEN(A370))))))), 1)) * ROW(INDIRECT("1:"&amp;LEN((--TRIM(RIGHT(SUBSTITUTE(LEFT(A370,_xlfn.AGGREGATE(16,6,FIND({0,1,2,3,4,5,6,7,8,9},A370,ROW(INDIRECT("1:"&amp;LEN(A370)))),1))," ",REPT(" ",LEN(A370))),LEN(A370))))))), 0), ROW(INDIRECT("1:"&amp;LEN((--TRIM(RIGHT(SUBSTITUTE(LEFT(A370,_xlfn.AGGREGATE(16,6,FIND({0,1,2,3,4,5,6,7,8,9},A370,ROW(INDIRECT("1:"&amp;LEN(A370)))),1))," ",REPT(" ",LEN(A370))),LEN(A370))))))))+1, 1) * 10^ROW(INDIRECT("1:"&amp;LEN((--TRIM(RIGHT(SUBSTITUTE(LEFT(A370,_xlfn.AGGREGATE(16,6,FIND({0,1,2,3,4,5,6,7,8,9},A370,ROW(INDIRECT("1:"&amp;LEN(A370)))),1))," ",REPT(" ",LEN(A370))),LEN(A370)))))))/10))*100+1</f>
        <v>201 &amp; 501</v>
      </c>
      <c r="B371" s="96"/>
      <c r="C371" s="52"/>
      <c r="D371" s="41"/>
      <c r="E371" s="41">
        <v>0</v>
      </c>
      <c r="F371" s="41">
        <f>D371*(($F$191)+1)+(IF(E371&lt;101,E371,IF(E371&lt;201,E371/2,IF(E371&lt;=301,E371/3,E371/4))))</f>
        <v>0</v>
      </c>
      <c r="G371" s="95" t="str">
        <f>A370</f>
        <v>2nd &amp; 5th Floor</v>
      </c>
      <c r="H371" s="96"/>
      <c r="I371" s="35"/>
    </row>
    <row r="372" spans="1:9" s="36" customFormat="1" hidden="1" x14ac:dyDescent="0.3">
      <c r="A372" s="95" t="str">
        <f ca="1">(SUMPRODUCT(MID(0&amp;(LEFT(A371,SUM(LEN(A371)-LEN(SUBSTITUTE(A371,{"0","1","2"},""))))), LARGE(INDEX(ISNUMBER(--MID((LEFT(A371,SUM(LEN(A371)-LEN(SUBSTITUTE(A371,{"0","1","2"},""))))), ROW(INDIRECT("1:"&amp;LEN((LEFT(A371,SUM(LEN(A371)-LEN(SUBSTITUTE(A371,{"0","1","2"},"")))))))), 1)) * ROW(INDIRECT("1:"&amp;LEN((LEFT(A371,SUM(LEN(A371)-LEN(SUBSTITUTE(A371,{"0","1","2"},"")))))))), 0), ROW(INDIRECT("1:"&amp;LEN((LEFT(A371,SUM(LEN(A371)-LEN(SUBSTITUTE(A371,{"0","1","2"},"")))))))))+1, 1) * 10^ROW(INDIRECT("1:"&amp;LEN((LEFT(A371,SUM(LEN(A371)-LEN(SUBSTITUTE(A371,{"0","1","2"},""))))))))/10))*1+1&amp;""&amp;" &amp; "&amp;""&amp;(SUMPRODUCT(MID(0&amp;(--TRIM(RIGHT(SUBSTITUTE(LEFT(A371,_xlfn.AGGREGATE(16,6,FIND({0,1,2,3,4,5,6,7,8,9},A371,ROW(INDIRECT("1:"&amp;LEN(A371)))),1))," ",REPT(" ",LEN(A371))),LEN(A371)))), LARGE(INDEX(ISNUMBER(--MID((--TRIM(RIGHT(SUBSTITUTE(LEFT(A371,_xlfn.AGGREGATE(16,6,FIND({0,1,2,3,4,5,6,7,8,9},A371,ROW(INDIRECT("1:"&amp;LEN(A371)))),1))," ",REPT(" ",LEN(A371))),LEN(A371)))), ROW(INDIRECT("1:"&amp;LEN((--TRIM(RIGHT(SUBSTITUTE(LEFT(A371,_xlfn.AGGREGATE(16,6,FIND({0,1,2,3,4,5,6,7,8,9},A371,ROW(INDIRECT("1:"&amp;LEN(A371)))),1))," ",REPT(" ",LEN(A371))),LEN(A371))))))), 1)) * ROW(INDIRECT("1:"&amp;LEN((--TRIM(RIGHT(SUBSTITUTE(LEFT(A371,_xlfn.AGGREGATE(16,6,FIND({0,1,2,3,4,5,6,7,8,9},A371,ROW(INDIRECT("1:"&amp;LEN(A371)))),1))," ",REPT(" ",LEN(A371))),LEN(A371))))))), 0), ROW(INDIRECT("1:"&amp;LEN((--TRIM(RIGHT(SUBSTITUTE(LEFT(A371,_xlfn.AGGREGATE(16,6,FIND({0,1,2,3,4,5,6,7,8,9},A371,ROW(INDIRECT("1:"&amp;LEN(A371)))),1))," ",REPT(" ",LEN(A371))),LEN(A371))))))))+1, 1) * 10^ROW(INDIRECT("1:"&amp;LEN((--TRIM(RIGHT(SUBSTITUTE(LEFT(A371,_xlfn.AGGREGATE(16,6,FIND({0,1,2,3,4,5,6,7,8,9},A371,ROW(INDIRECT("1:"&amp;LEN(A371)))),1))," ",REPT(" ",LEN(A371))),LEN(A371)))))))/10))*1+1</f>
        <v>202 &amp; 502</v>
      </c>
      <c r="B372" s="96"/>
      <c r="C372" s="52"/>
      <c r="D372" s="41"/>
      <c r="E372" s="41">
        <v>0</v>
      </c>
      <c r="F372" s="41">
        <f>D372*(($F$191)+1)+(IF(E372&lt;101,E372,IF(E372&lt;201,E372/2,IF(E372&lt;=301,E372/3,E372/4))))</f>
        <v>0</v>
      </c>
      <c r="G372" s="95" t="str">
        <f t="shared" ref="G372:G375" si="66">G371</f>
        <v>2nd &amp; 5th Floor</v>
      </c>
      <c r="H372" s="96"/>
      <c r="I372" s="35"/>
    </row>
    <row r="373" spans="1:9" s="36" customFormat="1" hidden="1" x14ac:dyDescent="0.3">
      <c r="A373" s="95" t="str">
        <f ca="1">(SUMPRODUCT(MID(0&amp;(LEFT(A372,SUM(LEN(A372)-LEN(SUBSTITUTE(A372,{"0","1","2"},""))))), LARGE(INDEX(ISNUMBER(--MID((LEFT(A372,SUM(LEN(A372)-LEN(SUBSTITUTE(A372,{"0","1","2"},""))))), ROW(INDIRECT("1:"&amp;LEN((LEFT(A372,SUM(LEN(A372)-LEN(SUBSTITUTE(A372,{"0","1","2"},"")))))))), 1)) * ROW(INDIRECT("1:"&amp;LEN((LEFT(A372,SUM(LEN(A372)-LEN(SUBSTITUTE(A372,{"0","1","2"},"")))))))), 0), ROW(INDIRECT("1:"&amp;LEN((LEFT(A372,SUM(LEN(A372)-LEN(SUBSTITUTE(A372,{"0","1","2"},"")))))))))+1, 1) * 10^ROW(INDIRECT("1:"&amp;LEN((LEFT(A372,SUM(LEN(A372)-LEN(SUBSTITUTE(A372,{"0","1","2"},""))))))))/10))*1+1&amp;""&amp;" &amp; "&amp;""&amp;(SUMPRODUCT(MID(0&amp;(--TRIM(RIGHT(SUBSTITUTE(LEFT(A372,_xlfn.AGGREGATE(16,6,FIND({0,1,2,3,4,5,6,7,8,9},A372,ROW(INDIRECT("1:"&amp;LEN(A372)))),1))," ",REPT(" ",LEN(A372))),LEN(A372)))), LARGE(INDEX(ISNUMBER(--MID((--TRIM(RIGHT(SUBSTITUTE(LEFT(A372,_xlfn.AGGREGATE(16,6,FIND({0,1,2,3,4,5,6,7,8,9},A372,ROW(INDIRECT("1:"&amp;LEN(A372)))),1))," ",REPT(" ",LEN(A372))),LEN(A372)))), ROW(INDIRECT("1:"&amp;LEN((--TRIM(RIGHT(SUBSTITUTE(LEFT(A372,_xlfn.AGGREGATE(16,6,FIND({0,1,2,3,4,5,6,7,8,9},A372,ROW(INDIRECT("1:"&amp;LEN(A372)))),1))," ",REPT(" ",LEN(A372))),LEN(A372))))))), 1)) * ROW(INDIRECT("1:"&amp;LEN((--TRIM(RIGHT(SUBSTITUTE(LEFT(A372,_xlfn.AGGREGATE(16,6,FIND({0,1,2,3,4,5,6,7,8,9},A372,ROW(INDIRECT("1:"&amp;LEN(A372)))),1))," ",REPT(" ",LEN(A372))),LEN(A372))))))), 0), ROW(INDIRECT("1:"&amp;LEN((--TRIM(RIGHT(SUBSTITUTE(LEFT(A372,_xlfn.AGGREGATE(16,6,FIND({0,1,2,3,4,5,6,7,8,9},A372,ROW(INDIRECT("1:"&amp;LEN(A372)))),1))," ",REPT(" ",LEN(A372))),LEN(A372))))))))+1, 1) * 10^ROW(INDIRECT("1:"&amp;LEN((--TRIM(RIGHT(SUBSTITUTE(LEFT(A372,_xlfn.AGGREGATE(16,6,FIND({0,1,2,3,4,5,6,7,8,9},A372,ROW(INDIRECT("1:"&amp;LEN(A372)))),1))," ",REPT(" ",LEN(A372))),LEN(A372)))))))/10))*1+1</f>
        <v>203 &amp; 503</v>
      </c>
      <c r="B373" s="96"/>
      <c r="C373" s="52"/>
      <c r="D373" s="41"/>
      <c r="E373" s="41">
        <v>0</v>
      </c>
      <c r="F373" s="41">
        <f>D373*(($F$191)+1)+(IF(E373&lt;101,E373,IF(E373&lt;201,E373/2,IF(E373&lt;=301,E373/3,E373/4))))</f>
        <v>0</v>
      </c>
      <c r="G373" s="95" t="str">
        <f t="shared" si="66"/>
        <v>2nd &amp; 5th Floor</v>
      </c>
      <c r="H373" s="96"/>
      <c r="I373" s="35"/>
    </row>
    <row r="374" spans="1:9" s="36" customFormat="1" hidden="1" x14ac:dyDescent="0.3">
      <c r="A374" s="95" t="str">
        <f ca="1">(SUMPRODUCT(MID(0&amp;(LEFT(A373,SUM(LEN(A373)-LEN(SUBSTITUTE(A373,{"0","1","2"},""))))), LARGE(INDEX(ISNUMBER(--MID((LEFT(A373,SUM(LEN(A373)-LEN(SUBSTITUTE(A373,{"0","1","2"},""))))), ROW(INDIRECT("1:"&amp;LEN((LEFT(A373,SUM(LEN(A373)-LEN(SUBSTITUTE(A373,{"0","1","2"},"")))))))), 1)) * ROW(INDIRECT("1:"&amp;LEN((LEFT(A373,SUM(LEN(A373)-LEN(SUBSTITUTE(A373,{"0","1","2"},"")))))))), 0), ROW(INDIRECT("1:"&amp;LEN((LEFT(A373,SUM(LEN(A373)-LEN(SUBSTITUTE(A373,{"0","1","2"},"")))))))))+1, 1) * 10^ROW(INDIRECT("1:"&amp;LEN((LEFT(A373,SUM(LEN(A373)-LEN(SUBSTITUTE(A373,{"0","1","2"},""))))))))/10))*1+1&amp;""&amp;" &amp; "&amp;""&amp;(SUMPRODUCT(MID(0&amp;(--TRIM(RIGHT(SUBSTITUTE(LEFT(A373,_xlfn.AGGREGATE(16,6,FIND({0,1,2,3,4,5,6,7,8,9},A373,ROW(INDIRECT("1:"&amp;LEN(A373)))),1))," ",REPT(" ",LEN(A373))),LEN(A373)))), LARGE(INDEX(ISNUMBER(--MID((--TRIM(RIGHT(SUBSTITUTE(LEFT(A373,_xlfn.AGGREGATE(16,6,FIND({0,1,2,3,4,5,6,7,8,9},A373,ROW(INDIRECT("1:"&amp;LEN(A373)))),1))," ",REPT(" ",LEN(A373))),LEN(A373)))), ROW(INDIRECT("1:"&amp;LEN((--TRIM(RIGHT(SUBSTITUTE(LEFT(A373,_xlfn.AGGREGATE(16,6,FIND({0,1,2,3,4,5,6,7,8,9},A373,ROW(INDIRECT("1:"&amp;LEN(A373)))),1))," ",REPT(" ",LEN(A373))),LEN(A373))))))), 1)) * ROW(INDIRECT("1:"&amp;LEN((--TRIM(RIGHT(SUBSTITUTE(LEFT(A373,_xlfn.AGGREGATE(16,6,FIND({0,1,2,3,4,5,6,7,8,9},A373,ROW(INDIRECT("1:"&amp;LEN(A373)))),1))," ",REPT(" ",LEN(A373))),LEN(A373))))))), 0), ROW(INDIRECT("1:"&amp;LEN((--TRIM(RIGHT(SUBSTITUTE(LEFT(A373,_xlfn.AGGREGATE(16,6,FIND({0,1,2,3,4,5,6,7,8,9},A373,ROW(INDIRECT("1:"&amp;LEN(A373)))),1))," ",REPT(" ",LEN(A373))),LEN(A373))))))))+1, 1) * 10^ROW(INDIRECT("1:"&amp;LEN((--TRIM(RIGHT(SUBSTITUTE(LEFT(A373,_xlfn.AGGREGATE(16,6,FIND({0,1,2,3,4,5,6,7,8,9},A373,ROW(INDIRECT("1:"&amp;LEN(A373)))),1))," ",REPT(" ",LEN(A373))),LEN(A373)))))))/10))*1+1</f>
        <v>204 &amp; 504</v>
      </c>
      <c r="B374" s="96"/>
      <c r="C374" s="52"/>
      <c r="D374" s="41"/>
      <c r="E374" s="41">
        <v>0</v>
      </c>
      <c r="F374" s="41">
        <f>D374*(($F$191)+1)+(IF(E374&lt;101,E374,IF(E374&lt;201,E374/2,IF(E374&lt;=301,E374/3,E374/4))))</f>
        <v>0</v>
      </c>
      <c r="G374" s="95" t="str">
        <f t="shared" si="66"/>
        <v>2nd &amp; 5th Floor</v>
      </c>
      <c r="H374" s="96"/>
      <c r="I374" s="35"/>
    </row>
    <row r="375" spans="1:9" s="36" customFormat="1" hidden="1" x14ac:dyDescent="0.3">
      <c r="A375" s="95" t="str">
        <f ca="1">(SUMPRODUCT(MID(0&amp;(LEFT(A374,SUM(LEN(A374)-LEN(SUBSTITUTE(A374,{"0","1","2"},""))))), LARGE(INDEX(ISNUMBER(--MID((LEFT(A374,SUM(LEN(A374)-LEN(SUBSTITUTE(A374,{"0","1","2"},""))))), ROW(INDIRECT("1:"&amp;LEN((LEFT(A374,SUM(LEN(A374)-LEN(SUBSTITUTE(A374,{"0","1","2"},"")))))))), 1)) * ROW(INDIRECT("1:"&amp;LEN((LEFT(A374,SUM(LEN(A374)-LEN(SUBSTITUTE(A374,{"0","1","2"},"")))))))), 0), ROW(INDIRECT("1:"&amp;LEN((LEFT(A374,SUM(LEN(A374)-LEN(SUBSTITUTE(A374,{"0","1","2"},"")))))))))+1, 1) * 10^ROW(INDIRECT("1:"&amp;LEN((LEFT(A374,SUM(LEN(A374)-LEN(SUBSTITUTE(A374,{"0","1","2"},""))))))))/10))*1+1&amp;""&amp;" &amp; "&amp;""&amp;(SUMPRODUCT(MID(0&amp;(--TRIM(RIGHT(SUBSTITUTE(LEFT(A374,_xlfn.AGGREGATE(16,6,FIND({0,1,2,3,4,5,6,7,8,9},A374,ROW(INDIRECT("1:"&amp;LEN(A374)))),1))," ",REPT(" ",LEN(A374))),LEN(A374)))), LARGE(INDEX(ISNUMBER(--MID((--TRIM(RIGHT(SUBSTITUTE(LEFT(A374,_xlfn.AGGREGATE(16,6,FIND({0,1,2,3,4,5,6,7,8,9},A374,ROW(INDIRECT("1:"&amp;LEN(A374)))),1))," ",REPT(" ",LEN(A374))),LEN(A374)))), ROW(INDIRECT("1:"&amp;LEN((--TRIM(RIGHT(SUBSTITUTE(LEFT(A374,_xlfn.AGGREGATE(16,6,FIND({0,1,2,3,4,5,6,7,8,9},A374,ROW(INDIRECT("1:"&amp;LEN(A374)))),1))," ",REPT(" ",LEN(A374))),LEN(A374))))))), 1)) * ROW(INDIRECT("1:"&amp;LEN((--TRIM(RIGHT(SUBSTITUTE(LEFT(A374,_xlfn.AGGREGATE(16,6,FIND({0,1,2,3,4,5,6,7,8,9},A374,ROW(INDIRECT("1:"&amp;LEN(A374)))),1))," ",REPT(" ",LEN(A374))),LEN(A374))))))), 0), ROW(INDIRECT("1:"&amp;LEN((--TRIM(RIGHT(SUBSTITUTE(LEFT(A374,_xlfn.AGGREGATE(16,6,FIND({0,1,2,3,4,5,6,7,8,9},A374,ROW(INDIRECT("1:"&amp;LEN(A374)))),1))," ",REPT(" ",LEN(A374))),LEN(A374))))))))+1, 1) * 10^ROW(INDIRECT("1:"&amp;LEN((--TRIM(RIGHT(SUBSTITUTE(LEFT(A374,_xlfn.AGGREGATE(16,6,FIND({0,1,2,3,4,5,6,7,8,9},A374,ROW(INDIRECT("1:"&amp;LEN(A374)))),1))," ",REPT(" ",LEN(A374))),LEN(A374)))))))/10))*1+1</f>
        <v>205 &amp; 505</v>
      </c>
      <c r="B375" s="96"/>
      <c r="C375" s="52"/>
      <c r="D375" s="41"/>
      <c r="E375" s="41">
        <v>0</v>
      </c>
      <c r="F375" s="41">
        <f>D375*(($F$191)+1)+(IF(E375&lt;101,E375,IF(E375&lt;201,E375/2,IF(E375&lt;=301,E375/3,E375/4))))</f>
        <v>0</v>
      </c>
      <c r="G375" s="95" t="str">
        <f t="shared" si="66"/>
        <v>2nd &amp; 5th Floor</v>
      </c>
      <c r="H375" s="96"/>
      <c r="I375" s="35"/>
    </row>
    <row r="376" spans="1:9" s="34" customFormat="1" x14ac:dyDescent="0.3">
      <c r="A376" s="114" t="s">
        <v>70</v>
      </c>
      <c r="B376" s="114"/>
      <c r="C376" s="114"/>
      <c r="D376" s="114"/>
      <c r="E376" s="114"/>
      <c r="F376" s="114"/>
      <c r="G376" s="114"/>
      <c r="H376" s="114"/>
    </row>
    <row r="377" spans="1:9" s="34" customFormat="1" ht="18" customHeight="1" x14ac:dyDescent="0.3">
      <c r="A377" s="46" t="s">
        <v>162</v>
      </c>
      <c r="B377" s="118" t="s">
        <v>265</v>
      </c>
      <c r="C377" s="119"/>
      <c r="D377" s="119"/>
      <c r="E377" s="119"/>
      <c r="F377" s="119"/>
      <c r="G377" s="119"/>
      <c r="H377" s="120"/>
      <c r="I377" s="73" t="s">
        <v>261</v>
      </c>
    </row>
    <row r="378" spans="1:9" s="34" customFormat="1" x14ac:dyDescent="0.3">
      <c r="A378" s="46" t="s">
        <v>162</v>
      </c>
      <c r="B378" s="118" t="str">
        <f>(IF(F190="Saleable area Loading :","We have considered Saleable area of Flats as per our Calculation.","We considered Saleable area of Flat as per Builder area Sheet."))</f>
        <v>We have considered Saleable area of Flats as per our Calculation.</v>
      </c>
      <c r="C378" s="119"/>
      <c r="D378" s="119"/>
      <c r="E378" s="119"/>
      <c r="F378" s="119"/>
      <c r="G378" s="119"/>
      <c r="H378" s="120"/>
    </row>
    <row r="379" spans="1:9" s="34" customFormat="1" x14ac:dyDescent="0.3">
      <c r="A379" s="46" t="s">
        <v>162</v>
      </c>
      <c r="B379" s="118" t="str">
        <f>(IF(F134="Saleable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79" s="119"/>
      <c r="D379" s="119"/>
      <c r="E379" s="119"/>
      <c r="F379" s="119"/>
      <c r="G379" s="119"/>
      <c r="H379" s="120"/>
    </row>
    <row r="380" spans="1:9" s="34" customFormat="1" x14ac:dyDescent="0.3">
      <c r="A380" s="46" t="s">
        <v>162</v>
      </c>
      <c r="B380" s="77" t="s">
        <v>128</v>
      </c>
      <c r="C380" s="78"/>
      <c r="D380" s="78"/>
      <c r="E380" s="78"/>
      <c r="F380" s="78"/>
      <c r="G380" s="78"/>
      <c r="H380" s="79"/>
    </row>
    <row r="381" spans="1:9" s="34" customFormat="1" x14ac:dyDescent="0.3">
      <c r="A381" s="46" t="s">
        <v>162</v>
      </c>
      <c r="B381" s="77" t="s">
        <v>240</v>
      </c>
      <c r="C381" s="78"/>
      <c r="D381" s="78"/>
      <c r="E381" s="78"/>
      <c r="F381" s="78"/>
      <c r="G381" s="78"/>
      <c r="H381" s="79"/>
    </row>
    <row r="382" spans="1:9" s="34" customFormat="1" x14ac:dyDescent="0.3">
      <c r="A382" s="46" t="s">
        <v>162</v>
      </c>
      <c r="B382" s="77" t="s">
        <v>161</v>
      </c>
      <c r="C382" s="78"/>
      <c r="D382" s="78"/>
      <c r="E382" s="78"/>
      <c r="F382" s="78"/>
      <c r="G382" s="78"/>
      <c r="H382" s="79"/>
    </row>
    <row r="383" spans="1:9" s="34" customFormat="1" x14ac:dyDescent="0.3">
      <c r="A383" s="46" t="s">
        <v>162</v>
      </c>
      <c r="B383" s="77" t="s">
        <v>129</v>
      </c>
      <c r="C383" s="78"/>
      <c r="D383" s="78"/>
      <c r="E383" s="78"/>
      <c r="F383" s="78"/>
      <c r="G383" s="78"/>
      <c r="H383" s="79"/>
    </row>
    <row r="384" spans="1:9" s="34" customFormat="1" ht="32.25" customHeight="1" x14ac:dyDescent="0.3">
      <c r="A384" s="46" t="s">
        <v>162</v>
      </c>
      <c r="B384" s="77" t="s">
        <v>163</v>
      </c>
      <c r="C384" s="78"/>
      <c r="D384" s="78"/>
      <c r="E384" s="78"/>
      <c r="F384" s="78"/>
      <c r="G384" s="78"/>
      <c r="H384" s="79"/>
    </row>
    <row r="385" spans="1:8" s="34" customFormat="1" x14ac:dyDescent="0.3">
      <c r="A385" s="46" t="s">
        <v>162</v>
      </c>
      <c r="B385" s="77" t="s">
        <v>260</v>
      </c>
      <c r="C385" s="78"/>
      <c r="D385" s="78"/>
      <c r="E385" s="78"/>
      <c r="F385" s="78"/>
      <c r="G385" s="78"/>
      <c r="H385" s="79"/>
    </row>
    <row r="386" spans="1:8" s="34" customFormat="1" x14ac:dyDescent="0.3">
      <c r="A386" s="46" t="s">
        <v>162</v>
      </c>
      <c r="B386" s="77" t="s">
        <v>130</v>
      </c>
      <c r="C386" s="78"/>
      <c r="D386" s="78"/>
      <c r="E386" s="78"/>
      <c r="F386" s="78"/>
      <c r="G386" s="78"/>
      <c r="H386" s="79"/>
    </row>
    <row r="387" spans="1:8" s="34" customFormat="1" x14ac:dyDescent="0.3">
      <c r="A387" s="46" t="s">
        <v>162</v>
      </c>
      <c r="B387" s="77" t="s">
        <v>266</v>
      </c>
      <c r="C387" s="78"/>
      <c r="D387" s="78"/>
      <c r="E387" s="78"/>
      <c r="F387" s="78"/>
      <c r="G387" s="78"/>
      <c r="H387" s="79"/>
    </row>
    <row r="388" spans="1:8" x14ac:dyDescent="0.3">
      <c r="A388" s="191" t="s">
        <v>63</v>
      </c>
      <c r="B388" s="191"/>
      <c r="C388" s="191"/>
      <c r="D388" s="191"/>
      <c r="E388" s="191"/>
      <c r="F388" s="191"/>
      <c r="G388" s="191"/>
      <c r="H388" s="191"/>
    </row>
    <row r="389" spans="1:8" x14ac:dyDescent="0.3">
      <c r="A389" s="100" t="s">
        <v>64</v>
      </c>
      <c r="B389" s="100"/>
      <c r="C389" s="100"/>
      <c r="D389" s="100"/>
      <c r="E389" s="100"/>
      <c r="F389" s="100"/>
      <c r="G389" s="100"/>
      <c r="H389" s="100"/>
    </row>
    <row r="390" spans="1:8" ht="15.75" customHeight="1" x14ac:dyDescent="0.3">
      <c r="A390" s="227" t="s">
        <v>65</v>
      </c>
      <c r="B390" s="227"/>
      <c r="C390" s="227"/>
      <c r="D390" s="227"/>
      <c r="E390" s="227"/>
      <c r="F390" s="227"/>
      <c r="G390" s="227"/>
      <c r="H390" s="227"/>
    </row>
    <row r="391" spans="1:8" x14ac:dyDescent="0.3">
      <c r="A391" s="100" t="s">
        <v>66</v>
      </c>
      <c r="B391" s="100"/>
      <c r="C391" s="100"/>
      <c r="D391" s="100"/>
      <c r="E391" s="100"/>
      <c r="F391" s="100"/>
      <c r="G391" s="100"/>
      <c r="H391" s="100"/>
    </row>
    <row r="392" spans="1:8" x14ac:dyDescent="0.3">
      <c r="A392" s="100" t="s">
        <v>67</v>
      </c>
      <c r="B392" s="100"/>
      <c r="C392" s="100"/>
      <c r="D392" s="100"/>
      <c r="E392" s="100"/>
      <c r="F392" s="100"/>
      <c r="G392" s="100"/>
      <c r="H392" s="100"/>
    </row>
    <row r="393" spans="1:8" x14ac:dyDescent="0.3">
      <c r="A393" s="100" t="s">
        <v>131</v>
      </c>
      <c r="B393" s="100"/>
      <c r="C393" s="100"/>
      <c r="D393" s="100"/>
      <c r="E393" s="100"/>
      <c r="F393" s="100"/>
      <c r="G393" s="100"/>
      <c r="H393" s="100"/>
    </row>
    <row r="394" spans="1:8" x14ac:dyDescent="0.3">
      <c r="A394" s="164" t="s">
        <v>132</v>
      </c>
      <c r="B394" s="164"/>
      <c r="C394" s="164"/>
      <c r="D394" s="164"/>
      <c r="E394" s="164"/>
      <c r="F394" s="164"/>
      <c r="G394" s="164"/>
      <c r="H394" s="164"/>
    </row>
    <row r="395" spans="1:8" x14ac:dyDescent="0.3">
      <c r="A395" s="189" t="s">
        <v>78</v>
      </c>
      <c r="B395" s="189"/>
      <c r="C395" s="189" t="s">
        <v>258</v>
      </c>
      <c r="D395" s="189"/>
      <c r="E395" s="189" t="s">
        <v>107</v>
      </c>
      <c r="F395" s="189"/>
      <c r="G395" s="189" t="s">
        <v>267</v>
      </c>
      <c r="H395" s="189"/>
    </row>
    <row r="396" spans="1:8" x14ac:dyDescent="0.3">
      <c r="A396" s="188" t="s">
        <v>257</v>
      </c>
      <c r="B396" s="188"/>
      <c r="C396" s="188"/>
      <c r="D396" s="188"/>
      <c r="E396" s="188"/>
      <c r="F396" s="188"/>
      <c r="G396" s="188"/>
      <c r="H396" s="188"/>
    </row>
    <row r="397" spans="1:8" x14ac:dyDescent="0.3">
      <c r="A397" s="188"/>
      <c r="B397" s="188"/>
      <c r="C397" s="188"/>
      <c r="D397" s="188"/>
      <c r="E397" s="188"/>
      <c r="F397" s="188"/>
      <c r="G397" s="188"/>
      <c r="H397" s="188"/>
    </row>
    <row r="398" spans="1:8" x14ac:dyDescent="0.3">
      <c r="A398" s="188"/>
      <c r="B398" s="188"/>
      <c r="C398" s="188"/>
      <c r="D398" s="188"/>
      <c r="E398" s="188"/>
      <c r="F398" s="188"/>
      <c r="G398" s="188"/>
      <c r="H398" s="188"/>
    </row>
    <row r="399" spans="1:8" x14ac:dyDescent="0.3">
      <c r="A399" s="188"/>
      <c r="B399" s="188"/>
      <c r="C399" s="188"/>
      <c r="D399" s="188"/>
      <c r="E399" s="188"/>
      <c r="F399" s="188"/>
      <c r="G399" s="188"/>
      <c r="H399" s="188"/>
    </row>
    <row r="400" spans="1:8" x14ac:dyDescent="0.3">
      <c r="A400" s="37" t="s">
        <v>68</v>
      </c>
      <c r="B400" s="38"/>
      <c r="C400" s="38"/>
      <c r="D400" s="37" t="str">
        <f>E8</f>
        <v>Stellar</v>
      </c>
      <c r="F400" s="38"/>
      <c r="G400" s="38"/>
      <c r="H400" s="38"/>
    </row>
    <row r="401" spans="1:8" x14ac:dyDescent="0.3">
      <c r="A401" s="38"/>
      <c r="B401" s="38"/>
      <c r="C401" s="38"/>
      <c r="D401" s="38"/>
      <c r="E401" s="38"/>
      <c r="F401" s="38"/>
      <c r="G401" s="38"/>
      <c r="H401" s="38"/>
    </row>
    <row r="402" spans="1:8" x14ac:dyDescent="0.3">
      <c r="A402" s="38"/>
      <c r="B402" s="38"/>
      <c r="C402" s="38"/>
      <c r="D402" s="38"/>
      <c r="E402" s="38"/>
      <c r="F402" s="38"/>
      <c r="G402" s="38"/>
      <c r="H402" s="38"/>
    </row>
    <row r="403" spans="1:8" ht="15" customHeight="1" x14ac:dyDescent="0.3"/>
    <row r="436" spans="1:1" x14ac:dyDescent="0.3">
      <c r="A436" s="40" t="s">
        <v>175</v>
      </c>
    </row>
    <row r="480" spans="1:1" x14ac:dyDescent="0.3">
      <c r="A480" s="40" t="s">
        <v>69</v>
      </c>
    </row>
  </sheetData>
  <mergeCells count="656">
    <mergeCell ref="B387:H387"/>
    <mergeCell ref="C38:H38"/>
    <mergeCell ref="B386:H386"/>
    <mergeCell ref="L346:M346"/>
    <mergeCell ref="A120:B120"/>
    <mergeCell ref="C120:D120"/>
    <mergeCell ref="E120:F120"/>
    <mergeCell ref="G120:H120"/>
    <mergeCell ref="C116:D116"/>
    <mergeCell ref="E116:F116"/>
    <mergeCell ref="G116:H116"/>
    <mergeCell ref="C117:D117"/>
    <mergeCell ref="E117:F117"/>
    <mergeCell ref="G117:H117"/>
    <mergeCell ref="A118:H118"/>
    <mergeCell ref="C119:D119"/>
    <mergeCell ref="E119:F119"/>
    <mergeCell ref="G119:H119"/>
    <mergeCell ref="L341:M341"/>
    <mergeCell ref="A342:B342"/>
    <mergeCell ref="L342:M342"/>
    <mergeCell ref="A343:B343"/>
    <mergeCell ref="L343:M343"/>
    <mergeCell ref="A344:B344"/>
    <mergeCell ref="L344:M344"/>
    <mergeCell ref="A345:B345"/>
    <mergeCell ref="L345:M345"/>
    <mergeCell ref="L332:M332"/>
    <mergeCell ref="A333:H333"/>
    <mergeCell ref="A334:B334"/>
    <mergeCell ref="G334:H339"/>
    <mergeCell ref="L334:M334"/>
    <mergeCell ref="A335:B335"/>
    <mergeCell ref="L335:M335"/>
    <mergeCell ref="A336:B336"/>
    <mergeCell ref="L336:M336"/>
    <mergeCell ref="A337:B337"/>
    <mergeCell ref="C337:F337"/>
    <mergeCell ref="L337:M337"/>
    <mergeCell ref="A338:B338"/>
    <mergeCell ref="L338:M338"/>
    <mergeCell ref="A339:B339"/>
    <mergeCell ref="L339:M339"/>
    <mergeCell ref="L327:M327"/>
    <mergeCell ref="A328:B328"/>
    <mergeCell ref="L328:M328"/>
    <mergeCell ref="A329:B329"/>
    <mergeCell ref="L329:M329"/>
    <mergeCell ref="A330:B330"/>
    <mergeCell ref="C330:F330"/>
    <mergeCell ref="L330:M330"/>
    <mergeCell ref="A331:B331"/>
    <mergeCell ref="L331:M331"/>
    <mergeCell ref="L325:M325"/>
    <mergeCell ref="G164:H175"/>
    <mergeCell ref="G139:H160"/>
    <mergeCell ref="G177:H181"/>
    <mergeCell ref="A326:H326"/>
    <mergeCell ref="G320:H325"/>
    <mergeCell ref="A322:B322"/>
    <mergeCell ref="L322:M322"/>
    <mergeCell ref="A323:B323"/>
    <mergeCell ref="L323:M323"/>
    <mergeCell ref="A324:B324"/>
    <mergeCell ref="L324:M324"/>
    <mergeCell ref="A318:B318"/>
    <mergeCell ref="L318:M318"/>
    <mergeCell ref="G313:H318"/>
    <mergeCell ref="C316:F316"/>
    <mergeCell ref="A319:H319"/>
    <mergeCell ref="A320:B320"/>
    <mergeCell ref="L320:M320"/>
    <mergeCell ref="A321:B321"/>
    <mergeCell ref="L321:M321"/>
    <mergeCell ref="A315:B315"/>
    <mergeCell ref="L315:M315"/>
    <mergeCell ref="L164:M164"/>
    <mergeCell ref="L316:M316"/>
    <mergeCell ref="A317:B317"/>
    <mergeCell ref="L317:M317"/>
    <mergeCell ref="A312:H312"/>
    <mergeCell ref="A192:H192"/>
    <mergeCell ref="A311:H311"/>
    <mergeCell ref="A313:B313"/>
    <mergeCell ref="L313:M313"/>
    <mergeCell ref="A314:B314"/>
    <mergeCell ref="L314:M314"/>
    <mergeCell ref="A298:H298"/>
    <mergeCell ref="G299:H310"/>
    <mergeCell ref="L299:M299"/>
    <mergeCell ref="L300:M300"/>
    <mergeCell ref="L301:M301"/>
    <mergeCell ref="L302:M302"/>
    <mergeCell ref="L303:M303"/>
    <mergeCell ref="L310:M310"/>
    <mergeCell ref="L295:M295"/>
    <mergeCell ref="L296:M296"/>
    <mergeCell ref="L297:M297"/>
    <mergeCell ref="L304:M304"/>
    <mergeCell ref="L305:M305"/>
    <mergeCell ref="L306:M306"/>
    <mergeCell ref="L165:M165"/>
    <mergeCell ref="L166:M166"/>
    <mergeCell ref="A164:B164"/>
    <mergeCell ref="A165:B165"/>
    <mergeCell ref="A166:B166"/>
    <mergeCell ref="L286:M286"/>
    <mergeCell ref="L287:M287"/>
    <mergeCell ref="L288:M288"/>
    <mergeCell ref="L289:M289"/>
    <mergeCell ref="A272:H272"/>
    <mergeCell ref="G273:H284"/>
    <mergeCell ref="L242:M242"/>
    <mergeCell ref="L243:M243"/>
    <mergeCell ref="L244:M244"/>
    <mergeCell ref="L245:M245"/>
    <mergeCell ref="A246:H246"/>
    <mergeCell ref="G247:H258"/>
    <mergeCell ref="L247:M247"/>
    <mergeCell ref="L248:M248"/>
    <mergeCell ref="L249:M249"/>
    <mergeCell ref="L250:M250"/>
    <mergeCell ref="L251:M251"/>
    <mergeCell ref="L252:M252"/>
    <mergeCell ref="L253:M253"/>
    <mergeCell ref="L307:M307"/>
    <mergeCell ref="L308:M308"/>
    <mergeCell ref="L309:M309"/>
    <mergeCell ref="L268:M268"/>
    <mergeCell ref="L269:M269"/>
    <mergeCell ref="L270:M270"/>
    <mergeCell ref="L271:M271"/>
    <mergeCell ref="L273:M273"/>
    <mergeCell ref="L274:M274"/>
    <mergeCell ref="L275:M275"/>
    <mergeCell ref="L276:M276"/>
    <mergeCell ref="L277:M277"/>
    <mergeCell ref="L278:M278"/>
    <mergeCell ref="L279:M279"/>
    <mergeCell ref="L280:M280"/>
    <mergeCell ref="L281:M281"/>
    <mergeCell ref="L282:M282"/>
    <mergeCell ref="L283:M283"/>
    <mergeCell ref="L284:M284"/>
    <mergeCell ref="B306:F306"/>
    <mergeCell ref="A285:H285"/>
    <mergeCell ref="G286:H297"/>
    <mergeCell ref="L260:M260"/>
    <mergeCell ref="L261:M261"/>
    <mergeCell ref="L262:M262"/>
    <mergeCell ref="L263:M263"/>
    <mergeCell ref="L264:M264"/>
    <mergeCell ref="L265:M265"/>
    <mergeCell ref="L266:M266"/>
    <mergeCell ref="B267:F267"/>
    <mergeCell ref="L267:M267"/>
    <mergeCell ref="L290:M290"/>
    <mergeCell ref="L291:M291"/>
    <mergeCell ref="L292:M292"/>
    <mergeCell ref="L293:M293"/>
    <mergeCell ref="L294:M294"/>
    <mergeCell ref="L254:M254"/>
    <mergeCell ref="L255:M255"/>
    <mergeCell ref="L256:M256"/>
    <mergeCell ref="L257:M257"/>
    <mergeCell ref="L258:M258"/>
    <mergeCell ref="L234:M234"/>
    <mergeCell ref="L235:M235"/>
    <mergeCell ref="L236:M236"/>
    <mergeCell ref="L237:M237"/>
    <mergeCell ref="L238:M238"/>
    <mergeCell ref="L239:M239"/>
    <mergeCell ref="L240:M240"/>
    <mergeCell ref="L241:M241"/>
    <mergeCell ref="L219:M219"/>
    <mergeCell ref="G195:H206"/>
    <mergeCell ref="G208:H219"/>
    <mergeCell ref="A220:H220"/>
    <mergeCell ref="G221:H232"/>
    <mergeCell ref="L221:M221"/>
    <mergeCell ref="L222:M222"/>
    <mergeCell ref="L223:M223"/>
    <mergeCell ref="L224:M224"/>
    <mergeCell ref="L225:M225"/>
    <mergeCell ref="L226:M226"/>
    <mergeCell ref="L227:M227"/>
    <mergeCell ref="L228:M228"/>
    <mergeCell ref="L229:M229"/>
    <mergeCell ref="L230:M230"/>
    <mergeCell ref="L231:M231"/>
    <mergeCell ref="L232:M232"/>
    <mergeCell ref="B228:F228"/>
    <mergeCell ref="L218:M218"/>
    <mergeCell ref="A207:H207"/>
    <mergeCell ref="L214:M214"/>
    <mergeCell ref="L215:M215"/>
    <mergeCell ref="L200:M200"/>
    <mergeCell ref="L201:M201"/>
    <mergeCell ref="L202:M202"/>
    <mergeCell ref="B199:F200"/>
    <mergeCell ref="L216:M216"/>
    <mergeCell ref="L217:M217"/>
    <mergeCell ref="L211:M211"/>
    <mergeCell ref="L212:M212"/>
    <mergeCell ref="L213:M213"/>
    <mergeCell ref="L206:M206"/>
    <mergeCell ref="L208:M208"/>
    <mergeCell ref="L209:M209"/>
    <mergeCell ref="L203:M203"/>
    <mergeCell ref="L210:M210"/>
    <mergeCell ref="L204:M204"/>
    <mergeCell ref="L205:M205"/>
    <mergeCell ref="L198:M198"/>
    <mergeCell ref="A175:B175"/>
    <mergeCell ref="L199:M199"/>
    <mergeCell ref="B197:F198"/>
    <mergeCell ref="A193:H193"/>
    <mergeCell ref="A194:H194"/>
    <mergeCell ref="A182:H182"/>
    <mergeCell ref="A183:H183"/>
    <mergeCell ref="A179:B179"/>
    <mergeCell ref="L175:M175"/>
    <mergeCell ref="L195:M195"/>
    <mergeCell ref="L179:M179"/>
    <mergeCell ref="L180:M180"/>
    <mergeCell ref="L181:M181"/>
    <mergeCell ref="L196:M196"/>
    <mergeCell ref="C190:C191"/>
    <mergeCell ref="A180:B180"/>
    <mergeCell ref="A181:B181"/>
    <mergeCell ref="A178:B178"/>
    <mergeCell ref="L197:M197"/>
    <mergeCell ref="L167:M167"/>
    <mergeCell ref="L168:M168"/>
    <mergeCell ref="L169:M169"/>
    <mergeCell ref="A167:B167"/>
    <mergeCell ref="A168:B168"/>
    <mergeCell ref="A169:B169"/>
    <mergeCell ref="A170:B170"/>
    <mergeCell ref="L170:M170"/>
    <mergeCell ref="L188:M188"/>
    <mergeCell ref="L187:M187"/>
    <mergeCell ref="L186:M186"/>
    <mergeCell ref="L185:M185"/>
    <mergeCell ref="A177:B177"/>
    <mergeCell ref="L171:M171"/>
    <mergeCell ref="L172:M172"/>
    <mergeCell ref="A173:B173"/>
    <mergeCell ref="L173:M173"/>
    <mergeCell ref="A176:H176"/>
    <mergeCell ref="L177:M177"/>
    <mergeCell ref="L178:M178"/>
    <mergeCell ref="A174:B174"/>
    <mergeCell ref="L174:M174"/>
    <mergeCell ref="L160:M160"/>
    <mergeCell ref="L157:M157"/>
    <mergeCell ref="L158:M158"/>
    <mergeCell ref="L159:M159"/>
    <mergeCell ref="L154:M154"/>
    <mergeCell ref="L155:M155"/>
    <mergeCell ref="L156:M156"/>
    <mergeCell ref="L151:M151"/>
    <mergeCell ref="L152:M152"/>
    <mergeCell ref="L153:M153"/>
    <mergeCell ref="L147:M147"/>
    <mergeCell ref="L148:M148"/>
    <mergeCell ref="L149:M149"/>
    <mergeCell ref="L150:M150"/>
    <mergeCell ref="L143:M143"/>
    <mergeCell ref="L144:M144"/>
    <mergeCell ref="L145:M145"/>
    <mergeCell ref="L146:M146"/>
    <mergeCell ref="L139:M139"/>
    <mergeCell ref="L140:M140"/>
    <mergeCell ref="L141:M141"/>
    <mergeCell ref="L142:M142"/>
    <mergeCell ref="G56:H56"/>
    <mergeCell ref="A57:B58"/>
    <mergeCell ref="C57:E57"/>
    <mergeCell ref="G57:H57"/>
    <mergeCell ref="C53:H53"/>
    <mergeCell ref="C58:H58"/>
    <mergeCell ref="A49:H49"/>
    <mergeCell ref="A54:H54"/>
    <mergeCell ref="A17:B17"/>
    <mergeCell ref="C17:H17"/>
    <mergeCell ref="E42:H42"/>
    <mergeCell ref="A42:D42"/>
    <mergeCell ref="C55:E55"/>
    <mergeCell ref="G55:H55"/>
    <mergeCell ref="A56:B56"/>
    <mergeCell ref="C56:E56"/>
    <mergeCell ref="A45:D45"/>
    <mergeCell ref="A46:D46"/>
    <mergeCell ref="A47:H47"/>
    <mergeCell ref="A22:D23"/>
    <mergeCell ref="E22:H23"/>
    <mergeCell ref="A24:D24"/>
    <mergeCell ref="E24:H24"/>
    <mergeCell ref="A18:B18"/>
    <mergeCell ref="A393:H393"/>
    <mergeCell ref="A390:H390"/>
    <mergeCell ref="G368:H368"/>
    <mergeCell ref="A353:B353"/>
    <mergeCell ref="A128:B128"/>
    <mergeCell ref="D190:D191"/>
    <mergeCell ref="E190:E191"/>
    <mergeCell ref="G190:H191"/>
    <mergeCell ref="A95:B95"/>
    <mergeCell ref="A96:B96"/>
    <mergeCell ref="A97:B97"/>
    <mergeCell ref="F109:H109"/>
    <mergeCell ref="C122:D122"/>
    <mergeCell ref="G366:H366"/>
    <mergeCell ref="F112:H112"/>
    <mergeCell ref="F110:H110"/>
    <mergeCell ref="A360:B360"/>
    <mergeCell ref="A133:H133"/>
    <mergeCell ref="G122:H122"/>
    <mergeCell ref="A111:E111"/>
    <mergeCell ref="C123:D123"/>
    <mergeCell ref="E123:F123"/>
    <mergeCell ref="G354:H354"/>
    <mergeCell ref="B134:B135"/>
    <mergeCell ref="A87:B87"/>
    <mergeCell ref="C87:H87"/>
    <mergeCell ref="A82:B82"/>
    <mergeCell ref="F102:H102"/>
    <mergeCell ref="G123:H123"/>
    <mergeCell ref="A50:B50"/>
    <mergeCell ref="C50:E50"/>
    <mergeCell ref="G50:H50"/>
    <mergeCell ref="G52:H52"/>
    <mergeCell ref="D61:H61"/>
    <mergeCell ref="C52:E52"/>
    <mergeCell ref="A64:C65"/>
    <mergeCell ref="D64:H64"/>
    <mergeCell ref="D65:H65"/>
    <mergeCell ref="C51:E51"/>
    <mergeCell ref="A59:B59"/>
    <mergeCell ref="C59:E59"/>
    <mergeCell ref="A51:B51"/>
    <mergeCell ref="A60:H60"/>
    <mergeCell ref="A61:C61"/>
    <mergeCell ref="A62:C62"/>
    <mergeCell ref="D62:H62"/>
    <mergeCell ref="G59:H59"/>
    <mergeCell ref="A55:B55"/>
    <mergeCell ref="F111:H111"/>
    <mergeCell ref="E122:F122"/>
    <mergeCell ref="A122:B122"/>
    <mergeCell ref="E129:F129"/>
    <mergeCell ref="G129:H129"/>
    <mergeCell ref="G130:H130"/>
    <mergeCell ref="C128:D128"/>
    <mergeCell ref="G128:H128"/>
    <mergeCell ref="A131:B131"/>
    <mergeCell ref="E131:F131"/>
    <mergeCell ref="A119:B119"/>
    <mergeCell ref="C125:D125"/>
    <mergeCell ref="E125:F125"/>
    <mergeCell ref="G125:H125"/>
    <mergeCell ref="A124:A125"/>
    <mergeCell ref="A115:H115"/>
    <mergeCell ref="A116:B116"/>
    <mergeCell ref="A112:E112"/>
    <mergeCell ref="G131:H131"/>
    <mergeCell ref="C124:D124"/>
    <mergeCell ref="E124:F124"/>
    <mergeCell ref="G124:H124"/>
    <mergeCell ref="A126:B126"/>
    <mergeCell ref="C126:D126"/>
    <mergeCell ref="C131:D131"/>
    <mergeCell ref="A347:H347"/>
    <mergeCell ref="A362:B362"/>
    <mergeCell ref="A359:B359"/>
    <mergeCell ref="G351:H351"/>
    <mergeCell ref="A171:B171"/>
    <mergeCell ref="A233:H233"/>
    <mergeCell ref="G234:H245"/>
    <mergeCell ref="A259:H259"/>
    <mergeCell ref="G260:H271"/>
    <mergeCell ref="A161:H161"/>
    <mergeCell ref="A162:H162"/>
    <mergeCell ref="A163:H163"/>
    <mergeCell ref="A325:B325"/>
    <mergeCell ref="A327:B327"/>
    <mergeCell ref="G327:H332"/>
    <mergeCell ref="A332:B332"/>
    <mergeCell ref="A172:B172"/>
    <mergeCell ref="A316:B316"/>
    <mergeCell ref="G362:H362"/>
    <mergeCell ref="A358:H358"/>
    <mergeCell ref="G361:H361"/>
    <mergeCell ref="G359:H359"/>
    <mergeCell ref="B241:F241"/>
    <mergeCell ref="B385:H385"/>
    <mergeCell ref="G187:H187"/>
    <mergeCell ref="G185:H185"/>
    <mergeCell ref="G186:H186"/>
    <mergeCell ref="G188:H188"/>
    <mergeCell ref="B383:H383"/>
    <mergeCell ref="B379:H379"/>
    <mergeCell ref="A373:B373"/>
    <mergeCell ref="G373:H373"/>
    <mergeCell ref="G372:H372"/>
    <mergeCell ref="A370:H370"/>
    <mergeCell ref="A371:B371"/>
    <mergeCell ref="A372:B372"/>
    <mergeCell ref="A375:B375"/>
    <mergeCell ref="G375:H375"/>
    <mergeCell ref="A374:B374"/>
    <mergeCell ref="A340:H340"/>
    <mergeCell ref="A341:B341"/>
    <mergeCell ref="G341:H346"/>
    <mergeCell ref="A346:B346"/>
    <mergeCell ref="A365:B365"/>
    <mergeCell ref="A366:B366"/>
    <mergeCell ref="A367:B367"/>
    <mergeCell ref="G363:H363"/>
    <mergeCell ref="D71:H71"/>
    <mergeCell ref="A77:B77"/>
    <mergeCell ref="G76:H76"/>
    <mergeCell ref="A396:H399"/>
    <mergeCell ref="A395:B395"/>
    <mergeCell ref="E395:F395"/>
    <mergeCell ref="C395:D395"/>
    <mergeCell ref="G395:H395"/>
    <mergeCell ref="A121:H121"/>
    <mergeCell ref="A113:E113"/>
    <mergeCell ref="F113:H113"/>
    <mergeCell ref="A114:E114"/>
    <mergeCell ref="F114:H114"/>
    <mergeCell ref="A352:H352"/>
    <mergeCell ref="A129:B129"/>
    <mergeCell ref="A361:B361"/>
    <mergeCell ref="A391:H391"/>
    <mergeCell ref="A127:H127"/>
    <mergeCell ref="A394:H394"/>
    <mergeCell ref="A392:H392"/>
    <mergeCell ref="C129:D129"/>
    <mergeCell ref="A388:H388"/>
    <mergeCell ref="A389:H389"/>
    <mergeCell ref="E128:F128"/>
    <mergeCell ref="D63:H63"/>
    <mergeCell ref="A63:C63"/>
    <mergeCell ref="G51:H51"/>
    <mergeCell ref="A52:B53"/>
    <mergeCell ref="A83:B83"/>
    <mergeCell ref="A76:B76"/>
    <mergeCell ref="A79:B79"/>
    <mergeCell ref="A75:B75"/>
    <mergeCell ref="A73:B73"/>
    <mergeCell ref="C73:H73"/>
    <mergeCell ref="A81:B81"/>
    <mergeCell ref="A68:C68"/>
    <mergeCell ref="D68:H68"/>
    <mergeCell ref="C75:H75"/>
    <mergeCell ref="A78:B78"/>
    <mergeCell ref="A80:B80"/>
    <mergeCell ref="E76:F76"/>
    <mergeCell ref="A69:C69"/>
    <mergeCell ref="D69:H69"/>
    <mergeCell ref="A72:C72"/>
    <mergeCell ref="D72:H72"/>
    <mergeCell ref="A70:C70"/>
    <mergeCell ref="D70:H70"/>
    <mergeCell ref="A71:C7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0:D10"/>
    <mergeCell ref="E10:H10"/>
    <mergeCell ref="E14:H14"/>
    <mergeCell ref="A15:B15"/>
    <mergeCell ref="C15:H15"/>
    <mergeCell ref="C16:H16"/>
    <mergeCell ref="A12:D12"/>
    <mergeCell ref="E12:H12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F33:H33"/>
    <mergeCell ref="F34:H34"/>
    <mergeCell ref="A40:H40"/>
    <mergeCell ref="A66:C66"/>
    <mergeCell ref="A67:C67"/>
    <mergeCell ref="D66:H66"/>
    <mergeCell ref="E77:F86"/>
    <mergeCell ref="G77:H86"/>
    <mergeCell ref="A85:B85"/>
    <mergeCell ref="A86:B86"/>
    <mergeCell ref="D67:H67"/>
    <mergeCell ref="A43:D43"/>
    <mergeCell ref="E43:H43"/>
    <mergeCell ref="E44:H44"/>
    <mergeCell ref="E45:H45"/>
    <mergeCell ref="E46:H46"/>
    <mergeCell ref="A44:D44"/>
    <mergeCell ref="F36:H36"/>
    <mergeCell ref="A38:B38"/>
    <mergeCell ref="A84:B84"/>
    <mergeCell ref="E126:F126"/>
    <mergeCell ref="G126:H126"/>
    <mergeCell ref="A130:B130"/>
    <mergeCell ref="C130:D130"/>
    <mergeCell ref="E130:F130"/>
    <mergeCell ref="L352:M352"/>
    <mergeCell ref="A189:H189"/>
    <mergeCell ref="A190:A191"/>
    <mergeCell ref="A357:B357"/>
    <mergeCell ref="A354:B354"/>
    <mergeCell ref="A355:B355"/>
    <mergeCell ref="A356:B356"/>
    <mergeCell ref="G357:H357"/>
    <mergeCell ref="C134:C135"/>
    <mergeCell ref="B190:B191"/>
    <mergeCell ref="A136:H136"/>
    <mergeCell ref="A137:H137"/>
    <mergeCell ref="A138:H138"/>
    <mergeCell ref="A184:H184"/>
    <mergeCell ref="E134:E135"/>
    <mergeCell ref="G134:H135"/>
    <mergeCell ref="A132:H132"/>
    <mergeCell ref="G355:H355"/>
    <mergeCell ref="A134:A135"/>
    <mergeCell ref="L351:M351"/>
    <mergeCell ref="G348:H348"/>
    <mergeCell ref="L348:M348"/>
    <mergeCell ref="A349:B349"/>
    <mergeCell ref="G349:H349"/>
    <mergeCell ref="L349:M349"/>
    <mergeCell ref="A350:B350"/>
    <mergeCell ref="G350:H350"/>
    <mergeCell ref="L350:M350"/>
    <mergeCell ref="A351:B351"/>
    <mergeCell ref="A348:B348"/>
    <mergeCell ref="G365:H365"/>
    <mergeCell ref="A363:B363"/>
    <mergeCell ref="B380:H380"/>
    <mergeCell ref="B381:H381"/>
    <mergeCell ref="G371:H371"/>
    <mergeCell ref="G369:H369"/>
    <mergeCell ref="A376:H376"/>
    <mergeCell ref="A368:B368"/>
    <mergeCell ref="A369:B369"/>
    <mergeCell ref="G367:H367"/>
    <mergeCell ref="A364:H364"/>
    <mergeCell ref="G374:H374"/>
    <mergeCell ref="B377:H377"/>
    <mergeCell ref="B378:H378"/>
    <mergeCell ref="A90:B90"/>
    <mergeCell ref="E90:F90"/>
    <mergeCell ref="G90:H90"/>
    <mergeCell ref="A107:E107"/>
    <mergeCell ref="F107:H107"/>
    <mergeCell ref="A108:E108"/>
    <mergeCell ref="A110:E110"/>
    <mergeCell ref="F104:H104"/>
    <mergeCell ref="A109:E109"/>
    <mergeCell ref="A104:E104"/>
    <mergeCell ref="A101:E101"/>
    <mergeCell ref="F105:H105"/>
    <mergeCell ref="F108:H108"/>
    <mergeCell ref="A102:E102"/>
    <mergeCell ref="A91:B91"/>
    <mergeCell ref="E91:F100"/>
    <mergeCell ref="A98:B98"/>
    <mergeCell ref="A99:B99"/>
    <mergeCell ref="A100:B100"/>
    <mergeCell ref="F101:H101"/>
    <mergeCell ref="F106:H106"/>
    <mergeCell ref="A39:B39"/>
    <mergeCell ref="C39:H39"/>
    <mergeCell ref="B384:H384"/>
    <mergeCell ref="A48:B48"/>
    <mergeCell ref="C48:H48"/>
    <mergeCell ref="B382:H382"/>
    <mergeCell ref="G91:H100"/>
    <mergeCell ref="A92:B92"/>
    <mergeCell ref="A93:B93"/>
    <mergeCell ref="A94:B94"/>
    <mergeCell ref="F103:H103"/>
    <mergeCell ref="A103:E103"/>
    <mergeCell ref="G360:H360"/>
    <mergeCell ref="G356:H356"/>
    <mergeCell ref="G353:H353"/>
    <mergeCell ref="D134:D135"/>
    <mergeCell ref="A105:E105"/>
    <mergeCell ref="A185:B185"/>
    <mergeCell ref="A186:B186"/>
    <mergeCell ref="A187:B187"/>
    <mergeCell ref="A188:B188"/>
    <mergeCell ref="A106:E106"/>
    <mergeCell ref="A89:B89"/>
    <mergeCell ref="C89:H89"/>
  </mergeCells>
  <hyperlinks>
    <hyperlink ref="C39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72" max="16383" man="1"/>
    <brk id="120" max="16383" man="1"/>
    <brk id="399" max="16383" man="1"/>
    <brk id="435" max="16383" man="1"/>
    <brk id="47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42" t="s">
        <v>108</v>
      </c>
      <c r="C3" s="242"/>
      <c r="D3" s="242"/>
      <c r="E3" s="242"/>
      <c r="F3" s="242"/>
      <c r="G3" s="242"/>
      <c r="H3" s="242"/>
    </row>
    <row r="4" spans="1:9" x14ac:dyDescent="0.3">
      <c r="A4" s="2"/>
      <c r="B4" s="3" t="s">
        <v>109</v>
      </c>
      <c r="C4" s="3" t="s">
        <v>110</v>
      </c>
      <c r="D4" s="3" t="s">
        <v>71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2025-09-09T07:45:25Z</cp:lastPrinted>
  <dcterms:created xsi:type="dcterms:W3CDTF">2019-07-16T09:29:46Z</dcterms:created>
  <dcterms:modified xsi:type="dcterms:W3CDTF">2025-09-09T07:47:58Z</dcterms:modified>
</cp:coreProperties>
</file>