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D:\Kunal\Sept 25\Axis\Dump\"/>
    </mc:Choice>
  </mc:AlternateContent>
  <xr:revisionPtr revIDLastSave="0" documentId="13_ncr:1_{2E8040FC-0C8C-4CED-AE69-841D7E725148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Report!$A$1:$H$317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1" l="1"/>
  <c r="C13" i="1" l="1"/>
  <c r="E3" i="1" l="1"/>
  <c r="I124" i="1" l="1"/>
  <c r="I161" i="1" l="1"/>
  <c r="D180" i="1"/>
  <c r="D179" i="1"/>
  <c r="D178" i="1"/>
  <c r="D168" i="1"/>
  <c r="D157" i="1"/>
  <c r="D150" i="1"/>
  <c r="I209" i="1"/>
  <c r="I178" i="1"/>
  <c r="I157" i="1"/>
  <c r="I150" i="1"/>
  <c r="I149" i="1"/>
  <c r="I148" i="1"/>
  <c r="I147" i="1"/>
  <c r="I153" i="1"/>
  <c r="F6" i="5"/>
  <c r="F5" i="5"/>
  <c r="C104" i="1"/>
  <c r="J115" i="1"/>
  <c r="J114" i="1"/>
  <c r="J113" i="1"/>
  <c r="J112" i="1"/>
  <c r="C46" i="1"/>
  <c r="D174" i="1" l="1"/>
  <c r="F174" i="1" s="1"/>
  <c r="D173" i="1"/>
  <c r="D172" i="1"/>
  <c r="D171" i="1"/>
  <c r="D170" i="1"/>
  <c r="D169" i="1"/>
  <c r="D164" i="1"/>
  <c r="D163" i="1"/>
  <c r="D162" i="1"/>
  <c r="D161" i="1"/>
  <c r="D160" i="1"/>
  <c r="D159" i="1"/>
  <c r="D158" i="1"/>
  <c r="D153" i="1"/>
  <c r="D152" i="1"/>
  <c r="D151" i="1"/>
  <c r="D149" i="1"/>
  <c r="D148" i="1"/>
  <c r="D147" i="1"/>
  <c r="G178" i="1"/>
  <c r="G179" i="1" s="1"/>
  <c r="G180" i="1" s="1"/>
  <c r="G168" i="1"/>
  <c r="G169" i="1" s="1"/>
  <c r="G170" i="1" s="1"/>
  <c r="G171" i="1" s="1"/>
  <c r="G172" i="1" s="1"/>
  <c r="G173" i="1" s="1"/>
  <c r="G174" i="1" s="1"/>
  <c r="G157" i="1"/>
  <c r="G158" i="1" s="1"/>
  <c r="G159" i="1" s="1"/>
  <c r="G160" i="1" s="1"/>
  <c r="G161" i="1" s="1"/>
  <c r="G162" i="1" s="1"/>
  <c r="G163" i="1" s="1"/>
  <c r="G164" i="1" s="1"/>
  <c r="G147" i="1"/>
  <c r="G148" i="1" s="1"/>
  <c r="G149" i="1" s="1"/>
  <c r="G150" i="1" s="1"/>
  <c r="G151" i="1" s="1"/>
  <c r="G152" i="1" s="1"/>
  <c r="G153" i="1" s="1"/>
  <c r="O157" i="1"/>
  <c r="O178" i="1"/>
  <c r="P147" i="1"/>
  <c r="P178" i="1"/>
  <c r="O147" i="1"/>
  <c r="O168" i="1"/>
  <c r="P168" i="1"/>
  <c r="P157" i="1"/>
  <c r="G136" i="1" l="1"/>
  <c r="C136" i="1"/>
  <c r="E136" i="1"/>
  <c r="E137" i="1"/>
  <c r="C137" i="1"/>
  <c r="G137" i="1"/>
  <c r="G135" i="1"/>
  <c r="E135" i="1"/>
  <c r="C135" i="1"/>
  <c r="G138" i="1"/>
  <c r="E138" i="1"/>
  <c r="C138" i="1"/>
  <c r="P179" i="1"/>
  <c r="P180" i="1" s="1"/>
  <c r="O179" i="1"/>
  <c r="N178" i="1"/>
  <c r="A178" i="1" s="1"/>
  <c r="O169" i="1"/>
  <c r="N168" i="1"/>
  <c r="A168" i="1" s="1"/>
  <c r="P169" i="1"/>
  <c r="P170" i="1" s="1"/>
  <c r="P171" i="1" s="1"/>
  <c r="P172" i="1" s="1"/>
  <c r="P173" i="1" s="1"/>
  <c r="P174" i="1" s="1"/>
  <c r="O158" i="1"/>
  <c r="N157" i="1"/>
  <c r="A157" i="1" s="1"/>
  <c r="P158" i="1"/>
  <c r="P159" i="1" s="1"/>
  <c r="P160" i="1" s="1"/>
  <c r="P161" i="1" s="1"/>
  <c r="P162" i="1" s="1"/>
  <c r="P163" i="1" s="1"/>
  <c r="P164" i="1" s="1"/>
  <c r="N147" i="1"/>
  <c r="A147" i="1" s="1"/>
  <c r="O148" i="1"/>
  <c r="P148" i="1"/>
  <c r="P149" i="1" s="1"/>
  <c r="P150" i="1" s="1"/>
  <c r="P151" i="1" s="1"/>
  <c r="P152" i="1" s="1"/>
  <c r="P153" i="1" s="1"/>
  <c r="C76" i="1"/>
  <c r="C62" i="1"/>
  <c r="J101" i="1"/>
  <c r="J100" i="1"/>
  <c r="J87" i="1"/>
  <c r="J86" i="1"/>
  <c r="J73" i="1"/>
  <c r="J72" i="1"/>
  <c r="H91" i="1"/>
  <c r="H77" i="1"/>
  <c r="H63" i="1"/>
  <c r="E139" i="1" l="1"/>
  <c r="C139" i="1"/>
  <c r="G139" i="1"/>
  <c r="O180" i="1"/>
  <c r="N179" i="1"/>
  <c r="A179" i="1" s="1"/>
  <c r="O170" i="1"/>
  <c r="N169" i="1"/>
  <c r="A169" i="1" s="1"/>
  <c r="O159" i="1"/>
  <c r="N158" i="1"/>
  <c r="A158" i="1" s="1"/>
  <c r="N148" i="1"/>
  <c r="A148" i="1" s="1"/>
  <c r="O149" i="1"/>
  <c r="D103" i="1"/>
  <c r="D99" i="1"/>
  <c r="J95" i="1"/>
  <c r="C94" i="1" s="1"/>
  <c r="J93" i="1"/>
  <c r="D98" i="1"/>
  <c r="D102" i="1"/>
  <c r="J96" i="1"/>
  <c r="J97" i="1" s="1"/>
  <c r="J102" i="1" s="1"/>
  <c r="J94" i="1"/>
  <c r="D97" i="1"/>
  <c r="D101" i="1"/>
  <c r="D100" i="1"/>
  <c r="D96" i="1"/>
  <c r="C82" i="1"/>
  <c r="D82" i="1" s="1"/>
  <c r="J80" i="1"/>
  <c r="J82" i="1"/>
  <c r="J83" i="1" s="1"/>
  <c r="J88" i="1" s="1"/>
  <c r="D89" i="1"/>
  <c r="D85" i="1"/>
  <c r="J81" i="1"/>
  <c r="C80" i="1" s="1"/>
  <c r="D80" i="1" s="1"/>
  <c r="J79" i="1"/>
  <c r="D87" i="1"/>
  <c r="D83" i="1"/>
  <c r="D86" i="1"/>
  <c r="D88" i="1"/>
  <c r="D84" i="1"/>
  <c r="C68" i="1"/>
  <c r="D68" i="1" s="1"/>
  <c r="D74" i="1"/>
  <c r="J66" i="1"/>
  <c r="D75" i="1"/>
  <c r="D71" i="1"/>
  <c r="J67" i="1"/>
  <c r="C66" i="1" s="1"/>
  <c r="D66" i="1" s="1"/>
  <c r="J65" i="1"/>
  <c r="D70" i="1"/>
  <c r="D73" i="1"/>
  <c r="D69" i="1"/>
  <c r="J68" i="1"/>
  <c r="J69" i="1" s="1"/>
  <c r="J74" i="1" s="1"/>
  <c r="D72" i="1"/>
  <c r="G46" i="1"/>
  <c r="G47" i="1" s="1"/>
  <c r="A182" i="1"/>
  <c r="O203" i="1"/>
  <c r="H105" i="1"/>
  <c r="O189" i="1"/>
  <c r="O196" i="1"/>
  <c r="J108" i="1" l="1"/>
  <c r="D117" i="1"/>
  <c r="D115" i="1"/>
  <c r="D113" i="1"/>
  <c r="D111" i="1"/>
  <c r="J109" i="1"/>
  <c r="C108" i="1" s="1"/>
  <c r="D108" i="1" s="1"/>
  <c r="J107" i="1"/>
  <c r="J110" i="1"/>
  <c r="J111" i="1" s="1"/>
  <c r="J116" i="1" s="1"/>
  <c r="J117" i="1" s="1"/>
  <c r="C109" i="1" s="1"/>
  <c r="D116" i="1"/>
  <c r="D114" i="1"/>
  <c r="D112" i="1"/>
  <c r="D110" i="1"/>
  <c r="N180" i="1"/>
  <c r="A180" i="1" s="1"/>
  <c r="O171" i="1"/>
  <c r="N170" i="1"/>
  <c r="A170" i="1" s="1"/>
  <c r="O160" i="1"/>
  <c r="N159" i="1"/>
  <c r="A159" i="1" s="1"/>
  <c r="N149" i="1"/>
  <c r="A149" i="1" s="1"/>
  <c r="O150" i="1"/>
  <c r="J98" i="1"/>
  <c r="J99" i="1" s="1"/>
  <c r="D94" i="1"/>
  <c r="J84" i="1"/>
  <c r="J85" i="1" s="1"/>
  <c r="J70" i="1"/>
  <c r="J71" i="1" s="1"/>
  <c r="A213" i="1"/>
  <c r="A214" i="1" s="1"/>
  <c r="A215" i="1" s="1"/>
  <c r="A216" i="1" s="1"/>
  <c r="A217" i="1" l="1"/>
  <c r="E108" i="1"/>
  <c r="I104" i="1" s="1"/>
  <c r="C106" i="1" s="1"/>
  <c r="D109" i="1"/>
  <c r="G108" i="1"/>
  <c r="O172" i="1"/>
  <c r="N171" i="1"/>
  <c r="A171" i="1" s="1"/>
  <c r="O161" i="1"/>
  <c r="N160" i="1"/>
  <c r="A160" i="1" s="1"/>
  <c r="O151" i="1"/>
  <c r="N150" i="1"/>
  <c r="A150" i="1" s="1"/>
  <c r="J103" i="1"/>
  <c r="C95" i="1" s="1"/>
  <c r="J89" i="1"/>
  <c r="C81" i="1" s="1"/>
  <c r="J75" i="1"/>
  <c r="C67" i="1" s="1"/>
  <c r="A183" i="1"/>
  <c r="A184" i="1" s="1"/>
  <c r="A185" i="1" s="1"/>
  <c r="A186" i="1" s="1"/>
  <c r="A187" i="1" s="1"/>
  <c r="P196" i="1"/>
  <c r="P203" i="1"/>
  <c r="P189" i="1"/>
  <c r="O173" i="1" l="1"/>
  <c r="N172" i="1"/>
  <c r="A172" i="1" s="1"/>
  <c r="O162" i="1"/>
  <c r="N161" i="1"/>
  <c r="A161" i="1" s="1"/>
  <c r="N151" i="1"/>
  <c r="A151" i="1" s="1"/>
  <c r="O152" i="1"/>
  <c r="E94" i="1"/>
  <c r="I90" i="1" s="1"/>
  <c r="C92" i="1" s="1"/>
  <c r="D95" i="1"/>
  <c r="G94" i="1"/>
  <c r="E80" i="1"/>
  <c r="I76" i="1" s="1"/>
  <c r="C78" i="1" s="1"/>
  <c r="D81" i="1"/>
  <c r="G80" i="1"/>
  <c r="E66" i="1"/>
  <c r="I62" i="1" s="1"/>
  <c r="C64" i="1" s="1"/>
  <c r="D67" i="1"/>
  <c r="G66" i="1"/>
  <c r="N189" i="1"/>
  <c r="N203" i="1"/>
  <c r="N196" i="1"/>
  <c r="O174" i="1" l="1"/>
  <c r="N173" i="1"/>
  <c r="A173" i="1" s="1"/>
  <c r="O163" i="1"/>
  <c r="N162" i="1"/>
  <c r="A162" i="1" s="1"/>
  <c r="N152" i="1"/>
  <c r="A152" i="1" s="1"/>
  <c r="O153" i="1"/>
  <c r="N153" i="1" s="1"/>
  <c r="A153" i="1" s="1"/>
  <c r="N174" i="1" l="1"/>
  <c r="A174" i="1" s="1"/>
  <c r="N163" i="1"/>
  <c r="A163" i="1" s="1"/>
  <c r="O164" i="1"/>
  <c r="N164" i="1" s="1"/>
  <c r="A164" i="1" s="1"/>
  <c r="D61" i="1" l="1"/>
  <c r="F118" i="1" s="1"/>
  <c r="E40" i="1" l="1"/>
  <c r="E41" i="1" s="1"/>
  <c r="F199" i="1" l="1"/>
  <c r="F208" i="1"/>
  <c r="F207" i="1"/>
  <c r="F206" i="1"/>
  <c r="F205" i="1"/>
  <c r="F204" i="1"/>
  <c r="G203" i="1"/>
  <c r="G204" i="1" s="1"/>
  <c r="G205" i="1" s="1"/>
  <c r="G206" i="1" s="1"/>
  <c r="G207" i="1" s="1"/>
  <c r="G208" i="1" s="1"/>
  <c r="F203" i="1"/>
  <c r="F201" i="1"/>
  <c r="F194" i="1"/>
  <c r="F193" i="1"/>
  <c r="F192" i="1"/>
  <c r="F191" i="1"/>
  <c r="F190" i="1"/>
  <c r="F189" i="1"/>
  <c r="F200" i="1"/>
  <c r="F198" i="1"/>
  <c r="F197" i="1"/>
  <c r="F196" i="1"/>
  <c r="F183" i="1"/>
  <c r="F184" i="1"/>
  <c r="F185" i="1"/>
  <c r="F186" i="1"/>
  <c r="F187" i="1"/>
  <c r="F182" i="1"/>
  <c r="D59" i="1"/>
  <c r="O204" i="1" l="1"/>
  <c r="O190" i="1"/>
  <c r="G196" i="1"/>
  <c r="G197" i="1" s="1"/>
  <c r="G198" i="1" s="1"/>
  <c r="G199" i="1" s="1"/>
  <c r="G200" i="1" s="1"/>
  <c r="G201" i="1" s="1"/>
  <c r="A203" i="1" l="1"/>
  <c r="A189" i="1"/>
  <c r="P190" i="1"/>
  <c r="P191" i="1" s="1"/>
  <c r="P192" i="1" s="1"/>
  <c r="P193" i="1" s="1"/>
  <c r="P194" i="1" s="1"/>
  <c r="P204" i="1"/>
  <c r="P205" i="1" s="1"/>
  <c r="P206" i="1" s="1"/>
  <c r="P207" i="1" s="1"/>
  <c r="P208" i="1" s="1"/>
  <c r="O205" i="1"/>
  <c r="O191" i="1"/>
  <c r="O197" i="1"/>
  <c r="G189" i="1"/>
  <c r="G190" i="1" s="1"/>
  <c r="G191" i="1" s="1"/>
  <c r="G192" i="1" s="1"/>
  <c r="G193" i="1" s="1"/>
  <c r="G194" i="1" s="1"/>
  <c r="G182" i="1"/>
  <c r="G183" i="1" s="1"/>
  <c r="G184" i="1" s="1"/>
  <c r="G185" i="1" s="1"/>
  <c r="G186" i="1" s="1"/>
  <c r="G187" i="1" s="1"/>
  <c r="E24" i="1"/>
  <c r="E22" i="1"/>
  <c r="N205" i="1" l="1"/>
  <c r="A205" i="1" s="1"/>
  <c r="N204" i="1"/>
  <c r="A204" i="1" s="1"/>
  <c r="N190" i="1"/>
  <c r="A190" i="1" s="1"/>
  <c r="N191" i="1"/>
  <c r="A191" i="1" s="1"/>
  <c r="A196" i="1"/>
  <c r="O206" i="1"/>
  <c r="N206" i="1" s="1"/>
  <c r="O192" i="1"/>
  <c r="N192" i="1" s="1"/>
  <c r="P197" i="1"/>
  <c r="P198" i="1" s="1"/>
  <c r="P199" i="1" s="1"/>
  <c r="P200" i="1" s="1"/>
  <c r="P201" i="1" s="1"/>
  <c r="O198" i="1"/>
  <c r="G6" i="5"/>
  <c r="G5" i="5"/>
  <c r="G7" i="5" s="1"/>
  <c r="N197" i="1" l="1"/>
  <c r="A197" i="1" s="1"/>
  <c r="N198" i="1"/>
  <c r="A198" i="1" s="1"/>
  <c r="A192" i="1"/>
  <c r="O207" i="1"/>
  <c r="N207" i="1" s="1"/>
  <c r="A206" i="1"/>
  <c r="O193" i="1"/>
  <c r="N193" i="1" s="1"/>
  <c r="O199" i="1"/>
  <c r="N199" i="1" s="1"/>
  <c r="O208" i="1" l="1"/>
  <c r="N208" i="1" s="1"/>
  <c r="A207" i="1"/>
  <c r="A193" i="1"/>
  <c r="O194" i="1"/>
  <c r="N194" i="1" s="1"/>
  <c r="A199" i="1"/>
  <c r="O200" i="1"/>
  <c r="N200" i="1" s="1"/>
  <c r="A208" i="1" l="1"/>
  <c r="A200" i="1"/>
  <c r="O201" i="1"/>
  <c r="N201" i="1" s="1"/>
  <c r="A194" i="1"/>
  <c r="A201" i="1" l="1"/>
  <c r="D234" i="1" l="1"/>
  <c r="F132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E36" i="3" l="1"/>
  <c r="D34" i="3"/>
  <c r="D36" i="3" s="1"/>
</calcChain>
</file>

<file path=xl/sharedStrings.xml><?xml version="1.0" encoding="utf-8"?>
<sst xmlns="http://schemas.openxmlformats.org/spreadsheetml/2006/main" count="442" uniqueCount="246">
  <si>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</si>
  <si>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</si>
  <si>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</si>
  <si>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</si>
  <si>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</si>
  <si>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</si>
  <si>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</si>
  <si>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</si>
  <si>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</si>
  <si>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</si>
  <si>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</si>
  <si>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</si>
  <si>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</si>
  <si>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</si>
  <si>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</si>
  <si>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</si>
  <si>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</si>
  <si>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</si>
  <si>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</si>
  <si>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</si>
  <si>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</si>
  <si>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</si>
  <si>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</si>
  <si>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</si>
  <si>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</si>
  <si>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</si>
  <si>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</si>
  <si>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</si>
  <si>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</si>
  <si>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</si>
  <si>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</si>
  <si>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</si>
  <si>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</si>
  <si>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</si>
  <si>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</si>
  <si>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</si>
  <si>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</si>
  <si>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</si>
  <si>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</si>
  <si>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</si>
  <si>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</si>
  <si>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</si>
  <si>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</si>
  <si>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</si>
  <si>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</si>
  <si>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</si>
  <si>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</si>
  <si>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</si>
  <si>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</si>
  <si>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</si>
  <si>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</si>
  <si>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</si>
  <si>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</si>
  <si>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</si>
  <si>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</si>
  <si>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</si>
  <si>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</si>
  <si>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</si>
  <si>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</si>
  <si>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</si>
  <si>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</si>
  <si>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</si>
  <si>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</si>
  <si>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</si>
  <si>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</si>
  <si>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</si>
  <si>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</si>
  <si>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</si>
  <si>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</si>
  <si>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</si>
  <si>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</si>
  <si>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</si>
  <si>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</si>
  <si>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</si>
  <si>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</si>
  <si>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</si>
  <si>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</si>
  <si>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</si>
  <si>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</si>
  <si>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</si>
  <si>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</si>
  <si>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</si>
  <si>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</si>
  <si>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</si>
  <si>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</si>
  <si>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</si>
  <si>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</si>
  <si>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</si>
  <si>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</si>
  <si>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</si>
  <si>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</si>
  <si>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</si>
  <si>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</si>
  <si>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</si>
  <si>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</si>
  <si>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</si>
  <si>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</si>
  <si>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</si>
  <si>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</si>
  <si>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</si>
  <si>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</si>
  <si>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</si>
  <si>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</si>
  <si>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</si>
  <si>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</si>
  <si>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</si>
  <si>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</si>
  <si>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</si>
  <si>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</si>
  <si>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</si>
  <si>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</si>
  <si>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</si>
  <si>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</si>
  <si>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</si>
  <si>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</si>
  <si>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</si>
  <si>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</si>
  <si>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</si>
  <si>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</si>
  <si>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</si>
  <si>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</si>
  <si>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</si>
  <si>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</si>
  <si>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</si>
  <si>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</si>
  <si>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</si>
  <si>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</si>
  <si>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</si>
  <si>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</si>
  <si>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</si>
  <si>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</si>
  <si>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</si>
  <si>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</si>
  <si>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</si>
  <si>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</si>
  <si>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</si>
  <si>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</si>
  <si>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</si>
  <si>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</si>
  <si>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</si>
  <si>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</si>
  <si>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</si>
  <si>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</si>
  <si>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</si>
  <si>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</si>
  <si>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</si>
  <si>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</si>
  <si>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</si>
  <si>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</si>
  <si>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</si>
  <si>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</si>
  <si>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</si>
  <si>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</si>
  <si>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</si>
  <si>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</si>
  <si>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</si>
  <si>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</si>
  <si>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</si>
  <si>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</si>
  <si>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</si>
  <si>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</si>
  <si>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</si>
  <si>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</si>
  <si>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</si>
  <si>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</si>
  <si>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</si>
  <si>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</si>
  <si>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</si>
  <si>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</si>
  <si>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</si>
  <si>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</si>
  <si>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</si>
  <si>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</si>
  <si>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</si>
  <si>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</si>
  <si>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</si>
  <si>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</si>
  <si>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</si>
  <si>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</si>
  <si>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&amp; 5th Floor</t>
  </si>
  <si>
    <t>2nd, 3rd, 4th, 6th, 8th, 7th, 9th Floor</t>
  </si>
  <si>
    <t>Basement 1</t>
  </si>
  <si>
    <t>Plinth in process</t>
  </si>
  <si>
    <t>Ground Floor For Parking</t>
  </si>
  <si>
    <t>1st to 3rd Floor</t>
  </si>
  <si>
    <t>A Wing</t>
  </si>
  <si>
    <t>1RK</t>
  </si>
  <si>
    <t>1BHK</t>
  </si>
  <si>
    <t>B Wing</t>
  </si>
  <si>
    <t>C Wing</t>
  </si>
  <si>
    <t>D Wing</t>
  </si>
  <si>
    <t>MS/LNA-1/SR/232/2015</t>
  </si>
  <si>
    <t>Axis Sanpada</t>
  </si>
  <si>
    <t>Tulip</t>
  </si>
  <si>
    <t>Wing A to D</t>
  </si>
  <si>
    <t xml:space="preserve">P52000022091
</t>
  </si>
  <si>
    <t>Newali</t>
  </si>
  <si>
    <t>Village</t>
  </si>
  <si>
    <t>Panvel</t>
  </si>
  <si>
    <t>Raigad</t>
  </si>
  <si>
    <t>Panvel Waterfall Road</t>
  </si>
  <si>
    <t>Open plot</t>
  </si>
  <si>
    <t>Hill View Residency Road</t>
  </si>
  <si>
    <t>Kartik Residency</t>
  </si>
  <si>
    <t>4.4Km from Panvel Railway Station</t>
  </si>
  <si>
    <t>S No</t>
  </si>
  <si>
    <t>03 &amp; Hissa No.04</t>
  </si>
  <si>
    <t>23/11/2015.</t>
  </si>
  <si>
    <t>MS/LNA-1(B)/SR/232/2015</t>
  </si>
  <si>
    <t xml:space="preserve">Valid Up to: Wing A to D =  Gr + 1st to 3rd Floor </t>
  </si>
  <si>
    <t xml:space="preserve">Wing A to D =  Gr + 1st to 3rd Floor </t>
  </si>
  <si>
    <t xml:space="preserve">Wing A =  Gr + 1st to 3rd Floor </t>
  </si>
  <si>
    <t xml:space="preserve">Wing B =  Gr + 1st to 3rd Floor </t>
  </si>
  <si>
    <t xml:space="preserve">Wing D =  Gr + 1st to 3rd Floor </t>
  </si>
  <si>
    <t>Residential</t>
  </si>
  <si>
    <t>Flats - 75</t>
  </si>
  <si>
    <t>housing</t>
  </si>
  <si>
    <t>Hill View Residency</t>
  </si>
  <si>
    <t>We considered  Saleable area  as per our Builder area sheet.</t>
  </si>
  <si>
    <t xml:space="preserve">Builder Saleable area
</t>
  </si>
  <si>
    <t>Mr.Walmik Raghunath Khairnar</t>
  </si>
  <si>
    <t>We considered Gross carpet area = Net carpet + Enclose balcony + C.B Area.</t>
  </si>
  <si>
    <t>M/s.Om Sai Associates</t>
  </si>
  <si>
    <t>150000/-</t>
  </si>
  <si>
    <t>1st to 3rd Floor For Residential</t>
  </si>
  <si>
    <t>Development Charges</t>
  </si>
  <si>
    <t>Recommended rate should be considered as all inclusive rate if other charges are not mentioned. (Excluding GST &amp; other government Taxes)</t>
  </si>
  <si>
    <t xml:space="preserve">Wing A </t>
  </si>
  <si>
    <t>On Site, we meet Mr.Aniket Thange - 7208187851.</t>
  </si>
  <si>
    <t>4 Building</t>
  </si>
  <si>
    <t xml:space="preserve">Construction work same as visit date. 15/09/2021. </t>
  </si>
  <si>
    <t>Latitude, Longitude</t>
  </si>
  <si>
    <t>Location Link</t>
  </si>
  <si>
    <t>https://goo.gl/maps/BHunZ1t9oA1bTiNF8</t>
  </si>
  <si>
    <t>Office No. 1031, Wing J, Akshar Business Park, Plot No. 03 Sector 25, Near APMC Market,
 Vashi, Navi Mumbai, Maharashtra 400703 TEL: 022-46090378/79/80                                                                      
 E mail : vsjcapf@gmail.com. Web site : www.vsjadon.com</t>
  </si>
  <si>
    <t xml:space="preserve">Wing C &amp; D =  Gr + 1st to 3rd Floor </t>
  </si>
  <si>
    <t>19.022842,73.126166</t>
  </si>
  <si>
    <t xml:space="preserve">Construction work was stopped at the time of visit.
Some tenants are occupying flats, but Lift, Meter &amp; finishing work is Pending.
</t>
  </si>
  <si>
    <t>Wing A &amp; C</t>
  </si>
  <si>
    <t>Wing B &amp; D</t>
  </si>
  <si>
    <t>The project has received first CC on 23/11/2015, But construction work is not yet completed.</t>
  </si>
  <si>
    <t xml:space="preserve">The project has received first CC on 23/11/2015, But construction work is not yet Completed. Please provide revised approved CC. </t>
  </si>
  <si>
    <t>As per RERA - 31/12/2025</t>
  </si>
  <si>
    <t>Ravindra Vishwakarma</t>
  </si>
  <si>
    <t>Construction work is same as last visit dtd. 12/12/2024 but work is in process at the time of visit (Very Slow speed).</t>
  </si>
  <si>
    <t>Kunal Kadam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</si>
</sst>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4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5" fontId="6" fillId="0" borderId="0" applyFont="0" applyFill="0" applyBorder="0" applyAlignment="0" applyProtection="0"/>
    <xf numFmtId="0" fontId="21" fillId="0" borderId="0"/>
    <xf numFmtId="0" fontId="23" fillId="0" borderId="0" applyNumberFormat="0" applyFill="0" applyBorder="0" applyAlignment="0" applyProtection="0"/>
  </cellStyleXfs>
  <cellXfs count="169">
    <xf numFmtId="0" fontId="0" fillId="0" borderId="0" xfId="0"/>
    <xf numFmtId="0" fontId="0" fillId="2" borderId="1" xfId="0" applyFill="1" applyBorder="1"/>
    <xf numFmtId="0" fontId="0" fillId="0" borderId="2" xfId="0" applyBorder="1"/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0" fillId="0" borderId="1" xfId="0" applyBorder="1"/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20" fillId="0" borderId="0" xfId="4" applyFont="1"/>
    <xf numFmtId="0" fontId="2" fillId="0" borderId="1" xfId="5" applyBorder="1" applyAlignment="1">
      <alignment horizontal="center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0" fontId="18" fillId="0" borderId="0" xfId="0" applyFont="1" applyProtection="1">
      <protection hidden="1"/>
    </xf>
    <xf numFmtId="0" fontId="8" fillId="0" borderId="11" xfId="1" applyFont="1" applyBorder="1" applyProtection="1">
      <protection hidden="1"/>
    </xf>
    <xf numFmtId="0" fontId="8" fillId="0" borderId="0" xfId="1" applyFont="1" applyProtection="1">
      <protection hidden="1"/>
    </xf>
    <xf numFmtId="0" fontId="18" fillId="0" borderId="14" xfId="0" applyFont="1" applyBorder="1" applyProtection="1">
      <protection hidden="1"/>
    </xf>
    <xf numFmtId="0" fontId="13" fillId="0" borderId="5" xfId="1" applyFont="1" applyBorder="1" applyAlignment="1" applyProtection="1">
      <alignment horizontal="center" vertical="top"/>
      <protection locked="0"/>
    </xf>
    <xf numFmtId="0" fontId="1" fillId="0" borderId="1" xfId="5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0" fontId="13" fillId="0" borderId="1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8" fillId="0" borderId="0" xfId="1" applyFont="1"/>
    <xf numFmtId="0" fontId="16" fillId="0" borderId="0" xfId="1" applyFont="1"/>
    <xf numFmtId="0" fontId="13" fillId="0" borderId="1" xfId="1" applyFont="1" applyBorder="1" applyAlignment="1" applyProtection="1">
      <alignment vertical="top"/>
      <protection locked="0"/>
    </xf>
    <xf numFmtId="0" fontId="13" fillId="0" borderId="0" xfId="1" applyFont="1"/>
    <xf numFmtId="1" fontId="8" fillId="0" borderId="0" xfId="1" applyNumberFormat="1" applyFont="1"/>
    <xf numFmtId="14" fontId="8" fillId="0" borderId="0" xfId="1" applyNumberFormat="1" applyFont="1"/>
    <xf numFmtId="0" fontId="8" fillId="0" borderId="12" xfId="1" applyFont="1" applyBorder="1" applyProtection="1">
      <protection hidden="1"/>
    </xf>
    <xf numFmtId="0" fontId="8" fillId="0" borderId="13" xfId="1" applyFont="1" applyBorder="1" applyProtection="1">
      <protection hidden="1"/>
    </xf>
    <xf numFmtId="0" fontId="8" fillId="0" borderId="13" xfId="1" applyFont="1" applyBorder="1"/>
    <xf numFmtId="0" fontId="13" fillId="0" borderId="1" xfId="1" applyFont="1" applyBorder="1" applyAlignment="1" applyProtection="1">
      <alignment horizontal="center" wrapText="1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0" fontId="18" fillId="0" borderId="13" xfId="0" applyFont="1" applyBorder="1" applyProtection="1"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1" fontId="0" fillId="0" borderId="13" xfId="0" applyNumberFormat="1" applyBorder="1"/>
    <xf numFmtId="1" fontId="0" fillId="0" borderId="13" xfId="0" applyNumberFormat="1" applyBorder="1" applyAlignment="1">
      <alignment horizontal="right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0" borderId="7" xfId="1" applyNumberFormat="1" applyFont="1" applyBorder="1" applyAlignment="1" applyProtection="1">
      <alignment horizontal="center" vertical="center" wrapText="1"/>
      <protection hidden="1"/>
    </xf>
    <xf numFmtId="1" fontId="0" fillId="0" borderId="15" xfId="0" applyNumberFormat="1" applyBorder="1"/>
    <xf numFmtId="0" fontId="17" fillId="0" borderId="0" xfId="1" applyFont="1"/>
    <xf numFmtId="0" fontId="7" fillId="0" borderId="0" xfId="2" applyFont="1"/>
    <xf numFmtId="0" fontId="8" fillId="0" borderId="0" xfId="0" applyFont="1" applyAlignment="1">
      <alignment horizontal="center" vertical="center"/>
    </xf>
    <xf numFmtId="1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1" fontId="9" fillId="0" borderId="30" xfId="0" applyNumberFormat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164" fontId="7" fillId="0" borderId="1" xfId="1" applyNumberFormat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25" xfId="1" applyFont="1" applyBorder="1" applyAlignment="1" applyProtection="1">
      <alignment horizontal="left" vertical="top" wrapText="1"/>
      <protection locked="0"/>
    </xf>
    <xf numFmtId="0" fontId="14" fillId="0" borderId="18" xfId="1" applyFont="1" applyBorder="1" applyAlignment="1" applyProtection="1">
      <alignment horizontal="left" vertical="top" wrapText="1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26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9" fontId="13" fillId="0" borderId="1" xfId="1" applyNumberFormat="1" applyFont="1" applyBorder="1" applyAlignment="1" applyProtection="1">
      <alignment horizontal="center" vertical="center" wrapText="1"/>
      <protection hidden="1"/>
    </xf>
    <xf numFmtId="9" fontId="13" fillId="0" borderId="7" xfId="1" applyNumberFormat="1" applyFont="1" applyBorder="1" applyAlignment="1" applyProtection="1">
      <alignment horizontal="center" vertical="center" wrapText="1"/>
      <protection hidden="1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/>
      <protection locked="0"/>
    </xf>
    <xf numFmtId="0" fontId="13" fillId="0" borderId="17" xfId="1" applyFont="1" applyBorder="1" applyAlignment="1" applyProtection="1">
      <alignment horizontal="left" vertical="top"/>
      <protection locked="0"/>
    </xf>
    <xf numFmtId="0" fontId="13" fillId="0" borderId="18" xfId="1" applyFont="1" applyBorder="1" applyAlignment="1" applyProtection="1">
      <alignment horizontal="left" vertical="top"/>
      <protection locked="0"/>
    </xf>
    <xf numFmtId="0" fontId="7" fillId="0" borderId="19" xfId="1" applyFont="1" applyBorder="1" applyAlignment="1" applyProtection="1">
      <alignment horizontal="left" vertical="top" wrapText="1"/>
      <protection locked="0"/>
    </xf>
    <xf numFmtId="9" fontId="13" fillId="0" borderId="5" xfId="1" applyNumberFormat="1" applyFont="1" applyBorder="1" applyAlignment="1" applyProtection="1">
      <alignment horizontal="center" vertical="center" wrapText="1"/>
      <protection hidden="1"/>
    </xf>
    <xf numFmtId="9" fontId="13" fillId="0" borderId="8" xfId="1" applyNumberFormat="1" applyFont="1" applyBorder="1" applyAlignment="1" applyProtection="1">
      <alignment horizontal="center" vertical="center" wrapText="1"/>
      <protection hidden="1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8" fillId="0" borderId="9" xfId="1" applyFont="1" applyBorder="1" applyAlignment="1" applyProtection="1">
      <alignment horizontal="left"/>
      <protection locked="0"/>
    </xf>
    <xf numFmtId="0" fontId="8" fillId="0" borderId="24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23" fillId="0" borderId="9" xfId="8" applyFill="1" applyBorder="1" applyAlignment="1" applyProtection="1">
      <alignment horizontal="left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 vertical="center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24" xfId="0" applyNumberFormat="1" applyFont="1" applyBorder="1" applyAlignment="1" applyProtection="1">
      <alignment vertical="top" wrapText="1"/>
      <protection locked="0"/>
    </xf>
    <xf numFmtId="1" fontId="9" fillId="0" borderId="10" xfId="0" applyNumberFormat="1" applyFont="1" applyBorder="1" applyAlignment="1" applyProtection="1">
      <alignment vertical="top" wrapText="1"/>
      <protection locked="0"/>
    </xf>
    <xf numFmtId="1" fontId="14" fillId="0" borderId="1" xfId="0" applyNumberFormat="1" applyFont="1" applyBorder="1" applyAlignment="1" applyProtection="1">
      <alignment horizontal="left" vertical="top" wrapText="1"/>
      <protection locked="0"/>
    </xf>
    <xf numFmtId="1" fontId="14" fillId="0" borderId="1" xfId="0" applyNumberFormat="1" applyFont="1" applyBorder="1" applyAlignment="1" applyProtection="1">
      <alignment horizontal="left" vertical="top"/>
      <protection locked="0"/>
    </xf>
    <xf numFmtId="1" fontId="9" fillId="0" borderId="3" xfId="0" applyNumberFormat="1" applyFont="1" applyBorder="1" applyAlignment="1" applyProtection="1">
      <alignment horizontal="center" vertical="top" wrapText="1"/>
      <protection locked="0"/>
    </xf>
    <xf numFmtId="1" fontId="9" fillId="0" borderId="30" xfId="0" applyNumberFormat="1" applyFont="1" applyBorder="1" applyAlignment="1" applyProtection="1">
      <alignment horizontal="center" vertical="top" wrapText="1"/>
      <protection locked="0"/>
    </xf>
    <xf numFmtId="1" fontId="14" fillId="0" borderId="9" xfId="0" applyNumberFormat="1" applyFont="1" applyBorder="1" applyAlignment="1" applyProtection="1">
      <alignment horizontal="left" vertical="top" wrapText="1"/>
      <protection locked="0"/>
    </xf>
    <xf numFmtId="1" fontId="14" fillId="0" borderId="10" xfId="0" applyNumberFormat="1" applyFont="1" applyBorder="1" applyAlignment="1" applyProtection="1">
      <alignment horizontal="left" vertical="top" wrapText="1"/>
      <protection locked="0"/>
    </xf>
    <xf numFmtId="1" fontId="14" fillId="0" borderId="24" xfId="0" applyNumberFormat="1" applyFont="1" applyBorder="1" applyAlignment="1" applyProtection="1">
      <alignment horizontal="left" vertical="top" wrapText="1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3" fillId="0" borderId="28" xfId="1" applyFont="1" applyBorder="1" applyAlignment="1" applyProtection="1">
      <alignment horizontal="left" vertical="top" wrapText="1"/>
      <protection locked="0"/>
    </xf>
    <xf numFmtId="0" fontId="13" fillId="0" borderId="0" xfId="1" applyFont="1" applyAlignment="1" applyProtection="1">
      <alignment horizontal="left" vertical="top" wrapText="1"/>
      <protection locked="0"/>
    </xf>
    <xf numFmtId="0" fontId="13" fillId="0" borderId="29" xfId="1" applyFont="1" applyBorder="1" applyAlignment="1" applyProtection="1">
      <alignment horizontal="left" vertical="top" wrapText="1"/>
      <protection locked="0"/>
    </xf>
    <xf numFmtId="0" fontId="13" fillId="0" borderId="22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0" borderId="1" xfId="5" applyFont="1" applyBorder="1" applyAlignment="1">
      <alignment horizontal="left"/>
    </xf>
  </cellXfs>
  <cellStyles count="9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21" Type="http://schemas.openxmlformats.org/officeDocument/2006/relationships/image" Target="../media/image21.jp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627529</xdr:colOff>
      <xdr:row>278</xdr:row>
      <xdr:rowOff>78442</xdr:rowOff>
    </xdr:from>
    <xdr:to>
      <xdr:col>7</xdr:col>
      <xdr:colOff>263448</xdr:colOff>
      <xdr:row>296</xdr:row>
      <xdr:rowOff>47737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7529" y="51849618"/>
          <a:ext cx="5765537" cy="3600001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627529</xdr:colOff>
      <xdr:row>296</xdr:row>
      <xdr:rowOff>186236</xdr:rowOff>
    </xdr:from>
    <xdr:to>
      <xdr:col>7</xdr:col>
      <xdr:colOff>263448</xdr:colOff>
      <xdr:row>314</xdr:row>
      <xdr:rowOff>155530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27529" y="55588118"/>
          <a:ext cx="5765537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12</xdr:col>
      <xdr:colOff>481924</xdr:colOff>
      <xdr:row>241</xdr:row>
      <xdr:rowOff>136525</xdr:rowOff>
    </xdr:from>
    <xdr:ext cx="638508" cy="280205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10340299" y="40265350"/>
          <a:ext cx="638508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</a:t>
          </a:r>
          <a:r>
            <a:rPr lang="en-IN" sz="1200" b="1" baseline="0"/>
            <a:t> B</a:t>
          </a:r>
          <a:endParaRPr lang="en-IN" sz="1200" b="1"/>
        </a:p>
      </xdr:txBody>
    </xdr:sp>
    <xdr:clientData/>
  </xdr:oneCellAnchor>
  <xdr:oneCellAnchor>
    <xdr:from>
      <xdr:col>8</xdr:col>
      <xdr:colOff>987425</xdr:colOff>
      <xdr:row>242</xdr:row>
      <xdr:rowOff>142352</xdr:rowOff>
    </xdr:from>
    <xdr:ext cx="633700" cy="280205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7512050" y="40471202"/>
          <a:ext cx="633700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</a:t>
          </a:r>
          <a:r>
            <a:rPr lang="en-IN" sz="1200" b="1" baseline="0"/>
            <a:t> C</a:t>
          </a:r>
          <a:endParaRPr lang="en-IN" sz="1200" b="1"/>
        </a:p>
      </xdr:txBody>
    </xdr:sp>
    <xdr:clientData/>
  </xdr:oneCellAnchor>
  <xdr:oneCellAnchor>
    <xdr:from>
      <xdr:col>11</xdr:col>
      <xdr:colOff>432713</xdr:colOff>
      <xdr:row>242</xdr:row>
      <xdr:rowOff>116952</xdr:rowOff>
    </xdr:from>
    <xdr:ext cx="649280" cy="280205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9586238" y="40445802"/>
          <a:ext cx="649280" cy="280205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200" b="1"/>
            <a:t>Wing</a:t>
          </a:r>
          <a:r>
            <a:rPr lang="en-IN" sz="1200" b="1" baseline="0"/>
            <a:t> D</a:t>
          </a:r>
          <a:endParaRPr lang="en-IN" sz="1200" b="1"/>
        </a:p>
      </xdr:txBody>
    </xdr:sp>
    <xdr:clientData/>
  </xdr:oneCellAnchor>
  <xdr:twoCellAnchor>
    <xdr:from>
      <xdr:col>8</xdr:col>
      <xdr:colOff>462915</xdr:colOff>
      <xdr:row>233</xdr:row>
      <xdr:rowOff>45721</xdr:rowOff>
    </xdr:from>
    <xdr:to>
      <xdr:col>20</xdr:col>
      <xdr:colOff>266810</xdr:colOff>
      <xdr:row>274</xdr:row>
      <xdr:rowOff>7620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6AC6E6E6-1646-4B9A-9EBD-B701DBF60238}"/>
            </a:ext>
          </a:extLst>
        </xdr:cNvPr>
        <xdr:cNvGrpSpPr/>
      </xdr:nvGrpSpPr>
      <xdr:grpSpPr>
        <a:xfrm>
          <a:off x="7160895" y="38839141"/>
          <a:ext cx="6547595" cy="8077199"/>
          <a:chOff x="311889" y="266729"/>
          <a:chExt cx="6399005" cy="8433769"/>
        </a:xfrm>
      </xdr:grpSpPr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5BACF006-F001-4EE4-AF50-ABAD9D24788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972671" y="2774799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19BE37A9-3CEC-4813-AE0C-06693E05E0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593783" y="266729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B9923E30-11C0-49AD-BF26-5065A00076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1889" y="276288"/>
            <a:ext cx="3117111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2E9BE911-2644-4096-98C9-7B7F20B4F4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2468" y="529242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>
            <a:extLst>
              <a:ext uri="{FF2B5EF4-FFF2-40B4-BE49-F238E27FC236}">
                <a16:creationId xmlns:a16="http://schemas.microsoft.com/office/drawing/2014/main" id="{27F69A5C-F0EF-4EB8-A724-5EBC49D324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45189" y="5292428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2" name="Picture 41">
            <a:extLst>
              <a:ext uri="{FF2B5EF4-FFF2-40B4-BE49-F238E27FC236}">
                <a16:creationId xmlns:a16="http://schemas.microsoft.com/office/drawing/2014/main" id="{3A15FD5B-0CFF-4410-A4F6-91B2864760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97910" y="5292428"/>
            <a:ext cx="2397778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49" name="Picture 48">
            <a:extLst>
              <a:ext uri="{FF2B5EF4-FFF2-40B4-BE49-F238E27FC236}">
                <a16:creationId xmlns:a16="http://schemas.microsoft.com/office/drawing/2014/main" id="{E2F57199-9A99-4091-9A6F-393229BB010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95947" y="7260498"/>
            <a:ext cx="1078875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0" name="Picture 49">
            <a:extLst>
              <a:ext uri="{FF2B5EF4-FFF2-40B4-BE49-F238E27FC236}">
                <a16:creationId xmlns:a16="http://schemas.microsoft.com/office/drawing/2014/main" id="{F4DD20F9-5B78-4E1D-AA3D-11B19ED64C0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4545" y="7260498"/>
            <a:ext cx="1918222" cy="14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1" name="TextBox 123">
            <a:extLst>
              <a:ext uri="{FF2B5EF4-FFF2-40B4-BE49-F238E27FC236}">
                <a16:creationId xmlns:a16="http://schemas.microsoft.com/office/drawing/2014/main" id="{5C68B525-BDC5-4289-A0ED-567907BDA27B}"/>
              </a:ext>
            </a:extLst>
          </xdr:cNvPr>
          <xdr:cNvSpPr txBox="1"/>
        </xdr:nvSpPr>
        <xdr:spPr>
          <a:xfrm>
            <a:off x="577277" y="417385"/>
            <a:ext cx="1104790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A Wing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52" name="TextBox 124">
            <a:extLst>
              <a:ext uri="{FF2B5EF4-FFF2-40B4-BE49-F238E27FC236}">
                <a16:creationId xmlns:a16="http://schemas.microsoft.com/office/drawing/2014/main" id="{68129CBE-213C-49E1-A018-83E5CD3FD6D9}"/>
              </a:ext>
            </a:extLst>
          </xdr:cNvPr>
          <xdr:cNvSpPr txBox="1"/>
        </xdr:nvSpPr>
        <xdr:spPr>
          <a:xfrm>
            <a:off x="3703429" y="266729"/>
            <a:ext cx="1104790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B Wing</a:t>
            </a:r>
            <a:endParaRPr lang="en-IN" sz="2400" b="1">
              <a:solidFill>
                <a:srgbClr val="FF0000"/>
              </a:solidFill>
            </a:endParaRPr>
          </a:p>
        </xdr:txBody>
      </xdr:sp>
      <xdr:sp macro="" textlink="">
        <xdr:nvSpPr>
          <xdr:cNvPr id="53" name="TextBox 125">
            <a:extLst>
              <a:ext uri="{FF2B5EF4-FFF2-40B4-BE49-F238E27FC236}">
                <a16:creationId xmlns:a16="http://schemas.microsoft.com/office/drawing/2014/main" id="{11FD70B6-3126-4427-ADC3-7FAC53BCC198}"/>
              </a:ext>
            </a:extLst>
          </xdr:cNvPr>
          <xdr:cNvSpPr txBox="1"/>
        </xdr:nvSpPr>
        <xdr:spPr>
          <a:xfrm>
            <a:off x="1406144" y="2757385"/>
            <a:ext cx="1125081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C Wing</a:t>
            </a:r>
            <a:endParaRPr lang="en-IN" sz="2400" b="1">
              <a:solidFill>
                <a:srgbClr val="FF0000"/>
              </a:solidFill>
            </a:endParaRPr>
          </a:p>
        </xdr:txBody>
      </xdr:sp>
      <xdr:pic>
        <xdr:nvPicPr>
          <xdr:cNvPr id="54" name="Picture 53">
            <a:extLst>
              <a:ext uri="{FF2B5EF4-FFF2-40B4-BE49-F238E27FC236}">
                <a16:creationId xmlns:a16="http://schemas.microsoft.com/office/drawing/2014/main" id="{DC901CC7-20FB-4714-BEC2-7A15C19DB4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199084" y="2766429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55" name="TextBox 181">
            <a:extLst>
              <a:ext uri="{FF2B5EF4-FFF2-40B4-BE49-F238E27FC236}">
                <a16:creationId xmlns:a16="http://schemas.microsoft.com/office/drawing/2014/main" id="{63FF6BC0-A1F8-4982-B8C9-67A8AAEB2D5F}"/>
              </a:ext>
            </a:extLst>
          </xdr:cNvPr>
          <xdr:cNvSpPr txBox="1"/>
        </xdr:nvSpPr>
        <xdr:spPr>
          <a:xfrm>
            <a:off x="4632560" y="4572000"/>
            <a:ext cx="1125081" cy="461665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2400" b="1">
                <a:solidFill>
                  <a:srgbClr val="FF0000"/>
                </a:solidFill>
              </a:rPr>
              <a:t>D Wing</a:t>
            </a:r>
            <a:endParaRPr lang="en-IN" sz="2400" b="1">
              <a:solidFill>
                <a:srgbClr val="FF0000"/>
              </a:solidFill>
            </a:endParaRPr>
          </a:p>
        </xdr:txBody>
      </xdr:sp>
    </xdr:grpSp>
    <xdr:clientData/>
  </xdr:twoCellAnchor>
  <xdr:twoCellAnchor>
    <xdr:from>
      <xdr:col>0</xdr:col>
      <xdr:colOff>121920</xdr:colOff>
      <xdr:row>235</xdr:row>
      <xdr:rowOff>22860</xdr:rowOff>
    </xdr:from>
    <xdr:to>
      <xdr:col>7</xdr:col>
      <xdr:colOff>769620</xdr:colOff>
      <xdr:row>267</xdr:row>
      <xdr:rowOff>129372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6A76B43-320F-DA34-9BE1-B49E4DABD391}"/>
            </a:ext>
          </a:extLst>
        </xdr:cNvPr>
        <xdr:cNvGrpSpPr/>
      </xdr:nvGrpSpPr>
      <xdr:grpSpPr>
        <a:xfrm>
          <a:off x="121920" y="39212520"/>
          <a:ext cx="6492240" cy="6438732"/>
          <a:chOff x="-2" y="152088"/>
          <a:chExt cx="7948862" cy="7254072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F3EC0767-CFB9-6E96-F559-57B4B59BCDE3}"/>
              </a:ext>
            </a:extLst>
          </xdr:cNvPr>
          <xdr:cNvGrpSpPr/>
        </xdr:nvGrpSpPr>
        <xdr:grpSpPr>
          <a:xfrm>
            <a:off x="275707" y="2879124"/>
            <a:ext cx="7397444" cy="2520000"/>
            <a:chOff x="-2" y="2879124"/>
            <a:chExt cx="7397444" cy="2520000"/>
          </a:xfrm>
        </xdr:grpSpPr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C2C8FF9D-7CF8-1A93-6C4E-21206767183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40553" y="2879124"/>
              <a:ext cx="3356889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6" name="Picture 15">
              <a:extLst>
                <a:ext uri="{FF2B5EF4-FFF2-40B4-BE49-F238E27FC236}">
                  <a16:creationId xmlns:a16="http://schemas.microsoft.com/office/drawing/2014/main" id="{F2926CF5-8923-96C0-AE37-16C87723026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2" y="287912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7" name="Picture 16">
              <a:extLst>
                <a:ext uri="{FF2B5EF4-FFF2-40B4-BE49-F238E27FC236}">
                  <a16:creationId xmlns:a16="http://schemas.microsoft.com/office/drawing/2014/main" id="{69A20B7D-C815-977E-58C2-47AB9ABEE6A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20276" y="2879124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260CCC3C-51F8-9854-6608-B5FC0CBA4070}"/>
              </a:ext>
            </a:extLst>
          </xdr:cNvPr>
          <xdr:cNvGrpSpPr/>
        </xdr:nvGrpSpPr>
        <xdr:grpSpPr>
          <a:xfrm>
            <a:off x="770108" y="5585909"/>
            <a:ext cx="6408642" cy="1820251"/>
            <a:chOff x="29689" y="5585909"/>
            <a:chExt cx="6408642" cy="1820251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9ADE8BE6-012C-33CA-B046-9510D0DE77B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59713" y="5606160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8C4100E3-F67D-6D3D-4C83-17A9A64CA14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40553" y="5585909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8CF687FE-60BE-4626-18F8-F5F8975D493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9689" y="5606160"/>
              <a:ext cx="2397778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A99F83B1-30C1-0EB7-6E43-F3733C279C58}"/>
              </a:ext>
            </a:extLst>
          </xdr:cNvPr>
          <xdr:cNvGrpSpPr/>
        </xdr:nvGrpSpPr>
        <xdr:grpSpPr>
          <a:xfrm>
            <a:off x="-2" y="152088"/>
            <a:ext cx="7948862" cy="2520000"/>
            <a:chOff x="-1" y="152088"/>
            <a:chExt cx="7948862" cy="2520000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E0C0C1B2-9E67-EB29-DC8B-30762590C92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-1" y="15208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D8D50CF6-963C-FB2A-F1F5-895C17225B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040553" y="15208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F19BFF80-32FB-0E16-7524-17D9ED901CE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020276" y="15208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FBB9CC16-7C1E-44B8-A847-5CF21B95542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6060830" y="152088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6</xdr:col>
      <xdr:colOff>669</xdr:colOff>
      <xdr:row>28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2865783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29</xdr:row>
      <xdr:rowOff>79508</xdr:rowOff>
    </xdr:from>
    <xdr:to>
      <xdr:col>6</xdr:col>
      <xdr:colOff>669</xdr:colOff>
      <xdr:row>48</xdr:row>
      <xdr:rowOff>60008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3" y="6564791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BHunZ1t9oA1bTiNF8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77"/>
  <sheetViews>
    <sheetView tabSelected="1" view="pageBreakPreview" zoomScaleNormal="100" zoomScaleSheetLayoutView="100" zoomScalePageLayoutView="85" workbookViewId="0">
      <selection activeCell="M6" sqref="M6"/>
    </sheetView>
  </sheetViews>
  <sheetFormatPr defaultColWidth="9.109375" defaultRowHeight="15.6" x14ac:dyDescent="0.3"/>
  <cols>
    <col min="1" max="1" width="11.44140625" style="55" customWidth="1"/>
    <col min="2" max="2" width="12" style="55" customWidth="1"/>
    <col min="3" max="3" width="12.6640625" style="55" customWidth="1"/>
    <col min="4" max="4" width="14.109375" style="55" customWidth="1"/>
    <col min="5" max="7" width="11.6640625" style="55" customWidth="1"/>
    <col min="8" max="8" width="12.44140625" style="55" customWidth="1"/>
    <col min="9" max="9" width="17.44140625" style="30" customWidth="1"/>
    <col min="10" max="10" width="11.44140625" style="30" customWidth="1"/>
    <col min="11" max="11" width="10.5546875" style="30" bestFit="1" customWidth="1"/>
    <col min="12" max="12" width="10.5546875" style="30" customWidth="1"/>
    <col min="13" max="13" width="11.88671875" style="30" customWidth="1"/>
    <col min="14" max="14" width="12.5546875" style="30" hidden="1" customWidth="1"/>
    <col min="15" max="15" width="9.88671875" style="30" hidden="1" customWidth="1"/>
    <col min="16" max="16" width="10.44140625" style="30" hidden="1" customWidth="1"/>
    <col min="17" max="247" width="9.109375" style="30"/>
    <col min="248" max="248" width="8.6640625" style="30" customWidth="1"/>
    <col min="249" max="249" width="9.88671875" style="30" customWidth="1"/>
    <col min="250" max="250" width="14.44140625" style="30" customWidth="1"/>
    <col min="251" max="251" width="7.33203125" style="30" customWidth="1"/>
    <col min="252" max="252" width="5.5546875" style="30" customWidth="1"/>
    <col min="253" max="253" width="9" style="30" customWidth="1"/>
    <col min="254" max="255" width="9.88671875" style="30" customWidth="1"/>
    <col min="256" max="256" width="11.109375" style="30" customWidth="1"/>
    <col min="257" max="257" width="2.88671875" style="30" customWidth="1"/>
    <col min="258" max="258" width="3.5546875" style="30" customWidth="1"/>
    <col min="259" max="503" width="9.109375" style="30"/>
    <col min="504" max="504" width="8.6640625" style="30" customWidth="1"/>
    <col min="505" max="505" width="9.88671875" style="30" customWidth="1"/>
    <col min="506" max="506" width="14.44140625" style="30" customWidth="1"/>
    <col min="507" max="507" width="7.33203125" style="30" customWidth="1"/>
    <col min="508" max="508" width="5.5546875" style="30" customWidth="1"/>
    <col min="509" max="509" width="9" style="30" customWidth="1"/>
    <col min="510" max="511" width="9.88671875" style="30" customWidth="1"/>
    <col min="512" max="512" width="11.109375" style="30" customWidth="1"/>
    <col min="513" max="513" width="2.88671875" style="30" customWidth="1"/>
    <col min="514" max="514" width="3.5546875" style="30" customWidth="1"/>
    <col min="515" max="759" width="9.109375" style="30"/>
    <col min="760" max="760" width="8.6640625" style="30" customWidth="1"/>
    <col min="761" max="761" width="9.88671875" style="30" customWidth="1"/>
    <col min="762" max="762" width="14.44140625" style="30" customWidth="1"/>
    <col min="763" max="763" width="7.33203125" style="30" customWidth="1"/>
    <col min="764" max="764" width="5.5546875" style="30" customWidth="1"/>
    <col min="765" max="765" width="9" style="30" customWidth="1"/>
    <col min="766" max="767" width="9.88671875" style="30" customWidth="1"/>
    <col min="768" max="768" width="11.109375" style="30" customWidth="1"/>
    <col min="769" max="769" width="2.88671875" style="30" customWidth="1"/>
    <col min="770" max="770" width="3.5546875" style="30" customWidth="1"/>
    <col min="771" max="1015" width="9.109375" style="30"/>
    <col min="1016" max="1016" width="8.6640625" style="30" customWidth="1"/>
    <col min="1017" max="1017" width="9.88671875" style="30" customWidth="1"/>
    <col min="1018" max="1018" width="14.44140625" style="30" customWidth="1"/>
    <col min="1019" max="1019" width="7.33203125" style="30" customWidth="1"/>
    <col min="1020" max="1020" width="5.5546875" style="30" customWidth="1"/>
    <col min="1021" max="1021" width="9" style="30" customWidth="1"/>
    <col min="1022" max="1023" width="9.88671875" style="30" customWidth="1"/>
    <col min="1024" max="1024" width="11.109375" style="30" customWidth="1"/>
    <col min="1025" max="1025" width="2.88671875" style="30" customWidth="1"/>
    <col min="1026" max="1026" width="3.5546875" style="30" customWidth="1"/>
    <col min="1027" max="1271" width="9.109375" style="30"/>
    <col min="1272" max="1272" width="8.6640625" style="30" customWidth="1"/>
    <col min="1273" max="1273" width="9.88671875" style="30" customWidth="1"/>
    <col min="1274" max="1274" width="14.44140625" style="30" customWidth="1"/>
    <col min="1275" max="1275" width="7.33203125" style="30" customWidth="1"/>
    <col min="1276" max="1276" width="5.5546875" style="30" customWidth="1"/>
    <col min="1277" max="1277" width="9" style="30" customWidth="1"/>
    <col min="1278" max="1279" width="9.88671875" style="30" customWidth="1"/>
    <col min="1280" max="1280" width="11.109375" style="30" customWidth="1"/>
    <col min="1281" max="1281" width="2.88671875" style="30" customWidth="1"/>
    <col min="1282" max="1282" width="3.5546875" style="30" customWidth="1"/>
    <col min="1283" max="1527" width="9.109375" style="30"/>
    <col min="1528" max="1528" width="8.6640625" style="30" customWidth="1"/>
    <col min="1529" max="1529" width="9.88671875" style="30" customWidth="1"/>
    <col min="1530" max="1530" width="14.44140625" style="30" customWidth="1"/>
    <col min="1531" max="1531" width="7.33203125" style="30" customWidth="1"/>
    <col min="1532" max="1532" width="5.5546875" style="30" customWidth="1"/>
    <col min="1533" max="1533" width="9" style="30" customWidth="1"/>
    <col min="1534" max="1535" width="9.88671875" style="30" customWidth="1"/>
    <col min="1536" max="1536" width="11.109375" style="30" customWidth="1"/>
    <col min="1537" max="1537" width="2.88671875" style="30" customWidth="1"/>
    <col min="1538" max="1538" width="3.5546875" style="30" customWidth="1"/>
    <col min="1539" max="1783" width="9.109375" style="30"/>
    <col min="1784" max="1784" width="8.6640625" style="30" customWidth="1"/>
    <col min="1785" max="1785" width="9.88671875" style="30" customWidth="1"/>
    <col min="1786" max="1786" width="14.44140625" style="30" customWidth="1"/>
    <col min="1787" max="1787" width="7.33203125" style="30" customWidth="1"/>
    <col min="1788" max="1788" width="5.5546875" style="30" customWidth="1"/>
    <col min="1789" max="1789" width="9" style="30" customWidth="1"/>
    <col min="1790" max="1791" width="9.88671875" style="30" customWidth="1"/>
    <col min="1792" max="1792" width="11.109375" style="30" customWidth="1"/>
    <col min="1793" max="1793" width="2.88671875" style="30" customWidth="1"/>
    <col min="1794" max="1794" width="3.5546875" style="30" customWidth="1"/>
    <col min="1795" max="2039" width="9.109375" style="30"/>
    <col min="2040" max="2040" width="8.6640625" style="30" customWidth="1"/>
    <col min="2041" max="2041" width="9.88671875" style="30" customWidth="1"/>
    <col min="2042" max="2042" width="14.44140625" style="30" customWidth="1"/>
    <col min="2043" max="2043" width="7.33203125" style="30" customWidth="1"/>
    <col min="2044" max="2044" width="5.5546875" style="30" customWidth="1"/>
    <col min="2045" max="2045" width="9" style="30" customWidth="1"/>
    <col min="2046" max="2047" width="9.88671875" style="30" customWidth="1"/>
    <col min="2048" max="2048" width="11.109375" style="30" customWidth="1"/>
    <col min="2049" max="2049" width="2.88671875" style="30" customWidth="1"/>
    <col min="2050" max="2050" width="3.5546875" style="30" customWidth="1"/>
    <col min="2051" max="2295" width="9.109375" style="30"/>
    <col min="2296" max="2296" width="8.6640625" style="30" customWidth="1"/>
    <col min="2297" max="2297" width="9.88671875" style="30" customWidth="1"/>
    <col min="2298" max="2298" width="14.44140625" style="30" customWidth="1"/>
    <col min="2299" max="2299" width="7.33203125" style="30" customWidth="1"/>
    <col min="2300" max="2300" width="5.5546875" style="30" customWidth="1"/>
    <col min="2301" max="2301" width="9" style="30" customWidth="1"/>
    <col min="2302" max="2303" width="9.88671875" style="30" customWidth="1"/>
    <col min="2304" max="2304" width="11.109375" style="30" customWidth="1"/>
    <col min="2305" max="2305" width="2.88671875" style="30" customWidth="1"/>
    <col min="2306" max="2306" width="3.5546875" style="30" customWidth="1"/>
    <col min="2307" max="2551" width="9.109375" style="30"/>
    <col min="2552" max="2552" width="8.6640625" style="30" customWidth="1"/>
    <col min="2553" max="2553" width="9.88671875" style="30" customWidth="1"/>
    <col min="2554" max="2554" width="14.44140625" style="30" customWidth="1"/>
    <col min="2555" max="2555" width="7.33203125" style="30" customWidth="1"/>
    <col min="2556" max="2556" width="5.5546875" style="30" customWidth="1"/>
    <col min="2557" max="2557" width="9" style="30" customWidth="1"/>
    <col min="2558" max="2559" width="9.88671875" style="30" customWidth="1"/>
    <col min="2560" max="2560" width="11.109375" style="30" customWidth="1"/>
    <col min="2561" max="2561" width="2.88671875" style="30" customWidth="1"/>
    <col min="2562" max="2562" width="3.5546875" style="30" customWidth="1"/>
    <col min="2563" max="2807" width="9.109375" style="30"/>
    <col min="2808" max="2808" width="8.6640625" style="30" customWidth="1"/>
    <col min="2809" max="2809" width="9.88671875" style="30" customWidth="1"/>
    <col min="2810" max="2810" width="14.44140625" style="30" customWidth="1"/>
    <col min="2811" max="2811" width="7.33203125" style="30" customWidth="1"/>
    <col min="2812" max="2812" width="5.5546875" style="30" customWidth="1"/>
    <col min="2813" max="2813" width="9" style="30" customWidth="1"/>
    <col min="2814" max="2815" width="9.88671875" style="30" customWidth="1"/>
    <col min="2816" max="2816" width="11.109375" style="30" customWidth="1"/>
    <col min="2817" max="2817" width="2.88671875" style="30" customWidth="1"/>
    <col min="2818" max="2818" width="3.5546875" style="30" customWidth="1"/>
    <col min="2819" max="3063" width="9.109375" style="30"/>
    <col min="3064" max="3064" width="8.6640625" style="30" customWidth="1"/>
    <col min="3065" max="3065" width="9.88671875" style="30" customWidth="1"/>
    <col min="3066" max="3066" width="14.44140625" style="30" customWidth="1"/>
    <col min="3067" max="3067" width="7.33203125" style="30" customWidth="1"/>
    <col min="3068" max="3068" width="5.5546875" style="30" customWidth="1"/>
    <col min="3069" max="3069" width="9" style="30" customWidth="1"/>
    <col min="3070" max="3071" width="9.88671875" style="30" customWidth="1"/>
    <col min="3072" max="3072" width="11.109375" style="30" customWidth="1"/>
    <col min="3073" max="3073" width="2.88671875" style="30" customWidth="1"/>
    <col min="3074" max="3074" width="3.5546875" style="30" customWidth="1"/>
    <col min="3075" max="3319" width="9.109375" style="30"/>
    <col min="3320" max="3320" width="8.6640625" style="30" customWidth="1"/>
    <col min="3321" max="3321" width="9.88671875" style="30" customWidth="1"/>
    <col min="3322" max="3322" width="14.44140625" style="30" customWidth="1"/>
    <col min="3323" max="3323" width="7.33203125" style="30" customWidth="1"/>
    <col min="3324" max="3324" width="5.5546875" style="30" customWidth="1"/>
    <col min="3325" max="3325" width="9" style="30" customWidth="1"/>
    <col min="3326" max="3327" width="9.88671875" style="30" customWidth="1"/>
    <col min="3328" max="3328" width="11.109375" style="30" customWidth="1"/>
    <col min="3329" max="3329" width="2.88671875" style="30" customWidth="1"/>
    <col min="3330" max="3330" width="3.5546875" style="30" customWidth="1"/>
    <col min="3331" max="3575" width="9.109375" style="30"/>
    <col min="3576" max="3576" width="8.6640625" style="30" customWidth="1"/>
    <col min="3577" max="3577" width="9.88671875" style="30" customWidth="1"/>
    <col min="3578" max="3578" width="14.44140625" style="30" customWidth="1"/>
    <col min="3579" max="3579" width="7.33203125" style="30" customWidth="1"/>
    <col min="3580" max="3580" width="5.5546875" style="30" customWidth="1"/>
    <col min="3581" max="3581" width="9" style="30" customWidth="1"/>
    <col min="3582" max="3583" width="9.88671875" style="30" customWidth="1"/>
    <col min="3584" max="3584" width="11.109375" style="30" customWidth="1"/>
    <col min="3585" max="3585" width="2.88671875" style="30" customWidth="1"/>
    <col min="3586" max="3586" width="3.5546875" style="30" customWidth="1"/>
    <col min="3587" max="3831" width="9.109375" style="30"/>
    <col min="3832" max="3832" width="8.6640625" style="30" customWidth="1"/>
    <col min="3833" max="3833" width="9.88671875" style="30" customWidth="1"/>
    <col min="3834" max="3834" width="14.44140625" style="30" customWidth="1"/>
    <col min="3835" max="3835" width="7.33203125" style="30" customWidth="1"/>
    <col min="3836" max="3836" width="5.5546875" style="30" customWidth="1"/>
    <col min="3837" max="3837" width="9" style="30" customWidth="1"/>
    <col min="3838" max="3839" width="9.88671875" style="30" customWidth="1"/>
    <col min="3840" max="3840" width="11.109375" style="30" customWidth="1"/>
    <col min="3841" max="3841" width="2.88671875" style="30" customWidth="1"/>
    <col min="3842" max="3842" width="3.5546875" style="30" customWidth="1"/>
    <col min="3843" max="4087" width="9.109375" style="30"/>
    <col min="4088" max="4088" width="8.6640625" style="30" customWidth="1"/>
    <col min="4089" max="4089" width="9.88671875" style="30" customWidth="1"/>
    <col min="4090" max="4090" width="14.44140625" style="30" customWidth="1"/>
    <col min="4091" max="4091" width="7.33203125" style="30" customWidth="1"/>
    <col min="4092" max="4092" width="5.5546875" style="30" customWidth="1"/>
    <col min="4093" max="4093" width="9" style="30" customWidth="1"/>
    <col min="4094" max="4095" width="9.88671875" style="30" customWidth="1"/>
    <col min="4096" max="4096" width="11.109375" style="30" customWidth="1"/>
    <col min="4097" max="4097" width="2.88671875" style="30" customWidth="1"/>
    <col min="4098" max="4098" width="3.5546875" style="30" customWidth="1"/>
    <col min="4099" max="4343" width="9.109375" style="30"/>
    <col min="4344" max="4344" width="8.6640625" style="30" customWidth="1"/>
    <col min="4345" max="4345" width="9.88671875" style="30" customWidth="1"/>
    <col min="4346" max="4346" width="14.44140625" style="30" customWidth="1"/>
    <col min="4347" max="4347" width="7.33203125" style="30" customWidth="1"/>
    <col min="4348" max="4348" width="5.5546875" style="30" customWidth="1"/>
    <col min="4349" max="4349" width="9" style="30" customWidth="1"/>
    <col min="4350" max="4351" width="9.88671875" style="30" customWidth="1"/>
    <col min="4352" max="4352" width="11.109375" style="30" customWidth="1"/>
    <col min="4353" max="4353" width="2.88671875" style="30" customWidth="1"/>
    <col min="4354" max="4354" width="3.5546875" style="30" customWidth="1"/>
    <col min="4355" max="4599" width="9.109375" style="30"/>
    <col min="4600" max="4600" width="8.6640625" style="30" customWidth="1"/>
    <col min="4601" max="4601" width="9.88671875" style="30" customWidth="1"/>
    <col min="4602" max="4602" width="14.44140625" style="30" customWidth="1"/>
    <col min="4603" max="4603" width="7.33203125" style="30" customWidth="1"/>
    <col min="4604" max="4604" width="5.5546875" style="30" customWidth="1"/>
    <col min="4605" max="4605" width="9" style="30" customWidth="1"/>
    <col min="4606" max="4607" width="9.88671875" style="30" customWidth="1"/>
    <col min="4608" max="4608" width="11.109375" style="30" customWidth="1"/>
    <col min="4609" max="4609" width="2.88671875" style="30" customWidth="1"/>
    <col min="4610" max="4610" width="3.5546875" style="30" customWidth="1"/>
    <col min="4611" max="4855" width="9.109375" style="30"/>
    <col min="4856" max="4856" width="8.6640625" style="30" customWidth="1"/>
    <col min="4857" max="4857" width="9.88671875" style="30" customWidth="1"/>
    <col min="4858" max="4858" width="14.44140625" style="30" customWidth="1"/>
    <col min="4859" max="4859" width="7.33203125" style="30" customWidth="1"/>
    <col min="4860" max="4860" width="5.5546875" style="30" customWidth="1"/>
    <col min="4861" max="4861" width="9" style="30" customWidth="1"/>
    <col min="4862" max="4863" width="9.88671875" style="30" customWidth="1"/>
    <col min="4864" max="4864" width="11.109375" style="30" customWidth="1"/>
    <col min="4865" max="4865" width="2.88671875" style="30" customWidth="1"/>
    <col min="4866" max="4866" width="3.5546875" style="30" customWidth="1"/>
    <col min="4867" max="5111" width="9.109375" style="30"/>
    <col min="5112" max="5112" width="8.6640625" style="30" customWidth="1"/>
    <col min="5113" max="5113" width="9.88671875" style="30" customWidth="1"/>
    <col min="5114" max="5114" width="14.44140625" style="30" customWidth="1"/>
    <col min="5115" max="5115" width="7.33203125" style="30" customWidth="1"/>
    <col min="5116" max="5116" width="5.5546875" style="30" customWidth="1"/>
    <col min="5117" max="5117" width="9" style="30" customWidth="1"/>
    <col min="5118" max="5119" width="9.88671875" style="30" customWidth="1"/>
    <col min="5120" max="5120" width="11.109375" style="30" customWidth="1"/>
    <col min="5121" max="5121" width="2.88671875" style="30" customWidth="1"/>
    <col min="5122" max="5122" width="3.5546875" style="30" customWidth="1"/>
    <col min="5123" max="5367" width="9.109375" style="30"/>
    <col min="5368" max="5368" width="8.6640625" style="30" customWidth="1"/>
    <col min="5369" max="5369" width="9.88671875" style="30" customWidth="1"/>
    <col min="5370" max="5370" width="14.44140625" style="30" customWidth="1"/>
    <col min="5371" max="5371" width="7.33203125" style="30" customWidth="1"/>
    <col min="5372" max="5372" width="5.5546875" style="30" customWidth="1"/>
    <col min="5373" max="5373" width="9" style="30" customWidth="1"/>
    <col min="5374" max="5375" width="9.88671875" style="30" customWidth="1"/>
    <col min="5376" max="5376" width="11.109375" style="30" customWidth="1"/>
    <col min="5377" max="5377" width="2.88671875" style="30" customWidth="1"/>
    <col min="5378" max="5378" width="3.5546875" style="30" customWidth="1"/>
    <col min="5379" max="5623" width="9.109375" style="30"/>
    <col min="5624" max="5624" width="8.6640625" style="30" customWidth="1"/>
    <col min="5625" max="5625" width="9.88671875" style="30" customWidth="1"/>
    <col min="5626" max="5626" width="14.44140625" style="30" customWidth="1"/>
    <col min="5627" max="5627" width="7.33203125" style="30" customWidth="1"/>
    <col min="5628" max="5628" width="5.5546875" style="30" customWidth="1"/>
    <col min="5629" max="5629" width="9" style="30" customWidth="1"/>
    <col min="5630" max="5631" width="9.88671875" style="30" customWidth="1"/>
    <col min="5632" max="5632" width="11.109375" style="30" customWidth="1"/>
    <col min="5633" max="5633" width="2.88671875" style="30" customWidth="1"/>
    <col min="5634" max="5634" width="3.5546875" style="30" customWidth="1"/>
    <col min="5635" max="5879" width="9.109375" style="30"/>
    <col min="5880" max="5880" width="8.6640625" style="30" customWidth="1"/>
    <col min="5881" max="5881" width="9.88671875" style="30" customWidth="1"/>
    <col min="5882" max="5882" width="14.44140625" style="30" customWidth="1"/>
    <col min="5883" max="5883" width="7.33203125" style="30" customWidth="1"/>
    <col min="5884" max="5884" width="5.5546875" style="30" customWidth="1"/>
    <col min="5885" max="5885" width="9" style="30" customWidth="1"/>
    <col min="5886" max="5887" width="9.88671875" style="30" customWidth="1"/>
    <col min="5888" max="5888" width="11.109375" style="30" customWidth="1"/>
    <col min="5889" max="5889" width="2.88671875" style="30" customWidth="1"/>
    <col min="5890" max="5890" width="3.5546875" style="30" customWidth="1"/>
    <col min="5891" max="6135" width="9.109375" style="30"/>
    <col min="6136" max="6136" width="8.6640625" style="30" customWidth="1"/>
    <col min="6137" max="6137" width="9.88671875" style="30" customWidth="1"/>
    <col min="6138" max="6138" width="14.44140625" style="30" customWidth="1"/>
    <col min="6139" max="6139" width="7.33203125" style="30" customWidth="1"/>
    <col min="6140" max="6140" width="5.5546875" style="30" customWidth="1"/>
    <col min="6141" max="6141" width="9" style="30" customWidth="1"/>
    <col min="6142" max="6143" width="9.88671875" style="30" customWidth="1"/>
    <col min="6144" max="6144" width="11.109375" style="30" customWidth="1"/>
    <col min="6145" max="6145" width="2.88671875" style="30" customWidth="1"/>
    <col min="6146" max="6146" width="3.5546875" style="30" customWidth="1"/>
    <col min="6147" max="6391" width="9.109375" style="30"/>
    <col min="6392" max="6392" width="8.6640625" style="30" customWidth="1"/>
    <col min="6393" max="6393" width="9.88671875" style="30" customWidth="1"/>
    <col min="6394" max="6394" width="14.44140625" style="30" customWidth="1"/>
    <col min="6395" max="6395" width="7.33203125" style="30" customWidth="1"/>
    <col min="6396" max="6396" width="5.5546875" style="30" customWidth="1"/>
    <col min="6397" max="6397" width="9" style="30" customWidth="1"/>
    <col min="6398" max="6399" width="9.88671875" style="30" customWidth="1"/>
    <col min="6400" max="6400" width="11.109375" style="30" customWidth="1"/>
    <col min="6401" max="6401" width="2.88671875" style="30" customWidth="1"/>
    <col min="6402" max="6402" width="3.5546875" style="30" customWidth="1"/>
    <col min="6403" max="6647" width="9.109375" style="30"/>
    <col min="6648" max="6648" width="8.6640625" style="30" customWidth="1"/>
    <col min="6649" max="6649" width="9.88671875" style="30" customWidth="1"/>
    <col min="6650" max="6650" width="14.44140625" style="30" customWidth="1"/>
    <col min="6651" max="6651" width="7.33203125" style="30" customWidth="1"/>
    <col min="6652" max="6652" width="5.5546875" style="30" customWidth="1"/>
    <col min="6653" max="6653" width="9" style="30" customWidth="1"/>
    <col min="6654" max="6655" width="9.88671875" style="30" customWidth="1"/>
    <col min="6656" max="6656" width="11.109375" style="30" customWidth="1"/>
    <col min="6657" max="6657" width="2.88671875" style="30" customWidth="1"/>
    <col min="6658" max="6658" width="3.5546875" style="30" customWidth="1"/>
    <col min="6659" max="6903" width="9.109375" style="30"/>
    <col min="6904" max="6904" width="8.6640625" style="30" customWidth="1"/>
    <col min="6905" max="6905" width="9.88671875" style="30" customWidth="1"/>
    <col min="6906" max="6906" width="14.44140625" style="30" customWidth="1"/>
    <col min="6907" max="6907" width="7.33203125" style="30" customWidth="1"/>
    <col min="6908" max="6908" width="5.5546875" style="30" customWidth="1"/>
    <col min="6909" max="6909" width="9" style="30" customWidth="1"/>
    <col min="6910" max="6911" width="9.88671875" style="30" customWidth="1"/>
    <col min="6912" max="6912" width="11.109375" style="30" customWidth="1"/>
    <col min="6913" max="6913" width="2.88671875" style="30" customWidth="1"/>
    <col min="6914" max="6914" width="3.5546875" style="30" customWidth="1"/>
    <col min="6915" max="7159" width="9.109375" style="30"/>
    <col min="7160" max="7160" width="8.6640625" style="30" customWidth="1"/>
    <col min="7161" max="7161" width="9.88671875" style="30" customWidth="1"/>
    <col min="7162" max="7162" width="14.44140625" style="30" customWidth="1"/>
    <col min="7163" max="7163" width="7.33203125" style="30" customWidth="1"/>
    <col min="7164" max="7164" width="5.5546875" style="30" customWidth="1"/>
    <col min="7165" max="7165" width="9" style="30" customWidth="1"/>
    <col min="7166" max="7167" width="9.88671875" style="30" customWidth="1"/>
    <col min="7168" max="7168" width="11.109375" style="30" customWidth="1"/>
    <col min="7169" max="7169" width="2.88671875" style="30" customWidth="1"/>
    <col min="7170" max="7170" width="3.5546875" style="30" customWidth="1"/>
    <col min="7171" max="7415" width="9.109375" style="30"/>
    <col min="7416" max="7416" width="8.6640625" style="30" customWidth="1"/>
    <col min="7417" max="7417" width="9.88671875" style="30" customWidth="1"/>
    <col min="7418" max="7418" width="14.44140625" style="30" customWidth="1"/>
    <col min="7419" max="7419" width="7.33203125" style="30" customWidth="1"/>
    <col min="7420" max="7420" width="5.5546875" style="30" customWidth="1"/>
    <col min="7421" max="7421" width="9" style="30" customWidth="1"/>
    <col min="7422" max="7423" width="9.88671875" style="30" customWidth="1"/>
    <col min="7424" max="7424" width="11.109375" style="30" customWidth="1"/>
    <col min="7425" max="7425" width="2.88671875" style="30" customWidth="1"/>
    <col min="7426" max="7426" width="3.5546875" style="30" customWidth="1"/>
    <col min="7427" max="7671" width="9.109375" style="30"/>
    <col min="7672" max="7672" width="8.6640625" style="30" customWidth="1"/>
    <col min="7673" max="7673" width="9.88671875" style="30" customWidth="1"/>
    <col min="7674" max="7674" width="14.44140625" style="30" customWidth="1"/>
    <col min="7675" max="7675" width="7.33203125" style="30" customWidth="1"/>
    <col min="7676" max="7676" width="5.5546875" style="30" customWidth="1"/>
    <col min="7677" max="7677" width="9" style="30" customWidth="1"/>
    <col min="7678" max="7679" width="9.88671875" style="30" customWidth="1"/>
    <col min="7680" max="7680" width="11.109375" style="30" customWidth="1"/>
    <col min="7681" max="7681" width="2.88671875" style="30" customWidth="1"/>
    <col min="7682" max="7682" width="3.5546875" style="30" customWidth="1"/>
    <col min="7683" max="7927" width="9.109375" style="30"/>
    <col min="7928" max="7928" width="8.6640625" style="30" customWidth="1"/>
    <col min="7929" max="7929" width="9.88671875" style="30" customWidth="1"/>
    <col min="7930" max="7930" width="14.44140625" style="30" customWidth="1"/>
    <col min="7931" max="7931" width="7.33203125" style="30" customWidth="1"/>
    <col min="7932" max="7932" width="5.5546875" style="30" customWidth="1"/>
    <col min="7933" max="7933" width="9" style="30" customWidth="1"/>
    <col min="7934" max="7935" width="9.88671875" style="30" customWidth="1"/>
    <col min="7936" max="7936" width="11.109375" style="30" customWidth="1"/>
    <col min="7937" max="7937" width="2.88671875" style="30" customWidth="1"/>
    <col min="7938" max="7938" width="3.5546875" style="30" customWidth="1"/>
    <col min="7939" max="8183" width="9.109375" style="30"/>
    <col min="8184" max="8184" width="8.6640625" style="30" customWidth="1"/>
    <col min="8185" max="8185" width="9.88671875" style="30" customWidth="1"/>
    <col min="8186" max="8186" width="14.44140625" style="30" customWidth="1"/>
    <col min="8187" max="8187" width="7.33203125" style="30" customWidth="1"/>
    <col min="8188" max="8188" width="5.5546875" style="30" customWidth="1"/>
    <col min="8189" max="8189" width="9" style="30" customWidth="1"/>
    <col min="8190" max="8191" width="9.88671875" style="30" customWidth="1"/>
    <col min="8192" max="8192" width="11.109375" style="30" customWidth="1"/>
    <col min="8193" max="8193" width="2.88671875" style="30" customWidth="1"/>
    <col min="8194" max="8194" width="3.5546875" style="30" customWidth="1"/>
    <col min="8195" max="8439" width="9.109375" style="30"/>
    <col min="8440" max="8440" width="8.6640625" style="30" customWidth="1"/>
    <col min="8441" max="8441" width="9.88671875" style="30" customWidth="1"/>
    <col min="8442" max="8442" width="14.44140625" style="30" customWidth="1"/>
    <col min="8443" max="8443" width="7.33203125" style="30" customWidth="1"/>
    <col min="8444" max="8444" width="5.5546875" style="30" customWidth="1"/>
    <col min="8445" max="8445" width="9" style="30" customWidth="1"/>
    <col min="8446" max="8447" width="9.88671875" style="30" customWidth="1"/>
    <col min="8448" max="8448" width="11.109375" style="30" customWidth="1"/>
    <col min="8449" max="8449" width="2.88671875" style="30" customWidth="1"/>
    <col min="8450" max="8450" width="3.5546875" style="30" customWidth="1"/>
    <col min="8451" max="8695" width="9.109375" style="30"/>
    <col min="8696" max="8696" width="8.6640625" style="30" customWidth="1"/>
    <col min="8697" max="8697" width="9.88671875" style="30" customWidth="1"/>
    <col min="8698" max="8698" width="14.44140625" style="30" customWidth="1"/>
    <col min="8699" max="8699" width="7.33203125" style="30" customWidth="1"/>
    <col min="8700" max="8700" width="5.5546875" style="30" customWidth="1"/>
    <col min="8701" max="8701" width="9" style="30" customWidth="1"/>
    <col min="8702" max="8703" width="9.88671875" style="30" customWidth="1"/>
    <col min="8704" max="8704" width="11.109375" style="30" customWidth="1"/>
    <col min="8705" max="8705" width="2.88671875" style="30" customWidth="1"/>
    <col min="8706" max="8706" width="3.5546875" style="30" customWidth="1"/>
    <col min="8707" max="8951" width="9.109375" style="30"/>
    <col min="8952" max="8952" width="8.6640625" style="30" customWidth="1"/>
    <col min="8953" max="8953" width="9.88671875" style="30" customWidth="1"/>
    <col min="8954" max="8954" width="14.44140625" style="30" customWidth="1"/>
    <col min="8955" max="8955" width="7.33203125" style="30" customWidth="1"/>
    <col min="8956" max="8956" width="5.5546875" style="30" customWidth="1"/>
    <col min="8957" max="8957" width="9" style="30" customWidth="1"/>
    <col min="8958" max="8959" width="9.88671875" style="30" customWidth="1"/>
    <col min="8960" max="8960" width="11.109375" style="30" customWidth="1"/>
    <col min="8961" max="8961" width="2.88671875" style="30" customWidth="1"/>
    <col min="8962" max="8962" width="3.5546875" style="30" customWidth="1"/>
    <col min="8963" max="9207" width="9.109375" style="30"/>
    <col min="9208" max="9208" width="8.6640625" style="30" customWidth="1"/>
    <col min="9209" max="9209" width="9.88671875" style="30" customWidth="1"/>
    <col min="9210" max="9210" width="14.44140625" style="30" customWidth="1"/>
    <col min="9211" max="9211" width="7.33203125" style="30" customWidth="1"/>
    <col min="9212" max="9212" width="5.5546875" style="30" customWidth="1"/>
    <col min="9213" max="9213" width="9" style="30" customWidth="1"/>
    <col min="9214" max="9215" width="9.88671875" style="30" customWidth="1"/>
    <col min="9216" max="9216" width="11.109375" style="30" customWidth="1"/>
    <col min="9217" max="9217" width="2.88671875" style="30" customWidth="1"/>
    <col min="9218" max="9218" width="3.5546875" style="30" customWidth="1"/>
    <col min="9219" max="9463" width="9.109375" style="30"/>
    <col min="9464" max="9464" width="8.6640625" style="30" customWidth="1"/>
    <col min="9465" max="9465" width="9.88671875" style="30" customWidth="1"/>
    <col min="9466" max="9466" width="14.44140625" style="30" customWidth="1"/>
    <col min="9467" max="9467" width="7.33203125" style="30" customWidth="1"/>
    <col min="9468" max="9468" width="5.5546875" style="30" customWidth="1"/>
    <col min="9469" max="9469" width="9" style="30" customWidth="1"/>
    <col min="9470" max="9471" width="9.88671875" style="30" customWidth="1"/>
    <col min="9472" max="9472" width="11.109375" style="30" customWidth="1"/>
    <col min="9473" max="9473" width="2.88671875" style="30" customWidth="1"/>
    <col min="9474" max="9474" width="3.5546875" style="30" customWidth="1"/>
    <col min="9475" max="9719" width="9.109375" style="30"/>
    <col min="9720" max="9720" width="8.6640625" style="30" customWidth="1"/>
    <col min="9721" max="9721" width="9.88671875" style="30" customWidth="1"/>
    <col min="9722" max="9722" width="14.44140625" style="30" customWidth="1"/>
    <col min="9723" max="9723" width="7.33203125" style="30" customWidth="1"/>
    <col min="9724" max="9724" width="5.5546875" style="30" customWidth="1"/>
    <col min="9725" max="9725" width="9" style="30" customWidth="1"/>
    <col min="9726" max="9727" width="9.88671875" style="30" customWidth="1"/>
    <col min="9728" max="9728" width="11.109375" style="30" customWidth="1"/>
    <col min="9729" max="9729" width="2.88671875" style="30" customWidth="1"/>
    <col min="9730" max="9730" width="3.5546875" style="30" customWidth="1"/>
    <col min="9731" max="9975" width="9.109375" style="30"/>
    <col min="9976" max="9976" width="8.6640625" style="30" customWidth="1"/>
    <col min="9977" max="9977" width="9.88671875" style="30" customWidth="1"/>
    <col min="9978" max="9978" width="14.44140625" style="30" customWidth="1"/>
    <col min="9979" max="9979" width="7.33203125" style="30" customWidth="1"/>
    <col min="9980" max="9980" width="5.5546875" style="30" customWidth="1"/>
    <col min="9981" max="9981" width="9" style="30" customWidth="1"/>
    <col min="9982" max="9983" width="9.88671875" style="30" customWidth="1"/>
    <col min="9984" max="9984" width="11.109375" style="30" customWidth="1"/>
    <col min="9985" max="9985" width="2.88671875" style="30" customWidth="1"/>
    <col min="9986" max="9986" width="3.5546875" style="30" customWidth="1"/>
    <col min="9987" max="10231" width="9.109375" style="30"/>
    <col min="10232" max="10232" width="8.6640625" style="30" customWidth="1"/>
    <col min="10233" max="10233" width="9.88671875" style="30" customWidth="1"/>
    <col min="10234" max="10234" width="14.44140625" style="30" customWidth="1"/>
    <col min="10235" max="10235" width="7.33203125" style="30" customWidth="1"/>
    <col min="10236" max="10236" width="5.5546875" style="30" customWidth="1"/>
    <col min="10237" max="10237" width="9" style="30" customWidth="1"/>
    <col min="10238" max="10239" width="9.88671875" style="30" customWidth="1"/>
    <col min="10240" max="10240" width="11.109375" style="30" customWidth="1"/>
    <col min="10241" max="10241" width="2.88671875" style="30" customWidth="1"/>
    <col min="10242" max="10242" width="3.5546875" style="30" customWidth="1"/>
    <col min="10243" max="10487" width="9.109375" style="30"/>
    <col min="10488" max="10488" width="8.6640625" style="30" customWidth="1"/>
    <col min="10489" max="10489" width="9.88671875" style="30" customWidth="1"/>
    <col min="10490" max="10490" width="14.44140625" style="30" customWidth="1"/>
    <col min="10491" max="10491" width="7.33203125" style="30" customWidth="1"/>
    <col min="10492" max="10492" width="5.5546875" style="30" customWidth="1"/>
    <col min="10493" max="10493" width="9" style="30" customWidth="1"/>
    <col min="10494" max="10495" width="9.88671875" style="30" customWidth="1"/>
    <col min="10496" max="10496" width="11.109375" style="30" customWidth="1"/>
    <col min="10497" max="10497" width="2.88671875" style="30" customWidth="1"/>
    <col min="10498" max="10498" width="3.5546875" style="30" customWidth="1"/>
    <col min="10499" max="10743" width="9.109375" style="30"/>
    <col min="10744" max="10744" width="8.6640625" style="30" customWidth="1"/>
    <col min="10745" max="10745" width="9.88671875" style="30" customWidth="1"/>
    <col min="10746" max="10746" width="14.44140625" style="30" customWidth="1"/>
    <col min="10747" max="10747" width="7.33203125" style="30" customWidth="1"/>
    <col min="10748" max="10748" width="5.5546875" style="30" customWidth="1"/>
    <col min="10749" max="10749" width="9" style="30" customWidth="1"/>
    <col min="10750" max="10751" width="9.88671875" style="30" customWidth="1"/>
    <col min="10752" max="10752" width="11.109375" style="30" customWidth="1"/>
    <col min="10753" max="10753" width="2.88671875" style="30" customWidth="1"/>
    <col min="10754" max="10754" width="3.5546875" style="30" customWidth="1"/>
    <col min="10755" max="10999" width="9.109375" style="30"/>
    <col min="11000" max="11000" width="8.6640625" style="30" customWidth="1"/>
    <col min="11001" max="11001" width="9.88671875" style="30" customWidth="1"/>
    <col min="11002" max="11002" width="14.44140625" style="30" customWidth="1"/>
    <col min="11003" max="11003" width="7.33203125" style="30" customWidth="1"/>
    <col min="11004" max="11004" width="5.5546875" style="30" customWidth="1"/>
    <col min="11005" max="11005" width="9" style="30" customWidth="1"/>
    <col min="11006" max="11007" width="9.88671875" style="30" customWidth="1"/>
    <col min="11008" max="11008" width="11.109375" style="30" customWidth="1"/>
    <col min="11009" max="11009" width="2.88671875" style="30" customWidth="1"/>
    <col min="11010" max="11010" width="3.5546875" style="30" customWidth="1"/>
    <col min="11011" max="11255" width="9.109375" style="30"/>
    <col min="11256" max="11256" width="8.6640625" style="30" customWidth="1"/>
    <col min="11257" max="11257" width="9.88671875" style="30" customWidth="1"/>
    <col min="11258" max="11258" width="14.44140625" style="30" customWidth="1"/>
    <col min="11259" max="11259" width="7.33203125" style="30" customWidth="1"/>
    <col min="11260" max="11260" width="5.5546875" style="30" customWidth="1"/>
    <col min="11261" max="11261" width="9" style="30" customWidth="1"/>
    <col min="11262" max="11263" width="9.88671875" style="30" customWidth="1"/>
    <col min="11264" max="11264" width="11.109375" style="30" customWidth="1"/>
    <col min="11265" max="11265" width="2.88671875" style="30" customWidth="1"/>
    <col min="11266" max="11266" width="3.5546875" style="30" customWidth="1"/>
    <col min="11267" max="11511" width="9.109375" style="30"/>
    <col min="11512" max="11512" width="8.6640625" style="30" customWidth="1"/>
    <col min="11513" max="11513" width="9.88671875" style="30" customWidth="1"/>
    <col min="11514" max="11514" width="14.44140625" style="30" customWidth="1"/>
    <col min="11515" max="11515" width="7.33203125" style="30" customWidth="1"/>
    <col min="11516" max="11516" width="5.5546875" style="30" customWidth="1"/>
    <col min="11517" max="11517" width="9" style="30" customWidth="1"/>
    <col min="11518" max="11519" width="9.88671875" style="30" customWidth="1"/>
    <col min="11520" max="11520" width="11.109375" style="30" customWidth="1"/>
    <col min="11521" max="11521" width="2.88671875" style="30" customWidth="1"/>
    <col min="11522" max="11522" width="3.5546875" style="30" customWidth="1"/>
    <col min="11523" max="11767" width="9.109375" style="30"/>
    <col min="11768" max="11768" width="8.6640625" style="30" customWidth="1"/>
    <col min="11769" max="11769" width="9.88671875" style="30" customWidth="1"/>
    <col min="11770" max="11770" width="14.44140625" style="30" customWidth="1"/>
    <col min="11771" max="11771" width="7.33203125" style="30" customWidth="1"/>
    <col min="11772" max="11772" width="5.5546875" style="30" customWidth="1"/>
    <col min="11773" max="11773" width="9" style="30" customWidth="1"/>
    <col min="11774" max="11775" width="9.88671875" style="30" customWidth="1"/>
    <col min="11776" max="11776" width="11.109375" style="30" customWidth="1"/>
    <col min="11777" max="11777" width="2.88671875" style="30" customWidth="1"/>
    <col min="11778" max="11778" width="3.5546875" style="30" customWidth="1"/>
    <col min="11779" max="12023" width="9.109375" style="30"/>
    <col min="12024" max="12024" width="8.6640625" style="30" customWidth="1"/>
    <col min="12025" max="12025" width="9.88671875" style="30" customWidth="1"/>
    <col min="12026" max="12026" width="14.44140625" style="30" customWidth="1"/>
    <col min="12027" max="12027" width="7.33203125" style="30" customWidth="1"/>
    <col min="12028" max="12028" width="5.5546875" style="30" customWidth="1"/>
    <col min="12029" max="12029" width="9" style="30" customWidth="1"/>
    <col min="12030" max="12031" width="9.88671875" style="30" customWidth="1"/>
    <col min="12032" max="12032" width="11.109375" style="30" customWidth="1"/>
    <col min="12033" max="12033" width="2.88671875" style="30" customWidth="1"/>
    <col min="12034" max="12034" width="3.5546875" style="30" customWidth="1"/>
    <col min="12035" max="12279" width="9.109375" style="30"/>
    <col min="12280" max="12280" width="8.6640625" style="30" customWidth="1"/>
    <col min="12281" max="12281" width="9.88671875" style="30" customWidth="1"/>
    <col min="12282" max="12282" width="14.44140625" style="30" customWidth="1"/>
    <col min="12283" max="12283" width="7.33203125" style="30" customWidth="1"/>
    <col min="12284" max="12284" width="5.5546875" style="30" customWidth="1"/>
    <col min="12285" max="12285" width="9" style="30" customWidth="1"/>
    <col min="12286" max="12287" width="9.88671875" style="30" customWidth="1"/>
    <col min="12288" max="12288" width="11.109375" style="30" customWidth="1"/>
    <col min="12289" max="12289" width="2.88671875" style="30" customWidth="1"/>
    <col min="12290" max="12290" width="3.5546875" style="30" customWidth="1"/>
    <col min="12291" max="12535" width="9.109375" style="30"/>
    <col min="12536" max="12536" width="8.6640625" style="30" customWidth="1"/>
    <col min="12537" max="12537" width="9.88671875" style="30" customWidth="1"/>
    <col min="12538" max="12538" width="14.44140625" style="30" customWidth="1"/>
    <col min="12539" max="12539" width="7.33203125" style="30" customWidth="1"/>
    <col min="12540" max="12540" width="5.5546875" style="30" customWidth="1"/>
    <col min="12541" max="12541" width="9" style="30" customWidth="1"/>
    <col min="12542" max="12543" width="9.88671875" style="30" customWidth="1"/>
    <col min="12544" max="12544" width="11.109375" style="30" customWidth="1"/>
    <col min="12545" max="12545" width="2.88671875" style="30" customWidth="1"/>
    <col min="12546" max="12546" width="3.5546875" style="30" customWidth="1"/>
    <col min="12547" max="12791" width="9.109375" style="30"/>
    <col min="12792" max="12792" width="8.6640625" style="30" customWidth="1"/>
    <col min="12793" max="12793" width="9.88671875" style="30" customWidth="1"/>
    <col min="12794" max="12794" width="14.44140625" style="30" customWidth="1"/>
    <col min="12795" max="12795" width="7.33203125" style="30" customWidth="1"/>
    <col min="12796" max="12796" width="5.5546875" style="30" customWidth="1"/>
    <col min="12797" max="12797" width="9" style="30" customWidth="1"/>
    <col min="12798" max="12799" width="9.88671875" style="30" customWidth="1"/>
    <col min="12800" max="12800" width="11.109375" style="30" customWidth="1"/>
    <col min="12801" max="12801" width="2.88671875" style="30" customWidth="1"/>
    <col min="12802" max="12802" width="3.5546875" style="30" customWidth="1"/>
    <col min="12803" max="13047" width="9.109375" style="30"/>
    <col min="13048" max="13048" width="8.6640625" style="30" customWidth="1"/>
    <col min="13049" max="13049" width="9.88671875" style="30" customWidth="1"/>
    <col min="13050" max="13050" width="14.44140625" style="30" customWidth="1"/>
    <col min="13051" max="13051" width="7.33203125" style="30" customWidth="1"/>
    <col min="13052" max="13052" width="5.5546875" style="30" customWidth="1"/>
    <col min="13053" max="13053" width="9" style="30" customWidth="1"/>
    <col min="13054" max="13055" width="9.88671875" style="30" customWidth="1"/>
    <col min="13056" max="13056" width="11.109375" style="30" customWidth="1"/>
    <col min="13057" max="13057" width="2.88671875" style="30" customWidth="1"/>
    <col min="13058" max="13058" width="3.5546875" style="30" customWidth="1"/>
    <col min="13059" max="13303" width="9.109375" style="30"/>
    <col min="13304" max="13304" width="8.6640625" style="30" customWidth="1"/>
    <col min="13305" max="13305" width="9.88671875" style="30" customWidth="1"/>
    <col min="13306" max="13306" width="14.44140625" style="30" customWidth="1"/>
    <col min="13307" max="13307" width="7.33203125" style="30" customWidth="1"/>
    <col min="13308" max="13308" width="5.5546875" style="30" customWidth="1"/>
    <col min="13309" max="13309" width="9" style="30" customWidth="1"/>
    <col min="13310" max="13311" width="9.88671875" style="30" customWidth="1"/>
    <col min="13312" max="13312" width="11.109375" style="30" customWidth="1"/>
    <col min="13313" max="13313" width="2.88671875" style="30" customWidth="1"/>
    <col min="13314" max="13314" width="3.5546875" style="30" customWidth="1"/>
    <col min="13315" max="13559" width="9.109375" style="30"/>
    <col min="13560" max="13560" width="8.6640625" style="30" customWidth="1"/>
    <col min="13561" max="13561" width="9.88671875" style="30" customWidth="1"/>
    <col min="13562" max="13562" width="14.44140625" style="30" customWidth="1"/>
    <col min="13563" max="13563" width="7.33203125" style="30" customWidth="1"/>
    <col min="13564" max="13564" width="5.5546875" style="30" customWidth="1"/>
    <col min="13565" max="13565" width="9" style="30" customWidth="1"/>
    <col min="13566" max="13567" width="9.88671875" style="30" customWidth="1"/>
    <col min="13568" max="13568" width="11.109375" style="30" customWidth="1"/>
    <col min="13569" max="13569" width="2.88671875" style="30" customWidth="1"/>
    <col min="13570" max="13570" width="3.5546875" style="30" customWidth="1"/>
    <col min="13571" max="13815" width="9.109375" style="30"/>
    <col min="13816" max="13816" width="8.6640625" style="30" customWidth="1"/>
    <col min="13817" max="13817" width="9.88671875" style="30" customWidth="1"/>
    <col min="13818" max="13818" width="14.44140625" style="30" customWidth="1"/>
    <col min="13819" max="13819" width="7.33203125" style="30" customWidth="1"/>
    <col min="13820" max="13820" width="5.5546875" style="30" customWidth="1"/>
    <col min="13821" max="13821" width="9" style="30" customWidth="1"/>
    <col min="13822" max="13823" width="9.88671875" style="30" customWidth="1"/>
    <col min="13824" max="13824" width="11.109375" style="30" customWidth="1"/>
    <col min="13825" max="13825" width="2.88671875" style="30" customWidth="1"/>
    <col min="13826" max="13826" width="3.5546875" style="30" customWidth="1"/>
    <col min="13827" max="14071" width="9.109375" style="30"/>
    <col min="14072" max="14072" width="8.6640625" style="30" customWidth="1"/>
    <col min="14073" max="14073" width="9.88671875" style="30" customWidth="1"/>
    <col min="14074" max="14074" width="14.44140625" style="30" customWidth="1"/>
    <col min="14075" max="14075" width="7.33203125" style="30" customWidth="1"/>
    <col min="14076" max="14076" width="5.5546875" style="30" customWidth="1"/>
    <col min="14077" max="14077" width="9" style="30" customWidth="1"/>
    <col min="14078" max="14079" width="9.88671875" style="30" customWidth="1"/>
    <col min="14080" max="14080" width="11.109375" style="30" customWidth="1"/>
    <col min="14081" max="14081" width="2.88671875" style="30" customWidth="1"/>
    <col min="14082" max="14082" width="3.5546875" style="30" customWidth="1"/>
    <col min="14083" max="14327" width="9.109375" style="30"/>
    <col min="14328" max="14328" width="8.6640625" style="30" customWidth="1"/>
    <col min="14329" max="14329" width="9.88671875" style="30" customWidth="1"/>
    <col min="14330" max="14330" width="14.44140625" style="30" customWidth="1"/>
    <col min="14331" max="14331" width="7.33203125" style="30" customWidth="1"/>
    <col min="14332" max="14332" width="5.5546875" style="30" customWidth="1"/>
    <col min="14333" max="14333" width="9" style="30" customWidth="1"/>
    <col min="14334" max="14335" width="9.88671875" style="30" customWidth="1"/>
    <col min="14336" max="14336" width="11.109375" style="30" customWidth="1"/>
    <col min="14337" max="14337" width="2.88671875" style="30" customWidth="1"/>
    <col min="14338" max="14338" width="3.5546875" style="30" customWidth="1"/>
    <col min="14339" max="14583" width="9.109375" style="30"/>
    <col min="14584" max="14584" width="8.6640625" style="30" customWidth="1"/>
    <col min="14585" max="14585" width="9.88671875" style="30" customWidth="1"/>
    <col min="14586" max="14586" width="14.44140625" style="30" customWidth="1"/>
    <col min="14587" max="14587" width="7.33203125" style="30" customWidth="1"/>
    <col min="14588" max="14588" width="5.5546875" style="30" customWidth="1"/>
    <col min="14589" max="14589" width="9" style="30" customWidth="1"/>
    <col min="14590" max="14591" width="9.88671875" style="30" customWidth="1"/>
    <col min="14592" max="14592" width="11.109375" style="30" customWidth="1"/>
    <col min="14593" max="14593" width="2.88671875" style="30" customWidth="1"/>
    <col min="14594" max="14594" width="3.5546875" style="30" customWidth="1"/>
    <col min="14595" max="14839" width="9.109375" style="30"/>
    <col min="14840" max="14840" width="8.6640625" style="30" customWidth="1"/>
    <col min="14841" max="14841" width="9.88671875" style="30" customWidth="1"/>
    <col min="14842" max="14842" width="14.44140625" style="30" customWidth="1"/>
    <col min="14843" max="14843" width="7.33203125" style="30" customWidth="1"/>
    <col min="14844" max="14844" width="5.5546875" style="30" customWidth="1"/>
    <col min="14845" max="14845" width="9" style="30" customWidth="1"/>
    <col min="14846" max="14847" width="9.88671875" style="30" customWidth="1"/>
    <col min="14848" max="14848" width="11.109375" style="30" customWidth="1"/>
    <col min="14849" max="14849" width="2.88671875" style="30" customWidth="1"/>
    <col min="14850" max="14850" width="3.5546875" style="30" customWidth="1"/>
    <col min="14851" max="15095" width="9.109375" style="30"/>
    <col min="15096" max="15096" width="8.6640625" style="30" customWidth="1"/>
    <col min="15097" max="15097" width="9.88671875" style="30" customWidth="1"/>
    <col min="15098" max="15098" width="14.44140625" style="30" customWidth="1"/>
    <col min="15099" max="15099" width="7.33203125" style="30" customWidth="1"/>
    <col min="15100" max="15100" width="5.5546875" style="30" customWidth="1"/>
    <col min="15101" max="15101" width="9" style="30" customWidth="1"/>
    <col min="15102" max="15103" width="9.88671875" style="30" customWidth="1"/>
    <col min="15104" max="15104" width="11.109375" style="30" customWidth="1"/>
    <col min="15105" max="15105" width="2.88671875" style="30" customWidth="1"/>
    <col min="15106" max="15106" width="3.5546875" style="30" customWidth="1"/>
    <col min="15107" max="15351" width="9.109375" style="30"/>
    <col min="15352" max="15352" width="8.6640625" style="30" customWidth="1"/>
    <col min="15353" max="15353" width="9.88671875" style="30" customWidth="1"/>
    <col min="15354" max="15354" width="14.44140625" style="30" customWidth="1"/>
    <col min="15355" max="15355" width="7.33203125" style="30" customWidth="1"/>
    <col min="15356" max="15356" width="5.5546875" style="30" customWidth="1"/>
    <col min="15357" max="15357" width="9" style="30" customWidth="1"/>
    <col min="15358" max="15359" width="9.88671875" style="30" customWidth="1"/>
    <col min="15360" max="15360" width="11.109375" style="30" customWidth="1"/>
    <col min="15361" max="15361" width="2.88671875" style="30" customWidth="1"/>
    <col min="15362" max="15362" width="3.5546875" style="30" customWidth="1"/>
    <col min="15363" max="15607" width="9.109375" style="30"/>
    <col min="15608" max="15608" width="8.6640625" style="30" customWidth="1"/>
    <col min="15609" max="15609" width="9.88671875" style="30" customWidth="1"/>
    <col min="15610" max="15610" width="14.44140625" style="30" customWidth="1"/>
    <col min="15611" max="15611" width="7.33203125" style="30" customWidth="1"/>
    <col min="15612" max="15612" width="5.5546875" style="30" customWidth="1"/>
    <col min="15613" max="15613" width="9" style="30" customWidth="1"/>
    <col min="15614" max="15615" width="9.88671875" style="30" customWidth="1"/>
    <col min="15616" max="15616" width="11.109375" style="30" customWidth="1"/>
    <col min="15617" max="15617" width="2.88671875" style="30" customWidth="1"/>
    <col min="15618" max="15618" width="3.5546875" style="30" customWidth="1"/>
    <col min="15619" max="15863" width="9.109375" style="30"/>
    <col min="15864" max="15864" width="8.6640625" style="30" customWidth="1"/>
    <col min="15865" max="15865" width="9.88671875" style="30" customWidth="1"/>
    <col min="15866" max="15866" width="14.44140625" style="30" customWidth="1"/>
    <col min="15867" max="15867" width="7.33203125" style="30" customWidth="1"/>
    <col min="15868" max="15868" width="5.5546875" style="30" customWidth="1"/>
    <col min="15869" max="15869" width="9" style="30" customWidth="1"/>
    <col min="15870" max="15871" width="9.88671875" style="30" customWidth="1"/>
    <col min="15872" max="15872" width="11.109375" style="30" customWidth="1"/>
    <col min="15873" max="15873" width="2.88671875" style="30" customWidth="1"/>
    <col min="15874" max="15874" width="3.5546875" style="30" customWidth="1"/>
    <col min="15875" max="16119" width="9.109375" style="30"/>
    <col min="16120" max="16120" width="8.6640625" style="30" customWidth="1"/>
    <col min="16121" max="16121" width="9.88671875" style="30" customWidth="1"/>
    <col min="16122" max="16122" width="14.44140625" style="30" customWidth="1"/>
    <col min="16123" max="16123" width="7.33203125" style="30" customWidth="1"/>
    <col min="16124" max="16124" width="5.5546875" style="30" customWidth="1"/>
    <col min="16125" max="16125" width="9" style="30" customWidth="1"/>
    <col min="16126" max="16127" width="9.88671875" style="30" customWidth="1"/>
    <col min="16128" max="16128" width="11.109375" style="30" customWidth="1"/>
    <col min="16129" max="16129" width="2.88671875" style="30" customWidth="1"/>
    <col min="16130" max="16130" width="3.5546875" style="30" customWidth="1"/>
    <col min="16131" max="16384" width="9.109375" style="30"/>
  </cols>
  <sheetData>
    <row r="1" spans="1:8" ht="46.5" customHeight="1" x14ac:dyDescent="0.3">
      <c r="A1" s="132" t="s">
        <v>234</v>
      </c>
      <c r="B1" s="132"/>
      <c r="C1" s="132"/>
      <c r="D1" s="132"/>
      <c r="E1" s="132"/>
      <c r="F1" s="132"/>
      <c r="G1" s="132"/>
      <c r="H1" s="132"/>
    </row>
    <row r="2" spans="1:8" ht="16.5" customHeight="1" x14ac:dyDescent="0.3">
      <c r="A2" s="98" t="s">
        <v>0</v>
      </c>
      <c r="B2" s="98"/>
      <c r="C2" s="98"/>
      <c r="D2" s="98"/>
      <c r="E2" s="98"/>
      <c r="F2" s="98"/>
      <c r="G2" s="98"/>
      <c r="H2" s="98"/>
    </row>
    <row r="3" spans="1:8" x14ac:dyDescent="0.3">
      <c r="A3" s="63" t="s">
        <v>1</v>
      </c>
      <c r="B3" s="63"/>
      <c r="C3" s="63"/>
      <c r="D3" s="63"/>
      <c r="E3" s="131" t="str">
        <f ca="1">TEXT(TODAY(),"DD/MM/YYYY")</f>
        <v>15/09/2025</v>
      </c>
      <c r="F3" s="131"/>
      <c r="G3" s="131"/>
      <c r="H3" s="131"/>
    </row>
    <row r="4" spans="1:8" ht="15" customHeight="1" x14ac:dyDescent="0.3">
      <c r="A4" s="63" t="s">
        <v>2</v>
      </c>
      <c r="B4" s="63"/>
      <c r="C4" s="63"/>
      <c r="D4" s="63"/>
      <c r="E4" s="133" t="s">
        <v>192</v>
      </c>
      <c r="F4" s="133"/>
      <c r="G4" s="133"/>
      <c r="H4" s="133"/>
    </row>
    <row r="5" spans="1:8" x14ac:dyDescent="0.3">
      <c r="A5" s="63" t="s">
        <v>3</v>
      </c>
      <c r="B5" s="63"/>
      <c r="C5" s="63"/>
      <c r="D5" s="63"/>
      <c r="E5" s="131">
        <v>45911</v>
      </c>
      <c r="F5" s="131"/>
      <c r="G5" s="131"/>
      <c r="H5" s="131"/>
    </row>
    <row r="6" spans="1:8" ht="16.5" customHeight="1" x14ac:dyDescent="0.3">
      <c r="A6" s="63" t="s">
        <v>4</v>
      </c>
      <c r="B6" s="63"/>
      <c r="C6" s="63"/>
      <c r="D6" s="63"/>
      <c r="E6" s="88" t="s">
        <v>220</v>
      </c>
      <c r="F6" s="88"/>
      <c r="G6" s="88"/>
      <c r="H6" s="88"/>
    </row>
    <row r="7" spans="1:8" ht="15" customHeight="1" x14ac:dyDescent="0.3">
      <c r="A7" s="63" t="s">
        <v>5</v>
      </c>
      <c r="B7" s="63"/>
      <c r="C7" s="63"/>
      <c r="D7" s="63"/>
      <c r="E7" s="88" t="s">
        <v>222</v>
      </c>
      <c r="F7" s="88"/>
      <c r="G7" s="88"/>
      <c r="H7" s="88"/>
    </row>
    <row r="8" spans="1:8" x14ac:dyDescent="0.3">
      <c r="A8" s="63" t="s">
        <v>6</v>
      </c>
      <c r="B8" s="63"/>
      <c r="C8" s="63"/>
      <c r="D8" s="63"/>
      <c r="E8" s="97" t="s">
        <v>193</v>
      </c>
      <c r="F8" s="97"/>
      <c r="G8" s="97"/>
      <c r="H8" s="97"/>
    </row>
    <row r="9" spans="1:8" x14ac:dyDescent="0.3">
      <c r="A9" s="63" t="s">
        <v>154</v>
      </c>
      <c r="B9" s="63"/>
      <c r="C9" s="63"/>
      <c r="D9" s="63"/>
      <c r="E9" s="63">
        <v>9152143757</v>
      </c>
      <c r="F9" s="63"/>
      <c r="G9" s="63"/>
      <c r="H9" s="63"/>
    </row>
    <row r="10" spans="1:8" x14ac:dyDescent="0.3">
      <c r="A10" s="58" t="s">
        <v>7</v>
      </c>
      <c r="B10" s="58"/>
      <c r="C10" s="58"/>
      <c r="D10" s="58"/>
      <c r="E10" s="58" t="s">
        <v>194</v>
      </c>
      <c r="F10" s="58"/>
      <c r="G10" s="58"/>
      <c r="H10" s="58"/>
    </row>
    <row r="11" spans="1:8" ht="32.25" customHeight="1" x14ac:dyDescent="0.3">
      <c r="A11" s="63" t="s">
        <v>8</v>
      </c>
      <c r="B11" s="63"/>
      <c r="C11" s="63"/>
      <c r="D11" s="63"/>
      <c r="E11" s="89" t="s">
        <v>138</v>
      </c>
      <c r="F11" s="89"/>
      <c r="G11" s="89"/>
      <c r="H11" s="89"/>
    </row>
    <row r="12" spans="1:8" x14ac:dyDescent="0.3">
      <c r="A12" s="63" t="s">
        <v>9</v>
      </c>
      <c r="B12" s="63"/>
      <c r="C12" s="63"/>
      <c r="D12" s="63"/>
      <c r="E12" s="89" t="s">
        <v>195</v>
      </c>
      <c r="F12" s="58"/>
      <c r="G12" s="58"/>
      <c r="H12" s="58"/>
    </row>
    <row r="13" spans="1:8" ht="33" customHeight="1" x14ac:dyDescent="0.3">
      <c r="A13" s="89" t="s">
        <v>10</v>
      </c>
      <c r="B13" s="89"/>
      <c r="C13" s="89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Tulip, S No.03 &amp; Hissa No.04, near Kartik Residency, Hill View Residency Road, Newali, Panvel, Panvel, Raigad.</v>
      </c>
      <c r="D13" s="89"/>
      <c r="E13" s="89"/>
      <c r="F13" s="89"/>
      <c r="G13" s="89"/>
      <c r="H13" s="89"/>
    </row>
    <row r="14" spans="1:8" x14ac:dyDescent="0.3">
      <c r="A14" s="89" t="s">
        <v>205</v>
      </c>
      <c r="B14" s="89"/>
      <c r="C14" s="89" t="s">
        <v>206</v>
      </c>
      <c r="D14" s="89"/>
      <c r="E14" s="89"/>
      <c r="F14" s="89"/>
      <c r="G14" s="89"/>
      <c r="H14" s="89"/>
    </row>
    <row r="15" spans="1:8" ht="15.75" customHeight="1" x14ac:dyDescent="0.3">
      <c r="A15" s="89" t="s">
        <v>11</v>
      </c>
      <c r="B15" s="89"/>
      <c r="C15" s="58" t="s">
        <v>202</v>
      </c>
      <c r="D15" s="58"/>
      <c r="E15" s="89" t="s">
        <v>197</v>
      </c>
      <c r="F15" s="89"/>
      <c r="G15" s="89" t="s">
        <v>196</v>
      </c>
      <c r="H15" s="89"/>
    </row>
    <row r="16" spans="1:8" x14ac:dyDescent="0.3">
      <c r="A16" s="58" t="s">
        <v>13</v>
      </c>
      <c r="B16" s="58"/>
      <c r="C16" s="59" t="s">
        <v>198</v>
      </c>
      <c r="D16" s="61"/>
      <c r="E16" s="89" t="s">
        <v>12</v>
      </c>
      <c r="F16" s="89"/>
      <c r="G16" s="134" t="s">
        <v>199</v>
      </c>
      <c r="H16" s="134"/>
    </row>
    <row r="17" spans="1:8" x14ac:dyDescent="0.3">
      <c r="A17" s="58" t="s">
        <v>102</v>
      </c>
      <c r="B17" s="58"/>
      <c r="C17" s="59" t="s">
        <v>198</v>
      </c>
      <c r="D17" s="61"/>
      <c r="E17" s="89" t="s">
        <v>14</v>
      </c>
      <c r="F17" s="89"/>
      <c r="G17" s="89">
        <v>410206</v>
      </c>
      <c r="H17" s="89"/>
    </row>
    <row r="18" spans="1:8" ht="32.25" customHeight="1" x14ac:dyDescent="0.3">
      <c r="A18" s="58" t="s">
        <v>155</v>
      </c>
      <c r="B18" s="58"/>
      <c r="C18" s="89" t="s">
        <v>203</v>
      </c>
      <c r="D18" s="89"/>
      <c r="E18" s="89" t="s">
        <v>15</v>
      </c>
      <c r="F18" s="89"/>
      <c r="G18" s="89" t="s">
        <v>204</v>
      </c>
      <c r="H18" s="89"/>
    </row>
    <row r="19" spans="1:8" ht="15" customHeight="1" x14ac:dyDescent="0.3">
      <c r="A19" s="89" t="s">
        <v>106</v>
      </c>
      <c r="B19" s="89"/>
      <c r="C19" s="89"/>
      <c r="D19" s="89"/>
      <c r="E19" s="58" t="s">
        <v>16</v>
      </c>
      <c r="F19" s="58"/>
      <c r="G19" s="58"/>
      <c r="H19" s="58"/>
    </row>
    <row r="20" spans="1:8" ht="18.75" customHeight="1" x14ac:dyDescent="0.3">
      <c r="A20" s="89"/>
      <c r="B20" s="89"/>
      <c r="C20" s="89"/>
      <c r="D20" s="89"/>
      <c r="E20" s="58"/>
      <c r="F20" s="58"/>
      <c r="G20" s="58"/>
      <c r="H20" s="58"/>
    </row>
    <row r="21" spans="1:8" ht="15" customHeight="1" x14ac:dyDescent="0.3">
      <c r="A21" s="88" t="s">
        <v>17</v>
      </c>
      <c r="B21" s="88"/>
      <c r="C21" s="88"/>
      <c r="D21" s="88"/>
      <c r="E21" s="89" t="s">
        <v>18</v>
      </c>
      <c r="F21" s="89"/>
      <c r="G21" s="89"/>
      <c r="H21" s="89"/>
    </row>
    <row r="22" spans="1:8" ht="15" customHeight="1" x14ac:dyDescent="0.3">
      <c r="A22" s="63" t="s">
        <v>19</v>
      </c>
      <c r="B22" s="63"/>
      <c r="C22" s="63"/>
      <c r="D22" s="63"/>
      <c r="E22" s="89" t="str">
        <f>IF(AND(G16="Mumbai"),"Upper Class","Middle Class")</f>
        <v>Middle Class</v>
      </c>
      <c r="F22" s="89"/>
      <c r="G22" s="89"/>
      <c r="H22" s="89"/>
    </row>
    <row r="23" spans="1:8" x14ac:dyDescent="0.3">
      <c r="A23" s="63" t="s">
        <v>20</v>
      </c>
      <c r="B23" s="63"/>
      <c r="C23" s="63"/>
      <c r="D23" s="63"/>
      <c r="E23" s="89" t="s">
        <v>21</v>
      </c>
      <c r="F23" s="89"/>
      <c r="G23" s="89"/>
      <c r="H23" s="89"/>
    </row>
    <row r="24" spans="1:8" ht="15.75" customHeight="1" x14ac:dyDescent="0.3">
      <c r="A24" s="63" t="s">
        <v>22</v>
      </c>
      <c r="B24" s="63"/>
      <c r="C24" s="63"/>
      <c r="D24" s="63"/>
      <c r="E24" s="89" t="str">
        <f>IF(AND(G16="Mumbai"),"Developed","Developing")</f>
        <v>Developing</v>
      </c>
      <c r="F24" s="89"/>
      <c r="G24" s="89"/>
      <c r="H24" s="89"/>
    </row>
    <row r="25" spans="1:8" x14ac:dyDescent="0.3">
      <c r="A25" s="63" t="s">
        <v>23</v>
      </c>
      <c r="B25" s="63"/>
      <c r="C25" s="63"/>
      <c r="D25" s="63"/>
      <c r="E25" s="89" t="s">
        <v>24</v>
      </c>
      <c r="F25" s="89"/>
      <c r="G25" s="89"/>
      <c r="H25" s="89"/>
    </row>
    <row r="26" spans="1:8" x14ac:dyDescent="0.3">
      <c r="A26" s="63" t="s">
        <v>111</v>
      </c>
      <c r="B26" s="63"/>
      <c r="C26" s="63"/>
      <c r="D26" s="63"/>
      <c r="E26" s="89" t="s">
        <v>112</v>
      </c>
      <c r="F26" s="89"/>
      <c r="G26" s="89"/>
      <c r="H26" s="89"/>
    </row>
    <row r="27" spans="1:8" ht="15" customHeight="1" x14ac:dyDescent="0.3">
      <c r="A27" s="88" t="s">
        <v>33</v>
      </c>
      <c r="B27" s="88"/>
      <c r="C27" s="88"/>
      <c r="D27" s="88"/>
      <c r="E27" s="133" t="s">
        <v>214</v>
      </c>
      <c r="F27" s="133"/>
      <c r="G27" s="133"/>
      <c r="H27" s="133"/>
    </row>
    <row r="28" spans="1:8" x14ac:dyDescent="0.3">
      <c r="A28" s="88" t="s">
        <v>123</v>
      </c>
      <c r="B28" s="88"/>
      <c r="C28" s="88"/>
      <c r="D28" s="88"/>
      <c r="E28" s="88" t="s">
        <v>34</v>
      </c>
      <c r="F28" s="88"/>
      <c r="G28" s="88"/>
      <c r="H28" s="88"/>
    </row>
    <row r="29" spans="1:8" s="31" customFormat="1" x14ac:dyDescent="0.3">
      <c r="A29" s="139" t="s">
        <v>124</v>
      </c>
      <c r="B29" s="139"/>
      <c r="C29" s="138" t="s">
        <v>29</v>
      </c>
      <c r="D29" s="138"/>
      <c r="E29" s="138"/>
      <c r="F29" s="138" t="s">
        <v>31</v>
      </c>
      <c r="G29" s="138"/>
      <c r="H29" s="138"/>
    </row>
    <row r="30" spans="1:8" s="31" customFormat="1" x14ac:dyDescent="0.3">
      <c r="A30" s="135" t="s">
        <v>25</v>
      </c>
      <c r="B30" s="135" t="s">
        <v>30</v>
      </c>
      <c r="C30" s="136" t="s">
        <v>30</v>
      </c>
      <c r="D30" s="136"/>
      <c r="E30" s="136"/>
      <c r="F30" s="136" t="s">
        <v>203</v>
      </c>
      <c r="G30" s="136"/>
      <c r="H30" s="136"/>
    </row>
    <row r="31" spans="1:8" x14ac:dyDescent="0.3">
      <c r="A31" s="135" t="s">
        <v>26</v>
      </c>
      <c r="B31" s="135" t="s">
        <v>30</v>
      </c>
      <c r="C31" s="136" t="s">
        <v>30</v>
      </c>
      <c r="D31" s="136"/>
      <c r="E31" s="136"/>
      <c r="F31" s="136" t="s">
        <v>202</v>
      </c>
      <c r="G31" s="136"/>
      <c r="H31" s="136"/>
    </row>
    <row r="32" spans="1:8" s="31" customFormat="1" x14ac:dyDescent="0.3">
      <c r="A32" s="135" t="s">
        <v>28</v>
      </c>
      <c r="B32" s="135" t="s">
        <v>30</v>
      </c>
      <c r="C32" s="136" t="s">
        <v>30</v>
      </c>
      <c r="D32" s="136"/>
      <c r="E32" s="136"/>
      <c r="F32" s="136" t="s">
        <v>200</v>
      </c>
      <c r="G32" s="136"/>
      <c r="H32" s="136"/>
    </row>
    <row r="33" spans="1:8" x14ac:dyDescent="0.3">
      <c r="A33" s="135" t="s">
        <v>27</v>
      </c>
      <c r="B33" s="135" t="s">
        <v>30</v>
      </c>
      <c r="C33" s="136" t="s">
        <v>30</v>
      </c>
      <c r="D33" s="136"/>
      <c r="E33" s="136"/>
      <c r="F33" s="136" t="s">
        <v>201</v>
      </c>
      <c r="G33" s="136"/>
      <c r="H33" s="136"/>
    </row>
    <row r="34" spans="1:8" x14ac:dyDescent="0.3">
      <c r="A34" s="63" t="s">
        <v>32</v>
      </c>
      <c r="B34" s="63"/>
      <c r="C34" s="63"/>
      <c r="D34" s="63"/>
      <c r="E34" s="63"/>
      <c r="F34" s="63"/>
      <c r="G34" s="63"/>
      <c r="H34" s="63"/>
    </row>
    <row r="35" spans="1:8" ht="15.75" customHeight="1" x14ac:dyDescent="0.3">
      <c r="A35" s="98" t="s">
        <v>231</v>
      </c>
      <c r="B35" s="98"/>
      <c r="C35" s="140" t="s">
        <v>236</v>
      </c>
      <c r="D35" s="141"/>
      <c r="E35" s="141"/>
      <c r="F35" s="141"/>
      <c r="G35" s="141"/>
      <c r="H35" s="142"/>
    </row>
    <row r="36" spans="1:8" ht="15.75" customHeight="1" x14ac:dyDescent="0.3">
      <c r="A36" s="98" t="s">
        <v>232</v>
      </c>
      <c r="B36" s="98"/>
      <c r="C36" s="143" t="s">
        <v>233</v>
      </c>
      <c r="D36" s="141"/>
      <c r="E36" s="141"/>
      <c r="F36" s="141"/>
      <c r="G36" s="141"/>
      <c r="H36" s="142"/>
    </row>
    <row r="37" spans="1:8" x14ac:dyDescent="0.3">
      <c r="A37" s="97" t="s">
        <v>35</v>
      </c>
      <c r="B37" s="97"/>
      <c r="C37" s="97"/>
      <c r="D37" s="97"/>
      <c r="E37" s="97"/>
      <c r="F37" s="97"/>
      <c r="G37" s="97"/>
      <c r="H37" s="97"/>
    </row>
    <row r="38" spans="1:8" x14ac:dyDescent="0.3">
      <c r="A38" s="63" t="s">
        <v>36</v>
      </c>
      <c r="B38" s="63"/>
      <c r="C38" s="63"/>
      <c r="D38" s="63"/>
      <c r="E38" s="137">
        <v>2310</v>
      </c>
      <c r="F38" s="137"/>
      <c r="G38" s="137"/>
      <c r="H38" s="137"/>
    </row>
    <row r="39" spans="1:8" x14ac:dyDescent="0.3">
      <c r="A39" s="63" t="s">
        <v>37</v>
      </c>
      <c r="B39" s="63"/>
      <c r="C39" s="63"/>
      <c r="D39" s="63"/>
      <c r="E39" s="62">
        <v>1</v>
      </c>
      <c r="F39" s="62"/>
      <c r="G39" s="62"/>
      <c r="H39" s="62"/>
    </row>
    <row r="40" spans="1:8" x14ac:dyDescent="0.3">
      <c r="A40" s="63" t="s">
        <v>38</v>
      </c>
      <c r="B40" s="63"/>
      <c r="C40" s="63"/>
      <c r="D40" s="63"/>
      <c r="E40" s="62">
        <f>E42/E38-E39</f>
        <v>0</v>
      </c>
      <c r="F40" s="62"/>
      <c r="G40" s="62"/>
      <c r="H40" s="62"/>
    </row>
    <row r="41" spans="1:8" x14ac:dyDescent="0.3">
      <c r="A41" s="63" t="s">
        <v>39</v>
      </c>
      <c r="B41" s="63"/>
      <c r="C41" s="63"/>
      <c r="D41" s="63"/>
      <c r="E41" s="62">
        <f>E39+E40</f>
        <v>1</v>
      </c>
      <c r="F41" s="62"/>
      <c r="G41" s="62"/>
      <c r="H41" s="62"/>
    </row>
    <row r="42" spans="1:8" x14ac:dyDescent="0.3">
      <c r="A42" s="63" t="s">
        <v>122</v>
      </c>
      <c r="B42" s="63"/>
      <c r="C42" s="63"/>
      <c r="D42" s="63"/>
      <c r="E42" s="130">
        <v>2310</v>
      </c>
      <c r="F42" s="130"/>
      <c r="G42" s="130"/>
      <c r="H42" s="130"/>
    </row>
    <row r="43" spans="1:8" x14ac:dyDescent="0.3">
      <c r="A43" s="58" t="s">
        <v>40</v>
      </c>
      <c r="B43" s="58"/>
      <c r="C43" s="58"/>
      <c r="D43" s="58"/>
      <c r="E43" s="58" t="s">
        <v>229</v>
      </c>
      <c r="F43" s="58"/>
      <c r="G43" s="58"/>
      <c r="H43" s="58"/>
    </row>
    <row r="44" spans="1:8" x14ac:dyDescent="0.3">
      <c r="A44" s="97" t="s">
        <v>41</v>
      </c>
      <c r="B44" s="97"/>
      <c r="C44" s="97"/>
      <c r="D44" s="97"/>
      <c r="E44" s="97"/>
      <c r="F44" s="97"/>
      <c r="G44" s="97"/>
      <c r="H44" s="97"/>
    </row>
    <row r="45" spans="1:8" x14ac:dyDescent="0.3">
      <c r="A45" s="88" t="s">
        <v>42</v>
      </c>
      <c r="B45" s="88"/>
      <c r="C45" s="89" t="s">
        <v>191</v>
      </c>
      <c r="D45" s="89"/>
      <c r="E45" s="89"/>
      <c r="F45" s="23" t="s">
        <v>43</v>
      </c>
      <c r="G45" s="90" t="s">
        <v>207</v>
      </c>
      <c r="H45" s="90"/>
    </row>
    <row r="46" spans="1:8" x14ac:dyDescent="0.3">
      <c r="A46" s="63" t="s">
        <v>44</v>
      </c>
      <c r="B46" s="63"/>
      <c r="C46" s="89" t="str">
        <f>C45</f>
        <v>MS/LNA-1/SR/232/2015</v>
      </c>
      <c r="D46" s="89"/>
      <c r="E46" s="89"/>
      <c r="F46" s="23" t="s">
        <v>43</v>
      </c>
      <c r="G46" s="90" t="str">
        <f>G45</f>
        <v>23/11/2015.</v>
      </c>
      <c r="H46" s="90"/>
    </row>
    <row r="47" spans="1:8" s="33" customFormat="1" x14ac:dyDescent="0.3">
      <c r="A47" s="89" t="s">
        <v>45</v>
      </c>
      <c r="B47" s="89"/>
      <c r="C47" s="89" t="s">
        <v>208</v>
      </c>
      <c r="D47" s="58"/>
      <c r="E47" s="58"/>
      <c r="F47" s="32" t="s">
        <v>43</v>
      </c>
      <c r="G47" s="90" t="str">
        <f>G46</f>
        <v>23/11/2015.</v>
      </c>
      <c r="H47" s="90"/>
    </row>
    <row r="48" spans="1:8" s="33" customFormat="1" x14ac:dyDescent="0.3">
      <c r="A48" s="89"/>
      <c r="B48" s="89"/>
      <c r="C48" s="59" t="s">
        <v>209</v>
      </c>
      <c r="D48" s="60"/>
      <c r="E48" s="60"/>
      <c r="F48" s="60"/>
      <c r="G48" s="60"/>
      <c r="H48" s="61"/>
    </row>
    <row r="49" spans="1:14" x14ac:dyDescent="0.3">
      <c r="A49" s="91" t="s">
        <v>46</v>
      </c>
      <c r="B49" s="91"/>
      <c r="C49" s="92" t="s">
        <v>139</v>
      </c>
      <c r="D49" s="84"/>
      <c r="E49" s="84" t="s">
        <v>47</v>
      </c>
      <c r="F49" s="26" t="s">
        <v>43</v>
      </c>
      <c r="G49" s="113" t="s">
        <v>30</v>
      </c>
      <c r="H49" s="113"/>
    </row>
    <row r="50" spans="1:14" x14ac:dyDescent="0.3">
      <c r="A50" s="93" t="s">
        <v>49</v>
      </c>
      <c r="B50" s="93"/>
      <c r="C50" s="93"/>
      <c r="D50" s="93"/>
      <c r="E50" s="93"/>
      <c r="F50" s="93"/>
      <c r="G50" s="93"/>
      <c r="H50" s="93"/>
    </row>
    <row r="51" spans="1:14" x14ac:dyDescent="0.3">
      <c r="A51" s="88" t="s">
        <v>121</v>
      </c>
      <c r="B51" s="88"/>
      <c r="C51" s="88"/>
      <c r="D51" s="63">
        <f>E42</f>
        <v>2310</v>
      </c>
      <c r="E51" s="63"/>
      <c r="F51" s="63"/>
      <c r="G51" s="63"/>
      <c r="H51" s="63"/>
    </row>
    <row r="52" spans="1:14" x14ac:dyDescent="0.3">
      <c r="A52" s="89" t="s">
        <v>50</v>
      </c>
      <c r="B52" s="58"/>
      <c r="C52" s="58"/>
      <c r="D52" s="58" t="s">
        <v>215</v>
      </c>
      <c r="E52" s="58"/>
      <c r="F52" s="58"/>
      <c r="G52" s="58"/>
      <c r="H52" s="58"/>
      <c r="I52" s="34"/>
    </row>
    <row r="53" spans="1:14" ht="15.75" customHeight="1" x14ac:dyDescent="0.3">
      <c r="A53" s="94" t="s">
        <v>51</v>
      </c>
      <c r="B53" s="95"/>
      <c r="C53" s="96"/>
      <c r="D53" s="58" t="s">
        <v>210</v>
      </c>
      <c r="E53" s="58"/>
      <c r="F53" s="58"/>
      <c r="G53" s="58"/>
      <c r="H53" s="58"/>
    </row>
    <row r="54" spans="1:14" ht="15.75" customHeight="1" x14ac:dyDescent="0.3">
      <c r="A54" s="94" t="s">
        <v>119</v>
      </c>
      <c r="B54" s="95"/>
      <c r="C54" s="96"/>
      <c r="D54" s="58" t="s">
        <v>211</v>
      </c>
      <c r="E54" s="58"/>
      <c r="F54" s="58"/>
      <c r="G54" s="58"/>
      <c r="H54" s="58"/>
    </row>
    <row r="55" spans="1:14" ht="15.75" customHeight="1" x14ac:dyDescent="0.3">
      <c r="A55" s="160"/>
      <c r="B55" s="161"/>
      <c r="C55" s="162"/>
      <c r="D55" s="58" t="s">
        <v>212</v>
      </c>
      <c r="E55" s="58"/>
      <c r="F55" s="58"/>
      <c r="G55" s="58"/>
      <c r="H55" s="58"/>
    </row>
    <row r="56" spans="1:14" ht="15.75" customHeight="1" x14ac:dyDescent="0.3">
      <c r="A56" s="160"/>
      <c r="B56" s="161"/>
      <c r="C56" s="162"/>
      <c r="D56" s="58" t="s">
        <v>235</v>
      </c>
      <c r="E56" s="58"/>
      <c r="F56" s="58"/>
      <c r="G56" s="58"/>
      <c r="H56" s="58"/>
    </row>
    <row r="57" spans="1:14" ht="15.75" hidden="1" customHeight="1" x14ac:dyDescent="0.3">
      <c r="A57" s="163"/>
      <c r="B57" s="164"/>
      <c r="C57" s="165"/>
      <c r="D57" s="58" t="s">
        <v>213</v>
      </c>
      <c r="E57" s="58"/>
      <c r="F57" s="58"/>
      <c r="G57" s="58"/>
      <c r="H57" s="58"/>
    </row>
    <row r="58" spans="1:14" ht="15.75" customHeight="1" x14ac:dyDescent="0.3">
      <c r="A58" s="63" t="s">
        <v>48</v>
      </c>
      <c r="B58" s="63"/>
      <c r="C58" s="63"/>
      <c r="D58" s="122" t="s">
        <v>242</v>
      </c>
      <c r="E58" s="122"/>
      <c r="F58" s="122"/>
      <c r="G58" s="122"/>
      <c r="H58" s="122"/>
      <c r="J58" s="35"/>
      <c r="K58" s="34"/>
      <c r="N58" s="34"/>
    </row>
    <row r="59" spans="1:14" ht="15.75" customHeight="1" x14ac:dyDescent="0.3">
      <c r="A59" s="63" t="s">
        <v>117</v>
      </c>
      <c r="B59" s="63"/>
      <c r="C59" s="63"/>
      <c r="D59" s="125" t="str">
        <f>(IF(G49="NA","60 Years After Completion",IF(G49&lt;&gt;"NA",""&amp;ROUNDDOWN((E3-G49)/360,0)&amp;" Years"," ")))</f>
        <v>60 Years After Completion</v>
      </c>
      <c r="E59" s="125"/>
      <c r="F59" s="125"/>
      <c r="G59" s="125"/>
      <c r="H59" s="125"/>
      <c r="N59" s="34"/>
    </row>
    <row r="60" spans="1:14" ht="15.75" customHeight="1" x14ac:dyDescent="0.3">
      <c r="A60" s="63" t="s">
        <v>118</v>
      </c>
      <c r="B60" s="63"/>
      <c r="C60" s="63"/>
      <c r="D60" s="88" t="s">
        <v>24</v>
      </c>
      <c r="E60" s="88"/>
      <c r="F60" s="88"/>
      <c r="G60" s="88"/>
      <c r="H60" s="88"/>
      <c r="J60" s="18"/>
      <c r="K60" s="18"/>
    </row>
    <row r="61" spans="1:14" ht="15.75" customHeight="1" thickBot="1" x14ac:dyDescent="0.35">
      <c r="A61" s="126" t="s">
        <v>116</v>
      </c>
      <c r="B61" s="126"/>
      <c r="C61" s="126"/>
      <c r="D61" s="127" t="str">
        <f ca="1">(IF(G66&gt;95%,"Nothing",IF(G66&gt;0%,"Cement, Aggregate, Steel, etc",IF(G66=0%,"Work not yet Started"))))</f>
        <v>Cement, Aggregate, Steel, etc</v>
      </c>
      <c r="E61" s="127"/>
      <c r="F61" s="127"/>
      <c r="G61" s="127"/>
      <c r="H61" s="127"/>
      <c r="J61" s="18"/>
    </row>
    <row r="62" spans="1:14" ht="15.75" customHeight="1" x14ac:dyDescent="0.3">
      <c r="A62" s="79" t="s">
        <v>173</v>
      </c>
      <c r="B62" s="80"/>
      <c r="C62" s="81" t="str">
        <f>D54</f>
        <v xml:space="preserve">Wing A =  Gr + 1st to 3rd Floor </v>
      </c>
      <c r="D62" s="82"/>
      <c r="E62" s="82"/>
      <c r="F62" s="82"/>
      <c r="G62" s="82"/>
      <c r="H62" s="83"/>
      <c r="I62" s="17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Excavation work Completed. Plinth work completed, RCC Slab, Brickwork, Internal Plaster, External Plaster, Flooring, Painting upto 2 Floor Completed</v>
      </c>
      <c r="J62" s="36"/>
    </row>
    <row r="63" spans="1:14" x14ac:dyDescent="0.3">
      <c r="A63" s="28" t="s">
        <v>175</v>
      </c>
      <c r="B63" s="29">
        <v>0</v>
      </c>
      <c r="C63" s="29" t="s">
        <v>101</v>
      </c>
      <c r="D63" s="29">
        <v>1</v>
      </c>
      <c r="E63" s="29" t="s">
        <v>100</v>
      </c>
      <c r="F63" s="29">
        <v>0</v>
      </c>
      <c r="G63" s="29" t="s">
        <v>110</v>
      </c>
      <c r="H63" s="20">
        <f ca="1">--TRIM(RIGHT(SUBSTITUTE(LEFT(C62,_xlfn.AGGREGATE(16,6,FIND({0,1,2,3,4,5,6,7,8,9},C62,ROW(INDIRECT("1:"&amp;LEN(C62)))),1))," ",REPT(" ",LEN(C62))),LEN(C62)))</f>
        <v>3</v>
      </c>
      <c r="I63" s="18"/>
      <c r="J63" s="37"/>
    </row>
    <row r="64" spans="1:14" ht="36" customHeight="1" x14ac:dyDescent="0.3">
      <c r="A64" s="129" t="s">
        <v>120</v>
      </c>
      <c r="B64" s="84"/>
      <c r="C64" s="92" t="str">
        <f ca="1">I62</f>
        <v>Excavation work Completed. Plinth work completed, RCC Slab, Brickwork, Internal Plaster, External Plaster, Flooring, Painting upto 2 Floor Completed</v>
      </c>
      <c r="D64" s="92"/>
      <c r="E64" s="92"/>
      <c r="F64" s="92"/>
      <c r="G64" s="92"/>
      <c r="H64" s="159"/>
      <c r="I64" s="18" t="s">
        <v>137</v>
      </c>
      <c r="J64" s="37"/>
    </row>
    <row r="65" spans="1:10" ht="15.75" customHeight="1" x14ac:dyDescent="0.3">
      <c r="A65" s="77" t="s">
        <v>52</v>
      </c>
      <c r="B65" s="78"/>
      <c r="C65" s="25" t="s">
        <v>172</v>
      </c>
      <c r="D65" s="25" t="s">
        <v>113</v>
      </c>
      <c r="E65" s="78" t="s">
        <v>115</v>
      </c>
      <c r="F65" s="78"/>
      <c r="G65" s="78" t="s">
        <v>114</v>
      </c>
      <c r="H65" s="128"/>
      <c r="I65" s="16" t="s">
        <v>174</v>
      </c>
      <c r="J65" s="38">
        <f ca="1">H63*25%</f>
        <v>0.75</v>
      </c>
    </row>
    <row r="66" spans="1:10" x14ac:dyDescent="0.3">
      <c r="A66" s="77" t="s">
        <v>161</v>
      </c>
      <c r="B66" s="78"/>
      <c r="C66" s="39">
        <f ca="1">J67</f>
        <v>3</v>
      </c>
      <c r="D66" s="40">
        <f ca="1">((100/H63)*C66)/100</f>
        <v>1</v>
      </c>
      <c r="E66" s="109">
        <f ca="1">(((C67/H63*10)+(40/(D63+F63+H63)*C68)+(7.5/(H63)*C69)+(7.5/(H63)*C70)+(10/H63*C71)+(10/H63*C72)+(5/H63*C73)+(5/H63*C74)+(5/H63*C75))/100)</f>
        <v>0.8833333333333333</v>
      </c>
      <c r="F66" s="109"/>
      <c r="G66" s="109">
        <f ca="1">((((C66/H63)*20)+((C67/H63)*25)+(30/(H63+F63+D63)*C68)+(5/H63*C69)+(5/H63*C70)+(5/H63*C71)+(5/H63*C72)+(0/H63*C73)+(0/H63*C74)+(5/H63*C75))/100)</f>
        <v>0.95</v>
      </c>
      <c r="H66" s="123"/>
      <c r="I66" s="16" t="s">
        <v>132</v>
      </c>
      <c r="J66" s="41">
        <f ca="1">H63*50%</f>
        <v>1.5</v>
      </c>
    </row>
    <row r="67" spans="1:10" x14ac:dyDescent="0.3">
      <c r="A67" s="77" t="s">
        <v>53</v>
      </c>
      <c r="B67" s="78"/>
      <c r="C67" s="42">
        <f ca="1">J75</f>
        <v>3</v>
      </c>
      <c r="D67" s="40">
        <f ca="1">((100/H63)*C67)/100</f>
        <v>1</v>
      </c>
      <c r="E67" s="109"/>
      <c r="F67" s="109"/>
      <c r="G67" s="109"/>
      <c r="H67" s="123"/>
      <c r="I67" s="16" t="s">
        <v>133</v>
      </c>
      <c r="J67" s="41">
        <f ca="1">H63</f>
        <v>3</v>
      </c>
    </row>
    <row r="68" spans="1:10" ht="15.75" customHeight="1" x14ac:dyDescent="0.3">
      <c r="A68" s="144" t="s">
        <v>162</v>
      </c>
      <c r="B68" s="136"/>
      <c r="C68" s="42">
        <f ca="1">D63+H63</f>
        <v>4</v>
      </c>
      <c r="D68" s="40">
        <f ca="1">((100/(D63+F63+H63))*C68)/100</f>
        <v>1</v>
      </c>
      <c r="E68" s="109"/>
      <c r="F68" s="109"/>
      <c r="G68" s="109"/>
      <c r="H68" s="123"/>
      <c r="I68" s="16" t="s">
        <v>134</v>
      </c>
      <c r="J68" s="43">
        <f ca="1">(IF(B63&gt;1,(H63/(B63+2)),H63/4))</f>
        <v>0.75</v>
      </c>
    </row>
    <row r="69" spans="1:10" ht="15.75" customHeight="1" x14ac:dyDescent="0.3">
      <c r="A69" s="77" t="s">
        <v>169</v>
      </c>
      <c r="B69" s="78" t="s">
        <v>163</v>
      </c>
      <c r="C69" s="39">
        <v>3</v>
      </c>
      <c r="D69" s="40">
        <f ca="1">((100/H63)*C69)/100</f>
        <v>1</v>
      </c>
      <c r="E69" s="109"/>
      <c r="F69" s="109"/>
      <c r="G69" s="109"/>
      <c r="H69" s="123"/>
      <c r="I69" s="16" t="s">
        <v>135</v>
      </c>
      <c r="J69" s="43">
        <f ca="1">(IF(B63&gt;1,(H63/(B63+2)+J68),H63/4+J68))</f>
        <v>1.5</v>
      </c>
    </row>
    <row r="70" spans="1:10" ht="15.75" customHeight="1" x14ac:dyDescent="0.3">
      <c r="A70" s="77" t="s">
        <v>170</v>
      </c>
      <c r="B70" s="78" t="s">
        <v>163</v>
      </c>
      <c r="C70" s="39">
        <v>3</v>
      </c>
      <c r="D70" s="40">
        <f ca="1">((100/H63)*C70)/100</f>
        <v>1</v>
      </c>
      <c r="E70" s="109"/>
      <c r="F70" s="109"/>
      <c r="G70" s="109"/>
      <c r="H70" s="123"/>
      <c r="I70" s="16" t="s">
        <v>181</v>
      </c>
      <c r="J70" s="43">
        <f>(IF(B63&gt;1,(H63/(B63+2)+J69),0))</f>
        <v>0</v>
      </c>
    </row>
    <row r="71" spans="1:10" ht="15" customHeight="1" x14ac:dyDescent="0.3">
      <c r="A71" s="77" t="s">
        <v>168</v>
      </c>
      <c r="B71" s="78" t="s">
        <v>165</v>
      </c>
      <c r="C71" s="39">
        <v>3</v>
      </c>
      <c r="D71" s="40">
        <f ca="1">((100/(H63))*C71)/100</f>
        <v>1</v>
      </c>
      <c r="E71" s="109"/>
      <c r="F71" s="109"/>
      <c r="G71" s="109"/>
      <c r="H71" s="123"/>
      <c r="I71" s="16" t="s">
        <v>176</v>
      </c>
      <c r="J71" s="43">
        <f>(IF(B63&gt;2,(H63/(B63+2)+J70),0))</f>
        <v>0</v>
      </c>
    </row>
    <row r="72" spans="1:10" ht="15.75" customHeight="1" x14ac:dyDescent="0.3">
      <c r="A72" s="77" t="s">
        <v>164</v>
      </c>
      <c r="B72" s="78" t="s">
        <v>164</v>
      </c>
      <c r="C72" s="39">
        <v>3</v>
      </c>
      <c r="D72" s="40">
        <f ca="1">((100/H63)*C72)/100</f>
        <v>1</v>
      </c>
      <c r="E72" s="109"/>
      <c r="F72" s="109"/>
      <c r="G72" s="109"/>
      <c r="H72" s="123"/>
      <c r="I72" s="16" t="s">
        <v>177</v>
      </c>
      <c r="J72" s="44">
        <f>(IF(B63&gt;3,(H63/(B63+2)+J71),0))</f>
        <v>0</v>
      </c>
    </row>
    <row r="73" spans="1:10" ht="15.75" customHeight="1" x14ac:dyDescent="0.3">
      <c r="A73" s="77" t="s">
        <v>171</v>
      </c>
      <c r="B73" s="78"/>
      <c r="C73" s="39">
        <v>2</v>
      </c>
      <c r="D73" s="40">
        <f ca="1">((100/H63)*C73)/100</f>
        <v>0.66666666666666674</v>
      </c>
      <c r="E73" s="109"/>
      <c r="F73" s="109"/>
      <c r="G73" s="109"/>
      <c r="H73" s="123"/>
      <c r="I73" s="16" t="s">
        <v>178</v>
      </c>
      <c r="J73" s="43">
        <f>(IF(B63&gt;4,(H63/(B63+2)+J72),0))</f>
        <v>0</v>
      </c>
    </row>
    <row r="74" spans="1:10" ht="15.75" customHeight="1" x14ac:dyDescent="0.3">
      <c r="A74" s="77" t="s">
        <v>166</v>
      </c>
      <c r="B74" s="78" t="s">
        <v>166</v>
      </c>
      <c r="C74" s="39">
        <v>0</v>
      </c>
      <c r="D74" s="40">
        <f ca="1">((100/(H63))*C74)/100</f>
        <v>0</v>
      </c>
      <c r="E74" s="109"/>
      <c r="F74" s="109"/>
      <c r="G74" s="109"/>
      <c r="H74" s="123"/>
      <c r="I74" s="16" t="s">
        <v>182</v>
      </c>
      <c r="J74" s="43">
        <f ca="1">(IF(B63=1,(H63/(B63+3)+J69),IF(B63=0,(H63/4+J69),IF(B63&gt;1,0))))</f>
        <v>2.25</v>
      </c>
    </row>
    <row r="75" spans="1:10" ht="16.2" thickBot="1" x14ac:dyDescent="0.35">
      <c r="A75" s="111" t="s">
        <v>167</v>
      </c>
      <c r="B75" s="112"/>
      <c r="C75" s="45">
        <v>0</v>
      </c>
      <c r="D75" s="46">
        <f ca="1">((100/(H63))*C75)/100</f>
        <v>0</v>
      </c>
      <c r="E75" s="110"/>
      <c r="F75" s="110"/>
      <c r="G75" s="110"/>
      <c r="H75" s="124"/>
      <c r="I75" s="19" t="s">
        <v>136</v>
      </c>
      <c r="J75" s="47">
        <f ca="1">(IF(B63&gt;1.5,(H63/(B63+2)+J69+MAX(0,J70-J69)+MAX(0,J71-J70)+MAX(0,J72-J71)+MAX(0,J73-J72)+MAX(0,J74-J73)),IF(B63=1,(H63/(B63+3)+J74),IF(B63=0,H63/4+J74))))</f>
        <v>3</v>
      </c>
    </row>
    <row r="76" spans="1:10" ht="15.75" customHeight="1" x14ac:dyDescent="0.3">
      <c r="A76" s="79" t="s">
        <v>173</v>
      </c>
      <c r="B76" s="80"/>
      <c r="C76" s="81" t="str">
        <f>D55</f>
        <v xml:space="preserve">Wing B =  Gr + 1st to 3rd Floor </v>
      </c>
      <c r="D76" s="82"/>
      <c r="E76" s="82"/>
      <c r="F76" s="82"/>
      <c r="G76" s="82"/>
      <c r="H76" s="83"/>
      <c r="I76" s="17" t="str">
        <f ca="1">(IF(E80&gt;99%,"All work completed. Please provide OC.",IF(E80&gt;89.8%,"Plinth, RCC, Brick, Plaster, Flooring, Painting work Completed. Finishing work is in process.",IF(E80&lt;94%,(IF(C80=0,"Work not yet Started.",IF(D80=25%,"Piling work in process",IF(D80=50%,"Excavation work in process",IF(D80=100%,"Excavation work Completed. ","0")))&amp;(IF(C81=0%,"",IF(C81=J82,"Footing work is process",IF(C81=J83,"Footing work Completed",IF(C81=J84,"1st Basement Completed",IF(C81=J85,"1st &amp; 2nd Basement Completed",IF(C81=J86,"1st to 3rd Basement Completed",IF(C81=J87,"1st to 4th Basement Completed",IF(C81=J88,"Plinth work is process",IF(C81=J89,"Plinth work completed","0")))))))))))&amp;(IF(C82=(D77+F77+H77),", RCC Slab",IF(C82&gt;0,", RCC upto "&amp;C82&amp;" Slab",""))&amp;(IF(C83=H77,", Brickwork",IF(C83&gt;0,", Brickwork upto "&amp;C83&amp;" Floor",""))&amp;(IF(C84=H77,", Internal Plaster",IF(C84&gt;0,", Internal Plaster upto "&amp;C84&amp;" Floor",""))&amp;(IF(C85=H77,", External Plaster",IF(C85&gt;0,", External Plaster upto "&amp;C85&amp;" Floor",""))&amp;(IF(C86=H77,", Flooring",IF(C86&gt;0,", Flooring upto "&amp;C86&amp;" Floor",""))&amp;(IF(C87=H77,", Painting",IF(C87&gt;0,", Painting upto "&amp;C87&amp;" Floor",""))&amp;(IF(C88&gt;0,", Finishing upto "&amp;C88&amp;" Floor","")&amp;(IF(C82&gt;0.5," Completed",""))))))))))))))</f>
        <v>Excavation work Completed. Plinth work completed, RCC Slab, Brickwork, Internal Plaster upto 1 Floor, External Plaster upto 1 Floor Completed</v>
      </c>
      <c r="J76" s="36"/>
    </row>
    <row r="77" spans="1:10" x14ac:dyDescent="0.3">
      <c r="A77" s="28" t="s">
        <v>175</v>
      </c>
      <c r="B77" s="29">
        <v>0</v>
      </c>
      <c r="C77" s="29" t="s">
        <v>101</v>
      </c>
      <c r="D77" s="29">
        <v>1</v>
      </c>
      <c r="E77" s="29" t="s">
        <v>100</v>
      </c>
      <c r="F77" s="29">
        <v>0</v>
      </c>
      <c r="G77" s="29" t="s">
        <v>110</v>
      </c>
      <c r="H77" s="20">
        <f ca="1">--TRIM(RIGHT(SUBSTITUTE(LEFT(C76,_xlfn.AGGREGATE(16,6,FIND({0,1,2,3,4,5,6,7,8,9},C76,ROW(INDIRECT("1:"&amp;LEN(C76)))),1))," ",REPT(" ",LEN(C76))),LEN(C76)))</f>
        <v>3</v>
      </c>
      <c r="I77" s="18"/>
      <c r="J77" s="37"/>
    </row>
    <row r="78" spans="1:10" ht="34.5" customHeight="1" x14ac:dyDescent="0.3">
      <c r="A78" s="129" t="s">
        <v>120</v>
      </c>
      <c r="B78" s="84"/>
      <c r="C78" s="92" t="str">
        <f ca="1">I76</f>
        <v>Excavation work Completed. Plinth work completed, RCC Slab, Brickwork, Internal Plaster upto 1 Floor, External Plaster upto 1 Floor Completed</v>
      </c>
      <c r="D78" s="92"/>
      <c r="E78" s="92"/>
      <c r="F78" s="92"/>
      <c r="G78" s="92"/>
      <c r="H78" s="159"/>
      <c r="I78" s="18" t="s">
        <v>137</v>
      </c>
      <c r="J78" s="37"/>
    </row>
    <row r="79" spans="1:10" ht="15.75" customHeight="1" x14ac:dyDescent="0.3">
      <c r="A79" s="77" t="s">
        <v>52</v>
      </c>
      <c r="B79" s="78"/>
      <c r="C79" s="25" t="s">
        <v>172</v>
      </c>
      <c r="D79" s="25" t="s">
        <v>113</v>
      </c>
      <c r="E79" s="78" t="s">
        <v>115</v>
      </c>
      <c r="F79" s="78"/>
      <c r="G79" s="78" t="s">
        <v>114</v>
      </c>
      <c r="H79" s="128"/>
      <c r="I79" s="16" t="s">
        <v>174</v>
      </c>
      <c r="J79" s="38">
        <f ca="1">H77*25%</f>
        <v>0.75</v>
      </c>
    </row>
    <row r="80" spans="1:10" x14ac:dyDescent="0.3">
      <c r="A80" s="77" t="s">
        <v>161</v>
      </c>
      <c r="B80" s="78"/>
      <c r="C80" s="39">
        <f ca="1">J81</f>
        <v>3</v>
      </c>
      <c r="D80" s="40">
        <f ca="1">((100/H77)*C80)/100</f>
        <v>1</v>
      </c>
      <c r="E80" s="109">
        <f ca="1">(((C81/H77*10)+(40/(D77+F77+H77)*C82)+(7.5/(H77)*C83)+(7.5/(H77)*C84)+(10/H77*C85)+(10/H77*C86)+(5/H77*C87)+(5/H77*C88)+(5/H77*C89))/100)</f>
        <v>0.6333333333333333</v>
      </c>
      <c r="F80" s="109"/>
      <c r="G80" s="109">
        <f ca="1">((((C80/H77)*20)+((C81/H77)*25)+(30/(H77+F77+D77)*C82)+(5/H77*C83)+(5/H77*C84)+(5/H77*C85)+(5/H77*C86)+(0/H77*C87)+(0/H77*C88)+(5/H77*C89))/100)</f>
        <v>0.83333333333333348</v>
      </c>
      <c r="H80" s="123"/>
      <c r="I80" s="16" t="s">
        <v>132</v>
      </c>
      <c r="J80" s="41">
        <f ca="1">H77*50%</f>
        <v>1.5</v>
      </c>
    </row>
    <row r="81" spans="1:10" x14ac:dyDescent="0.3">
      <c r="A81" s="77" t="s">
        <v>53</v>
      </c>
      <c r="B81" s="78"/>
      <c r="C81" s="42">
        <f ca="1">J89</f>
        <v>3</v>
      </c>
      <c r="D81" s="40">
        <f ca="1">((100/H77)*C81)/100</f>
        <v>1</v>
      </c>
      <c r="E81" s="109"/>
      <c r="F81" s="109"/>
      <c r="G81" s="109"/>
      <c r="H81" s="123"/>
      <c r="I81" s="16" t="s">
        <v>133</v>
      </c>
      <c r="J81" s="41">
        <f ca="1">H77</f>
        <v>3</v>
      </c>
    </row>
    <row r="82" spans="1:10" ht="15.75" customHeight="1" x14ac:dyDescent="0.3">
      <c r="A82" s="144" t="s">
        <v>162</v>
      </c>
      <c r="B82" s="136"/>
      <c r="C82" s="42">
        <f ca="1">D77+H77</f>
        <v>4</v>
      </c>
      <c r="D82" s="40">
        <f ca="1">((100/(D77+F77+H77))*C82)/100</f>
        <v>1</v>
      </c>
      <c r="E82" s="109"/>
      <c r="F82" s="109"/>
      <c r="G82" s="109"/>
      <c r="H82" s="123"/>
      <c r="I82" s="16" t="s">
        <v>134</v>
      </c>
      <c r="J82" s="43">
        <f ca="1">(IF(B77&gt;1,(H77/(B77+2)),H77/4))</f>
        <v>0.75</v>
      </c>
    </row>
    <row r="83" spans="1:10" ht="15.75" customHeight="1" x14ac:dyDescent="0.3">
      <c r="A83" s="77" t="s">
        <v>169</v>
      </c>
      <c r="B83" s="78" t="s">
        <v>163</v>
      </c>
      <c r="C83" s="39">
        <v>3</v>
      </c>
      <c r="D83" s="40">
        <f ca="1">((100/H77)*C83)/100</f>
        <v>1</v>
      </c>
      <c r="E83" s="109"/>
      <c r="F83" s="109"/>
      <c r="G83" s="109"/>
      <c r="H83" s="123"/>
      <c r="I83" s="16" t="s">
        <v>135</v>
      </c>
      <c r="J83" s="43">
        <f ca="1">(IF(B77&gt;1,(H77/(B77+2)+J82),H77/4+J82))</f>
        <v>1.5</v>
      </c>
    </row>
    <row r="84" spans="1:10" ht="15.75" customHeight="1" x14ac:dyDescent="0.3">
      <c r="A84" s="77" t="s">
        <v>170</v>
      </c>
      <c r="B84" s="78" t="s">
        <v>163</v>
      </c>
      <c r="C84" s="39">
        <v>1</v>
      </c>
      <c r="D84" s="40">
        <f ca="1">((100/H77)*C84)/100</f>
        <v>0.33333333333333337</v>
      </c>
      <c r="E84" s="109"/>
      <c r="F84" s="109"/>
      <c r="G84" s="109"/>
      <c r="H84" s="123"/>
      <c r="I84" s="16" t="s">
        <v>181</v>
      </c>
      <c r="J84" s="43">
        <f>(IF(B77&gt;1,(H77/(B77+2)+J83),0))</f>
        <v>0</v>
      </c>
    </row>
    <row r="85" spans="1:10" ht="15" customHeight="1" x14ac:dyDescent="0.3">
      <c r="A85" s="77" t="s">
        <v>168</v>
      </c>
      <c r="B85" s="78" t="s">
        <v>165</v>
      </c>
      <c r="C85" s="39">
        <v>1</v>
      </c>
      <c r="D85" s="40">
        <f ca="1">((100/(H77))*C85)/100</f>
        <v>0.33333333333333337</v>
      </c>
      <c r="E85" s="109"/>
      <c r="F85" s="109"/>
      <c r="G85" s="109"/>
      <c r="H85" s="123"/>
      <c r="I85" s="16" t="s">
        <v>176</v>
      </c>
      <c r="J85" s="43">
        <f>(IF(B77&gt;2,(H77/(B77+2)+J84),0))</f>
        <v>0</v>
      </c>
    </row>
    <row r="86" spans="1:10" ht="15.75" customHeight="1" x14ac:dyDescent="0.3">
      <c r="A86" s="77" t="s">
        <v>164</v>
      </c>
      <c r="B86" s="78" t="s">
        <v>164</v>
      </c>
      <c r="C86" s="39">
        <v>0</v>
      </c>
      <c r="D86" s="40">
        <f ca="1">((100/H77)*C86)/100</f>
        <v>0</v>
      </c>
      <c r="E86" s="109"/>
      <c r="F86" s="109"/>
      <c r="G86" s="109"/>
      <c r="H86" s="123"/>
      <c r="I86" s="16" t="s">
        <v>177</v>
      </c>
      <c r="J86" s="44">
        <f>(IF(B77&gt;3,(H77/(B77+2)+J85),0))</f>
        <v>0</v>
      </c>
    </row>
    <row r="87" spans="1:10" ht="15.75" customHeight="1" x14ac:dyDescent="0.3">
      <c r="A87" s="77" t="s">
        <v>171</v>
      </c>
      <c r="B87" s="78"/>
      <c r="C87" s="39">
        <v>0</v>
      </c>
      <c r="D87" s="40">
        <f ca="1">((100/H77)*C87)/100</f>
        <v>0</v>
      </c>
      <c r="E87" s="109"/>
      <c r="F87" s="109"/>
      <c r="G87" s="109"/>
      <c r="H87" s="123"/>
      <c r="I87" s="16" t="s">
        <v>178</v>
      </c>
      <c r="J87" s="43">
        <f>(IF(B77&gt;4,(H77/(B77+2)+J86),0))</f>
        <v>0</v>
      </c>
    </row>
    <row r="88" spans="1:10" ht="15.75" customHeight="1" x14ac:dyDescent="0.3">
      <c r="A88" s="77" t="s">
        <v>166</v>
      </c>
      <c r="B88" s="78" t="s">
        <v>166</v>
      </c>
      <c r="C88" s="39">
        <v>0</v>
      </c>
      <c r="D88" s="40">
        <f ca="1">((100/(H77))*C88)/100</f>
        <v>0</v>
      </c>
      <c r="E88" s="109"/>
      <c r="F88" s="109"/>
      <c r="G88" s="109"/>
      <c r="H88" s="123"/>
      <c r="I88" s="16" t="s">
        <v>182</v>
      </c>
      <c r="J88" s="43">
        <f ca="1">(IF(B77=1,(H77/(B77+3)+J83),IF(B77=0,(H77/4+J83),IF(B77&gt;1,0))))</f>
        <v>2.25</v>
      </c>
    </row>
    <row r="89" spans="1:10" ht="16.2" thickBot="1" x14ac:dyDescent="0.35">
      <c r="A89" s="111" t="s">
        <v>167</v>
      </c>
      <c r="B89" s="112"/>
      <c r="C89" s="45">
        <v>0</v>
      </c>
      <c r="D89" s="46">
        <f ca="1">((100/(H77))*C89)/100</f>
        <v>0</v>
      </c>
      <c r="E89" s="110"/>
      <c r="F89" s="110"/>
      <c r="G89" s="110"/>
      <c r="H89" s="124"/>
      <c r="I89" s="19" t="s">
        <v>136</v>
      </c>
      <c r="J89" s="47">
        <f ca="1">(IF(B77&gt;1.5,(H77/(B77+2)+J83+MAX(0,J84-J83)+MAX(0,J85-J84)+MAX(0,J86-J85)+MAX(0,J87-J86)+MAX(0,J88-J87)),IF(B77=1,(H77/(B77+3)+J88),IF(B77=0,H77/4+J88))))</f>
        <v>3</v>
      </c>
    </row>
    <row r="90" spans="1:10" ht="15.75" customHeight="1" x14ac:dyDescent="0.3">
      <c r="A90" s="79" t="s">
        <v>173</v>
      </c>
      <c r="B90" s="80"/>
      <c r="C90" s="81" t="str">
        <f>D56</f>
        <v xml:space="preserve">Wing C &amp; D =  Gr + 1st to 3rd Floor </v>
      </c>
      <c r="D90" s="82"/>
      <c r="E90" s="82"/>
      <c r="F90" s="82"/>
      <c r="G90" s="82"/>
      <c r="H90" s="83"/>
      <c r="I90" s="17" t="str">
        <f ca="1">(IF(E94&gt;99%,"All work completed. Please provide OC.",IF(E94&gt;89.8%,"Plinth, RCC, Brick, Plaster, Flooring, Painting work Completed. Finishing work is in process.",IF(E94&lt;94%,(IF(C94=0,"Work not yet Started.",IF(D94=25%,"Piling work in process",IF(D94=50%,"Excavation work in process",IF(D94=100%,"Excavation work Completed. ","0")))&amp;(IF(C95=0%,"",IF(C95=J96,"Footing work is process",IF(C95=J97,"Footing work Completed",IF(C95=J98,"1st Basement Completed",IF(C95=J99,"1st &amp; 2nd Basement Completed",IF(C95=J100,"1st to 3rd Basement Completed",IF(C95=J101,"1st to 4th Basement Completed",IF(C95=J102,"Plinth work is process",IF(C95=J103,"Plinth work completed","0")))))))))))&amp;(IF(C96=(D91+F91+H91),", RCC Slab",IF(C96&gt;0,", RCC upto "&amp;C96&amp;" Slab",""))&amp;(IF(C97=H91,", Brickwork",IF(C97&gt;0,", Brickwork upto "&amp;C97&amp;" Floor",""))&amp;(IF(C98=H91,", Internal Plaster",IF(C98&gt;0,", Internal Plaster upto "&amp;C98&amp;" Floor",""))&amp;(IF(C99=H91,", External Plaster",IF(C99&gt;0,", External Plaster upto "&amp;C99&amp;" Floor",""))&amp;(IF(C100=H91,", Flooring",IF(C100&gt;0,", Flooring upto "&amp;C100&amp;" Floor",""))&amp;(IF(C101=H91,", Painting",IF(C101&gt;0,", Painting upto "&amp;C101&amp;" Floor",""))&amp;(IF(C102&gt;0,", Finishing upto "&amp;C102&amp;" Floor","")&amp;(IF(C96&gt;0.5," Completed",""))))))))))))))</f>
        <v>Excavation work Completed. Plinth work completed, RCC Slab, Brickwork, Internal Plaster, External Plaster, Flooring upto 2 Floor, Painting upto 2 Floor, Finishing upto 1 Floor Completed</v>
      </c>
      <c r="J90" s="36"/>
    </row>
    <row r="91" spans="1:10" x14ac:dyDescent="0.3">
      <c r="A91" s="28" t="s">
        <v>175</v>
      </c>
      <c r="B91" s="29">
        <v>0</v>
      </c>
      <c r="C91" s="29" t="s">
        <v>101</v>
      </c>
      <c r="D91" s="29">
        <v>1</v>
      </c>
      <c r="E91" s="29" t="s">
        <v>100</v>
      </c>
      <c r="F91" s="29">
        <v>0</v>
      </c>
      <c r="G91" s="29" t="s">
        <v>110</v>
      </c>
      <c r="H91" s="20">
        <f ca="1">--TRIM(RIGHT(SUBSTITUTE(LEFT(C90,_xlfn.AGGREGATE(16,6,FIND({0,1,2,3,4,5,6,7,8,9},C90,ROW(INDIRECT("1:"&amp;LEN(C90)))),1))," ",REPT(" ",LEN(C90))),LEN(C90)))</f>
        <v>3</v>
      </c>
      <c r="I91" s="18"/>
      <c r="J91" s="37"/>
    </row>
    <row r="92" spans="1:10" ht="49.5" customHeight="1" x14ac:dyDescent="0.3">
      <c r="A92" s="129" t="s">
        <v>120</v>
      </c>
      <c r="B92" s="84"/>
      <c r="C92" s="92" t="str">
        <f ca="1">I90</f>
        <v>Excavation work Completed. Plinth work completed, RCC Slab, Brickwork, Internal Plaster, External Plaster, Flooring upto 2 Floor, Painting upto 2 Floor, Finishing upto 1 Floor Completed</v>
      </c>
      <c r="D92" s="92"/>
      <c r="E92" s="92"/>
      <c r="F92" s="92"/>
      <c r="G92" s="92"/>
      <c r="H92" s="159"/>
      <c r="I92" s="18" t="s">
        <v>137</v>
      </c>
      <c r="J92" s="37"/>
    </row>
    <row r="93" spans="1:10" ht="15.75" customHeight="1" x14ac:dyDescent="0.3">
      <c r="A93" s="77" t="s">
        <v>52</v>
      </c>
      <c r="B93" s="78"/>
      <c r="C93" s="25" t="s">
        <v>172</v>
      </c>
      <c r="D93" s="25" t="s">
        <v>113</v>
      </c>
      <c r="E93" s="78" t="s">
        <v>115</v>
      </c>
      <c r="F93" s="78"/>
      <c r="G93" s="78" t="s">
        <v>114</v>
      </c>
      <c r="H93" s="128"/>
      <c r="I93" s="16" t="s">
        <v>174</v>
      </c>
      <c r="J93" s="38">
        <f ca="1">H91*25%</f>
        <v>0.75</v>
      </c>
    </row>
    <row r="94" spans="1:10" x14ac:dyDescent="0.3">
      <c r="A94" s="77" t="s">
        <v>161</v>
      </c>
      <c r="B94" s="78"/>
      <c r="C94" s="39">
        <f ca="1">J95</f>
        <v>3</v>
      </c>
      <c r="D94" s="40">
        <f ca="1">((100/H91)*C94)/100</f>
        <v>1</v>
      </c>
      <c r="E94" s="109">
        <f ca="1">(((C95/H91*10)+(40/(D91+F91+H91)*C96)+(7.5/(H91)*C97)+(7.5/(H91)*C98)+(10/H91*C99)+(10/H91*C100)+(5/H91*C101)+(5/H91*C102)+(5/H91*C103))/100)</f>
        <v>0.8666666666666667</v>
      </c>
      <c r="F94" s="109"/>
      <c r="G94" s="109">
        <f ca="1">((((C94/H91)*20)+((C95/H91)*25)+(30/(H91+F91+D91)*C96)+(5/H91*C97)+(5/H91*C98)+(5/H91*C99)+(5/H91*C100)+(0/H91*C101)+(0/H91*C102)+(5/H91*C103))/100)</f>
        <v>0.93333333333333324</v>
      </c>
      <c r="H94" s="123"/>
      <c r="I94" s="16" t="s">
        <v>132</v>
      </c>
      <c r="J94" s="41">
        <f ca="1">H91*50%</f>
        <v>1.5</v>
      </c>
    </row>
    <row r="95" spans="1:10" x14ac:dyDescent="0.3">
      <c r="A95" s="77" t="s">
        <v>53</v>
      </c>
      <c r="B95" s="78"/>
      <c r="C95" s="42">
        <f ca="1">J103</f>
        <v>3</v>
      </c>
      <c r="D95" s="40">
        <f ca="1">((100/H91)*C95)/100</f>
        <v>1</v>
      </c>
      <c r="E95" s="109"/>
      <c r="F95" s="109"/>
      <c r="G95" s="109"/>
      <c r="H95" s="123"/>
      <c r="I95" s="16" t="s">
        <v>133</v>
      </c>
      <c r="J95" s="41">
        <f ca="1">H91</f>
        <v>3</v>
      </c>
    </row>
    <row r="96" spans="1:10" ht="15.75" customHeight="1" x14ac:dyDescent="0.3">
      <c r="A96" s="144" t="s">
        <v>162</v>
      </c>
      <c r="B96" s="136"/>
      <c r="C96" s="42">
        <v>4</v>
      </c>
      <c r="D96" s="40">
        <f ca="1">((100/(D91+F91+H91))*C96)/100</f>
        <v>1</v>
      </c>
      <c r="E96" s="109"/>
      <c r="F96" s="109"/>
      <c r="G96" s="109"/>
      <c r="H96" s="123"/>
      <c r="I96" s="16" t="s">
        <v>134</v>
      </c>
      <c r="J96" s="43">
        <f ca="1">(IF(B91&gt;1,(H91/(B91+2)),H91/4))</f>
        <v>0.75</v>
      </c>
    </row>
    <row r="97" spans="1:10" ht="15.75" customHeight="1" x14ac:dyDescent="0.3">
      <c r="A97" s="77" t="s">
        <v>169</v>
      </c>
      <c r="B97" s="78" t="s">
        <v>163</v>
      </c>
      <c r="C97" s="39">
        <v>3</v>
      </c>
      <c r="D97" s="40">
        <f ca="1">((100/H91)*C97)/100</f>
        <v>1</v>
      </c>
      <c r="E97" s="109"/>
      <c r="F97" s="109"/>
      <c r="G97" s="109"/>
      <c r="H97" s="123"/>
      <c r="I97" s="16" t="s">
        <v>135</v>
      </c>
      <c r="J97" s="43">
        <f ca="1">(IF(B91&gt;1,(H91/(B91+2)+J96),H91/4+J96))</f>
        <v>1.5</v>
      </c>
    </row>
    <row r="98" spans="1:10" ht="15.75" customHeight="1" x14ac:dyDescent="0.3">
      <c r="A98" s="77" t="s">
        <v>170</v>
      </c>
      <c r="B98" s="78" t="s">
        <v>163</v>
      </c>
      <c r="C98" s="39">
        <v>3</v>
      </c>
      <c r="D98" s="40">
        <f ca="1">((100/H91)*C98)/100</f>
        <v>1</v>
      </c>
      <c r="E98" s="109"/>
      <c r="F98" s="109"/>
      <c r="G98" s="109"/>
      <c r="H98" s="123"/>
      <c r="I98" s="16" t="s">
        <v>181</v>
      </c>
      <c r="J98" s="43">
        <f>(IF(B91&gt;1,(H91/(B91+2)+J97),0))</f>
        <v>0</v>
      </c>
    </row>
    <row r="99" spans="1:10" ht="15" customHeight="1" x14ac:dyDescent="0.3">
      <c r="A99" s="77" t="s">
        <v>168</v>
      </c>
      <c r="B99" s="78" t="s">
        <v>165</v>
      </c>
      <c r="C99" s="39">
        <v>3</v>
      </c>
      <c r="D99" s="40">
        <f ca="1">((100/(H91))*C99)/100</f>
        <v>1</v>
      </c>
      <c r="E99" s="109"/>
      <c r="F99" s="109"/>
      <c r="G99" s="109"/>
      <c r="H99" s="123"/>
      <c r="I99" s="16" t="s">
        <v>176</v>
      </c>
      <c r="J99" s="43">
        <f>(IF(B91&gt;2,(H91/(B91+2)+J98),0))</f>
        <v>0</v>
      </c>
    </row>
    <row r="100" spans="1:10" ht="15.75" customHeight="1" x14ac:dyDescent="0.3">
      <c r="A100" s="77" t="s">
        <v>164</v>
      </c>
      <c r="B100" s="78" t="s">
        <v>164</v>
      </c>
      <c r="C100" s="39">
        <v>2</v>
      </c>
      <c r="D100" s="40">
        <f ca="1">((100/H91)*C100)/100</f>
        <v>0.66666666666666674</v>
      </c>
      <c r="E100" s="109"/>
      <c r="F100" s="109"/>
      <c r="G100" s="109"/>
      <c r="H100" s="123"/>
      <c r="I100" s="16" t="s">
        <v>177</v>
      </c>
      <c r="J100" s="44">
        <f>(IF(B91&gt;3,(H91/(B91+2)+J99),0))</f>
        <v>0</v>
      </c>
    </row>
    <row r="101" spans="1:10" ht="15.75" customHeight="1" x14ac:dyDescent="0.3">
      <c r="A101" s="77" t="s">
        <v>171</v>
      </c>
      <c r="B101" s="78"/>
      <c r="C101" s="39">
        <v>2</v>
      </c>
      <c r="D101" s="40">
        <f ca="1">((100/H91)*C101)/100</f>
        <v>0.66666666666666674</v>
      </c>
      <c r="E101" s="109"/>
      <c r="F101" s="109"/>
      <c r="G101" s="109"/>
      <c r="H101" s="123"/>
      <c r="I101" s="16" t="s">
        <v>178</v>
      </c>
      <c r="J101" s="43">
        <f>(IF(B91&gt;4,(H91/(B91+2)+J100),0))</f>
        <v>0</v>
      </c>
    </row>
    <row r="102" spans="1:10" ht="15.75" customHeight="1" x14ac:dyDescent="0.3">
      <c r="A102" s="77" t="s">
        <v>166</v>
      </c>
      <c r="B102" s="78" t="s">
        <v>166</v>
      </c>
      <c r="C102" s="39">
        <v>1</v>
      </c>
      <c r="D102" s="40">
        <f ca="1">((100/(H91))*C102)/100</f>
        <v>0.33333333333333337</v>
      </c>
      <c r="E102" s="109"/>
      <c r="F102" s="109"/>
      <c r="G102" s="109"/>
      <c r="H102" s="123"/>
      <c r="I102" s="16" t="s">
        <v>182</v>
      </c>
      <c r="J102" s="43">
        <f ca="1">(IF(B91=1,(H91/(B91+3)+J97),IF(B91=0,(H91/4+J97),IF(B91&gt;1,0))))</f>
        <v>2.25</v>
      </c>
    </row>
    <row r="103" spans="1:10" ht="16.2" thickBot="1" x14ac:dyDescent="0.35">
      <c r="A103" s="111" t="s">
        <v>167</v>
      </c>
      <c r="B103" s="112"/>
      <c r="C103" s="45">
        <v>0</v>
      </c>
      <c r="D103" s="46">
        <f ca="1">((100/(H91))*C103)/100</f>
        <v>0</v>
      </c>
      <c r="E103" s="110"/>
      <c r="F103" s="110"/>
      <c r="G103" s="110"/>
      <c r="H103" s="124"/>
      <c r="I103" s="19" t="s">
        <v>136</v>
      </c>
      <c r="J103" s="47">
        <f ca="1">(IF(B91&gt;1.5,(H91/(B91+2)+J97+MAX(0,J98-J97)+MAX(0,J99-J98)+MAX(0,J100-J99)+MAX(0,J101-J100)+MAX(0,J102-J101)),IF(B91=1,(H91/(B91+3)+J102),IF(B91=0,H91/4+J102))))</f>
        <v>3</v>
      </c>
    </row>
    <row r="104" spans="1:10" ht="15.75" hidden="1" customHeight="1" x14ac:dyDescent="0.3">
      <c r="A104" s="79" t="s">
        <v>173</v>
      </c>
      <c r="B104" s="80"/>
      <c r="C104" s="81" t="str">
        <f>D57</f>
        <v xml:space="preserve">Wing D =  Gr + 1st to 3rd Floor </v>
      </c>
      <c r="D104" s="82"/>
      <c r="E104" s="82"/>
      <c r="F104" s="82"/>
      <c r="G104" s="82"/>
      <c r="H104" s="83"/>
      <c r="I104" s="17" t="str">
        <f ca="1">(IF(E108&gt;99%,"All work completed. Please provide OC.",IF(E108&gt;89.8%,"Plinth, RCC, Brick, Plaster, Flooring, Painting work Completed. Finishing work is in process.",IF(E108&lt;94%,(IF(C108=0,"Work not yet Started.",IF(D108=25%,"Piling work in process",IF(D108=50%,"Excavation work in process",IF(D108=100%,"Excavation work Completed. ","0")))&amp;(IF(C109=0%,"",IF(C109=J110,"Footing work is process",IF(C109=J111,"Footing work Completed",IF(C109=J112,"1st Basement Completed",IF(C109=J113,"1st &amp; 2nd Basement Completed",IF(C109=J114,"1st to 3rd Basement Completed",IF(C109=J115,"1st to 4th Basement Completed",IF(C109=J116,"Plinth work is process",IF(C109=J117,"Plinth work completed","0")))))))))))&amp;(IF(C110=(D105+F105+H105),", RCC Slab",IF(C110&gt;0,", RCC upto "&amp;C110&amp;" Slab",""))&amp;(IF(C111=H105,", Brickwork",IF(C111&gt;0,", Brickwork upto "&amp;C111&amp;" Floor",""))&amp;(IF(C112=H105,", Internal Plaster",IF(C112&gt;0,", Internal Plaster upto "&amp;C112&amp;" Floor",""))&amp;(IF(C113=H105,", External Plaster",IF(C113&gt;0,", External Plaster upto "&amp;C113&amp;" Floor",""))&amp;(IF(C114=H105,", Flooring",IF(C114&gt;0,", Flooring upto "&amp;C114&amp;" Floor",""))&amp;(IF(C115=H105,", Painting",IF(C115&gt;0,", Painting upto "&amp;C115&amp;" Floor",""))&amp;(IF(C116&gt;0,", Finishing upto "&amp;C116&amp;" Floor","")&amp;(IF(C110&gt;0.5," Completed",""))))))))))))))</f>
        <v>Excavation work Completed. Plinth work completed, RCC Slab, Brickwork, Internal Plaster upto 2 Floor, External Plaster upto 2 Floor, Flooring upto 1 Floor Completed</v>
      </c>
      <c r="J104" s="36"/>
    </row>
    <row r="105" spans="1:10" hidden="1" x14ac:dyDescent="0.3">
      <c r="A105" s="28" t="s">
        <v>175</v>
      </c>
      <c r="B105" s="29">
        <v>0</v>
      </c>
      <c r="C105" s="29" t="s">
        <v>101</v>
      </c>
      <c r="D105" s="29">
        <v>1</v>
      </c>
      <c r="E105" s="29" t="s">
        <v>100</v>
      </c>
      <c r="F105" s="29">
        <v>0</v>
      </c>
      <c r="G105" s="29" t="s">
        <v>110</v>
      </c>
      <c r="H105" s="20">
        <f ca="1">--TRIM(RIGHT(SUBSTITUTE(LEFT(C104,_xlfn.AGGREGATE(16,6,FIND({0,1,2,3,4,5,6,7,8,9},C104,ROW(INDIRECT("1:"&amp;LEN(C104)))),1))," ",REPT(" ",LEN(C104))),LEN(C104)))</f>
        <v>3</v>
      </c>
      <c r="I105" s="18"/>
      <c r="J105" s="37"/>
    </row>
    <row r="106" spans="1:10" ht="50.25" hidden="1" customHeight="1" x14ac:dyDescent="0.3">
      <c r="A106" s="129" t="s">
        <v>120</v>
      </c>
      <c r="B106" s="84"/>
      <c r="C106" s="92" t="str">
        <f ca="1">I104</f>
        <v>Excavation work Completed. Plinth work completed, RCC Slab, Brickwork, Internal Plaster upto 2 Floor, External Plaster upto 2 Floor, Flooring upto 1 Floor Completed</v>
      </c>
      <c r="D106" s="92"/>
      <c r="E106" s="92"/>
      <c r="F106" s="92"/>
      <c r="G106" s="92"/>
      <c r="H106" s="159"/>
      <c r="I106" s="18" t="s">
        <v>137</v>
      </c>
      <c r="J106" s="37"/>
    </row>
    <row r="107" spans="1:10" ht="15.75" hidden="1" customHeight="1" x14ac:dyDescent="0.3">
      <c r="A107" s="77" t="s">
        <v>52</v>
      </c>
      <c r="B107" s="78"/>
      <c r="C107" s="25" t="s">
        <v>172</v>
      </c>
      <c r="D107" s="25" t="s">
        <v>113</v>
      </c>
      <c r="E107" s="78" t="s">
        <v>115</v>
      </c>
      <c r="F107" s="78"/>
      <c r="G107" s="78" t="s">
        <v>114</v>
      </c>
      <c r="H107" s="128"/>
      <c r="I107" s="16" t="s">
        <v>174</v>
      </c>
      <c r="J107" s="38">
        <f ca="1">H105*25%</f>
        <v>0.75</v>
      </c>
    </row>
    <row r="108" spans="1:10" hidden="1" x14ac:dyDescent="0.3">
      <c r="A108" s="77" t="s">
        <v>161</v>
      </c>
      <c r="B108" s="78"/>
      <c r="C108" s="39">
        <f ca="1">J109</f>
        <v>3</v>
      </c>
      <c r="D108" s="40">
        <f ca="1">((100/H105)*C108)/100</f>
        <v>1</v>
      </c>
      <c r="E108" s="109">
        <f ca="1">(((C109/H105*10)+(40/(D105+F105+H105)*C110)+(7.5/(H105)*C111)+(7.5/(H105)*C112)+(10/H105*C113)+(10/H105*C114)+(5/H105*C115)+(5/H105*C116)+(5/H105*C117))/100)</f>
        <v>0.72499999999999998</v>
      </c>
      <c r="F108" s="109"/>
      <c r="G108" s="109">
        <f ca="1">((((C108/H105)*20)+((C109/H105)*25)+(30/(H105+F105+D105)*C110)+(5/H105*C111)+(5/H105*C112)+(5/H105*C113)+(5/H105*C114)+(0/H105*C115)+(0/H105*C116)+(5/H105*C117))/100)</f>
        <v>0.8833333333333333</v>
      </c>
      <c r="H108" s="123"/>
      <c r="I108" s="16" t="s">
        <v>132</v>
      </c>
      <c r="J108" s="41">
        <f ca="1">H105*50%</f>
        <v>1.5</v>
      </c>
    </row>
    <row r="109" spans="1:10" hidden="1" x14ac:dyDescent="0.3">
      <c r="A109" s="77" t="s">
        <v>53</v>
      </c>
      <c r="B109" s="78"/>
      <c r="C109" s="42">
        <f ca="1">J117</f>
        <v>3</v>
      </c>
      <c r="D109" s="40">
        <f ca="1">((100/H105)*C109)/100</f>
        <v>1</v>
      </c>
      <c r="E109" s="109"/>
      <c r="F109" s="109"/>
      <c r="G109" s="109"/>
      <c r="H109" s="123"/>
      <c r="I109" s="16" t="s">
        <v>133</v>
      </c>
      <c r="J109" s="41">
        <f ca="1">H105</f>
        <v>3</v>
      </c>
    </row>
    <row r="110" spans="1:10" ht="15.75" hidden="1" customHeight="1" x14ac:dyDescent="0.3">
      <c r="A110" s="144" t="s">
        <v>162</v>
      </c>
      <c r="B110" s="136"/>
      <c r="C110" s="42">
        <v>4</v>
      </c>
      <c r="D110" s="40">
        <f ca="1">((100/(D105+F105+H105))*C110)/100</f>
        <v>1</v>
      </c>
      <c r="E110" s="109"/>
      <c r="F110" s="109"/>
      <c r="G110" s="109"/>
      <c r="H110" s="123"/>
      <c r="I110" s="16" t="s">
        <v>134</v>
      </c>
      <c r="J110" s="43">
        <f ca="1">(IF(B105&gt;1,(H105/(B105+2)),H105/4))</f>
        <v>0.75</v>
      </c>
    </row>
    <row r="111" spans="1:10" ht="15.75" hidden="1" customHeight="1" x14ac:dyDescent="0.3">
      <c r="A111" s="77" t="s">
        <v>169</v>
      </c>
      <c r="B111" s="78" t="s">
        <v>163</v>
      </c>
      <c r="C111" s="39">
        <v>3</v>
      </c>
      <c r="D111" s="40">
        <f ca="1">((100/H105)*C111)/100</f>
        <v>1</v>
      </c>
      <c r="E111" s="109"/>
      <c r="F111" s="109"/>
      <c r="G111" s="109"/>
      <c r="H111" s="123"/>
      <c r="I111" s="16" t="s">
        <v>135</v>
      </c>
      <c r="J111" s="43">
        <f ca="1">(IF(B105&gt;1,(H105/(B105+2)+J110),H105/4+J110))</f>
        <v>1.5</v>
      </c>
    </row>
    <row r="112" spans="1:10" ht="15.75" hidden="1" customHeight="1" x14ac:dyDescent="0.3">
      <c r="A112" s="77" t="s">
        <v>170</v>
      </c>
      <c r="B112" s="78" t="s">
        <v>163</v>
      </c>
      <c r="C112" s="39">
        <v>2</v>
      </c>
      <c r="D112" s="40">
        <f ca="1">((100/H105)*C112)/100</f>
        <v>0.66666666666666674</v>
      </c>
      <c r="E112" s="109"/>
      <c r="F112" s="109"/>
      <c r="G112" s="109"/>
      <c r="H112" s="123"/>
      <c r="I112" s="16" t="s">
        <v>181</v>
      </c>
      <c r="J112" s="43">
        <f>(IF(B105&gt;1,(H105/(B105+2)+J111),0))</f>
        <v>0</v>
      </c>
    </row>
    <row r="113" spans="1:10" ht="15" hidden="1" customHeight="1" x14ac:dyDescent="0.3">
      <c r="A113" s="77" t="s">
        <v>168</v>
      </c>
      <c r="B113" s="78" t="s">
        <v>165</v>
      </c>
      <c r="C113" s="39">
        <v>2</v>
      </c>
      <c r="D113" s="40">
        <f ca="1">((100/(H105))*C113)/100</f>
        <v>0.66666666666666674</v>
      </c>
      <c r="E113" s="109"/>
      <c r="F113" s="109"/>
      <c r="G113" s="109"/>
      <c r="H113" s="123"/>
      <c r="I113" s="16" t="s">
        <v>176</v>
      </c>
      <c r="J113" s="43">
        <f>(IF(B105&gt;2,(H105/(B105+2)+J112),0))</f>
        <v>0</v>
      </c>
    </row>
    <row r="114" spans="1:10" ht="15.75" hidden="1" customHeight="1" x14ac:dyDescent="0.3">
      <c r="A114" s="77" t="s">
        <v>164</v>
      </c>
      <c r="B114" s="78" t="s">
        <v>164</v>
      </c>
      <c r="C114" s="39">
        <v>1</v>
      </c>
      <c r="D114" s="40">
        <f ca="1">((100/H105)*C114)/100</f>
        <v>0.33333333333333337</v>
      </c>
      <c r="E114" s="109"/>
      <c r="F114" s="109"/>
      <c r="G114" s="109"/>
      <c r="H114" s="123"/>
      <c r="I114" s="16" t="s">
        <v>177</v>
      </c>
      <c r="J114" s="44">
        <f>(IF(B105&gt;3,(H105/(B105+2)+J113),0))</f>
        <v>0</v>
      </c>
    </row>
    <row r="115" spans="1:10" ht="15.75" hidden="1" customHeight="1" x14ac:dyDescent="0.3">
      <c r="A115" s="77" t="s">
        <v>171</v>
      </c>
      <c r="B115" s="78"/>
      <c r="C115" s="39">
        <v>0</v>
      </c>
      <c r="D115" s="40">
        <f ca="1">((100/H105)*C115)/100</f>
        <v>0</v>
      </c>
      <c r="E115" s="109"/>
      <c r="F115" s="109"/>
      <c r="G115" s="109"/>
      <c r="H115" s="123"/>
      <c r="I115" s="16" t="s">
        <v>178</v>
      </c>
      <c r="J115" s="43">
        <f>(IF(B105&gt;4,(H105/(B105+2)+J114),0))</f>
        <v>0</v>
      </c>
    </row>
    <row r="116" spans="1:10" ht="15.75" hidden="1" customHeight="1" x14ac:dyDescent="0.3">
      <c r="A116" s="77" t="s">
        <v>166</v>
      </c>
      <c r="B116" s="78" t="s">
        <v>166</v>
      </c>
      <c r="C116" s="39">
        <v>0</v>
      </c>
      <c r="D116" s="40">
        <f ca="1">((100/(H105))*C116)/100</f>
        <v>0</v>
      </c>
      <c r="E116" s="109"/>
      <c r="F116" s="109"/>
      <c r="G116" s="109"/>
      <c r="H116" s="123"/>
      <c r="I116" s="16" t="s">
        <v>182</v>
      </c>
      <c r="J116" s="43">
        <f ca="1">(IF(B105=1,(H105/(B105+3)+J111),IF(B105=0,(H105/4+J111),IF(B105&gt;1,0))))</f>
        <v>2.25</v>
      </c>
    </row>
    <row r="117" spans="1:10" ht="16.2" hidden="1" thickBot="1" x14ac:dyDescent="0.35">
      <c r="A117" s="111" t="s">
        <v>167</v>
      </c>
      <c r="B117" s="112"/>
      <c r="C117" s="45">
        <v>0</v>
      </c>
      <c r="D117" s="46">
        <f ca="1">((100/(H105))*C117)/100</f>
        <v>0</v>
      </c>
      <c r="E117" s="110"/>
      <c r="F117" s="110"/>
      <c r="G117" s="110"/>
      <c r="H117" s="124"/>
      <c r="I117" s="19" t="s">
        <v>136</v>
      </c>
      <c r="J117" s="47">
        <f ca="1">(IF(B105&gt;1.5,(H105/(B105+2)+J111+MAX(0,J112-J111)+MAX(0,J113-J112)+MAX(0,J114-J113)+MAX(0,J115-J114)+MAX(0,J116-J115)),IF(B105=1,(H105/(B105+3)+J116),IF(B105=0,H105/4+J116))))</f>
        <v>3</v>
      </c>
    </row>
    <row r="118" spans="1:10" x14ac:dyDescent="0.3">
      <c r="A118" s="119" t="s">
        <v>150</v>
      </c>
      <c r="B118" s="120"/>
      <c r="C118" s="120"/>
      <c r="D118" s="120"/>
      <c r="E118" s="121"/>
      <c r="F118" s="119" t="str">
        <f ca="1">(IF(D61="Nothing","Yes",IF(D61="Cement, Aggregate, Steel, etc","Under Construction",IF(D61="Work not yet Started","Work not yet Started"))))</f>
        <v>Under Construction</v>
      </c>
      <c r="G118" s="120"/>
      <c r="H118" s="121"/>
    </row>
    <row r="119" spans="1:10" x14ac:dyDescent="0.3">
      <c r="A119" s="63" t="s">
        <v>54</v>
      </c>
      <c r="B119" s="63"/>
      <c r="C119" s="63"/>
      <c r="D119" s="63"/>
      <c r="E119" s="63"/>
      <c r="F119" s="63"/>
      <c r="G119" s="63"/>
      <c r="H119" s="63"/>
    </row>
    <row r="120" spans="1:10" ht="15" customHeight="1" x14ac:dyDescent="0.3">
      <c r="A120" s="84" t="s">
        <v>103</v>
      </c>
      <c r="B120" s="84"/>
      <c r="C120" s="92" t="s">
        <v>104</v>
      </c>
      <c r="D120" s="92"/>
      <c r="E120" s="92"/>
      <c r="F120" s="92"/>
      <c r="G120" s="92"/>
      <c r="H120" s="92"/>
    </row>
    <row r="121" spans="1:10" x14ac:dyDescent="0.3">
      <c r="A121" s="97" t="s">
        <v>55</v>
      </c>
      <c r="B121" s="97"/>
      <c r="C121" s="97"/>
      <c r="D121" s="97"/>
      <c r="E121" s="97"/>
      <c r="F121" s="97"/>
      <c r="G121" s="97"/>
      <c r="H121" s="97"/>
    </row>
    <row r="122" spans="1:10" x14ac:dyDescent="0.3">
      <c r="A122" s="63" t="s">
        <v>105</v>
      </c>
      <c r="B122" s="63"/>
      <c r="C122" s="63"/>
      <c r="D122" s="63"/>
      <c r="E122" s="63"/>
      <c r="F122" s="58">
        <v>4500</v>
      </c>
      <c r="G122" s="58"/>
      <c r="H122" s="58"/>
    </row>
    <row r="123" spans="1:10" s="48" customFormat="1" hidden="1" x14ac:dyDescent="0.25">
      <c r="A123" s="63" t="s">
        <v>125</v>
      </c>
      <c r="B123" s="63"/>
      <c r="C123" s="63"/>
      <c r="D123" s="63"/>
      <c r="E123" s="63"/>
      <c r="F123" s="58" t="s">
        <v>30</v>
      </c>
      <c r="G123" s="58"/>
      <c r="H123" s="58"/>
    </row>
    <row r="124" spans="1:10" s="48" customFormat="1" x14ac:dyDescent="0.25">
      <c r="A124" s="63" t="s">
        <v>225</v>
      </c>
      <c r="B124" s="63"/>
      <c r="C124" s="63"/>
      <c r="D124" s="63"/>
      <c r="E124" s="63"/>
      <c r="F124" s="58" t="s">
        <v>223</v>
      </c>
      <c r="G124" s="58"/>
      <c r="H124" s="58"/>
      <c r="I124" s="48">
        <f>250*630</f>
        <v>157500</v>
      </c>
    </row>
    <row r="125" spans="1:10" s="48" customFormat="1" hidden="1" x14ac:dyDescent="0.25">
      <c r="A125" s="63" t="s">
        <v>126</v>
      </c>
      <c r="B125" s="63"/>
      <c r="C125" s="63"/>
      <c r="D125" s="63"/>
      <c r="E125" s="63"/>
      <c r="F125" s="58" t="s">
        <v>30</v>
      </c>
      <c r="G125" s="58"/>
      <c r="H125" s="58"/>
    </row>
    <row r="126" spans="1:10" s="48" customFormat="1" hidden="1" x14ac:dyDescent="0.25">
      <c r="A126" s="63" t="s">
        <v>127</v>
      </c>
      <c r="B126" s="63"/>
      <c r="C126" s="63"/>
      <c r="D126" s="63"/>
      <c r="E126" s="63"/>
      <c r="F126" s="58" t="s">
        <v>30</v>
      </c>
      <c r="G126" s="58"/>
      <c r="H126" s="58"/>
    </row>
    <row r="127" spans="1:10" s="48" customFormat="1" hidden="1" x14ac:dyDescent="0.25">
      <c r="A127" s="63" t="s">
        <v>128</v>
      </c>
      <c r="B127" s="63"/>
      <c r="C127" s="63"/>
      <c r="D127" s="63"/>
      <c r="E127" s="63"/>
      <c r="F127" s="58" t="s">
        <v>30</v>
      </c>
      <c r="G127" s="58"/>
      <c r="H127" s="58"/>
    </row>
    <row r="128" spans="1:10" s="48" customFormat="1" hidden="1" x14ac:dyDescent="0.25">
      <c r="A128" s="63" t="s">
        <v>129</v>
      </c>
      <c r="B128" s="63"/>
      <c r="C128" s="63"/>
      <c r="D128" s="63"/>
      <c r="E128" s="63"/>
      <c r="F128" s="58" t="s">
        <v>30</v>
      </c>
      <c r="G128" s="58"/>
      <c r="H128" s="58"/>
    </row>
    <row r="129" spans="1:9" s="48" customFormat="1" hidden="1" x14ac:dyDescent="0.25">
      <c r="A129" s="63" t="s">
        <v>130</v>
      </c>
      <c r="B129" s="63"/>
      <c r="C129" s="63"/>
      <c r="D129" s="63"/>
      <c r="E129" s="63"/>
      <c r="F129" s="58" t="s">
        <v>30</v>
      </c>
      <c r="G129" s="58"/>
      <c r="H129" s="58"/>
    </row>
    <row r="130" spans="1:9" s="48" customFormat="1" hidden="1" x14ac:dyDescent="0.25">
      <c r="A130" s="63" t="s">
        <v>131</v>
      </c>
      <c r="B130" s="63"/>
      <c r="C130" s="63"/>
      <c r="D130" s="63"/>
      <c r="E130" s="63"/>
      <c r="F130" s="58" t="s">
        <v>30</v>
      </c>
      <c r="G130" s="58"/>
      <c r="H130" s="58"/>
    </row>
    <row r="131" spans="1:9" x14ac:dyDescent="0.3">
      <c r="A131" s="63" t="s">
        <v>56</v>
      </c>
      <c r="B131" s="63"/>
      <c r="C131" s="63"/>
      <c r="D131" s="63"/>
      <c r="E131" s="63"/>
      <c r="F131" s="89" t="s">
        <v>223</v>
      </c>
      <c r="G131" s="89"/>
      <c r="H131" s="89"/>
    </row>
    <row r="132" spans="1:9" s="49" customFormat="1" x14ac:dyDescent="0.3">
      <c r="A132" s="97" t="s">
        <v>57</v>
      </c>
      <c r="B132" s="97"/>
      <c r="C132" s="97"/>
      <c r="D132" s="97"/>
      <c r="E132" s="97"/>
      <c r="F132" s="58">
        <f>F122*0.8</f>
        <v>3600</v>
      </c>
      <c r="G132" s="58"/>
      <c r="H132" s="58"/>
    </row>
    <row r="133" spans="1:9" s="50" customFormat="1" x14ac:dyDescent="0.3">
      <c r="A133" s="102" t="s">
        <v>99</v>
      </c>
      <c r="B133" s="102"/>
      <c r="C133" s="102"/>
      <c r="D133" s="102"/>
      <c r="E133" s="102"/>
      <c r="F133" s="102"/>
      <c r="G133" s="102"/>
      <c r="H133" s="102"/>
    </row>
    <row r="134" spans="1:9" s="50" customFormat="1" ht="15.75" customHeight="1" x14ac:dyDescent="0.3">
      <c r="A134" s="68" t="s">
        <v>58</v>
      </c>
      <c r="B134" s="68"/>
      <c r="C134" s="104" t="s">
        <v>108</v>
      </c>
      <c r="D134" s="104"/>
      <c r="E134" s="106" t="s">
        <v>59</v>
      </c>
      <c r="F134" s="106"/>
      <c r="G134" s="68" t="s">
        <v>60</v>
      </c>
      <c r="H134" s="68"/>
    </row>
    <row r="135" spans="1:9" s="50" customFormat="1" x14ac:dyDescent="0.3">
      <c r="A135" s="117" t="s">
        <v>185</v>
      </c>
      <c r="B135" s="117"/>
      <c r="C135" s="107">
        <f>COUNT(D147:D153)*3</f>
        <v>21</v>
      </c>
      <c r="D135" s="108"/>
      <c r="E135" s="99">
        <f>SUM(D147:D153)*3</f>
        <v>5771.3554079999985</v>
      </c>
      <c r="F135" s="100"/>
      <c r="G135" s="101">
        <f>SUM(F147:F153)*3</f>
        <v>11490</v>
      </c>
      <c r="H135" s="101"/>
    </row>
    <row r="136" spans="1:9" s="50" customFormat="1" x14ac:dyDescent="0.3">
      <c r="A136" s="117" t="s">
        <v>188</v>
      </c>
      <c r="B136" s="117"/>
      <c r="C136" s="107">
        <f>COUNT(D157:D164)*3</f>
        <v>24</v>
      </c>
      <c r="D136" s="108"/>
      <c r="E136" s="99">
        <f>SUM(D157:D164)*3</f>
        <v>6734.7549359999994</v>
      </c>
      <c r="F136" s="100"/>
      <c r="G136" s="101">
        <f>SUM(F157:F164)*3</f>
        <v>13455</v>
      </c>
      <c r="H136" s="101"/>
    </row>
    <row r="137" spans="1:9" s="50" customFormat="1" x14ac:dyDescent="0.3">
      <c r="A137" s="117" t="s">
        <v>189</v>
      </c>
      <c r="B137" s="117"/>
      <c r="C137" s="107">
        <f>COUNT(D168:D174)*3</f>
        <v>21</v>
      </c>
      <c r="D137" s="108"/>
      <c r="E137" s="99">
        <f>SUM(D168:D174)*3</f>
        <v>6325.2923760000003</v>
      </c>
      <c r="F137" s="100"/>
      <c r="G137" s="101">
        <f>SUM(F168:F174)*3</f>
        <v>11742.523116</v>
      </c>
      <c r="H137" s="101"/>
    </row>
    <row r="138" spans="1:9" s="50" customFormat="1" x14ac:dyDescent="0.3">
      <c r="A138" s="117" t="s">
        <v>190</v>
      </c>
      <c r="B138" s="117"/>
      <c r="C138" s="107">
        <f>COUNT(D178:D180)*3</f>
        <v>9</v>
      </c>
      <c r="D138" s="108"/>
      <c r="E138" s="99">
        <f>SUM(D178:D180)*3</f>
        <v>2874.3432119999998</v>
      </c>
      <c r="F138" s="100"/>
      <c r="G138" s="101">
        <f>SUM(F178:F180)*3</f>
        <v>5760</v>
      </c>
      <c r="H138" s="101"/>
    </row>
    <row r="139" spans="1:9" s="50" customFormat="1" x14ac:dyDescent="0.3">
      <c r="A139" s="102" t="s">
        <v>62</v>
      </c>
      <c r="B139" s="102"/>
      <c r="C139" s="103">
        <f>SUM(C135:D138)</f>
        <v>75</v>
      </c>
      <c r="D139" s="104"/>
      <c r="E139" s="105">
        <f>SUM(E135:F138)</f>
        <v>21705.745931999998</v>
      </c>
      <c r="F139" s="106"/>
      <c r="G139" s="68">
        <f>SUM(G135:H138)</f>
        <v>42447.523115999997</v>
      </c>
      <c r="H139" s="68"/>
    </row>
    <row r="140" spans="1:9" s="49" customFormat="1" x14ac:dyDescent="0.3">
      <c r="A140" s="98" t="s">
        <v>63</v>
      </c>
      <c r="B140" s="98"/>
      <c r="C140" s="98"/>
      <c r="D140" s="98"/>
      <c r="E140" s="98"/>
      <c r="F140" s="98"/>
      <c r="G140" s="98"/>
      <c r="H140" s="98"/>
    </row>
    <row r="141" spans="1:9" x14ac:dyDescent="0.3">
      <c r="A141" s="98" t="s">
        <v>64</v>
      </c>
      <c r="B141" s="98"/>
      <c r="C141" s="98"/>
      <c r="D141" s="98"/>
      <c r="E141" s="98"/>
      <c r="F141" s="98"/>
      <c r="G141" s="98"/>
      <c r="H141" s="98"/>
    </row>
    <row r="142" spans="1:9" ht="47.25" customHeight="1" x14ac:dyDescent="0.3">
      <c r="A142" s="73" t="s">
        <v>152</v>
      </c>
      <c r="B142" s="73" t="s">
        <v>153</v>
      </c>
      <c r="C142" s="69" t="s">
        <v>65</v>
      </c>
      <c r="D142" s="69" t="s">
        <v>66</v>
      </c>
      <c r="E142" s="71" t="s">
        <v>67</v>
      </c>
      <c r="F142" s="69" t="s">
        <v>219</v>
      </c>
      <c r="G142" s="73" t="s">
        <v>68</v>
      </c>
      <c r="H142" s="74"/>
      <c r="I142" s="51"/>
    </row>
    <row r="143" spans="1:9" s="52" customFormat="1" x14ac:dyDescent="0.3">
      <c r="A143" s="75"/>
      <c r="B143" s="75"/>
      <c r="C143" s="70"/>
      <c r="D143" s="70"/>
      <c r="E143" s="72"/>
      <c r="F143" s="70"/>
      <c r="G143" s="75"/>
      <c r="H143" s="76"/>
      <c r="I143" s="51"/>
    </row>
    <row r="144" spans="1:9" s="52" customFormat="1" x14ac:dyDescent="0.3">
      <c r="A144" s="145" t="s">
        <v>185</v>
      </c>
      <c r="B144" s="146"/>
      <c r="C144" s="146"/>
      <c r="D144" s="146"/>
      <c r="E144" s="146"/>
      <c r="F144" s="146"/>
      <c r="G144" s="146"/>
      <c r="H144" s="147"/>
      <c r="I144" s="51"/>
    </row>
    <row r="145" spans="1:16" s="52" customFormat="1" x14ac:dyDescent="0.3">
      <c r="A145" s="145" t="s">
        <v>183</v>
      </c>
      <c r="B145" s="146"/>
      <c r="C145" s="146"/>
      <c r="D145" s="146"/>
      <c r="E145" s="146"/>
      <c r="F145" s="146"/>
      <c r="G145" s="146"/>
      <c r="H145" s="147"/>
      <c r="I145" s="51"/>
    </row>
    <row r="146" spans="1:16" s="52" customFormat="1" x14ac:dyDescent="0.3">
      <c r="A146" s="145" t="s">
        <v>224</v>
      </c>
      <c r="B146" s="146"/>
      <c r="C146" s="146"/>
      <c r="D146" s="146"/>
      <c r="E146" s="146"/>
      <c r="F146" s="146"/>
      <c r="G146" s="146"/>
      <c r="H146" s="147"/>
      <c r="I146" s="51"/>
    </row>
    <row r="147" spans="1:16" s="52" customFormat="1" x14ac:dyDescent="0.3">
      <c r="A147" s="66" t="str">
        <f t="shared" ref="A147:A152" ca="1" si="0">N147</f>
        <v>101 to 301</v>
      </c>
      <c r="B147" s="67"/>
      <c r="C147" s="24" t="s">
        <v>186</v>
      </c>
      <c r="D147" s="24">
        <f>((17.11)+(2.9*0.9))*10.764</f>
        <v>212.26607999999999</v>
      </c>
      <c r="E147" s="24">
        <v>0</v>
      </c>
      <c r="F147" s="24">
        <v>420</v>
      </c>
      <c r="G147" s="66" t="str">
        <f>A146</f>
        <v>1st to 3rd Floor For Residential</v>
      </c>
      <c r="H147" s="67"/>
      <c r="I147" s="51">
        <f>105000/F147</f>
        <v>250</v>
      </c>
      <c r="N147" s="52" t="str">
        <f t="shared" ref="N147:N152" ca="1" si="1">O147&amp;""&amp;" to "&amp;""&amp;P147</f>
        <v>101 to 301</v>
      </c>
      <c r="O147" s="52">
        <f ca="1">(SUMPRODUCT(MID(0&amp;(LEFT(A146,SUM(LEN(A146)-LEN(SUBSTITUTE(A146,{"0","1","2"},""))))), LARGE(INDEX(ISNUMBER(--MID((LEFT(A146,SUM(LEN(A146)-LEN(SUBSTITUTE(A146,{"0","1","2"},""))))), ROW(INDIRECT("1:"&amp;LEN((LEFT(A146,SUM(LEN(A146)-LEN(SUBSTITUTE(A146,{"0","1","2"},"")))))))), 1)) * ROW(INDIRECT("1:"&amp;LEN((LEFT(A146,SUM(LEN(A146)-LEN(SUBSTITUTE(A146,{"0","1","2"},"")))))))), 0), ROW(INDIRECT("1:"&amp;LEN((LEFT(A146,SUM(LEN(A146)-LEN(SUBSTITUTE(A146,{"0","1","2"},"")))))))))+1, 1) * 10^ROW(INDIRECT("1:"&amp;LEN((LEFT(A146,SUM(LEN(A146)-LEN(SUBSTITUTE(A146,{"0","1","2"},""))))))))/10))*100+1</f>
        <v>101</v>
      </c>
      <c r="P147" s="52">
        <f ca="1">(SUMPRODUCT(MID(0&amp;(--TRIM(RIGHT(SUBSTITUTE(LEFT(A146,_xlfn.AGGREGATE(16,6,FIND({0,1,2,3,4,5,6,7,8,9},A146,ROW(INDIRECT("1:"&amp;LEN(A146)))),1))," ",REPT(" ",LEN(A146))),LEN(A146)))), LARGE(INDEX(ISNUMBER(--MID((--TRIM(RIGHT(SUBSTITUTE(LEFT(A146,_xlfn.AGGREGATE(16,6,FIND({0,1,2,3,4,5,6,7,8,9},A146,ROW(INDIRECT("1:"&amp;LEN(A146)))),1))," ",REPT(" ",LEN(A146))),LEN(A146)))), ROW(INDIRECT("1:"&amp;LEN((--TRIM(RIGHT(SUBSTITUTE(LEFT(A146,_xlfn.AGGREGATE(16,6,FIND({0,1,2,3,4,5,6,7,8,9},A146,ROW(INDIRECT("1:"&amp;LEN(A146)))),1))," ",REPT(" ",LEN(A146))),LEN(A146))))))), 1)) * ROW(INDIRECT("1:"&amp;LEN((--TRIM(RIGHT(SUBSTITUTE(LEFT(A146,_xlfn.AGGREGATE(16,6,FIND({0,1,2,3,4,5,6,7,8,9},A146,ROW(INDIRECT("1:"&amp;LEN(A146)))),1))," ",REPT(" ",LEN(A146))),LEN(A146))))))), 0), ROW(INDIRECT("1:"&amp;LEN((--TRIM(RIGHT(SUBSTITUTE(LEFT(A146,_xlfn.AGGREGATE(16,6,FIND({0,1,2,3,4,5,6,7,8,9},A146,ROW(INDIRECT("1:"&amp;LEN(A146)))),1))," ",REPT(" ",LEN(A146))),LEN(A146))))))))+1, 1) * 10^ROW(INDIRECT("1:"&amp;LEN((--TRIM(RIGHT(SUBSTITUTE(LEFT(A146,_xlfn.AGGREGATE(16,6,FIND({0,1,2,3,4,5,6,7,8,9},A146,ROW(INDIRECT("1:"&amp;LEN(A146)))),1))," ",REPT(" ",LEN(A146))),LEN(A146)))))))/10))*100+1</f>
        <v>301</v>
      </c>
    </row>
    <row r="148" spans="1:16" s="52" customFormat="1" x14ac:dyDescent="0.3">
      <c r="A148" s="66" t="str">
        <f t="shared" ca="1" si="0"/>
        <v>102 to 302</v>
      </c>
      <c r="B148" s="67"/>
      <c r="C148" s="24" t="s">
        <v>187</v>
      </c>
      <c r="D148" s="24">
        <f>((24.688)+(2.9+2.05)*0.9)*10.764</f>
        <v>313.69525199999993</v>
      </c>
      <c r="E148" s="24">
        <v>0</v>
      </c>
      <c r="F148" s="24">
        <v>625</v>
      </c>
      <c r="G148" s="66" t="str">
        <f t="shared" ref="G148:G153" si="2">G147</f>
        <v>1st to 3rd Floor For Residential</v>
      </c>
      <c r="H148" s="67"/>
      <c r="I148" s="51">
        <f>156250/F148</f>
        <v>250</v>
      </c>
      <c r="N148" s="52" t="str">
        <f t="shared" ca="1" si="1"/>
        <v>102 to 302</v>
      </c>
      <c r="O148" s="52">
        <f t="shared" ref="O148:P148" ca="1" si="3">O147+1</f>
        <v>102</v>
      </c>
      <c r="P148" s="52">
        <f t="shared" ca="1" si="3"/>
        <v>302</v>
      </c>
    </row>
    <row r="149" spans="1:16" s="52" customFormat="1" x14ac:dyDescent="0.3">
      <c r="A149" s="66" t="str">
        <f t="shared" ca="1" si="0"/>
        <v>103 to 303</v>
      </c>
      <c r="B149" s="67"/>
      <c r="C149" s="24" t="s">
        <v>187</v>
      </c>
      <c r="D149" s="24">
        <f>((24.928)+(2.9+2.05)*0.9)*10.764</f>
        <v>316.27861199999995</v>
      </c>
      <c r="E149" s="24">
        <v>0</v>
      </c>
      <c r="F149" s="24">
        <v>630</v>
      </c>
      <c r="G149" s="66" t="str">
        <f t="shared" si="2"/>
        <v>1st to 3rd Floor For Residential</v>
      </c>
      <c r="H149" s="67"/>
      <c r="I149" s="51">
        <f>157500/F149</f>
        <v>250</v>
      </c>
      <c r="N149" s="52" t="str">
        <f t="shared" ca="1" si="1"/>
        <v>103 to 303</v>
      </c>
      <c r="O149" s="52">
        <f t="shared" ref="O149:P149" ca="1" si="4">O148+1</f>
        <v>103</v>
      </c>
      <c r="P149" s="52">
        <f t="shared" ca="1" si="4"/>
        <v>303</v>
      </c>
    </row>
    <row r="150" spans="1:16" s="52" customFormat="1" x14ac:dyDescent="0.3">
      <c r="A150" s="66" t="str">
        <f t="shared" ca="1" si="0"/>
        <v>104 to 304</v>
      </c>
      <c r="B150" s="67"/>
      <c r="C150" s="24" t="s">
        <v>186</v>
      </c>
      <c r="D150" s="24">
        <f>((16.255)+(2.7+2.1)*0.9)*10.764</f>
        <v>221.46929999999998</v>
      </c>
      <c r="E150" s="24">
        <v>0</v>
      </c>
      <c r="F150" s="24">
        <v>440</v>
      </c>
      <c r="G150" s="66" t="str">
        <f t="shared" si="2"/>
        <v>1st to 3rd Floor For Residential</v>
      </c>
      <c r="H150" s="67"/>
      <c r="I150" s="51">
        <f>110000/F150</f>
        <v>250</v>
      </c>
      <c r="N150" s="52" t="str">
        <f t="shared" ca="1" si="1"/>
        <v>104 to 304</v>
      </c>
      <c r="O150" s="52">
        <f t="shared" ref="O150:P150" ca="1" si="5">O149+1</f>
        <v>104</v>
      </c>
      <c r="P150" s="52">
        <f t="shared" ca="1" si="5"/>
        <v>304</v>
      </c>
    </row>
    <row r="151" spans="1:16" s="52" customFormat="1" x14ac:dyDescent="0.3">
      <c r="A151" s="66" t="str">
        <f t="shared" ca="1" si="0"/>
        <v>105 to 305</v>
      </c>
      <c r="B151" s="67"/>
      <c r="C151" s="24" t="s">
        <v>186</v>
      </c>
      <c r="D151" s="24">
        <f>((16.255)+(2.7+2.1)*0.9)*10.764</f>
        <v>221.46929999999998</v>
      </c>
      <c r="E151" s="24">
        <v>0</v>
      </c>
      <c r="F151" s="24">
        <v>440</v>
      </c>
      <c r="G151" s="66" t="str">
        <f t="shared" si="2"/>
        <v>1st to 3rd Floor For Residential</v>
      </c>
      <c r="H151" s="67"/>
      <c r="I151" s="51"/>
      <c r="N151" s="52" t="str">
        <f t="shared" ca="1" si="1"/>
        <v>105 to 305</v>
      </c>
      <c r="O151" s="52">
        <f t="shared" ref="O151:P151" ca="1" si="6">O150+1</f>
        <v>105</v>
      </c>
      <c r="P151" s="52">
        <f t="shared" ca="1" si="6"/>
        <v>305</v>
      </c>
    </row>
    <row r="152" spans="1:16" s="52" customFormat="1" x14ac:dyDescent="0.3">
      <c r="A152" s="66" t="str">
        <f t="shared" ca="1" si="0"/>
        <v>106 to 306</v>
      </c>
      <c r="B152" s="67"/>
      <c r="C152" s="24" t="s">
        <v>187</v>
      </c>
      <c r="D152" s="24">
        <f>((24.928)+(2.8+2)*0.9)*10.764</f>
        <v>314.82547199999999</v>
      </c>
      <c r="E152" s="24">
        <v>0</v>
      </c>
      <c r="F152" s="24">
        <v>630</v>
      </c>
      <c r="G152" s="66" t="str">
        <f t="shared" si="2"/>
        <v>1st to 3rd Floor For Residential</v>
      </c>
      <c r="H152" s="67"/>
      <c r="I152" s="51"/>
      <c r="N152" s="52" t="str">
        <f t="shared" ca="1" si="1"/>
        <v>106 to 306</v>
      </c>
      <c r="O152" s="52">
        <f t="shared" ref="O152:P153" ca="1" si="7">O151+1</f>
        <v>106</v>
      </c>
      <c r="P152" s="52">
        <f t="shared" ca="1" si="7"/>
        <v>306</v>
      </c>
    </row>
    <row r="153" spans="1:16" s="52" customFormat="1" x14ac:dyDescent="0.3">
      <c r="A153" s="66" t="str">
        <f t="shared" ref="A153" ca="1" si="8">N153</f>
        <v>107 to 307</v>
      </c>
      <c r="B153" s="67"/>
      <c r="C153" s="24" t="s">
        <v>187</v>
      </c>
      <c r="D153" s="24">
        <f>((27.515)+(2.85)*0.9)*10.764</f>
        <v>323.78111999999999</v>
      </c>
      <c r="E153" s="24">
        <v>0</v>
      </c>
      <c r="F153" s="24">
        <v>645</v>
      </c>
      <c r="G153" s="66" t="str">
        <f t="shared" si="2"/>
        <v>1st to 3rd Floor For Residential</v>
      </c>
      <c r="H153" s="67"/>
      <c r="I153" s="51">
        <f>161250/F153</f>
        <v>250</v>
      </c>
      <c r="N153" s="52" t="str">
        <f t="shared" ref="N153" ca="1" si="9">O153&amp;""&amp;" to "&amp;""&amp;P153</f>
        <v>107 to 307</v>
      </c>
      <c r="O153" s="52">
        <f t="shared" ca="1" si="7"/>
        <v>107</v>
      </c>
      <c r="P153" s="52">
        <f t="shared" ca="1" si="7"/>
        <v>307</v>
      </c>
    </row>
    <row r="154" spans="1:16" s="52" customFormat="1" x14ac:dyDescent="0.3">
      <c r="A154" s="145" t="s">
        <v>188</v>
      </c>
      <c r="B154" s="146"/>
      <c r="C154" s="146"/>
      <c r="D154" s="146"/>
      <c r="E154" s="146"/>
      <c r="F154" s="146"/>
      <c r="G154" s="146"/>
      <c r="H154" s="147"/>
      <c r="I154" s="51"/>
    </row>
    <row r="155" spans="1:16" s="52" customFormat="1" x14ac:dyDescent="0.3">
      <c r="A155" s="145" t="s">
        <v>183</v>
      </c>
      <c r="B155" s="146"/>
      <c r="C155" s="146"/>
      <c r="D155" s="146"/>
      <c r="E155" s="146"/>
      <c r="F155" s="146"/>
      <c r="G155" s="146"/>
      <c r="H155" s="147"/>
      <c r="I155" s="51"/>
    </row>
    <row r="156" spans="1:16" s="52" customFormat="1" x14ac:dyDescent="0.3">
      <c r="A156" s="145" t="s">
        <v>224</v>
      </c>
      <c r="B156" s="146"/>
      <c r="C156" s="146"/>
      <c r="D156" s="146"/>
      <c r="E156" s="146"/>
      <c r="F156" s="146"/>
      <c r="G156" s="146"/>
      <c r="H156" s="147"/>
      <c r="I156" s="51"/>
    </row>
    <row r="157" spans="1:16" s="52" customFormat="1" x14ac:dyDescent="0.3">
      <c r="A157" s="66" t="str">
        <f t="shared" ref="A157:A163" ca="1" si="10">N157</f>
        <v>101 to 301</v>
      </c>
      <c r="B157" s="67"/>
      <c r="C157" s="24" t="s">
        <v>186</v>
      </c>
      <c r="D157" s="24">
        <f>((17.875)+(2.75*0.9))*10.764</f>
        <v>219.04740000000001</v>
      </c>
      <c r="E157" s="24">
        <v>0</v>
      </c>
      <c r="F157" s="24">
        <v>440</v>
      </c>
      <c r="G157" s="66" t="str">
        <f>A156</f>
        <v>1st to 3rd Floor For Residential</v>
      </c>
      <c r="H157" s="67"/>
      <c r="I157" s="51">
        <f>110000/F157</f>
        <v>250</v>
      </c>
      <c r="N157" s="52" t="str">
        <f t="shared" ref="N157:N163" ca="1" si="11">O157&amp;""&amp;" to "&amp;""&amp;P157</f>
        <v>101 to 301</v>
      </c>
      <c r="O157" s="52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10^ROW(INDIRECT("1:"&amp;LEN((LEFT(A156,SUM(LEN(A156)-LEN(SUBSTITUTE(A156,{"0","1","2"},""))))))))/10))*100+1</f>
        <v>101</v>
      </c>
      <c r="P157" s="52">
        <f ca="1">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",LEN(A156))),LEN(A156)))))))/10))*100+1</f>
        <v>301</v>
      </c>
    </row>
    <row r="158" spans="1:16" s="52" customFormat="1" x14ac:dyDescent="0.3">
      <c r="A158" s="66" t="str">
        <f t="shared" ca="1" si="10"/>
        <v>102 to 302</v>
      </c>
      <c r="B158" s="67"/>
      <c r="C158" s="24" t="s">
        <v>187</v>
      </c>
      <c r="D158" s="24">
        <f>((24.688)+(2.75+2.2)*0.9)*10.764</f>
        <v>313.69525199999998</v>
      </c>
      <c r="E158" s="24">
        <v>0</v>
      </c>
      <c r="F158" s="24">
        <v>630</v>
      </c>
      <c r="G158" s="66" t="str">
        <f t="shared" ref="G158:G164" si="12">G157</f>
        <v>1st to 3rd Floor For Residential</v>
      </c>
      <c r="H158" s="67"/>
      <c r="I158" s="51"/>
      <c r="N158" s="52" t="str">
        <f t="shared" ca="1" si="11"/>
        <v>102 to 302</v>
      </c>
      <c r="O158" s="52">
        <f t="shared" ref="O158:P158" ca="1" si="13">O157+1</f>
        <v>102</v>
      </c>
      <c r="P158" s="52">
        <f t="shared" ca="1" si="13"/>
        <v>302</v>
      </c>
    </row>
    <row r="159" spans="1:16" s="52" customFormat="1" x14ac:dyDescent="0.3">
      <c r="A159" s="66" t="str">
        <f t="shared" ca="1" si="10"/>
        <v>103 to 303</v>
      </c>
      <c r="B159" s="67"/>
      <c r="C159" s="24" t="s">
        <v>187</v>
      </c>
      <c r="D159" s="24">
        <f>((24.688)+(2.75+2.2)*0.9)*10.764</f>
        <v>313.69525199999998</v>
      </c>
      <c r="E159" s="24">
        <v>0</v>
      </c>
      <c r="F159" s="24">
        <v>625</v>
      </c>
      <c r="G159" s="66" t="str">
        <f t="shared" si="12"/>
        <v>1st to 3rd Floor For Residential</v>
      </c>
      <c r="H159" s="67"/>
      <c r="I159" s="51"/>
      <c r="N159" s="52" t="str">
        <f t="shared" ca="1" si="11"/>
        <v>103 to 303</v>
      </c>
      <c r="O159" s="52">
        <f t="shared" ref="O159:P159" ca="1" si="14">O158+1</f>
        <v>103</v>
      </c>
      <c r="P159" s="52">
        <f t="shared" ca="1" si="14"/>
        <v>303</v>
      </c>
    </row>
    <row r="160" spans="1:16" s="52" customFormat="1" x14ac:dyDescent="0.3">
      <c r="A160" s="66" t="str">
        <f t="shared" ca="1" si="10"/>
        <v>104 to 304</v>
      </c>
      <c r="B160" s="67"/>
      <c r="C160" s="24" t="s">
        <v>187</v>
      </c>
      <c r="D160" s="24">
        <f>((24.687)+(2.75+2.2)*0.9)*10.764</f>
        <v>313.68448799999999</v>
      </c>
      <c r="E160" s="24">
        <v>0</v>
      </c>
      <c r="F160" s="24">
        <v>640</v>
      </c>
      <c r="G160" s="66" t="str">
        <f t="shared" si="12"/>
        <v>1st to 3rd Floor For Residential</v>
      </c>
      <c r="H160" s="67"/>
      <c r="I160" s="51"/>
      <c r="N160" s="52" t="str">
        <f t="shared" ca="1" si="11"/>
        <v>104 to 304</v>
      </c>
      <c r="O160" s="52">
        <f t="shared" ref="O160:P160" ca="1" si="15">O159+1</f>
        <v>104</v>
      </c>
      <c r="P160" s="52">
        <f t="shared" ca="1" si="15"/>
        <v>304</v>
      </c>
    </row>
    <row r="161" spans="1:16" s="52" customFormat="1" x14ac:dyDescent="0.3">
      <c r="A161" s="66" t="str">
        <f t="shared" ca="1" si="10"/>
        <v>105 to 305</v>
      </c>
      <c r="B161" s="67"/>
      <c r="C161" s="24" t="s">
        <v>187</v>
      </c>
      <c r="D161" s="24">
        <f>((25.107)+(2.75+2.2)*0.9)*10.764</f>
        <v>318.20536799999996</v>
      </c>
      <c r="E161" s="24">
        <v>0</v>
      </c>
      <c r="F161" s="24">
        <v>635</v>
      </c>
      <c r="G161" s="66" t="str">
        <f t="shared" si="12"/>
        <v>1st to 3rd Floor For Residential</v>
      </c>
      <c r="H161" s="67"/>
      <c r="I161" s="51">
        <f>3000000/640</f>
        <v>4687.5</v>
      </c>
      <c r="N161" s="52" t="str">
        <f t="shared" ca="1" si="11"/>
        <v>105 to 305</v>
      </c>
      <c r="O161" s="52">
        <f t="shared" ref="O161:P161" ca="1" si="16">O160+1</f>
        <v>105</v>
      </c>
      <c r="P161" s="52">
        <f t="shared" ca="1" si="16"/>
        <v>305</v>
      </c>
    </row>
    <row r="162" spans="1:16" s="52" customFormat="1" x14ac:dyDescent="0.3">
      <c r="A162" s="66" t="str">
        <f t="shared" ca="1" si="10"/>
        <v>106 to 306</v>
      </c>
      <c r="B162" s="67"/>
      <c r="C162" s="24" t="s">
        <v>187</v>
      </c>
      <c r="D162" s="24">
        <f>((24.908)+(2.8+2.4)*0.9)*10.764</f>
        <v>318.485232</v>
      </c>
      <c r="E162" s="24">
        <v>0</v>
      </c>
      <c r="F162" s="24">
        <v>635</v>
      </c>
      <c r="G162" s="66" t="str">
        <f t="shared" si="12"/>
        <v>1st to 3rd Floor For Residential</v>
      </c>
      <c r="H162" s="67"/>
      <c r="I162" s="51"/>
      <c r="N162" s="52" t="str">
        <f t="shared" ca="1" si="11"/>
        <v>106 to 306</v>
      </c>
      <c r="O162" s="52">
        <f t="shared" ref="O162:P162" ca="1" si="17">O161+1</f>
        <v>106</v>
      </c>
      <c r="P162" s="52">
        <f t="shared" ca="1" si="17"/>
        <v>306</v>
      </c>
    </row>
    <row r="163" spans="1:16" s="52" customFormat="1" x14ac:dyDescent="0.3">
      <c r="A163" s="66" t="str">
        <f t="shared" ca="1" si="10"/>
        <v>107 to 307</v>
      </c>
      <c r="B163" s="67"/>
      <c r="C163" s="24" t="s">
        <v>186</v>
      </c>
      <c r="D163" s="24">
        <f>((16.135)+(2.8+2.4)*0.9)*10.764</f>
        <v>224.05266</v>
      </c>
      <c r="E163" s="24">
        <v>0</v>
      </c>
      <c r="F163" s="24">
        <v>440</v>
      </c>
      <c r="G163" s="66" t="str">
        <f t="shared" si="12"/>
        <v>1st to 3rd Floor For Residential</v>
      </c>
      <c r="H163" s="67"/>
      <c r="I163" s="51"/>
      <c r="N163" s="52" t="str">
        <f t="shared" ca="1" si="11"/>
        <v>107 to 307</v>
      </c>
      <c r="O163" s="52">
        <f t="shared" ref="O163:P164" ca="1" si="18">O162+1</f>
        <v>107</v>
      </c>
      <c r="P163" s="52">
        <f t="shared" ca="1" si="18"/>
        <v>307</v>
      </c>
    </row>
    <row r="164" spans="1:16" s="52" customFormat="1" x14ac:dyDescent="0.3">
      <c r="A164" s="66" t="str">
        <f t="shared" ref="A164" ca="1" si="19">N164</f>
        <v>108 to 308</v>
      </c>
      <c r="B164" s="67"/>
      <c r="C164" s="24" t="s">
        <v>186</v>
      </c>
      <c r="D164" s="24">
        <f>((16.135)+(2.8+2.4)*0.9)*10.764</f>
        <v>224.05266</v>
      </c>
      <c r="E164" s="24">
        <v>0</v>
      </c>
      <c r="F164" s="24">
        <v>440</v>
      </c>
      <c r="G164" s="66" t="str">
        <f t="shared" si="12"/>
        <v>1st to 3rd Floor For Residential</v>
      </c>
      <c r="H164" s="67"/>
      <c r="I164" s="51"/>
      <c r="N164" s="52" t="str">
        <f t="shared" ref="N164" ca="1" si="20">O164&amp;""&amp;" to "&amp;""&amp;P164</f>
        <v>108 to 308</v>
      </c>
      <c r="O164" s="52">
        <f t="shared" ca="1" si="18"/>
        <v>108</v>
      </c>
      <c r="P164" s="52">
        <f t="shared" ca="1" si="18"/>
        <v>308</v>
      </c>
    </row>
    <row r="165" spans="1:16" s="52" customFormat="1" x14ac:dyDescent="0.3">
      <c r="A165" s="145" t="s">
        <v>189</v>
      </c>
      <c r="B165" s="146"/>
      <c r="C165" s="146"/>
      <c r="D165" s="146"/>
      <c r="E165" s="146"/>
      <c r="F165" s="146"/>
      <c r="G165" s="146"/>
      <c r="H165" s="147"/>
      <c r="I165" s="51"/>
    </row>
    <row r="166" spans="1:16" s="52" customFormat="1" x14ac:dyDescent="0.3">
      <c r="A166" s="145" t="s">
        <v>183</v>
      </c>
      <c r="B166" s="146"/>
      <c r="C166" s="146"/>
      <c r="D166" s="146"/>
      <c r="E166" s="146"/>
      <c r="F166" s="146"/>
      <c r="G166" s="146"/>
      <c r="H166" s="147"/>
      <c r="I166" s="51"/>
    </row>
    <row r="167" spans="1:16" s="52" customFormat="1" x14ac:dyDescent="0.3">
      <c r="A167" s="145" t="s">
        <v>224</v>
      </c>
      <c r="B167" s="146"/>
      <c r="C167" s="146"/>
      <c r="D167" s="146"/>
      <c r="E167" s="146"/>
      <c r="F167" s="146"/>
      <c r="G167" s="146"/>
      <c r="H167" s="147"/>
      <c r="I167" s="51"/>
    </row>
    <row r="168" spans="1:16" s="52" customFormat="1" x14ac:dyDescent="0.3">
      <c r="A168" s="66" t="str">
        <f t="shared" ref="A168:A174" ca="1" si="21">N168</f>
        <v>101 to 301</v>
      </c>
      <c r="B168" s="67"/>
      <c r="C168" s="24" t="s">
        <v>187</v>
      </c>
      <c r="D168" s="24">
        <f>((25.483)+(2.75+2.1)*0.9)*10.764</f>
        <v>321.28387199999997</v>
      </c>
      <c r="E168" s="24">
        <v>0</v>
      </c>
      <c r="F168" s="24">
        <v>645</v>
      </c>
      <c r="G168" s="66" t="str">
        <f>A167</f>
        <v>1st to 3rd Floor For Residential</v>
      </c>
      <c r="H168" s="67"/>
      <c r="I168" s="51"/>
      <c r="N168" s="52" t="str">
        <f t="shared" ref="N168:N174" ca="1" si="22">O168&amp;""&amp;" to "&amp;""&amp;P168</f>
        <v>101 to 301</v>
      </c>
      <c r="O168" s="52">
        <f ca="1">(SUMPRODUCT(MID(0&amp;(LEFT(A167,SUM(LEN(A167)-LEN(SUBSTITUTE(A167,{"0","1","2"},""))))), LARGE(INDEX(ISNUMBER(--MID((LEFT(A167,SUM(LEN(A167)-LEN(SUBSTITUTE(A167,{"0","1","2"},""))))), ROW(INDIRECT("1:"&amp;LEN((LEFT(A167,SUM(LEN(A167)-LEN(SUBSTITUTE(A167,{"0","1","2"},"")))))))), 1)) * ROW(INDIRECT("1:"&amp;LEN((LEFT(A167,SUM(LEN(A167)-LEN(SUBSTITUTE(A167,{"0","1","2"},"")))))))), 0), ROW(INDIRECT("1:"&amp;LEN((LEFT(A167,SUM(LEN(A167)-LEN(SUBSTITUTE(A167,{"0","1","2"},"")))))))))+1, 1) * 10^ROW(INDIRECT("1:"&amp;LEN((LEFT(A167,SUM(LEN(A167)-LEN(SUBSTITUTE(A167,{"0","1","2"},""))))))))/10))*100+1</f>
        <v>101</v>
      </c>
      <c r="P168" s="52">
        <f ca="1">(SUMPRODUCT(MID(0&amp;(--TRIM(RIGHT(SUBSTITUTE(LEFT(A167,_xlfn.AGGREGATE(16,6,FIND({0,1,2,3,4,5,6,7,8,9},A167,ROW(INDIRECT("1:"&amp;LEN(A167)))),1))," ",REPT(" ",LEN(A167))),LEN(A167)))), LARGE(INDEX(ISNUMBER(--MID((--TRIM(RIGHT(SUBSTITUTE(LEFT(A167,_xlfn.AGGREGATE(16,6,FIND({0,1,2,3,4,5,6,7,8,9},A167,ROW(INDIRECT("1:"&amp;LEN(A167)))),1))," ",REPT(" ",LEN(A167))),LEN(A167)))), ROW(INDIRECT("1:"&amp;LEN((--TRIM(RIGHT(SUBSTITUTE(LEFT(A167,_xlfn.AGGREGATE(16,6,FIND({0,1,2,3,4,5,6,7,8,9},A167,ROW(INDIRECT("1:"&amp;LEN(A167)))),1))," ",REPT(" ",LEN(A167))),LEN(A167))))))), 1)) * ROW(INDIRECT("1:"&amp;LEN((--TRIM(RIGHT(SUBSTITUTE(LEFT(A167,_xlfn.AGGREGATE(16,6,FIND({0,1,2,3,4,5,6,7,8,9},A167,ROW(INDIRECT("1:"&amp;LEN(A167)))),1))," ",REPT(" ",LEN(A167))),LEN(A167))))))), 0), ROW(INDIRECT("1:"&amp;LEN((--TRIM(RIGHT(SUBSTITUTE(LEFT(A167,_xlfn.AGGREGATE(16,6,FIND({0,1,2,3,4,5,6,7,8,9},A167,ROW(INDIRECT("1:"&amp;LEN(A167)))),1))," ",REPT(" ",LEN(A167))),LEN(A167))))))))+1, 1) * 10^ROW(INDIRECT("1:"&amp;LEN((--TRIM(RIGHT(SUBSTITUTE(LEFT(A167,_xlfn.AGGREGATE(16,6,FIND({0,1,2,3,4,5,6,7,8,9},A167,ROW(INDIRECT("1:"&amp;LEN(A167)))),1))," ",REPT(" ",LEN(A167))),LEN(A167)))))))/10))*100+1</f>
        <v>301</v>
      </c>
    </row>
    <row r="169" spans="1:16" s="52" customFormat="1" x14ac:dyDescent="0.3">
      <c r="A169" s="66" t="str">
        <f t="shared" ca="1" si="21"/>
        <v>102 to 302</v>
      </c>
      <c r="B169" s="67"/>
      <c r="C169" s="24" t="s">
        <v>187</v>
      </c>
      <c r="D169" s="24">
        <f>((25.108)+(2.75+2.4)*0.9)*10.764</f>
        <v>320.15365200000002</v>
      </c>
      <c r="E169" s="24">
        <v>0</v>
      </c>
      <c r="F169" s="24">
        <v>645</v>
      </c>
      <c r="G169" s="66" t="str">
        <f t="shared" ref="G169:G174" si="23">G168</f>
        <v>1st to 3rd Floor For Residential</v>
      </c>
      <c r="H169" s="67"/>
      <c r="I169" s="51"/>
      <c r="N169" s="52" t="str">
        <f t="shared" ca="1" si="22"/>
        <v>102 to 302</v>
      </c>
      <c r="O169" s="52">
        <f t="shared" ref="O169:P169" ca="1" si="24">O168+1</f>
        <v>102</v>
      </c>
      <c r="P169" s="52">
        <f t="shared" ca="1" si="24"/>
        <v>302</v>
      </c>
    </row>
    <row r="170" spans="1:16" s="52" customFormat="1" x14ac:dyDescent="0.3">
      <c r="A170" s="66" t="str">
        <f t="shared" ca="1" si="21"/>
        <v>103 to 303</v>
      </c>
      <c r="B170" s="67"/>
      <c r="C170" s="24" t="s">
        <v>187</v>
      </c>
      <c r="D170" s="24">
        <f>((24.688)+(2.75+2.2)*0.9)*10.764</f>
        <v>313.69525199999998</v>
      </c>
      <c r="E170" s="24">
        <v>0</v>
      </c>
      <c r="F170" s="24">
        <v>625</v>
      </c>
      <c r="G170" s="66" t="str">
        <f t="shared" si="23"/>
        <v>1st to 3rd Floor For Residential</v>
      </c>
      <c r="H170" s="67"/>
      <c r="I170" s="51"/>
      <c r="N170" s="52" t="str">
        <f t="shared" ca="1" si="22"/>
        <v>103 to 303</v>
      </c>
      <c r="O170" s="52">
        <f t="shared" ref="O170:P170" ca="1" si="25">O169+1</f>
        <v>103</v>
      </c>
      <c r="P170" s="52">
        <f t="shared" ca="1" si="25"/>
        <v>303</v>
      </c>
    </row>
    <row r="171" spans="1:16" s="52" customFormat="1" x14ac:dyDescent="0.3">
      <c r="A171" s="66" t="str">
        <f t="shared" ca="1" si="21"/>
        <v>104 to 304</v>
      </c>
      <c r="B171" s="67"/>
      <c r="C171" s="24" t="s">
        <v>187</v>
      </c>
      <c r="D171" s="24">
        <f t="shared" ref="D171:D172" si="26">((24.688)+(2.75+2.2)*0.9)*10.764</f>
        <v>313.69525199999998</v>
      </c>
      <c r="E171" s="24">
        <v>0</v>
      </c>
      <c r="F171" s="24">
        <v>625</v>
      </c>
      <c r="G171" s="66" t="str">
        <f t="shared" si="23"/>
        <v>1st to 3rd Floor For Residential</v>
      </c>
      <c r="H171" s="67"/>
      <c r="I171" s="51"/>
      <c r="N171" s="52" t="str">
        <f t="shared" ca="1" si="22"/>
        <v>104 to 304</v>
      </c>
      <c r="O171" s="52">
        <f t="shared" ref="O171:P171" ca="1" si="27">O170+1</f>
        <v>104</v>
      </c>
      <c r="P171" s="52">
        <f t="shared" ca="1" si="27"/>
        <v>304</v>
      </c>
    </row>
    <row r="172" spans="1:16" s="52" customFormat="1" x14ac:dyDescent="0.3">
      <c r="A172" s="66" t="str">
        <f t="shared" ca="1" si="21"/>
        <v>105 to 305</v>
      </c>
      <c r="B172" s="67"/>
      <c r="C172" s="24" t="s">
        <v>187</v>
      </c>
      <c r="D172" s="24">
        <f t="shared" si="26"/>
        <v>313.69525199999998</v>
      </c>
      <c r="E172" s="24">
        <v>0</v>
      </c>
      <c r="F172" s="24">
        <v>630</v>
      </c>
      <c r="G172" s="66" t="str">
        <f t="shared" si="23"/>
        <v>1st to 3rd Floor For Residential</v>
      </c>
      <c r="H172" s="67"/>
      <c r="I172" s="51"/>
      <c r="N172" s="52" t="str">
        <f t="shared" ca="1" si="22"/>
        <v>105 to 305</v>
      </c>
      <c r="O172" s="52">
        <f t="shared" ref="O172:P172" ca="1" si="28">O171+1</f>
        <v>105</v>
      </c>
      <c r="P172" s="52">
        <f t="shared" ca="1" si="28"/>
        <v>305</v>
      </c>
    </row>
    <row r="173" spans="1:16" s="52" customFormat="1" x14ac:dyDescent="0.3">
      <c r="A173" s="66" t="str">
        <f t="shared" ca="1" si="21"/>
        <v>106 to 306</v>
      </c>
      <c r="B173" s="67"/>
      <c r="C173" s="24" t="s">
        <v>186</v>
      </c>
      <c r="D173" s="24">
        <f>((17.66)+(2.75)*0.9)*10.764</f>
        <v>216.73313999999999</v>
      </c>
      <c r="E173" s="24">
        <v>0</v>
      </c>
      <c r="F173" s="24">
        <v>435</v>
      </c>
      <c r="G173" s="66" t="str">
        <f t="shared" si="23"/>
        <v>1st to 3rd Floor For Residential</v>
      </c>
      <c r="H173" s="67"/>
      <c r="I173" s="51"/>
      <c r="N173" s="52" t="str">
        <f t="shared" ca="1" si="22"/>
        <v>106 to 306</v>
      </c>
      <c r="O173" s="52">
        <f t="shared" ref="O173:P173" ca="1" si="29">O172+1</f>
        <v>106</v>
      </c>
      <c r="P173" s="52">
        <f t="shared" ca="1" si="29"/>
        <v>306</v>
      </c>
    </row>
    <row r="174" spans="1:16" s="52" customFormat="1" x14ac:dyDescent="0.3">
      <c r="A174" s="66" t="str">
        <f t="shared" ca="1" si="21"/>
        <v>107 to 307</v>
      </c>
      <c r="B174" s="67"/>
      <c r="C174" s="24" t="s">
        <v>187</v>
      </c>
      <c r="D174" s="24">
        <f>((24.268)+(2.75+2.2)*0.9)*10.764</f>
        <v>309.17437199999995</v>
      </c>
      <c r="E174" s="24">
        <v>0</v>
      </c>
      <c r="F174" s="24">
        <f>D174*(($F$143)+1)+E174</f>
        <v>309.17437199999995</v>
      </c>
      <c r="G174" s="66" t="str">
        <f t="shared" si="23"/>
        <v>1st to 3rd Floor For Residential</v>
      </c>
      <c r="H174" s="67"/>
      <c r="I174" s="51"/>
      <c r="N174" s="52" t="str">
        <f t="shared" ca="1" si="22"/>
        <v>107 to 307</v>
      </c>
      <c r="O174" s="52">
        <f t="shared" ref="O174:P174" ca="1" si="30">O173+1</f>
        <v>107</v>
      </c>
      <c r="P174" s="52">
        <f t="shared" ca="1" si="30"/>
        <v>307</v>
      </c>
    </row>
    <row r="175" spans="1:16" s="52" customFormat="1" x14ac:dyDescent="0.3">
      <c r="A175" s="145" t="s">
        <v>190</v>
      </c>
      <c r="B175" s="146"/>
      <c r="C175" s="146"/>
      <c r="D175" s="146"/>
      <c r="E175" s="146"/>
      <c r="F175" s="146"/>
      <c r="G175" s="146"/>
      <c r="H175" s="147"/>
      <c r="I175" s="51"/>
    </row>
    <row r="176" spans="1:16" s="52" customFormat="1" x14ac:dyDescent="0.3">
      <c r="A176" s="145" t="s">
        <v>183</v>
      </c>
      <c r="B176" s="146"/>
      <c r="C176" s="146"/>
      <c r="D176" s="146"/>
      <c r="E176" s="146"/>
      <c r="F176" s="146"/>
      <c r="G176" s="146"/>
      <c r="H176" s="147"/>
      <c r="I176" s="51"/>
    </row>
    <row r="177" spans="1:16" s="52" customFormat="1" x14ac:dyDescent="0.3">
      <c r="A177" s="145" t="s">
        <v>224</v>
      </c>
      <c r="B177" s="146"/>
      <c r="C177" s="146"/>
      <c r="D177" s="146"/>
      <c r="E177" s="146"/>
      <c r="F177" s="146"/>
      <c r="G177" s="146"/>
      <c r="H177" s="147"/>
      <c r="I177" s="51"/>
    </row>
    <row r="178" spans="1:16" s="52" customFormat="1" x14ac:dyDescent="0.3">
      <c r="A178" s="66" t="str">
        <f t="shared" ref="A178:A180" ca="1" si="31">N178</f>
        <v>101 to 301</v>
      </c>
      <c r="B178" s="67"/>
      <c r="C178" s="24" t="s">
        <v>187</v>
      </c>
      <c r="D178" s="24">
        <f>((25.063)+(2.75+2.2)*0.9)*10.764</f>
        <v>317.73175199999997</v>
      </c>
      <c r="E178" s="24">
        <v>0</v>
      </c>
      <c r="F178" s="24">
        <v>640</v>
      </c>
      <c r="G178" s="66" t="str">
        <f>A177</f>
        <v>1st to 3rd Floor For Residential</v>
      </c>
      <c r="H178" s="67"/>
      <c r="I178" s="51">
        <f>160000/F178</f>
        <v>250</v>
      </c>
      <c r="N178" s="52" t="str">
        <f t="shared" ref="N178:N180" ca="1" si="32">O178&amp;""&amp;" to "&amp;""&amp;P178</f>
        <v>101 to 301</v>
      </c>
      <c r="O178" s="52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10^ROW(INDIRECT("1:"&amp;LEN((LEFT(A177,SUM(LEN(A177)-LEN(SUBSTITUTE(A177,{"0","1","2"},""))))))))/10))*100+1</f>
        <v>101</v>
      </c>
      <c r="P178" s="52">
        <f ca="1">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",LEN(A177))),LEN(A177)))))))/10))*100+1</f>
        <v>301</v>
      </c>
    </row>
    <row r="179" spans="1:16" s="52" customFormat="1" x14ac:dyDescent="0.3">
      <c r="A179" s="66" t="str">
        <f t="shared" ca="1" si="31"/>
        <v>102 to 302</v>
      </c>
      <c r="B179" s="67"/>
      <c r="C179" s="24" t="s">
        <v>187</v>
      </c>
      <c r="D179" s="24">
        <f>((25.1)+(2.75+2.2)*0.9)*10.764</f>
        <v>318.13002</v>
      </c>
      <c r="E179" s="24">
        <v>0</v>
      </c>
      <c r="F179" s="24">
        <v>635</v>
      </c>
      <c r="G179" s="66" t="str">
        <f t="shared" ref="G179:G180" si="33">G178</f>
        <v>1st to 3rd Floor For Residential</v>
      </c>
      <c r="H179" s="67"/>
      <c r="I179" s="51"/>
      <c r="N179" s="52" t="str">
        <f t="shared" ca="1" si="32"/>
        <v>102 to 302</v>
      </c>
      <c r="O179" s="52">
        <f t="shared" ref="O179:P179" ca="1" si="34">O178+1</f>
        <v>102</v>
      </c>
      <c r="P179" s="52">
        <f t="shared" ca="1" si="34"/>
        <v>302</v>
      </c>
    </row>
    <row r="180" spans="1:16" s="52" customFormat="1" x14ac:dyDescent="0.3">
      <c r="A180" s="66" t="str">
        <f t="shared" ca="1" si="31"/>
        <v>103 to 303</v>
      </c>
      <c r="B180" s="67"/>
      <c r="C180" s="24" t="s">
        <v>187</v>
      </c>
      <c r="D180" s="24">
        <f>((25.483)+(2.75+2.2)*0.9)*10.764</f>
        <v>322.25263200000001</v>
      </c>
      <c r="E180" s="24">
        <v>0</v>
      </c>
      <c r="F180" s="24">
        <v>645</v>
      </c>
      <c r="G180" s="66" t="str">
        <f t="shared" si="33"/>
        <v>1st to 3rd Floor For Residential</v>
      </c>
      <c r="H180" s="67"/>
      <c r="I180" s="51"/>
      <c r="N180" s="52" t="str">
        <f t="shared" ca="1" si="32"/>
        <v>103 to 303</v>
      </c>
      <c r="O180" s="52">
        <f t="shared" ref="O180:P180" ca="1" si="35">O179+1</f>
        <v>103</v>
      </c>
      <c r="P180" s="52">
        <f t="shared" ca="1" si="35"/>
        <v>303</v>
      </c>
    </row>
    <row r="181" spans="1:16" s="52" customFormat="1" hidden="1" x14ac:dyDescent="0.3">
      <c r="A181" s="116" t="s">
        <v>151</v>
      </c>
      <c r="B181" s="116"/>
      <c r="C181" s="116"/>
      <c r="D181" s="116"/>
      <c r="E181" s="116"/>
      <c r="F181" s="116"/>
      <c r="G181" s="116"/>
      <c r="H181" s="116"/>
      <c r="I181" s="51"/>
      <c r="L181" s="148"/>
      <c r="M181" s="148"/>
    </row>
    <row r="182" spans="1:16" s="52" customFormat="1" hidden="1" x14ac:dyDescent="0.3">
      <c r="A182" s="64">
        <f>LEFT(A181,SUM(LEN(A181)-LEN(SUBSTITUTE(A181,{"0","1","2","3","4","5","6","7","8","9"},""))))*100+1</f>
        <v>201</v>
      </c>
      <c r="B182" s="64"/>
      <c r="C182" s="24"/>
      <c r="D182" s="24"/>
      <c r="E182" s="24">
        <v>0</v>
      </c>
      <c r="F182" s="24">
        <f>D182*(($F$143)+1)+E182</f>
        <v>0</v>
      </c>
      <c r="G182" s="64" t="str">
        <f>A181</f>
        <v>2nd Floor</v>
      </c>
      <c r="H182" s="64"/>
      <c r="I182" s="51"/>
      <c r="N182" s="51"/>
    </row>
    <row r="183" spans="1:16" s="52" customFormat="1" hidden="1" x14ac:dyDescent="0.3">
      <c r="A183" s="64">
        <f>A182+1</f>
        <v>202</v>
      </c>
      <c r="B183" s="64"/>
      <c r="C183" s="24"/>
      <c r="D183" s="24"/>
      <c r="E183" s="24">
        <v>0</v>
      </c>
      <c r="F183" s="24">
        <f t="shared" ref="F183:F187" si="36">D183*(($F$143)+1)+E183</f>
        <v>0</v>
      </c>
      <c r="G183" s="64" t="str">
        <f t="shared" ref="G183:G187" si="37">G182</f>
        <v>2nd Floor</v>
      </c>
      <c r="H183" s="64"/>
      <c r="I183" s="51"/>
      <c r="N183" s="51"/>
    </row>
    <row r="184" spans="1:16" s="52" customFormat="1" hidden="1" x14ac:dyDescent="0.3">
      <c r="A184" s="64">
        <f>A183+1</f>
        <v>203</v>
      </c>
      <c r="B184" s="64"/>
      <c r="C184" s="24"/>
      <c r="D184" s="24"/>
      <c r="E184" s="24">
        <v>0</v>
      </c>
      <c r="F184" s="24">
        <f t="shared" si="36"/>
        <v>0</v>
      </c>
      <c r="G184" s="64" t="str">
        <f t="shared" si="37"/>
        <v>2nd Floor</v>
      </c>
      <c r="H184" s="64"/>
      <c r="I184" s="51"/>
      <c r="N184" s="51"/>
    </row>
    <row r="185" spans="1:16" s="52" customFormat="1" hidden="1" x14ac:dyDescent="0.3">
      <c r="A185" s="64">
        <f t="shared" ref="A185:A187" si="38">A184+1</f>
        <v>204</v>
      </c>
      <c r="B185" s="64"/>
      <c r="C185" s="24"/>
      <c r="D185" s="24"/>
      <c r="E185" s="24">
        <v>0</v>
      </c>
      <c r="F185" s="24">
        <f t="shared" si="36"/>
        <v>0</v>
      </c>
      <c r="G185" s="64" t="str">
        <f t="shared" si="37"/>
        <v>2nd Floor</v>
      </c>
      <c r="H185" s="64"/>
      <c r="I185" s="51"/>
      <c r="N185" s="51"/>
    </row>
    <row r="186" spans="1:16" s="52" customFormat="1" hidden="1" x14ac:dyDescent="0.3">
      <c r="A186" s="64">
        <f t="shared" si="38"/>
        <v>205</v>
      </c>
      <c r="B186" s="64"/>
      <c r="C186" s="24"/>
      <c r="D186" s="24"/>
      <c r="E186" s="24">
        <v>0</v>
      </c>
      <c r="F186" s="24">
        <f t="shared" si="36"/>
        <v>0</v>
      </c>
      <c r="G186" s="64" t="str">
        <f t="shared" si="37"/>
        <v>2nd Floor</v>
      </c>
      <c r="H186" s="64"/>
      <c r="I186" s="51"/>
      <c r="N186" s="51"/>
    </row>
    <row r="187" spans="1:16" s="52" customFormat="1" hidden="1" x14ac:dyDescent="0.3">
      <c r="A187" s="64">
        <f t="shared" si="38"/>
        <v>206</v>
      </c>
      <c r="B187" s="64"/>
      <c r="C187" s="24"/>
      <c r="D187" s="24"/>
      <c r="E187" s="24">
        <v>0</v>
      </c>
      <c r="F187" s="24">
        <f t="shared" si="36"/>
        <v>0</v>
      </c>
      <c r="G187" s="64" t="str">
        <f t="shared" si="37"/>
        <v>2nd Floor</v>
      </c>
      <c r="H187" s="64"/>
      <c r="I187" s="51"/>
      <c r="N187" s="51"/>
    </row>
    <row r="188" spans="1:16" s="52" customFormat="1" ht="15.75" hidden="1" customHeight="1" x14ac:dyDescent="0.3">
      <c r="A188" s="145" t="s">
        <v>180</v>
      </c>
      <c r="B188" s="146"/>
      <c r="C188" s="146"/>
      <c r="D188" s="146"/>
      <c r="E188" s="146"/>
      <c r="F188" s="146"/>
      <c r="G188" s="146"/>
      <c r="H188" s="147"/>
      <c r="I188" s="51"/>
    </row>
    <row r="189" spans="1:16" s="52" customFormat="1" hidden="1" x14ac:dyDescent="0.3">
      <c r="A189" s="66" t="str">
        <f t="shared" ref="A189:A194" ca="1" si="39">N189</f>
        <v>201,..,901</v>
      </c>
      <c r="B189" s="67"/>
      <c r="C189" s="24"/>
      <c r="D189" s="24"/>
      <c r="E189" s="24">
        <v>0</v>
      </c>
      <c r="F189" s="24">
        <f t="shared" ref="F189:F193" si="40">D189*(($F$143)+1)+E189</f>
        <v>0</v>
      </c>
      <c r="G189" s="66" t="str">
        <f>A188</f>
        <v>2nd, 3rd, 4th, 6th, 8th, 7th, 9th Floor</v>
      </c>
      <c r="H189" s="67"/>
      <c r="I189" s="51"/>
      <c r="N189" s="52" t="str">
        <f t="shared" ref="N189:N194" ca="1" si="41">O189&amp;""&amp;",..,"&amp;""&amp;P189</f>
        <v>201,..,901</v>
      </c>
      <c r="O189" s="52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10^ROW(INDIRECT("1:"&amp;LEN((LEFT(A188,SUM(LEN(A188)-LEN(SUBSTITUTE(A188,{"0","1","2"},""))))))))/10))*100+1</f>
        <v>201</v>
      </c>
      <c r="P189" s="52">
        <f ca="1">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",LEN(A188))),LEN(A188)))))))/10))*100+1</f>
        <v>901</v>
      </c>
    </row>
    <row r="190" spans="1:16" s="52" customFormat="1" hidden="1" x14ac:dyDescent="0.3">
      <c r="A190" s="66" t="str">
        <f t="shared" ca="1" si="39"/>
        <v>202,..,902</v>
      </c>
      <c r="B190" s="67"/>
      <c r="C190" s="24"/>
      <c r="D190" s="24"/>
      <c r="E190" s="24">
        <v>0</v>
      </c>
      <c r="F190" s="24">
        <f t="shared" si="40"/>
        <v>0</v>
      </c>
      <c r="G190" s="66" t="str">
        <f t="shared" ref="G190:G194" si="42">G189</f>
        <v>2nd, 3rd, 4th, 6th, 8th, 7th, 9th Floor</v>
      </c>
      <c r="H190" s="67"/>
      <c r="I190" s="51"/>
      <c r="N190" s="52" t="str">
        <f t="shared" ca="1" si="41"/>
        <v>202,..,902</v>
      </c>
      <c r="O190" s="52">
        <f t="shared" ref="O190:P193" ca="1" si="43">O189+1</f>
        <v>202</v>
      </c>
      <c r="P190" s="52">
        <f t="shared" ca="1" si="43"/>
        <v>902</v>
      </c>
    </row>
    <row r="191" spans="1:16" s="52" customFormat="1" hidden="1" x14ac:dyDescent="0.3">
      <c r="A191" s="66" t="str">
        <f t="shared" ca="1" si="39"/>
        <v>203,..,903</v>
      </c>
      <c r="B191" s="67"/>
      <c r="C191" s="24"/>
      <c r="D191" s="24"/>
      <c r="E191" s="24">
        <v>0</v>
      </c>
      <c r="F191" s="24">
        <f t="shared" si="40"/>
        <v>0</v>
      </c>
      <c r="G191" s="66" t="str">
        <f t="shared" si="42"/>
        <v>2nd, 3rd, 4th, 6th, 8th, 7th, 9th Floor</v>
      </c>
      <c r="H191" s="67"/>
      <c r="I191" s="51"/>
      <c r="N191" s="52" t="str">
        <f t="shared" ca="1" si="41"/>
        <v>203,..,903</v>
      </c>
      <c r="O191" s="52">
        <f t="shared" ca="1" si="43"/>
        <v>203</v>
      </c>
      <c r="P191" s="52">
        <f t="shared" ca="1" si="43"/>
        <v>903</v>
      </c>
    </row>
    <row r="192" spans="1:16" s="52" customFormat="1" hidden="1" x14ac:dyDescent="0.3">
      <c r="A192" s="66" t="str">
        <f t="shared" ca="1" si="39"/>
        <v>204,..,904</v>
      </c>
      <c r="B192" s="67"/>
      <c r="C192" s="24"/>
      <c r="D192" s="24"/>
      <c r="E192" s="24">
        <v>0</v>
      </c>
      <c r="F192" s="24">
        <f t="shared" si="40"/>
        <v>0</v>
      </c>
      <c r="G192" s="66" t="str">
        <f t="shared" si="42"/>
        <v>2nd, 3rd, 4th, 6th, 8th, 7th, 9th Floor</v>
      </c>
      <c r="H192" s="67"/>
      <c r="I192" s="51"/>
      <c r="N192" s="52" t="str">
        <f t="shared" ca="1" si="41"/>
        <v>204,..,904</v>
      </c>
      <c r="O192" s="52">
        <f t="shared" ca="1" si="43"/>
        <v>204</v>
      </c>
      <c r="P192" s="52">
        <f t="shared" ca="1" si="43"/>
        <v>904</v>
      </c>
    </row>
    <row r="193" spans="1:16" s="52" customFormat="1" hidden="1" x14ac:dyDescent="0.3">
      <c r="A193" s="66" t="str">
        <f t="shared" ca="1" si="39"/>
        <v>205,..,905</v>
      </c>
      <c r="B193" s="67"/>
      <c r="C193" s="24"/>
      <c r="D193" s="24"/>
      <c r="E193" s="24">
        <v>0</v>
      </c>
      <c r="F193" s="24">
        <f t="shared" si="40"/>
        <v>0</v>
      </c>
      <c r="G193" s="66" t="str">
        <f t="shared" si="42"/>
        <v>2nd, 3rd, 4th, 6th, 8th, 7th, 9th Floor</v>
      </c>
      <c r="H193" s="67"/>
      <c r="I193" s="51"/>
      <c r="N193" s="52" t="str">
        <f t="shared" ca="1" si="41"/>
        <v>205,..,905</v>
      </c>
      <c r="O193" s="52">
        <f t="shared" ca="1" si="43"/>
        <v>205</v>
      </c>
      <c r="P193" s="52">
        <f t="shared" ca="1" si="43"/>
        <v>905</v>
      </c>
    </row>
    <row r="194" spans="1:16" s="52" customFormat="1" hidden="1" x14ac:dyDescent="0.3">
      <c r="A194" s="66" t="str">
        <f t="shared" ca="1" si="39"/>
        <v>206,..,906</v>
      </c>
      <c r="B194" s="67"/>
      <c r="C194" s="24"/>
      <c r="D194" s="24"/>
      <c r="E194" s="24">
        <v>0</v>
      </c>
      <c r="F194" s="24">
        <f t="shared" ref="F194" si="44">D194*(($F$143)+1)+E194</f>
        <v>0</v>
      </c>
      <c r="G194" s="66" t="str">
        <f t="shared" si="42"/>
        <v>2nd, 3rd, 4th, 6th, 8th, 7th, 9th Floor</v>
      </c>
      <c r="H194" s="67"/>
      <c r="I194" s="51"/>
      <c r="N194" s="52" t="str">
        <f t="shared" ca="1" si="41"/>
        <v>206,..,906</v>
      </c>
      <c r="O194" s="52">
        <f t="shared" ref="O194:P194" ca="1" si="45">O193+1</f>
        <v>206</v>
      </c>
      <c r="P194" s="52">
        <f t="shared" ca="1" si="45"/>
        <v>906</v>
      </c>
    </row>
    <row r="195" spans="1:16" s="52" customFormat="1" hidden="1" x14ac:dyDescent="0.3">
      <c r="A195" s="145" t="s">
        <v>184</v>
      </c>
      <c r="B195" s="146"/>
      <c r="C195" s="146"/>
      <c r="D195" s="146"/>
      <c r="E195" s="146"/>
      <c r="F195" s="146"/>
      <c r="G195" s="146"/>
      <c r="H195" s="147"/>
      <c r="I195" s="51"/>
    </row>
    <row r="196" spans="1:16" s="52" customFormat="1" hidden="1" x14ac:dyDescent="0.3">
      <c r="A196" s="66" t="str">
        <f t="shared" ref="A196:A201" ca="1" si="46">N196</f>
        <v>101 to 301</v>
      </c>
      <c r="B196" s="67"/>
      <c r="C196" s="24"/>
      <c r="D196" s="24"/>
      <c r="E196" s="24">
        <v>0</v>
      </c>
      <c r="F196" s="24">
        <f t="shared" ref="F196:F200" si="47">D196*(($F$143)+1)+E196</f>
        <v>0</v>
      </c>
      <c r="G196" s="66" t="str">
        <f>A195</f>
        <v>1st to 3rd Floor</v>
      </c>
      <c r="H196" s="67"/>
      <c r="I196" s="51"/>
      <c r="N196" s="52" t="str">
        <f t="shared" ref="N196:N201" ca="1" si="48">O196&amp;""&amp;" to "&amp;""&amp;P196</f>
        <v>101 to 301</v>
      </c>
      <c r="O196" s="52">
        <f ca="1">(SUMPRODUCT(MID(0&amp;(LEFT(A195,SUM(LEN(A195)-LEN(SUBSTITUTE(A195,{"0","1","2"},""))))), LARGE(INDEX(ISNUMBER(--MID((LEFT(A195,SUM(LEN(A195)-LEN(SUBSTITUTE(A195,{"0","1","2"},""))))), ROW(INDIRECT("1:"&amp;LEN((LEFT(A195,SUM(LEN(A195)-LEN(SUBSTITUTE(A195,{"0","1","2"},"")))))))), 1)) * ROW(INDIRECT("1:"&amp;LEN((LEFT(A195,SUM(LEN(A195)-LEN(SUBSTITUTE(A195,{"0","1","2"},"")))))))), 0), ROW(INDIRECT("1:"&amp;LEN((LEFT(A195,SUM(LEN(A195)-LEN(SUBSTITUTE(A195,{"0","1","2"},"")))))))))+1, 1) * 10^ROW(INDIRECT("1:"&amp;LEN((LEFT(A195,SUM(LEN(A195)-LEN(SUBSTITUTE(A195,{"0","1","2"},""))))))))/10))*100+1</f>
        <v>101</v>
      </c>
      <c r="P196" s="52">
        <f ca="1">(SUMPRODUCT(MID(0&amp;(--TRIM(RIGHT(SUBSTITUTE(LEFT(A195,_xlfn.AGGREGATE(16,6,FIND({0,1,2,3,4,5,6,7,8,9},A195,ROW(INDIRECT("1:"&amp;LEN(A195)))),1))," ",REPT(" ",LEN(A195))),LEN(A195)))), LARGE(INDEX(ISNUMBER(--MID((--TRIM(RIGHT(SUBSTITUTE(LEFT(A195,_xlfn.AGGREGATE(16,6,FIND({0,1,2,3,4,5,6,7,8,9},A195,ROW(INDIRECT("1:"&amp;LEN(A195)))),1))," ",REPT(" ",LEN(A195))),LEN(A195)))), ROW(INDIRECT("1:"&amp;LEN((--TRIM(RIGHT(SUBSTITUTE(LEFT(A195,_xlfn.AGGREGATE(16,6,FIND({0,1,2,3,4,5,6,7,8,9},A195,ROW(INDIRECT("1:"&amp;LEN(A195)))),1))," ",REPT(" ",LEN(A195))),LEN(A195))))))), 1)) * ROW(INDIRECT("1:"&amp;LEN((--TRIM(RIGHT(SUBSTITUTE(LEFT(A195,_xlfn.AGGREGATE(16,6,FIND({0,1,2,3,4,5,6,7,8,9},A195,ROW(INDIRECT("1:"&amp;LEN(A195)))),1))," ",REPT(" ",LEN(A195))),LEN(A195))))))), 0), ROW(INDIRECT("1:"&amp;LEN((--TRIM(RIGHT(SUBSTITUTE(LEFT(A195,_xlfn.AGGREGATE(16,6,FIND({0,1,2,3,4,5,6,7,8,9},A195,ROW(INDIRECT("1:"&amp;LEN(A195)))),1))," ",REPT(" ",LEN(A195))),LEN(A195))))))))+1, 1) * 10^ROW(INDIRECT("1:"&amp;LEN((--TRIM(RIGHT(SUBSTITUTE(LEFT(A195,_xlfn.AGGREGATE(16,6,FIND({0,1,2,3,4,5,6,7,8,9},A195,ROW(INDIRECT("1:"&amp;LEN(A195)))),1))," ",REPT(" ",LEN(A195))),LEN(A195)))))))/10))*100+1</f>
        <v>301</v>
      </c>
    </row>
    <row r="197" spans="1:16" s="52" customFormat="1" hidden="1" x14ac:dyDescent="0.3">
      <c r="A197" s="66" t="str">
        <f t="shared" ca="1" si="46"/>
        <v>102 to 302</v>
      </c>
      <c r="B197" s="67"/>
      <c r="C197" s="24"/>
      <c r="D197" s="24"/>
      <c r="E197" s="24">
        <v>0</v>
      </c>
      <c r="F197" s="24">
        <f t="shared" si="47"/>
        <v>0</v>
      </c>
      <c r="G197" s="66" t="str">
        <f t="shared" ref="G197:G201" si="49">G196</f>
        <v>1st to 3rd Floor</v>
      </c>
      <c r="H197" s="67"/>
      <c r="I197" s="51"/>
      <c r="N197" s="52" t="str">
        <f t="shared" ca="1" si="48"/>
        <v>102 to 302</v>
      </c>
      <c r="O197" s="52">
        <f t="shared" ref="O197:P200" ca="1" si="50">O196+1</f>
        <v>102</v>
      </c>
      <c r="P197" s="52">
        <f t="shared" ca="1" si="50"/>
        <v>302</v>
      </c>
    </row>
    <row r="198" spans="1:16" s="52" customFormat="1" hidden="1" x14ac:dyDescent="0.3">
      <c r="A198" s="66" t="str">
        <f t="shared" ca="1" si="46"/>
        <v>103 to 303</v>
      </c>
      <c r="B198" s="67"/>
      <c r="C198" s="24"/>
      <c r="D198" s="24"/>
      <c r="E198" s="24">
        <v>0</v>
      </c>
      <c r="F198" s="24">
        <f t="shared" si="47"/>
        <v>0</v>
      </c>
      <c r="G198" s="66" t="str">
        <f t="shared" si="49"/>
        <v>1st to 3rd Floor</v>
      </c>
      <c r="H198" s="67"/>
      <c r="I198" s="51"/>
      <c r="N198" s="52" t="str">
        <f t="shared" ca="1" si="48"/>
        <v>103 to 303</v>
      </c>
      <c r="O198" s="52">
        <f t="shared" ca="1" si="50"/>
        <v>103</v>
      </c>
      <c r="P198" s="52">
        <f t="shared" ca="1" si="50"/>
        <v>303</v>
      </c>
    </row>
    <row r="199" spans="1:16" s="52" customFormat="1" hidden="1" x14ac:dyDescent="0.3">
      <c r="A199" s="66" t="str">
        <f t="shared" ca="1" si="46"/>
        <v>104 to 304</v>
      </c>
      <c r="B199" s="67"/>
      <c r="C199" s="24"/>
      <c r="D199" s="24"/>
      <c r="E199" s="24">
        <v>0</v>
      </c>
      <c r="F199" s="24">
        <f>D199*(($F$143)+1)+E199</f>
        <v>0</v>
      </c>
      <c r="G199" s="66" t="str">
        <f t="shared" si="49"/>
        <v>1st to 3rd Floor</v>
      </c>
      <c r="H199" s="67"/>
      <c r="I199" s="51"/>
      <c r="N199" s="52" t="str">
        <f t="shared" ca="1" si="48"/>
        <v>104 to 304</v>
      </c>
      <c r="O199" s="52">
        <f t="shared" ca="1" si="50"/>
        <v>104</v>
      </c>
      <c r="P199" s="52">
        <f t="shared" ca="1" si="50"/>
        <v>304</v>
      </c>
    </row>
    <row r="200" spans="1:16" s="52" customFormat="1" hidden="1" x14ac:dyDescent="0.3">
      <c r="A200" s="66" t="str">
        <f t="shared" ca="1" si="46"/>
        <v>105 to 305</v>
      </c>
      <c r="B200" s="67"/>
      <c r="C200" s="24"/>
      <c r="D200" s="24"/>
      <c r="E200" s="24">
        <v>0</v>
      </c>
      <c r="F200" s="24">
        <f t="shared" si="47"/>
        <v>0</v>
      </c>
      <c r="G200" s="66" t="str">
        <f t="shared" si="49"/>
        <v>1st to 3rd Floor</v>
      </c>
      <c r="H200" s="67"/>
      <c r="I200" s="51"/>
      <c r="N200" s="52" t="str">
        <f t="shared" ca="1" si="48"/>
        <v>105 to 305</v>
      </c>
      <c r="O200" s="52">
        <f t="shared" ca="1" si="50"/>
        <v>105</v>
      </c>
      <c r="P200" s="52">
        <f t="shared" ca="1" si="50"/>
        <v>305</v>
      </c>
    </row>
    <row r="201" spans="1:16" s="52" customFormat="1" hidden="1" x14ac:dyDescent="0.3">
      <c r="A201" s="66" t="str">
        <f t="shared" ca="1" si="46"/>
        <v>106 to 306</v>
      </c>
      <c r="B201" s="67"/>
      <c r="C201" s="24"/>
      <c r="D201" s="24"/>
      <c r="E201" s="24">
        <v>0</v>
      </c>
      <c r="F201" s="24">
        <f t="shared" ref="F201" si="51">D201*(($F$143)+1)+E201</f>
        <v>0</v>
      </c>
      <c r="G201" s="66" t="str">
        <f t="shared" si="49"/>
        <v>1st to 3rd Floor</v>
      </c>
      <c r="H201" s="67"/>
      <c r="I201" s="51"/>
      <c r="N201" s="52" t="str">
        <f t="shared" ca="1" si="48"/>
        <v>106 to 306</v>
      </c>
      <c r="O201" s="52">
        <f t="shared" ref="O201:P201" ca="1" si="52">O200+1</f>
        <v>106</v>
      </c>
      <c r="P201" s="52">
        <f t="shared" ca="1" si="52"/>
        <v>306</v>
      </c>
    </row>
    <row r="202" spans="1:16" s="52" customFormat="1" hidden="1" x14ac:dyDescent="0.3">
      <c r="A202" s="145" t="s">
        <v>179</v>
      </c>
      <c r="B202" s="146"/>
      <c r="C202" s="146"/>
      <c r="D202" s="146"/>
      <c r="E202" s="146"/>
      <c r="F202" s="146"/>
      <c r="G202" s="146"/>
      <c r="H202" s="147"/>
      <c r="I202" s="51"/>
    </row>
    <row r="203" spans="1:16" s="52" customFormat="1" hidden="1" x14ac:dyDescent="0.3">
      <c r="A203" s="66" t="str">
        <f t="shared" ref="A203:A208" ca="1" si="53">N203</f>
        <v>201 &amp; 501</v>
      </c>
      <c r="B203" s="67"/>
      <c r="C203" s="24"/>
      <c r="D203" s="24"/>
      <c r="E203" s="24">
        <v>0</v>
      </c>
      <c r="F203" s="24">
        <f t="shared" ref="F203:F208" si="54">D203*(($F$143)+1)+E203</f>
        <v>0</v>
      </c>
      <c r="G203" s="66" t="str">
        <f>A202</f>
        <v>2nd &amp; 5th Floor</v>
      </c>
      <c r="H203" s="67"/>
      <c r="I203" s="51"/>
      <c r="N203" s="52" t="str">
        <f t="shared" ref="N203:N208" ca="1" si="55">O203&amp;""&amp;" &amp; "&amp;""&amp;P203</f>
        <v>201 &amp; 501</v>
      </c>
      <c r="O203" s="52">
        <f ca="1">(SUMPRODUCT(MID(0&amp;(LEFT(A202,SUM(LEN(A202)-LEN(SUBSTITUTE(A202,{"0","1","2"},""))))), LARGE(INDEX(ISNUMBER(--MID((LEFT(A202,SUM(LEN(A202)-LEN(SUBSTITUTE(A202,{"0","1","2"},""))))), ROW(INDIRECT("1:"&amp;LEN((LEFT(A202,SUM(LEN(A202)-LEN(SUBSTITUTE(A202,{"0","1","2"},"")))))))), 1)) * ROW(INDIRECT("1:"&amp;LEN((LEFT(A202,SUM(LEN(A202)-LEN(SUBSTITUTE(A202,{"0","1","2"},"")))))))), 0), ROW(INDIRECT("1:"&amp;LEN((LEFT(A202,SUM(LEN(A202)-LEN(SUBSTITUTE(A202,{"0","1","2"},"")))))))))+1, 1) * 10^ROW(INDIRECT("1:"&amp;LEN((LEFT(A202,SUM(LEN(A202)-LEN(SUBSTITUTE(A202,{"0","1","2"},""))))))))/10))*100+1</f>
        <v>201</v>
      </c>
      <c r="P203" s="52">
        <f ca="1">(SUMPRODUCT(MID(0&amp;(--TRIM(RIGHT(SUBSTITUTE(LEFT(A202,_xlfn.AGGREGATE(16,6,FIND({0,1,2,3,4,5,6,7,8,9},A202,ROW(INDIRECT("1:"&amp;LEN(A202)))),1))," ",REPT(" ",LEN(A202))),LEN(A202)))), LARGE(INDEX(ISNUMBER(--MID((--TRIM(RIGHT(SUBSTITUTE(LEFT(A202,_xlfn.AGGREGATE(16,6,FIND({0,1,2,3,4,5,6,7,8,9},A202,ROW(INDIRECT("1:"&amp;LEN(A202)))),1))," ",REPT(" ",LEN(A202))),LEN(A202)))), ROW(INDIRECT("1:"&amp;LEN((--TRIM(RIGHT(SUBSTITUTE(LEFT(A202,_xlfn.AGGREGATE(16,6,FIND({0,1,2,3,4,5,6,7,8,9},A202,ROW(INDIRECT("1:"&amp;LEN(A202)))),1))," ",REPT(" ",LEN(A202))),LEN(A202))))))), 1)) * ROW(INDIRECT("1:"&amp;LEN((--TRIM(RIGHT(SUBSTITUTE(LEFT(A202,_xlfn.AGGREGATE(16,6,FIND({0,1,2,3,4,5,6,7,8,9},A202,ROW(INDIRECT("1:"&amp;LEN(A202)))),1))," ",REPT(" ",LEN(A202))),LEN(A202))))))), 0), ROW(INDIRECT("1:"&amp;LEN((--TRIM(RIGHT(SUBSTITUTE(LEFT(A202,_xlfn.AGGREGATE(16,6,FIND({0,1,2,3,4,5,6,7,8,9},A202,ROW(INDIRECT("1:"&amp;LEN(A202)))),1))," ",REPT(" ",LEN(A202))),LEN(A202))))))))+1, 1) * 10^ROW(INDIRECT("1:"&amp;LEN((--TRIM(RIGHT(SUBSTITUTE(LEFT(A202,_xlfn.AGGREGATE(16,6,FIND({0,1,2,3,4,5,6,7,8,9},A202,ROW(INDIRECT("1:"&amp;LEN(A202)))),1))," ",REPT(" ",LEN(A202))),LEN(A202)))))))/10))*100+1</f>
        <v>501</v>
      </c>
    </row>
    <row r="204" spans="1:16" s="52" customFormat="1" hidden="1" x14ac:dyDescent="0.3">
      <c r="A204" s="66" t="str">
        <f t="shared" ca="1" si="53"/>
        <v>202 &amp; 502</v>
      </c>
      <c r="B204" s="67"/>
      <c r="C204" s="24"/>
      <c r="D204" s="24"/>
      <c r="E204" s="24">
        <v>0</v>
      </c>
      <c r="F204" s="24">
        <f t="shared" si="54"/>
        <v>0</v>
      </c>
      <c r="G204" s="66" t="str">
        <f t="shared" ref="G204:G208" si="56">G203</f>
        <v>2nd &amp; 5th Floor</v>
      </c>
      <c r="H204" s="67"/>
      <c r="I204" s="51"/>
      <c r="N204" s="52" t="str">
        <f t="shared" ca="1" si="55"/>
        <v>202 &amp; 502</v>
      </c>
      <c r="O204" s="52">
        <f t="shared" ref="O204:P204" ca="1" si="57">O203+1</f>
        <v>202</v>
      </c>
      <c r="P204" s="52">
        <f t="shared" ca="1" si="57"/>
        <v>502</v>
      </c>
    </row>
    <row r="205" spans="1:16" s="52" customFormat="1" hidden="1" x14ac:dyDescent="0.3">
      <c r="A205" s="66" t="str">
        <f t="shared" ca="1" si="53"/>
        <v>203 &amp; 503</v>
      </c>
      <c r="B205" s="67"/>
      <c r="C205" s="24"/>
      <c r="D205" s="24"/>
      <c r="E205" s="24">
        <v>0</v>
      </c>
      <c r="F205" s="24">
        <f t="shared" si="54"/>
        <v>0</v>
      </c>
      <c r="G205" s="66" t="str">
        <f t="shared" si="56"/>
        <v>2nd &amp; 5th Floor</v>
      </c>
      <c r="H205" s="67"/>
      <c r="I205" s="51"/>
      <c r="N205" s="52" t="str">
        <f t="shared" ca="1" si="55"/>
        <v>203 &amp; 503</v>
      </c>
      <c r="O205" s="52">
        <f t="shared" ref="O205:P205" ca="1" si="58">O204+1</f>
        <v>203</v>
      </c>
      <c r="P205" s="52">
        <f t="shared" ca="1" si="58"/>
        <v>503</v>
      </c>
    </row>
    <row r="206" spans="1:16" s="52" customFormat="1" hidden="1" x14ac:dyDescent="0.3">
      <c r="A206" s="66" t="str">
        <f t="shared" ca="1" si="53"/>
        <v>204 &amp; 504</v>
      </c>
      <c r="B206" s="67"/>
      <c r="C206" s="24"/>
      <c r="D206" s="24"/>
      <c r="E206" s="24">
        <v>0</v>
      </c>
      <c r="F206" s="24">
        <f t="shared" si="54"/>
        <v>0</v>
      </c>
      <c r="G206" s="66" t="str">
        <f t="shared" si="56"/>
        <v>2nd &amp; 5th Floor</v>
      </c>
      <c r="H206" s="67"/>
      <c r="I206" s="51"/>
      <c r="N206" s="52" t="str">
        <f t="shared" ca="1" si="55"/>
        <v>204 &amp; 504</v>
      </c>
      <c r="O206" s="52">
        <f t="shared" ref="O206:P206" ca="1" si="59">O205+1</f>
        <v>204</v>
      </c>
      <c r="P206" s="52">
        <f t="shared" ca="1" si="59"/>
        <v>504</v>
      </c>
    </row>
    <row r="207" spans="1:16" s="52" customFormat="1" hidden="1" x14ac:dyDescent="0.3">
      <c r="A207" s="66" t="str">
        <f t="shared" ca="1" si="53"/>
        <v>205 &amp; 505</v>
      </c>
      <c r="B207" s="67"/>
      <c r="C207" s="24"/>
      <c r="D207" s="24"/>
      <c r="E207" s="24">
        <v>0</v>
      </c>
      <c r="F207" s="24">
        <f t="shared" si="54"/>
        <v>0</v>
      </c>
      <c r="G207" s="66" t="str">
        <f t="shared" si="56"/>
        <v>2nd &amp; 5th Floor</v>
      </c>
      <c r="H207" s="67"/>
      <c r="I207" s="51"/>
      <c r="N207" s="52" t="str">
        <f t="shared" ca="1" si="55"/>
        <v>205 &amp; 505</v>
      </c>
      <c r="O207" s="52">
        <f t="shared" ref="O207:P207" ca="1" si="60">O206+1</f>
        <v>205</v>
      </c>
      <c r="P207" s="52">
        <f t="shared" ca="1" si="60"/>
        <v>505</v>
      </c>
    </row>
    <row r="208" spans="1:16" s="52" customFormat="1" hidden="1" x14ac:dyDescent="0.3">
      <c r="A208" s="66" t="str">
        <f t="shared" ca="1" si="53"/>
        <v>206 &amp; 506</v>
      </c>
      <c r="B208" s="67"/>
      <c r="C208" s="24"/>
      <c r="D208" s="24"/>
      <c r="E208" s="24">
        <v>0</v>
      </c>
      <c r="F208" s="24">
        <f t="shared" si="54"/>
        <v>0</v>
      </c>
      <c r="G208" s="66" t="str">
        <f t="shared" si="56"/>
        <v>2nd &amp; 5th Floor</v>
      </c>
      <c r="H208" s="67"/>
      <c r="I208" s="51"/>
      <c r="N208" s="52" t="str">
        <f t="shared" ca="1" si="55"/>
        <v>206 &amp; 506</v>
      </c>
      <c r="O208" s="52">
        <f t="shared" ref="O208:P208" ca="1" si="61">O207+1</f>
        <v>206</v>
      </c>
      <c r="P208" s="52">
        <f t="shared" ca="1" si="61"/>
        <v>506</v>
      </c>
    </row>
    <row r="209" spans="1:9" s="50" customFormat="1" x14ac:dyDescent="0.3">
      <c r="A209" s="118" t="s">
        <v>76</v>
      </c>
      <c r="B209" s="118"/>
      <c r="C209" s="118"/>
      <c r="D209" s="118"/>
      <c r="E209" s="118"/>
      <c r="F209" s="118"/>
      <c r="G209" s="118"/>
      <c r="H209" s="118"/>
      <c r="I209" s="50">
        <f>161250/F180</f>
        <v>250</v>
      </c>
    </row>
    <row r="210" spans="1:9" s="50" customFormat="1" ht="34.5" hidden="1" customHeight="1" x14ac:dyDescent="0.3">
      <c r="A210" s="154">
        <v>1</v>
      </c>
      <c r="B210" s="152" t="s">
        <v>227</v>
      </c>
      <c r="C210" s="153"/>
      <c r="D210" s="153"/>
      <c r="E210" s="152" t="s">
        <v>230</v>
      </c>
      <c r="F210" s="153"/>
      <c r="G210" s="153"/>
      <c r="H210" s="153"/>
    </row>
    <row r="211" spans="1:9" s="50" customFormat="1" ht="47.25" customHeight="1" x14ac:dyDescent="0.3">
      <c r="A211" s="155"/>
      <c r="B211" s="156" t="s">
        <v>238</v>
      </c>
      <c r="C211" s="157"/>
      <c r="D211" s="156" t="s">
        <v>237</v>
      </c>
      <c r="E211" s="158"/>
      <c r="F211" s="158"/>
      <c r="G211" s="158"/>
      <c r="H211" s="157"/>
    </row>
    <row r="212" spans="1:9" s="50" customFormat="1" ht="30.75" customHeight="1" x14ac:dyDescent="0.3">
      <c r="A212" s="57"/>
      <c r="B212" s="156" t="s">
        <v>239</v>
      </c>
      <c r="C212" s="157"/>
      <c r="D212" s="156" t="s">
        <v>244</v>
      </c>
      <c r="E212" s="158"/>
      <c r="F212" s="158"/>
      <c r="G212" s="158"/>
      <c r="H212" s="157"/>
    </row>
    <row r="213" spans="1:9" s="50" customFormat="1" x14ac:dyDescent="0.3">
      <c r="A213" s="27">
        <f>A210+1</f>
        <v>2</v>
      </c>
      <c r="B213" s="85" t="s">
        <v>218</v>
      </c>
      <c r="C213" s="86"/>
      <c r="D213" s="86"/>
      <c r="E213" s="86"/>
      <c r="F213" s="86"/>
      <c r="G213" s="86"/>
      <c r="H213" s="87"/>
    </row>
    <row r="214" spans="1:9" s="50" customFormat="1" x14ac:dyDescent="0.3">
      <c r="A214" s="27">
        <f t="shared" ref="A214:A217" si="62">A213+1</f>
        <v>3</v>
      </c>
      <c r="B214" s="149" t="s">
        <v>156</v>
      </c>
      <c r="C214" s="150"/>
      <c r="D214" s="150"/>
      <c r="E214" s="150"/>
      <c r="F214" s="150"/>
      <c r="G214" s="150"/>
      <c r="H214" s="151"/>
    </row>
    <row r="215" spans="1:9" s="50" customFormat="1" x14ac:dyDescent="0.3">
      <c r="A215" s="27">
        <f t="shared" si="62"/>
        <v>4</v>
      </c>
      <c r="B215" s="149" t="s">
        <v>221</v>
      </c>
      <c r="C215" s="150"/>
      <c r="D215" s="150"/>
      <c r="E215" s="150"/>
      <c r="F215" s="150"/>
      <c r="G215" s="150"/>
      <c r="H215" s="151"/>
    </row>
    <row r="216" spans="1:9" s="50" customFormat="1" x14ac:dyDescent="0.3">
      <c r="A216" s="27">
        <f t="shared" si="62"/>
        <v>5</v>
      </c>
      <c r="B216" s="149" t="s">
        <v>157</v>
      </c>
      <c r="C216" s="150"/>
      <c r="D216" s="150"/>
      <c r="E216" s="150"/>
      <c r="F216" s="150"/>
      <c r="G216" s="150"/>
      <c r="H216" s="151"/>
    </row>
    <row r="217" spans="1:9" s="50" customFormat="1" ht="32.25" customHeight="1" x14ac:dyDescent="0.3">
      <c r="A217" s="27">
        <f t="shared" si="62"/>
        <v>6</v>
      </c>
      <c r="B217" s="149" t="s">
        <v>226</v>
      </c>
      <c r="C217" s="150"/>
      <c r="D217" s="150"/>
      <c r="E217" s="150"/>
      <c r="F217" s="150"/>
      <c r="G217" s="150"/>
      <c r="H217" s="151"/>
    </row>
    <row r="218" spans="1:9" s="50" customFormat="1" x14ac:dyDescent="0.3">
      <c r="A218" s="27">
        <v>7</v>
      </c>
      <c r="B218" s="149" t="s">
        <v>158</v>
      </c>
      <c r="C218" s="150"/>
      <c r="D218" s="150"/>
      <c r="E218" s="150"/>
      <c r="F218" s="150"/>
      <c r="G218" s="150"/>
      <c r="H218" s="151"/>
    </row>
    <row r="219" spans="1:9" s="50" customFormat="1" hidden="1" x14ac:dyDescent="0.3">
      <c r="A219" s="27">
        <v>8</v>
      </c>
      <c r="B219" s="85" t="s">
        <v>228</v>
      </c>
      <c r="C219" s="86"/>
      <c r="D219" s="86"/>
      <c r="E219" s="86"/>
      <c r="F219" s="86"/>
      <c r="G219" s="86"/>
      <c r="H219" s="87"/>
    </row>
    <row r="220" spans="1:9" s="50" customFormat="1" x14ac:dyDescent="0.3">
      <c r="A220" s="27">
        <v>8</v>
      </c>
      <c r="B220" s="85" t="s">
        <v>241</v>
      </c>
      <c r="C220" s="86"/>
      <c r="D220" s="86"/>
      <c r="E220" s="86"/>
      <c r="F220" s="86"/>
      <c r="G220" s="86"/>
      <c r="H220" s="87"/>
    </row>
    <row r="221" spans="1:9" s="50" customFormat="1" ht="31.5" hidden="1" customHeight="1" x14ac:dyDescent="0.3">
      <c r="A221" s="27">
        <v>9</v>
      </c>
      <c r="B221" s="85" t="s">
        <v>240</v>
      </c>
      <c r="C221" s="86"/>
      <c r="D221" s="86"/>
      <c r="E221" s="86"/>
      <c r="F221" s="86"/>
      <c r="G221" s="86"/>
      <c r="H221" s="87"/>
    </row>
    <row r="222" spans="1:9" x14ac:dyDescent="0.3">
      <c r="A222" s="93" t="s">
        <v>69</v>
      </c>
      <c r="B222" s="93"/>
      <c r="C222" s="93"/>
      <c r="D222" s="93"/>
      <c r="E222" s="93"/>
      <c r="F222" s="93"/>
      <c r="G222" s="93"/>
      <c r="H222" s="93"/>
    </row>
    <row r="223" spans="1:9" x14ac:dyDescent="0.3">
      <c r="A223" s="63" t="s">
        <v>70</v>
      </c>
      <c r="B223" s="63"/>
      <c r="C223" s="63"/>
      <c r="D223" s="63"/>
      <c r="E223" s="63"/>
      <c r="F223" s="63"/>
      <c r="G223" s="63"/>
      <c r="H223" s="63"/>
    </row>
    <row r="224" spans="1:9" ht="15.75" customHeight="1" x14ac:dyDescent="0.3">
      <c r="A224" s="65" t="s">
        <v>71</v>
      </c>
      <c r="B224" s="65"/>
      <c r="C224" s="65"/>
      <c r="D224" s="65"/>
      <c r="E224" s="65"/>
      <c r="F224" s="65"/>
      <c r="G224" s="65"/>
      <c r="H224" s="65"/>
    </row>
    <row r="225" spans="1:8" x14ac:dyDescent="0.3">
      <c r="A225" s="63" t="s">
        <v>72</v>
      </c>
      <c r="B225" s="63"/>
      <c r="C225" s="63"/>
      <c r="D225" s="63"/>
      <c r="E225" s="63"/>
      <c r="F225" s="63"/>
      <c r="G225" s="63"/>
      <c r="H225" s="63"/>
    </row>
    <row r="226" spans="1:8" x14ac:dyDescent="0.3">
      <c r="A226" s="63" t="s">
        <v>73</v>
      </c>
      <c r="B226" s="63"/>
      <c r="C226" s="63"/>
      <c r="D226" s="63"/>
      <c r="E226" s="63"/>
      <c r="F226" s="63"/>
      <c r="G226" s="63"/>
      <c r="H226" s="63"/>
    </row>
    <row r="227" spans="1:8" x14ac:dyDescent="0.3">
      <c r="A227" s="63" t="s">
        <v>159</v>
      </c>
      <c r="B227" s="63"/>
      <c r="C227" s="63"/>
      <c r="D227" s="63"/>
      <c r="E227" s="63"/>
      <c r="F227" s="63"/>
      <c r="G227" s="63"/>
      <c r="H227" s="63"/>
    </row>
    <row r="228" spans="1:8" x14ac:dyDescent="0.3">
      <c r="A228" s="88" t="s">
        <v>160</v>
      </c>
      <c r="B228" s="88"/>
      <c r="C228" s="88"/>
      <c r="D228" s="88"/>
      <c r="E228" s="88"/>
      <c r="F228" s="88"/>
      <c r="G228" s="88"/>
      <c r="H228" s="88"/>
    </row>
    <row r="229" spans="1:8" ht="15.75" customHeight="1" x14ac:dyDescent="0.3">
      <c r="A229" s="115" t="s">
        <v>107</v>
      </c>
      <c r="B229" s="115"/>
      <c r="C229" s="115" t="s">
        <v>243</v>
      </c>
      <c r="D229" s="115"/>
      <c r="E229" s="115" t="s">
        <v>140</v>
      </c>
      <c r="F229" s="115"/>
      <c r="G229" s="115" t="s">
        <v>245</v>
      </c>
      <c r="H229" s="115"/>
    </row>
    <row r="230" spans="1:8" x14ac:dyDescent="0.3">
      <c r="A230" s="114" t="s">
        <v>109</v>
      </c>
      <c r="B230" s="114"/>
      <c r="C230" s="114"/>
      <c r="D230" s="114"/>
      <c r="E230" s="114"/>
      <c r="F230" s="114"/>
      <c r="G230" s="114"/>
      <c r="H230" s="114"/>
    </row>
    <row r="231" spans="1:8" x14ac:dyDescent="0.3">
      <c r="A231" s="114"/>
      <c r="B231" s="114"/>
      <c r="C231" s="114"/>
      <c r="D231" s="114"/>
      <c r="E231" s="114"/>
      <c r="F231" s="114"/>
      <c r="G231" s="114"/>
      <c r="H231" s="114"/>
    </row>
    <row r="232" spans="1:8" x14ac:dyDescent="0.3">
      <c r="A232" s="114"/>
      <c r="B232" s="114"/>
      <c r="C232" s="114"/>
      <c r="D232" s="114"/>
      <c r="E232" s="114"/>
      <c r="F232" s="114"/>
      <c r="G232" s="114"/>
      <c r="H232" s="114"/>
    </row>
    <row r="233" spans="1:8" x14ac:dyDescent="0.3">
      <c r="A233" s="114"/>
      <c r="B233" s="114"/>
      <c r="C233" s="114"/>
      <c r="D233" s="114"/>
      <c r="E233" s="114"/>
      <c r="F233" s="114"/>
      <c r="G233" s="114"/>
      <c r="H233" s="114"/>
    </row>
    <row r="234" spans="1:8" x14ac:dyDescent="0.3">
      <c r="A234" s="53" t="s">
        <v>74</v>
      </c>
      <c r="B234" s="54"/>
      <c r="C234" s="54"/>
      <c r="D234" s="53" t="str">
        <f>E8</f>
        <v>Tulip</v>
      </c>
      <c r="F234" s="54"/>
      <c r="G234" s="54"/>
      <c r="H234" s="54"/>
    </row>
    <row r="235" spans="1:8" x14ac:dyDescent="0.3">
      <c r="A235" s="54"/>
      <c r="B235" s="54"/>
      <c r="C235" s="54"/>
      <c r="D235" s="54"/>
      <c r="E235" s="54"/>
      <c r="F235" s="54"/>
      <c r="G235" s="54"/>
      <c r="H235" s="54"/>
    </row>
    <row r="236" spans="1:8" x14ac:dyDescent="0.3">
      <c r="A236" s="54"/>
      <c r="B236" s="54"/>
      <c r="C236" s="54"/>
      <c r="D236" s="54"/>
      <c r="E236" s="54"/>
      <c r="F236" s="54"/>
      <c r="G236" s="54"/>
      <c r="H236" s="54"/>
    </row>
    <row r="237" spans="1:8" ht="15" customHeight="1" x14ac:dyDescent="0.3"/>
    <row r="277" spans="1:1" x14ac:dyDescent="0.3">
      <c r="A277" s="56" t="s">
        <v>75</v>
      </c>
    </row>
  </sheetData>
  <mergeCells count="409">
    <mergeCell ref="A180:B180"/>
    <mergeCell ref="G180:H180"/>
    <mergeCell ref="A172:B172"/>
    <mergeCell ref="A177:H177"/>
    <mergeCell ref="A179:B179"/>
    <mergeCell ref="G179:H179"/>
    <mergeCell ref="B220:H220"/>
    <mergeCell ref="A145:H145"/>
    <mergeCell ref="A155:H155"/>
    <mergeCell ref="A166:H166"/>
    <mergeCell ref="A176:H176"/>
    <mergeCell ref="G160:H160"/>
    <mergeCell ref="A161:B161"/>
    <mergeCell ref="G161:H161"/>
    <mergeCell ref="A162:B162"/>
    <mergeCell ref="G162:H162"/>
    <mergeCell ref="A163:B163"/>
    <mergeCell ref="G163:H163"/>
    <mergeCell ref="A178:B178"/>
    <mergeCell ref="G178:H178"/>
    <mergeCell ref="A167:H167"/>
    <mergeCell ref="A168:B168"/>
    <mergeCell ref="G168:H168"/>
    <mergeCell ref="A169:B169"/>
    <mergeCell ref="D57:H57"/>
    <mergeCell ref="A54:C57"/>
    <mergeCell ref="A136:B136"/>
    <mergeCell ref="C136:D136"/>
    <mergeCell ref="E136:F136"/>
    <mergeCell ref="G136:H136"/>
    <mergeCell ref="A137:B137"/>
    <mergeCell ref="C137:D137"/>
    <mergeCell ref="E137:F137"/>
    <mergeCell ref="G137:H137"/>
    <mergeCell ref="A104:B104"/>
    <mergeCell ref="C104:H104"/>
    <mergeCell ref="A106:B106"/>
    <mergeCell ref="C106:H106"/>
    <mergeCell ref="A107:B107"/>
    <mergeCell ref="E107:F107"/>
    <mergeCell ref="F129:H129"/>
    <mergeCell ref="A65:B65"/>
    <mergeCell ref="A68:B68"/>
    <mergeCell ref="A60:C60"/>
    <mergeCell ref="D60:H60"/>
    <mergeCell ref="C64:H64"/>
    <mergeCell ref="A67:B67"/>
    <mergeCell ref="A69:B69"/>
    <mergeCell ref="A170:B170"/>
    <mergeCell ref="G170:H170"/>
    <mergeCell ref="A171:B171"/>
    <mergeCell ref="G171:H171"/>
    <mergeCell ref="G172:H172"/>
    <mergeCell ref="A173:B173"/>
    <mergeCell ref="G173:H173"/>
    <mergeCell ref="A174:B174"/>
    <mergeCell ref="G174:H174"/>
    <mergeCell ref="G203:H203"/>
    <mergeCell ref="G190:H190"/>
    <mergeCell ref="G185:H185"/>
    <mergeCell ref="G182:H182"/>
    <mergeCell ref="A123:E123"/>
    <mergeCell ref="A78:B78"/>
    <mergeCell ref="C78:H78"/>
    <mergeCell ref="A79:B79"/>
    <mergeCell ref="E79:F79"/>
    <mergeCell ref="G79:H79"/>
    <mergeCell ref="A125:E125"/>
    <mergeCell ref="F125:H125"/>
    <mergeCell ref="A126:E126"/>
    <mergeCell ref="A128:E128"/>
    <mergeCell ref="A127:E127"/>
    <mergeCell ref="A97:B97"/>
    <mergeCell ref="A98:B98"/>
    <mergeCell ref="A99:B99"/>
    <mergeCell ref="A101:B101"/>
    <mergeCell ref="A102:B102"/>
    <mergeCell ref="G191:H191"/>
    <mergeCell ref="G189:H189"/>
    <mergeCell ref="A138:B138"/>
    <mergeCell ref="G169:H169"/>
    <mergeCell ref="A205:B205"/>
    <mergeCell ref="G205:H205"/>
    <mergeCell ref="G204:H204"/>
    <mergeCell ref="A202:H202"/>
    <mergeCell ref="A203:B203"/>
    <mergeCell ref="A204:B204"/>
    <mergeCell ref="A87:B87"/>
    <mergeCell ref="A88:B88"/>
    <mergeCell ref="A89:B89"/>
    <mergeCell ref="A92:B92"/>
    <mergeCell ref="C92:H92"/>
    <mergeCell ref="A93:B93"/>
    <mergeCell ref="E93:F93"/>
    <mergeCell ref="G93:H93"/>
    <mergeCell ref="A94:B94"/>
    <mergeCell ref="E94:F103"/>
    <mergeCell ref="G94:H103"/>
    <mergeCell ref="A95:B95"/>
    <mergeCell ref="A96:B96"/>
    <mergeCell ref="G80:H89"/>
    <mergeCell ref="A81:B81"/>
    <mergeCell ref="A82:B82"/>
    <mergeCell ref="A83:B83"/>
    <mergeCell ref="A175:H175"/>
    <mergeCell ref="B218:H218"/>
    <mergeCell ref="B219:H219"/>
    <mergeCell ref="A207:B207"/>
    <mergeCell ref="G207:H207"/>
    <mergeCell ref="A208:B208"/>
    <mergeCell ref="A206:B206"/>
    <mergeCell ref="G206:H206"/>
    <mergeCell ref="B213:H213"/>
    <mergeCell ref="B214:H214"/>
    <mergeCell ref="B215:H215"/>
    <mergeCell ref="B216:H216"/>
    <mergeCell ref="G208:H208"/>
    <mergeCell ref="B217:H217"/>
    <mergeCell ref="B210:D210"/>
    <mergeCell ref="E210:H210"/>
    <mergeCell ref="A210:A211"/>
    <mergeCell ref="B211:C211"/>
    <mergeCell ref="D211:H211"/>
    <mergeCell ref="B212:C212"/>
    <mergeCell ref="D212:H212"/>
    <mergeCell ref="A201:B201"/>
    <mergeCell ref="G201:H201"/>
    <mergeCell ref="A186:B186"/>
    <mergeCell ref="A183:B183"/>
    <mergeCell ref="A184:B184"/>
    <mergeCell ref="A196:B196"/>
    <mergeCell ref="A197:B197"/>
    <mergeCell ref="A198:B198"/>
    <mergeCell ref="A185:B185"/>
    <mergeCell ref="A194:B194"/>
    <mergeCell ref="G186:H186"/>
    <mergeCell ref="G193:H193"/>
    <mergeCell ref="G192:H192"/>
    <mergeCell ref="G194:H194"/>
    <mergeCell ref="G200:H200"/>
    <mergeCell ref="G196:H196"/>
    <mergeCell ref="A199:B199"/>
    <mergeCell ref="A200:B200"/>
    <mergeCell ref="A193:B193"/>
    <mergeCell ref="A192:B192"/>
    <mergeCell ref="A189:B189"/>
    <mergeCell ref="G187:H187"/>
    <mergeCell ref="A195:H195"/>
    <mergeCell ref="A188:H188"/>
    <mergeCell ref="L181:M181"/>
    <mergeCell ref="A142:A143"/>
    <mergeCell ref="C142:C143"/>
    <mergeCell ref="A150:B150"/>
    <mergeCell ref="G150:H150"/>
    <mergeCell ref="A151:B151"/>
    <mergeCell ref="G151:H151"/>
    <mergeCell ref="A152:B152"/>
    <mergeCell ref="G152:H152"/>
    <mergeCell ref="A144:H144"/>
    <mergeCell ref="A153:B153"/>
    <mergeCell ref="G153:H153"/>
    <mergeCell ref="A164:B164"/>
    <mergeCell ref="G164:H164"/>
    <mergeCell ref="A165:H165"/>
    <mergeCell ref="A154:H154"/>
    <mergeCell ref="A156:H156"/>
    <mergeCell ref="A157:B157"/>
    <mergeCell ref="G157:H157"/>
    <mergeCell ref="A158:B158"/>
    <mergeCell ref="G158:H158"/>
    <mergeCell ref="A159:B159"/>
    <mergeCell ref="G159:H159"/>
    <mergeCell ref="A160:B160"/>
    <mergeCell ref="G148:H148"/>
    <mergeCell ref="G107:H107"/>
    <mergeCell ref="A108:B108"/>
    <mergeCell ref="E108:F117"/>
    <mergeCell ref="G108:H117"/>
    <mergeCell ref="A109:B109"/>
    <mergeCell ref="A110:B110"/>
    <mergeCell ref="A111:B111"/>
    <mergeCell ref="A112:B112"/>
    <mergeCell ref="A116:B116"/>
    <mergeCell ref="A117:B117"/>
    <mergeCell ref="F142:F143"/>
    <mergeCell ref="E134:F134"/>
    <mergeCell ref="B142:B143"/>
    <mergeCell ref="C134:D134"/>
    <mergeCell ref="G134:H134"/>
    <mergeCell ref="A124:E124"/>
    <mergeCell ref="F124:H124"/>
    <mergeCell ref="A146:H146"/>
    <mergeCell ref="A147:B147"/>
    <mergeCell ref="G147:H147"/>
    <mergeCell ref="A113:B113"/>
    <mergeCell ref="A114:B114"/>
    <mergeCell ref="C138:D138"/>
    <mergeCell ref="A38:D38"/>
    <mergeCell ref="E38:H38"/>
    <mergeCell ref="F30:H30"/>
    <mergeCell ref="F31:H31"/>
    <mergeCell ref="C29:E29"/>
    <mergeCell ref="F32:H32"/>
    <mergeCell ref="F33:H33"/>
    <mergeCell ref="A35:B35"/>
    <mergeCell ref="F29:H29"/>
    <mergeCell ref="A30:B30"/>
    <mergeCell ref="A29:B29"/>
    <mergeCell ref="C30:E30"/>
    <mergeCell ref="A31:B31"/>
    <mergeCell ref="C31:E31"/>
    <mergeCell ref="A34:H34"/>
    <mergeCell ref="A33:B33"/>
    <mergeCell ref="A37:H37"/>
    <mergeCell ref="C33:E33"/>
    <mergeCell ref="C35:H35"/>
    <mergeCell ref="A36:B36"/>
    <mergeCell ref="C36:H36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E65:F65"/>
    <mergeCell ref="A58:C58"/>
    <mergeCell ref="A59:C59"/>
    <mergeCell ref="D58:H58"/>
    <mergeCell ref="E66:F75"/>
    <mergeCell ref="G66:H75"/>
    <mergeCell ref="A74:B74"/>
    <mergeCell ref="A75:B75"/>
    <mergeCell ref="D59:H59"/>
    <mergeCell ref="A73:B73"/>
    <mergeCell ref="A61:C61"/>
    <mergeCell ref="D61:H61"/>
    <mergeCell ref="A66:B66"/>
    <mergeCell ref="G65:H65"/>
    <mergeCell ref="A64:B64"/>
    <mergeCell ref="A62:B62"/>
    <mergeCell ref="C62:H62"/>
    <mergeCell ref="A70:B70"/>
    <mergeCell ref="A72:B72"/>
    <mergeCell ref="A115:B115"/>
    <mergeCell ref="C120:H120"/>
    <mergeCell ref="A130:E130"/>
    <mergeCell ref="A118:E118"/>
    <mergeCell ref="F118:H118"/>
    <mergeCell ref="F123:H123"/>
    <mergeCell ref="F126:H126"/>
    <mergeCell ref="A122:E122"/>
    <mergeCell ref="F127:H127"/>
    <mergeCell ref="A90:B90"/>
    <mergeCell ref="C90:H90"/>
    <mergeCell ref="A80:B80"/>
    <mergeCell ref="E80:F89"/>
    <mergeCell ref="A103:B103"/>
    <mergeCell ref="G49:H49"/>
    <mergeCell ref="A230:H233"/>
    <mergeCell ref="A229:B229"/>
    <mergeCell ref="E229:F229"/>
    <mergeCell ref="C229:D229"/>
    <mergeCell ref="G229:H229"/>
    <mergeCell ref="A131:E131"/>
    <mergeCell ref="F131:H131"/>
    <mergeCell ref="A132:E132"/>
    <mergeCell ref="F132:H132"/>
    <mergeCell ref="A181:H181"/>
    <mergeCell ref="A135:B135"/>
    <mergeCell ref="A191:B191"/>
    <mergeCell ref="A225:H225"/>
    <mergeCell ref="A133:H133"/>
    <mergeCell ref="A228:H228"/>
    <mergeCell ref="A226:H226"/>
    <mergeCell ref="A209:H209"/>
    <mergeCell ref="G198:H198"/>
    <mergeCell ref="A222:H222"/>
    <mergeCell ref="A223:H223"/>
    <mergeCell ref="A121:H121"/>
    <mergeCell ref="G197:H197"/>
    <mergeCell ref="F130:H130"/>
    <mergeCell ref="F128:H128"/>
    <mergeCell ref="A190:B190"/>
    <mergeCell ref="A141:H141"/>
    <mergeCell ref="A129:E129"/>
    <mergeCell ref="G183:H183"/>
    <mergeCell ref="A149:B149"/>
    <mergeCell ref="A140:H140"/>
    <mergeCell ref="G184:H184"/>
    <mergeCell ref="E138:F138"/>
    <mergeCell ref="G138:H138"/>
    <mergeCell ref="A139:B139"/>
    <mergeCell ref="C139:D139"/>
    <mergeCell ref="E139:F139"/>
    <mergeCell ref="G139:H139"/>
    <mergeCell ref="C135:D135"/>
    <mergeCell ref="E135:F135"/>
    <mergeCell ref="G135:H135"/>
    <mergeCell ref="G149:H149"/>
    <mergeCell ref="A148:B148"/>
    <mergeCell ref="A45:B45"/>
    <mergeCell ref="C45:E45"/>
    <mergeCell ref="G45:H45"/>
    <mergeCell ref="G47:H47"/>
    <mergeCell ref="D51:H51"/>
    <mergeCell ref="C47:E47"/>
    <mergeCell ref="D54:H54"/>
    <mergeCell ref="D55:H55"/>
    <mergeCell ref="C46:E46"/>
    <mergeCell ref="A49:B49"/>
    <mergeCell ref="C49:E49"/>
    <mergeCell ref="A46:B46"/>
    <mergeCell ref="A50:H50"/>
    <mergeCell ref="A51:C51"/>
    <mergeCell ref="A52:C52"/>
    <mergeCell ref="D52:H52"/>
    <mergeCell ref="D53:H53"/>
    <mergeCell ref="A53:C53"/>
    <mergeCell ref="G46:H46"/>
    <mergeCell ref="A47:B48"/>
    <mergeCell ref="D56:H56"/>
    <mergeCell ref="C48:H48"/>
    <mergeCell ref="E39:H39"/>
    <mergeCell ref="A39:D39"/>
    <mergeCell ref="A227:H227"/>
    <mergeCell ref="A187:B187"/>
    <mergeCell ref="A224:H224"/>
    <mergeCell ref="G199:H199"/>
    <mergeCell ref="A182:B182"/>
    <mergeCell ref="A134:B134"/>
    <mergeCell ref="D142:D143"/>
    <mergeCell ref="E142:E143"/>
    <mergeCell ref="G142:H143"/>
    <mergeCell ref="A84:B84"/>
    <mergeCell ref="A85:B85"/>
    <mergeCell ref="A86:B86"/>
    <mergeCell ref="A76:B76"/>
    <mergeCell ref="C76:H76"/>
    <mergeCell ref="A100:B100"/>
    <mergeCell ref="A71:B71"/>
    <mergeCell ref="F122:H122"/>
    <mergeCell ref="A119:H119"/>
    <mergeCell ref="A120:B120"/>
    <mergeCell ref="B221:H221"/>
  </mergeCells>
  <dataValidations count="1">
    <dataValidation type="list" allowBlank="1" showInputMessage="1" showErrorMessage="1" sqref="G229:H229" xr:uid="{00000000-0002-0000-0000-000000000000}">
      <formula1>"Kunal Kadam,Pranita Mhatre,Shruti Fule,Pooja Kawale,Gaurav Panchal,Shruti Tathare, Hitakshi Mhatre, Sachin Sawant"</formula1>
    </dataValidation>
  </dataValidation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&amp;P</oddFooter>
  </headerFooter>
  <rowBreaks count="3" manualBreakCount="3">
    <brk id="75" max="16383" man="1"/>
    <brk id="233" max="16383" man="1"/>
    <brk id="276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13" workbookViewId="0">
      <selection activeCell="D31" sqref="D31"/>
    </sheetView>
  </sheetViews>
  <sheetFormatPr defaultRowHeight="14.4" x14ac:dyDescent="0.3"/>
  <cols>
    <col min="2" max="2" width="12.33203125" customWidth="1"/>
  </cols>
  <sheetData>
    <row r="2" spans="1:12" x14ac:dyDescent="0.3">
      <c r="B2" s="1" t="s">
        <v>77</v>
      </c>
      <c r="C2" s="166"/>
      <c r="D2" s="166"/>
    </row>
    <row r="3" spans="1:12" x14ac:dyDescent="0.3">
      <c r="D3" s="2"/>
      <c r="E3" s="2"/>
      <c r="F3" s="2"/>
      <c r="G3" s="2"/>
      <c r="H3" s="2"/>
      <c r="I3" s="2"/>
    </row>
    <row r="4" spans="1:12" x14ac:dyDescent="0.3">
      <c r="A4" s="1" t="s">
        <v>78</v>
      </c>
      <c r="B4" s="3" t="s">
        <v>79</v>
      </c>
      <c r="C4" s="167" t="s">
        <v>80</v>
      </c>
      <c r="D4" s="167"/>
      <c r="E4" s="167"/>
      <c r="F4" s="4"/>
      <c r="G4" s="167" t="s">
        <v>81</v>
      </c>
      <c r="H4" s="167"/>
      <c r="I4" s="167"/>
      <c r="J4" s="167" t="s">
        <v>82</v>
      </c>
      <c r="K4" s="167"/>
      <c r="L4" s="167"/>
    </row>
    <row r="5" spans="1:12" x14ac:dyDescent="0.3">
      <c r="A5" s="1">
        <v>202</v>
      </c>
      <c r="B5" s="3"/>
      <c r="C5" s="3" t="s">
        <v>83</v>
      </c>
      <c r="D5" s="3" t="s">
        <v>84</v>
      </c>
      <c r="E5" s="3" t="s">
        <v>61</v>
      </c>
      <c r="F5" s="3"/>
      <c r="G5" s="3" t="s">
        <v>83</v>
      </c>
      <c r="H5" s="3" t="s">
        <v>84</v>
      </c>
      <c r="I5" s="3" t="s">
        <v>61</v>
      </c>
      <c r="J5" s="3" t="s">
        <v>83</v>
      </c>
      <c r="K5" s="3" t="s">
        <v>84</v>
      </c>
      <c r="L5" s="3" t="s">
        <v>61</v>
      </c>
    </row>
    <row r="6" spans="1:12" x14ac:dyDescent="0.3">
      <c r="B6" s="5" t="s">
        <v>85</v>
      </c>
      <c r="C6" s="5">
        <v>2.75</v>
      </c>
      <c r="D6" s="5">
        <v>2.15</v>
      </c>
      <c r="E6" s="5">
        <f>C6*D6</f>
        <v>5.9124999999999996</v>
      </c>
      <c r="F6" s="5" t="s">
        <v>86</v>
      </c>
      <c r="G6" s="5"/>
      <c r="H6" s="5"/>
      <c r="I6" s="5">
        <f>G6*H6</f>
        <v>0</v>
      </c>
      <c r="J6" s="5"/>
      <c r="K6" s="5"/>
      <c r="L6" s="5">
        <f>J6*K6</f>
        <v>0</v>
      </c>
    </row>
    <row r="7" spans="1:12" x14ac:dyDescent="0.3">
      <c r="B7" s="5"/>
      <c r="C7" s="5">
        <v>2.4500000000000002</v>
      </c>
      <c r="D7" s="5">
        <v>0.6</v>
      </c>
      <c r="E7" s="5">
        <f t="shared" ref="E7:E33" si="0">C7*D7</f>
        <v>1.47</v>
      </c>
      <c r="F7" s="5" t="s">
        <v>87</v>
      </c>
      <c r="G7" s="5"/>
      <c r="H7" s="5"/>
      <c r="I7" s="5">
        <f t="shared" ref="I7:I29" si="1">G7*H7</f>
        <v>0</v>
      </c>
      <c r="J7" s="5"/>
      <c r="K7" s="5"/>
      <c r="L7" s="5">
        <f t="shared" ref="L7:L29" si="2">J7*K7</f>
        <v>0</v>
      </c>
    </row>
    <row r="8" spans="1:12" x14ac:dyDescent="0.3">
      <c r="B8" s="5"/>
      <c r="C8" s="5"/>
      <c r="D8" s="5"/>
      <c r="E8" s="5">
        <f t="shared" si="0"/>
        <v>0</v>
      </c>
      <c r="F8" s="5"/>
      <c r="G8" s="5"/>
      <c r="H8" s="5"/>
      <c r="I8" s="5">
        <f t="shared" si="1"/>
        <v>0</v>
      </c>
      <c r="J8" s="5"/>
      <c r="K8" s="5"/>
      <c r="L8" s="5">
        <f t="shared" si="2"/>
        <v>0</v>
      </c>
    </row>
    <row r="9" spans="1:12" x14ac:dyDescent="0.3">
      <c r="B9" s="5" t="s">
        <v>88</v>
      </c>
      <c r="C9" s="5">
        <v>2.76</v>
      </c>
      <c r="D9" s="5">
        <v>2.4500000000000002</v>
      </c>
      <c r="E9" s="5">
        <f t="shared" si="0"/>
        <v>6.7619999999999996</v>
      </c>
      <c r="F9" s="5" t="s">
        <v>86</v>
      </c>
      <c r="G9" s="5"/>
      <c r="H9" s="5"/>
      <c r="I9" s="5">
        <f t="shared" si="1"/>
        <v>0</v>
      </c>
      <c r="J9" s="5"/>
      <c r="K9" s="5"/>
      <c r="L9" s="5">
        <f t="shared" si="2"/>
        <v>0</v>
      </c>
    </row>
    <row r="10" spans="1:12" x14ac:dyDescent="0.3">
      <c r="B10" s="5"/>
      <c r="C10" s="5">
        <v>1.7</v>
      </c>
      <c r="D10" s="5">
        <v>0.9</v>
      </c>
      <c r="E10" s="5">
        <f t="shared" si="0"/>
        <v>1.53</v>
      </c>
      <c r="F10" s="5" t="s">
        <v>87</v>
      </c>
      <c r="G10" s="5"/>
      <c r="H10" s="5"/>
      <c r="I10" s="5">
        <f t="shared" si="1"/>
        <v>0</v>
      </c>
      <c r="J10" s="5"/>
      <c r="K10" s="5"/>
      <c r="L10" s="5">
        <f t="shared" si="2"/>
        <v>0</v>
      </c>
    </row>
    <row r="11" spans="1:12" x14ac:dyDescent="0.3">
      <c r="B11" s="5"/>
      <c r="C11" s="5"/>
      <c r="D11" s="5"/>
      <c r="E11" s="5">
        <f t="shared" si="0"/>
        <v>0</v>
      </c>
      <c r="F11" s="5"/>
      <c r="G11" s="5"/>
      <c r="H11" s="5"/>
      <c r="I11" s="5">
        <f t="shared" si="1"/>
        <v>0</v>
      </c>
      <c r="J11" s="5"/>
      <c r="K11" s="5"/>
      <c r="L11" s="5">
        <f t="shared" si="2"/>
        <v>0</v>
      </c>
    </row>
    <row r="12" spans="1:12" x14ac:dyDescent="0.3">
      <c r="B12" s="5"/>
      <c r="C12" s="5"/>
      <c r="D12" s="5"/>
      <c r="E12" s="5">
        <f t="shared" si="0"/>
        <v>0</v>
      </c>
      <c r="F12" s="5"/>
      <c r="G12" s="5"/>
      <c r="H12" s="5"/>
      <c r="I12" s="5">
        <f t="shared" si="1"/>
        <v>0</v>
      </c>
      <c r="J12" s="5"/>
      <c r="K12" s="5"/>
      <c r="L12" s="5">
        <f t="shared" si="2"/>
        <v>0</v>
      </c>
    </row>
    <row r="13" spans="1:12" x14ac:dyDescent="0.3">
      <c r="B13" s="5" t="s">
        <v>89</v>
      </c>
      <c r="C13" s="5">
        <v>1.9</v>
      </c>
      <c r="D13" s="5">
        <v>2.2000000000000002</v>
      </c>
      <c r="E13" s="5">
        <f t="shared" si="0"/>
        <v>4.18</v>
      </c>
      <c r="F13" s="5" t="s">
        <v>86</v>
      </c>
      <c r="G13" s="5"/>
      <c r="H13" s="5"/>
      <c r="I13" s="5">
        <f t="shared" si="1"/>
        <v>0</v>
      </c>
      <c r="J13" s="5"/>
      <c r="K13" s="5"/>
      <c r="L13" s="5">
        <f t="shared" si="2"/>
        <v>0</v>
      </c>
    </row>
    <row r="14" spans="1:12" x14ac:dyDescent="0.3">
      <c r="B14" s="5"/>
      <c r="C14" s="5"/>
      <c r="D14" s="5"/>
      <c r="E14" s="5">
        <f t="shared" si="0"/>
        <v>0</v>
      </c>
      <c r="F14" s="5" t="s">
        <v>87</v>
      </c>
      <c r="G14" s="5"/>
      <c r="H14" s="5"/>
      <c r="I14" s="5">
        <f t="shared" si="1"/>
        <v>0</v>
      </c>
      <c r="J14" s="5"/>
      <c r="K14" s="5"/>
      <c r="L14" s="5">
        <f t="shared" si="2"/>
        <v>0</v>
      </c>
    </row>
    <row r="15" spans="1:12" x14ac:dyDescent="0.3">
      <c r="B15" s="5"/>
      <c r="C15" s="5"/>
      <c r="D15" s="5"/>
      <c r="E15" s="5">
        <f t="shared" si="0"/>
        <v>0</v>
      </c>
      <c r="F15" s="5"/>
      <c r="G15" s="5"/>
      <c r="H15" s="5"/>
      <c r="I15" s="5">
        <f t="shared" si="1"/>
        <v>0</v>
      </c>
      <c r="J15" s="5"/>
      <c r="K15" s="5"/>
      <c r="L15" s="5">
        <f t="shared" si="2"/>
        <v>0</v>
      </c>
    </row>
    <row r="16" spans="1:12" x14ac:dyDescent="0.3">
      <c r="B16" s="5"/>
      <c r="C16" s="5"/>
      <c r="D16" s="5"/>
      <c r="E16" s="5">
        <f t="shared" si="0"/>
        <v>0</v>
      </c>
      <c r="F16" s="5"/>
      <c r="G16" s="5"/>
      <c r="H16" s="5"/>
      <c r="I16" s="5">
        <f t="shared" si="1"/>
        <v>0</v>
      </c>
      <c r="J16" s="5"/>
      <c r="K16" s="5"/>
      <c r="L16" s="5">
        <f t="shared" si="2"/>
        <v>0</v>
      </c>
    </row>
    <row r="17" spans="2:12" x14ac:dyDescent="0.3">
      <c r="B17" s="5" t="s">
        <v>90</v>
      </c>
      <c r="C17" s="5">
        <v>1.2</v>
      </c>
      <c r="D17" s="5">
        <v>1.2</v>
      </c>
      <c r="E17" s="5">
        <f t="shared" si="0"/>
        <v>1.44</v>
      </c>
      <c r="F17" s="5" t="s">
        <v>86</v>
      </c>
      <c r="G17" s="5"/>
      <c r="H17" s="5"/>
      <c r="I17" s="5">
        <f t="shared" si="1"/>
        <v>0</v>
      </c>
      <c r="J17" s="5"/>
      <c r="K17" s="5"/>
      <c r="L17" s="5">
        <f t="shared" si="2"/>
        <v>0</v>
      </c>
    </row>
    <row r="18" spans="2:12" x14ac:dyDescent="0.3">
      <c r="B18" s="5"/>
      <c r="C18" s="5">
        <v>0.9</v>
      </c>
      <c r="D18" s="5">
        <v>1.2</v>
      </c>
      <c r="E18" s="5">
        <f t="shared" si="0"/>
        <v>1.08</v>
      </c>
      <c r="F18" s="5" t="s">
        <v>87</v>
      </c>
      <c r="G18" s="5"/>
      <c r="H18" s="5"/>
      <c r="I18" s="5">
        <f t="shared" si="1"/>
        <v>0</v>
      </c>
      <c r="J18" s="5"/>
      <c r="K18" s="5"/>
      <c r="L18" s="5">
        <f t="shared" si="2"/>
        <v>0</v>
      </c>
    </row>
    <row r="19" spans="2:12" x14ac:dyDescent="0.3">
      <c r="B19" s="5"/>
      <c r="C19" s="5">
        <v>1</v>
      </c>
      <c r="D19" s="5">
        <v>2.1</v>
      </c>
      <c r="E19" s="5">
        <f t="shared" si="0"/>
        <v>2.1</v>
      </c>
      <c r="F19" s="5"/>
      <c r="G19" s="5"/>
      <c r="H19" s="5"/>
      <c r="I19" s="5">
        <f t="shared" si="1"/>
        <v>0</v>
      </c>
      <c r="J19" s="5"/>
      <c r="K19" s="5"/>
      <c r="L19" s="5">
        <f t="shared" si="2"/>
        <v>0</v>
      </c>
    </row>
    <row r="20" spans="2:12" x14ac:dyDescent="0.3">
      <c r="B20" s="5" t="s">
        <v>90</v>
      </c>
      <c r="C20" s="5"/>
      <c r="D20" s="5"/>
      <c r="E20" s="5">
        <f t="shared" si="0"/>
        <v>0</v>
      </c>
      <c r="F20" s="5" t="s">
        <v>86</v>
      </c>
      <c r="G20" s="5"/>
      <c r="H20" s="5"/>
      <c r="I20" s="5">
        <f t="shared" si="1"/>
        <v>0</v>
      </c>
      <c r="J20" s="5"/>
      <c r="K20" s="5"/>
      <c r="L20" s="5">
        <f t="shared" si="2"/>
        <v>0</v>
      </c>
    </row>
    <row r="21" spans="2:12" x14ac:dyDescent="0.3">
      <c r="B21" s="5"/>
      <c r="C21" s="5"/>
      <c r="D21" s="5"/>
      <c r="E21" s="5">
        <f t="shared" si="0"/>
        <v>0</v>
      </c>
      <c r="F21" s="5" t="s">
        <v>87</v>
      </c>
      <c r="G21" s="5"/>
      <c r="H21" s="5"/>
      <c r="I21" s="5">
        <f t="shared" si="1"/>
        <v>0</v>
      </c>
      <c r="J21" s="5"/>
      <c r="K21" s="5"/>
      <c r="L21" s="5">
        <f t="shared" si="2"/>
        <v>0</v>
      </c>
    </row>
    <row r="22" spans="2:12" x14ac:dyDescent="0.3">
      <c r="B22" s="5"/>
      <c r="C22" s="5"/>
      <c r="D22" s="5"/>
      <c r="E22" s="5">
        <f t="shared" si="0"/>
        <v>0</v>
      </c>
      <c r="F22" s="5"/>
      <c r="G22" s="5"/>
      <c r="H22" s="5"/>
      <c r="I22" s="5">
        <f t="shared" si="1"/>
        <v>0</v>
      </c>
      <c r="J22" s="5"/>
      <c r="K22" s="5"/>
      <c r="L22" s="5">
        <f t="shared" si="2"/>
        <v>0</v>
      </c>
    </row>
    <row r="23" spans="2:12" x14ac:dyDescent="0.3">
      <c r="B23" s="5" t="s">
        <v>91</v>
      </c>
      <c r="C23" s="5"/>
      <c r="D23" s="5"/>
      <c r="E23" s="5">
        <f t="shared" si="0"/>
        <v>0</v>
      </c>
      <c r="F23" s="5" t="s">
        <v>92</v>
      </c>
      <c r="G23" s="5"/>
      <c r="H23" s="5"/>
      <c r="I23" s="5">
        <f t="shared" si="1"/>
        <v>0</v>
      </c>
      <c r="J23" s="5"/>
      <c r="K23" s="5"/>
      <c r="L23" s="5">
        <f t="shared" si="2"/>
        <v>0</v>
      </c>
    </row>
    <row r="24" spans="2:12" x14ac:dyDescent="0.3">
      <c r="B24" s="5" t="s">
        <v>93</v>
      </c>
      <c r="C24" s="5"/>
      <c r="D24" s="5"/>
      <c r="E24" s="5">
        <f t="shared" si="0"/>
        <v>0</v>
      </c>
      <c r="F24" s="5" t="s">
        <v>92</v>
      </c>
      <c r="G24" s="5"/>
      <c r="H24" s="5"/>
      <c r="I24" s="5">
        <f t="shared" si="1"/>
        <v>0</v>
      </c>
      <c r="J24" s="5"/>
      <c r="K24" s="5"/>
      <c r="L24" s="5">
        <f t="shared" si="2"/>
        <v>0</v>
      </c>
    </row>
    <row r="25" spans="2:12" x14ac:dyDescent="0.3">
      <c r="B25" s="5" t="s">
        <v>94</v>
      </c>
      <c r="C25" s="5"/>
      <c r="D25" s="5"/>
      <c r="E25" s="5">
        <f t="shared" si="0"/>
        <v>0</v>
      </c>
      <c r="F25" s="5" t="s">
        <v>92</v>
      </c>
      <c r="G25" s="5"/>
      <c r="H25" s="5"/>
      <c r="I25" s="5">
        <f t="shared" si="1"/>
        <v>0</v>
      </c>
      <c r="J25" s="5"/>
      <c r="K25" s="5"/>
      <c r="L25" s="5">
        <f t="shared" si="2"/>
        <v>0</v>
      </c>
    </row>
    <row r="26" spans="2:12" x14ac:dyDescent="0.3">
      <c r="B26" s="5"/>
      <c r="C26" s="5"/>
      <c r="D26" s="5"/>
      <c r="E26" s="5">
        <f t="shared" si="0"/>
        <v>0</v>
      </c>
      <c r="F26" s="5"/>
      <c r="G26" s="5">
        <v>2.85</v>
      </c>
      <c r="H26" s="5">
        <v>0.9</v>
      </c>
      <c r="I26" s="5">
        <f t="shared" si="1"/>
        <v>2.5649999999999999</v>
      </c>
      <c r="J26" s="5"/>
      <c r="K26" s="5"/>
      <c r="L26" s="5">
        <f t="shared" si="2"/>
        <v>0</v>
      </c>
    </row>
    <row r="27" spans="2:12" x14ac:dyDescent="0.3">
      <c r="B27" s="5" t="s">
        <v>95</v>
      </c>
      <c r="C27" s="5"/>
      <c r="D27" s="5"/>
      <c r="E27" s="5">
        <f t="shared" si="0"/>
        <v>0</v>
      </c>
      <c r="F27" s="5"/>
      <c r="G27" s="5"/>
      <c r="H27" s="5"/>
      <c r="I27" s="5">
        <f t="shared" si="1"/>
        <v>0</v>
      </c>
      <c r="J27" s="5"/>
      <c r="K27" s="5"/>
      <c r="L27" s="5">
        <f t="shared" si="2"/>
        <v>0</v>
      </c>
    </row>
    <row r="28" spans="2:12" x14ac:dyDescent="0.3">
      <c r="B28" s="5" t="s">
        <v>96</v>
      </c>
      <c r="C28" s="5"/>
      <c r="D28" s="5"/>
      <c r="E28" s="5">
        <f t="shared" si="0"/>
        <v>0</v>
      </c>
      <c r="F28" s="5"/>
      <c r="G28" s="5"/>
      <c r="H28" s="5"/>
      <c r="I28" s="5">
        <f t="shared" si="1"/>
        <v>0</v>
      </c>
      <c r="J28" s="5"/>
      <c r="K28" s="5"/>
      <c r="L28" s="5">
        <f t="shared" si="2"/>
        <v>0</v>
      </c>
    </row>
    <row r="29" spans="2:12" x14ac:dyDescent="0.3">
      <c r="B29" s="5" t="s">
        <v>97</v>
      </c>
      <c r="C29" s="5"/>
      <c r="D29" s="5"/>
      <c r="E29" s="5">
        <f t="shared" si="0"/>
        <v>0</v>
      </c>
      <c r="F29" s="5"/>
      <c r="G29" s="5"/>
      <c r="H29" s="5"/>
      <c r="I29" s="5">
        <f t="shared" si="1"/>
        <v>0</v>
      </c>
      <c r="J29" s="5"/>
      <c r="K29" s="5"/>
      <c r="L29" s="5">
        <f t="shared" si="2"/>
        <v>0</v>
      </c>
    </row>
    <row r="30" spans="2:12" x14ac:dyDescent="0.3">
      <c r="B30" s="5" t="s">
        <v>98</v>
      </c>
      <c r="C30" s="5"/>
      <c r="D30" s="5"/>
      <c r="E30" s="5">
        <f t="shared" si="0"/>
        <v>0</v>
      </c>
      <c r="F30" s="5"/>
      <c r="G30" s="5"/>
      <c r="H30" s="5"/>
      <c r="I30" s="5">
        <f>G30*H30</f>
        <v>0</v>
      </c>
      <c r="J30" s="5"/>
      <c r="K30" s="5"/>
      <c r="L30" s="5">
        <f>J30*K30</f>
        <v>0</v>
      </c>
    </row>
    <row r="31" spans="2:12" x14ac:dyDescent="0.3">
      <c r="B31" s="5"/>
      <c r="C31" s="5"/>
      <c r="D31" s="5"/>
      <c r="E31" s="5">
        <f t="shared" si="0"/>
        <v>0</v>
      </c>
      <c r="F31" s="5"/>
      <c r="G31" s="5"/>
      <c r="H31" s="5"/>
      <c r="I31" s="5">
        <f>G31*H31</f>
        <v>0</v>
      </c>
      <c r="J31" s="5"/>
      <c r="K31" s="5"/>
      <c r="L31" s="5">
        <f>J31*K31</f>
        <v>0</v>
      </c>
    </row>
    <row r="32" spans="2:12" x14ac:dyDescent="0.3">
      <c r="B32" s="5"/>
      <c r="C32" s="5"/>
      <c r="D32" s="5"/>
      <c r="E32" s="5">
        <f t="shared" si="0"/>
        <v>0</v>
      </c>
      <c r="F32" s="5"/>
      <c r="G32" s="5"/>
      <c r="H32" s="5"/>
      <c r="I32" s="5">
        <f>G32*H32</f>
        <v>0</v>
      </c>
      <c r="J32" s="5"/>
      <c r="K32" s="5"/>
      <c r="L32" s="5">
        <f>J32*K32</f>
        <v>0</v>
      </c>
    </row>
    <row r="33" spans="2:12" x14ac:dyDescent="0.3">
      <c r="B33" s="5"/>
      <c r="C33" s="5"/>
      <c r="D33" s="5"/>
      <c r="E33" s="5">
        <f t="shared" si="0"/>
        <v>0</v>
      </c>
      <c r="F33" s="5"/>
      <c r="G33" s="5"/>
      <c r="H33" s="5"/>
      <c r="I33" s="5">
        <f>G33*H33</f>
        <v>0</v>
      </c>
      <c r="J33" s="5"/>
      <c r="K33" s="5"/>
      <c r="L33" s="5">
        <f>J33*K33</f>
        <v>0</v>
      </c>
    </row>
    <row r="34" spans="2:12" x14ac:dyDescent="0.3">
      <c r="B34" s="5" t="s">
        <v>62</v>
      </c>
      <c r="C34" s="5"/>
      <c r="D34" s="5">
        <f>E34*10.764</f>
        <v>263.44351799999998</v>
      </c>
      <c r="E34" s="5">
        <f>SUM(E6:E33)</f>
        <v>24.474499999999999</v>
      </c>
      <c r="F34" s="5"/>
      <c r="G34" s="5"/>
      <c r="H34" s="5">
        <f>I34*10.764</f>
        <v>27.609659999999998</v>
      </c>
      <c r="I34" s="5">
        <f>SUM(I6:I33)</f>
        <v>2.5649999999999999</v>
      </c>
      <c r="J34" s="5"/>
      <c r="K34" s="5">
        <f>L34*10.764</f>
        <v>0</v>
      </c>
      <c r="L34" s="5">
        <f>SUM(L6:L33)</f>
        <v>0</v>
      </c>
    </row>
    <row r="36" spans="2:12" x14ac:dyDescent="0.3">
      <c r="D36">
        <f>D34+H34</f>
        <v>291.053178</v>
      </c>
      <c r="E36">
        <f>E34+I34</f>
        <v>27.0395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1"/>
  <sheetViews>
    <sheetView zoomScale="115" zoomScaleNormal="115" workbookViewId="0">
      <selection activeCell="F6" sqref="F6"/>
    </sheetView>
  </sheetViews>
  <sheetFormatPr defaultColWidth="8.6640625" defaultRowHeight="14.4" x14ac:dyDescent="0.3"/>
  <cols>
    <col min="1" max="1" width="8.6640625" style="6"/>
    <col min="2" max="2" width="22.109375" style="6" customWidth="1"/>
    <col min="3" max="3" width="37" style="6" customWidth="1"/>
    <col min="4" max="5" width="11.44140625" style="6" customWidth="1"/>
    <col min="6" max="6" width="14" style="6" customWidth="1"/>
    <col min="7" max="7" width="20" style="6" customWidth="1"/>
    <col min="8" max="8" width="16.44140625" style="6" customWidth="1"/>
    <col min="9" max="16384" width="8.6640625" style="6"/>
  </cols>
  <sheetData>
    <row r="1" spans="1:9" ht="15" customHeight="1" x14ac:dyDescent="0.3"/>
    <row r="2" spans="1:9" ht="15" customHeight="1" x14ac:dyDescent="0.3">
      <c r="A2" s="7"/>
      <c r="B2" s="7"/>
      <c r="C2" s="7"/>
      <c r="D2" s="7"/>
      <c r="E2" s="7"/>
      <c r="F2" s="7"/>
      <c r="G2" s="7"/>
      <c r="H2" s="7"/>
    </row>
    <row r="3" spans="1:9" ht="15.75" customHeight="1" x14ac:dyDescent="0.3">
      <c r="A3" s="7"/>
      <c r="B3" s="168" t="s">
        <v>141</v>
      </c>
      <c r="C3" s="168"/>
      <c r="D3" s="168"/>
      <c r="E3" s="168"/>
      <c r="F3" s="168"/>
      <c r="G3" s="168"/>
      <c r="H3" s="168"/>
    </row>
    <row r="4" spans="1:9" x14ac:dyDescent="0.3">
      <c r="A4" s="7"/>
      <c r="B4" s="8" t="s">
        <v>142</v>
      </c>
      <c r="C4" s="8" t="s">
        <v>143</v>
      </c>
      <c r="D4" s="8" t="s">
        <v>78</v>
      </c>
      <c r="E4" s="8" t="s">
        <v>144</v>
      </c>
      <c r="F4" s="8" t="s">
        <v>148</v>
      </c>
      <c r="G4" s="8" t="s">
        <v>149</v>
      </c>
      <c r="H4" s="8" t="s">
        <v>145</v>
      </c>
    </row>
    <row r="5" spans="1:9" ht="15" customHeight="1" x14ac:dyDescent="0.3">
      <c r="A5" s="7"/>
      <c r="B5" s="21" t="s">
        <v>216</v>
      </c>
      <c r="C5" s="22" t="s">
        <v>217</v>
      </c>
      <c r="D5" s="21" t="s">
        <v>187</v>
      </c>
      <c r="E5" s="10">
        <v>309</v>
      </c>
      <c r="F5" s="11">
        <f>E5*1.45</f>
        <v>448.05</v>
      </c>
      <c r="G5" s="11">
        <f>H5/F5</f>
        <v>5914.5184689208791</v>
      </c>
      <c r="H5" s="12">
        <v>2650000</v>
      </c>
    </row>
    <row r="6" spans="1:9" x14ac:dyDescent="0.3">
      <c r="A6" s="7"/>
      <c r="B6" s="21" t="s">
        <v>216</v>
      </c>
      <c r="C6" s="22" t="s">
        <v>217</v>
      </c>
      <c r="D6" s="21" t="s">
        <v>187</v>
      </c>
      <c r="E6" s="10">
        <v>317</v>
      </c>
      <c r="F6" s="11">
        <f>E6*1.45</f>
        <v>459.65</v>
      </c>
      <c r="G6" s="11">
        <f t="shared" ref="G6" si="0">H6/F6</f>
        <v>5874.034591537039</v>
      </c>
      <c r="H6" s="12">
        <v>2700000</v>
      </c>
    </row>
    <row r="7" spans="1:9" ht="15" customHeight="1" x14ac:dyDescent="0.3">
      <c r="A7" s="7"/>
      <c r="B7" s="13" t="s">
        <v>146</v>
      </c>
      <c r="C7" s="10"/>
      <c r="D7" s="10"/>
      <c r="E7" s="10"/>
      <c r="F7" s="10"/>
      <c r="G7" s="14">
        <f>AVERAGE(G5:G6)</f>
        <v>5894.276530228959</v>
      </c>
      <c r="H7" s="10"/>
    </row>
    <row r="8" spans="1:9" ht="15" customHeight="1" x14ac:dyDescent="0.3">
      <c r="B8" s="13" t="s">
        <v>147</v>
      </c>
      <c r="C8" s="10"/>
      <c r="D8" s="10"/>
      <c r="E8" s="10"/>
      <c r="F8" s="15"/>
      <c r="G8" s="13"/>
      <c r="H8" s="13"/>
      <c r="I8" s="9"/>
    </row>
    <row r="9" spans="1:9" ht="15" customHeight="1" x14ac:dyDescent="0.3"/>
    <row r="10" spans="1:9" ht="15" customHeight="1" x14ac:dyDescent="0.3"/>
    <row r="11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workbookViewId="0">
      <selection activeCell="E12" sqref="E12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2025-09-15T06:05:14Z</cp:lastPrinted>
  <dcterms:created xsi:type="dcterms:W3CDTF">2019-07-16T09:29:46Z</dcterms:created>
  <dcterms:modified xsi:type="dcterms:W3CDTF">2025-09-15T06:05:52Z</dcterms:modified>
</cp:coreProperties>
</file>