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K:\VSJ Work\Sept 25\Dump\"/>
    </mc:Choice>
  </mc:AlternateContent>
  <xr:revisionPtr revIDLastSave="0" documentId="13_ncr:1_{F8DB3C1F-271B-4286-A8AA-75856E34B6C5}" xr6:coauthVersionLast="47" xr6:coauthVersionMax="47" xr10:uidLastSave="{00000000-0000-0000-0000-000000000000}"/>
  <bookViews>
    <workbookView xWindow="-108" yWindow="-108" windowWidth="23256" windowHeight="12456" tabRatio="724" xr2:uid="{00000000-000D-0000-FFFF-FFFF00000000}"/>
  </bookViews>
  <sheets>
    <sheet name="Report" sheetId="1" r:id="rId1"/>
    <sheet name="valuation" sheetId="5" r:id="rId2"/>
    <sheet name="Research" sheetId="4" r:id="rId3"/>
    <sheet name="Remarks" sheetId="6" r:id="rId4"/>
  </sheets>
  <definedNames>
    <definedName name="_xlnm.Print_Area" localSheetId="0">Report!$A$1:$H$607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0" i="1" l="1"/>
  <c r="H90" i="1"/>
  <c r="D102" i="1" l="1"/>
  <c r="D96" i="1"/>
  <c r="J89" i="1"/>
  <c r="J91" i="1" s="1"/>
  <c r="D98" i="1"/>
  <c r="D97" i="1"/>
  <c r="J92" i="1"/>
  <c r="D99" i="1"/>
  <c r="J93" i="1"/>
  <c r="D101" i="1"/>
  <c r="D95" i="1"/>
  <c r="J94" i="1"/>
  <c r="C93" i="1" s="1"/>
  <c r="D93" i="1" s="1"/>
  <c r="D100" i="1"/>
  <c r="J99" i="1"/>
  <c r="J100" i="1"/>
  <c r="J95" i="1"/>
  <c r="J96" i="1" s="1"/>
  <c r="J101" i="1" s="1"/>
  <c r="J102" i="1" s="1"/>
  <c r="C94" i="1" s="1"/>
  <c r="J97" i="1"/>
  <c r="J98" i="1"/>
  <c r="C104" i="1"/>
  <c r="E93" i="1" l="1"/>
  <c r="D94" i="1"/>
  <c r="I90" i="1" s="1"/>
  <c r="I91" i="1" s="1"/>
  <c r="G93" i="1"/>
  <c r="J90" i="1"/>
  <c r="E374" i="1"/>
  <c r="E317" i="1"/>
  <c r="E306" i="1"/>
  <c r="E290" i="1"/>
  <c r="E235" i="1"/>
  <c r="E232" i="1"/>
  <c r="E219" i="1"/>
  <c r="E208" i="1"/>
  <c r="I89" i="1" l="1"/>
  <c r="C91" i="1" s="1"/>
  <c r="G313" i="1"/>
  <c r="G315" i="1"/>
  <c r="G314" i="1"/>
  <c r="G311" i="1"/>
  <c r="G312" i="1"/>
  <c r="G310" i="1"/>
  <c r="G309" i="1"/>
  <c r="G308" i="1"/>
  <c r="G307" i="1"/>
  <c r="G306" i="1"/>
  <c r="G305" i="1"/>
  <c r="G304" i="1"/>
  <c r="G303" i="1"/>
  <c r="G302" i="1"/>
  <c r="G301" i="1"/>
  <c r="G298" i="1"/>
  <c r="G299" i="1"/>
  <c r="G300" i="1"/>
  <c r="G297" i="1"/>
  <c r="G296" i="1"/>
  <c r="G295" i="1"/>
  <c r="G294" i="1"/>
  <c r="G293" i="1"/>
  <c r="G291" i="1"/>
  <c r="G292" i="1"/>
  <c r="G290" i="1"/>
  <c r="G233" i="1"/>
  <c r="G232" i="1"/>
  <c r="G231" i="1"/>
  <c r="G230" i="1"/>
  <c r="G229" i="1"/>
  <c r="G228" i="1"/>
  <c r="G226" i="1"/>
  <c r="G225" i="1"/>
  <c r="G224" i="1"/>
  <c r="G223" i="1"/>
  <c r="G222" i="1"/>
  <c r="G221" i="1"/>
  <c r="G220" i="1"/>
  <c r="G219" i="1"/>
  <c r="G218" i="1"/>
  <c r="G217" i="1"/>
  <c r="G216" i="1"/>
  <c r="G215" i="1"/>
  <c r="G214" i="1"/>
  <c r="G213" i="1"/>
  <c r="G212" i="1"/>
  <c r="G209" i="1"/>
  <c r="G210" i="1"/>
  <c r="G208" i="1"/>
  <c r="D372" i="1" l="1"/>
  <c r="E454" i="1"/>
  <c r="D454" i="1"/>
  <c r="F454" i="1" s="1"/>
  <c r="H454" i="1" s="1"/>
  <c r="E453" i="1"/>
  <c r="D453" i="1"/>
  <c r="E452" i="1"/>
  <c r="D452" i="1"/>
  <c r="E451" i="1"/>
  <c r="D451" i="1"/>
  <c r="E450" i="1"/>
  <c r="D450" i="1"/>
  <c r="E449" i="1"/>
  <c r="D449" i="1"/>
  <c r="E448" i="1"/>
  <c r="D448" i="1"/>
  <c r="E447" i="1"/>
  <c r="D447" i="1"/>
  <c r="E446" i="1"/>
  <c r="D446" i="1"/>
  <c r="E445" i="1"/>
  <c r="D445" i="1"/>
  <c r="E444" i="1"/>
  <c r="D444" i="1"/>
  <c r="E443" i="1"/>
  <c r="D443" i="1"/>
  <c r="E442" i="1"/>
  <c r="D442" i="1"/>
  <c r="F442" i="1" s="1"/>
  <c r="H442" i="1" s="1"/>
  <c r="E441" i="1"/>
  <c r="D441" i="1"/>
  <c r="E440" i="1"/>
  <c r="D440" i="1"/>
  <c r="E439" i="1"/>
  <c r="D439" i="1"/>
  <c r="E438" i="1"/>
  <c r="D438" i="1"/>
  <c r="E437" i="1"/>
  <c r="D437" i="1"/>
  <c r="E435" i="1"/>
  <c r="D435" i="1"/>
  <c r="E434" i="1"/>
  <c r="D434" i="1"/>
  <c r="E433" i="1"/>
  <c r="D433" i="1"/>
  <c r="E432" i="1"/>
  <c r="D432" i="1"/>
  <c r="E431" i="1"/>
  <c r="D431" i="1"/>
  <c r="E430" i="1"/>
  <c r="D430" i="1"/>
  <c r="E429" i="1"/>
  <c r="D429" i="1"/>
  <c r="F429" i="1" s="1"/>
  <c r="H429" i="1" s="1"/>
  <c r="E428" i="1"/>
  <c r="D428" i="1"/>
  <c r="E427" i="1"/>
  <c r="D427" i="1"/>
  <c r="E426" i="1"/>
  <c r="D426" i="1"/>
  <c r="E425" i="1"/>
  <c r="D425" i="1"/>
  <c r="F425" i="1" s="1"/>
  <c r="H425" i="1" s="1"/>
  <c r="E424" i="1"/>
  <c r="D424" i="1"/>
  <c r="E423" i="1"/>
  <c r="D423" i="1"/>
  <c r="E422" i="1"/>
  <c r="D422" i="1"/>
  <c r="E421" i="1"/>
  <c r="D421" i="1"/>
  <c r="E420" i="1"/>
  <c r="D420" i="1"/>
  <c r="E419" i="1"/>
  <c r="D419" i="1"/>
  <c r="E418" i="1"/>
  <c r="D418" i="1"/>
  <c r="E417" i="1"/>
  <c r="D417" i="1"/>
  <c r="F417" i="1" s="1"/>
  <c r="H417" i="1" s="1"/>
  <c r="E416" i="1"/>
  <c r="D416" i="1"/>
  <c r="E414" i="1"/>
  <c r="D414" i="1"/>
  <c r="E413" i="1"/>
  <c r="D413" i="1"/>
  <c r="E412" i="1"/>
  <c r="D412" i="1"/>
  <c r="E411" i="1"/>
  <c r="D411" i="1"/>
  <c r="E410" i="1"/>
  <c r="D410" i="1"/>
  <c r="E409" i="1"/>
  <c r="D409" i="1"/>
  <c r="E408" i="1"/>
  <c r="D408" i="1"/>
  <c r="F408" i="1" s="1"/>
  <c r="H408" i="1" s="1"/>
  <c r="E407" i="1"/>
  <c r="D407" i="1"/>
  <c r="E406" i="1"/>
  <c r="D406" i="1"/>
  <c r="E405" i="1"/>
  <c r="D405" i="1"/>
  <c r="E404" i="1"/>
  <c r="D404" i="1"/>
  <c r="E403" i="1"/>
  <c r="D403" i="1"/>
  <c r="E402" i="1"/>
  <c r="D402" i="1"/>
  <c r="E401" i="1"/>
  <c r="D401" i="1"/>
  <c r="E400" i="1"/>
  <c r="D400" i="1"/>
  <c r="F400" i="1" s="1"/>
  <c r="H400" i="1" s="1"/>
  <c r="E399" i="1"/>
  <c r="D399" i="1"/>
  <c r="E398" i="1"/>
  <c r="D398" i="1"/>
  <c r="E397" i="1"/>
  <c r="D397" i="1"/>
  <c r="E396" i="1"/>
  <c r="D396" i="1"/>
  <c r="E395" i="1"/>
  <c r="D395" i="1"/>
  <c r="E393" i="1"/>
  <c r="D393" i="1"/>
  <c r="E392" i="1"/>
  <c r="D392" i="1"/>
  <c r="E391" i="1"/>
  <c r="D391" i="1"/>
  <c r="F391" i="1" s="1"/>
  <c r="H391" i="1" s="1"/>
  <c r="E390" i="1"/>
  <c r="D390" i="1"/>
  <c r="E389" i="1"/>
  <c r="D389" i="1"/>
  <c r="E388" i="1"/>
  <c r="D388" i="1"/>
  <c r="E387" i="1"/>
  <c r="D387" i="1"/>
  <c r="E386" i="1"/>
  <c r="D386" i="1"/>
  <c r="E385" i="1"/>
  <c r="D385" i="1"/>
  <c r="E384" i="1"/>
  <c r="D384" i="1"/>
  <c r="E383" i="1"/>
  <c r="D383" i="1"/>
  <c r="E382" i="1"/>
  <c r="D382" i="1"/>
  <c r="E381" i="1"/>
  <c r="D381" i="1"/>
  <c r="E380" i="1"/>
  <c r="D380" i="1"/>
  <c r="E379" i="1"/>
  <c r="D379" i="1"/>
  <c r="F379" i="1" s="1"/>
  <c r="H379" i="1" s="1"/>
  <c r="E378" i="1"/>
  <c r="D378" i="1"/>
  <c r="E377" i="1"/>
  <c r="D377" i="1"/>
  <c r="E376" i="1"/>
  <c r="D376" i="1"/>
  <c r="E375" i="1"/>
  <c r="D375" i="1"/>
  <c r="D374"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D317" i="1"/>
  <c r="E315" i="1"/>
  <c r="D315" i="1"/>
  <c r="E314" i="1"/>
  <c r="D314" i="1"/>
  <c r="E313" i="1"/>
  <c r="D313" i="1"/>
  <c r="E312" i="1"/>
  <c r="D312" i="1"/>
  <c r="E311" i="1"/>
  <c r="D311" i="1"/>
  <c r="E310" i="1"/>
  <c r="D310" i="1"/>
  <c r="E309" i="1"/>
  <c r="D309" i="1"/>
  <c r="E308" i="1"/>
  <c r="D308" i="1"/>
  <c r="E307" i="1"/>
  <c r="D307"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D290"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D235" i="1"/>
  <c r="G227" i="1"/>
  <c r="G211" i="1"/>
  <c r="E233" i="1"/>
  <c r="D233"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D219" i="1"/>
  <c r="E218" i="1"/>
  <c r="D218" i="1"/>
  <c r="E217" i="1"/>
  <c r="D217" i="1"/>
  <c r="E216" i="1"/>
  <c r="D216" i="1"/>
  <c r="E215" i="1"/>
  <c r="D215" i="1"/>
  <c r="E214" i="1"/>
  <c r="D214" i="1"/>
  <c r="E213" i="1"/>
  <c r="D213" i="1"/>
  <c r="E212" i="1"/>
  <c r="D212" i="1"/>
  <c r="E211" i="1"/>
  <c r="D211" i="1"/>
  <c r="E210" i="1"/>
  <c r="D210" i="1"/>
  <c r="E209" i="1"/>
  <c r="D209" i="1"/>
  <c r="D208" i="1"/>
  <c r="D201" i="1"/>
  <c r="D200" i="1"/>
  <c r="D199" i="1"/>
  <c r="D198" i="1"/>
  <c r="D197" i="1"/>
  <c r="D196" i="1"/>
  <c r="D195" i="1"/>
  <c r="D194" i="1"/>
  <c r="D193" i="1"/>
  <c r="D192" i="1"/>
  <c r="D191" i="1"/>
  <c r="D190" i="1"/>
  <c r="D189" i="1"/>
  <c r="D188" i="1"/>
  <c r="D187" i="1"/>
  <c r="D186" i="1"/>
  <c r="D185" i="1"/>
  <c r="D184" i="1"/>
  <c r="D183" i="1"/>
  <c r="D182" i="1"/>
  <c r="D181" i="1"/>
  <c r="D180" i="1"/>
  <c r="D179" i="1"/>
  <c r="A438" i="1"/>
  <c r="A439" i="1" s="1"/>
  <c r="A440" i="1" s="1"/>
  <c r="A441" i="1" s="1"/>
  <c r="A442" i="1" s="1"/>
  <c r="A443" i="1" s="1"/>
  <c r="A444" i="1" s="1"/>
  <c r="A445" i="1" s="1"/>
  <c r="A446" i="1" s="1"/>
  <c r="A447" i="1" s="1"/>
  <c r="A448" i="1" s="1"/>
  <c r="A449" i="1" s="1"/>
  <c r="A450" i="1" s="1"/>
  <c r="A451" i="1" s="1"/>
  <c r="A452" i="1" s="1"/>
  <c r="A453" i="1" s="1"/>
  <c r="A454" i="1" s="1"/>
  <c r="A455" i="1" s="1"/>
  <c r="A456" i="1" s="1"/>
  <c r="A417" i="1"/>
  <c r="A418" i="1" s="1"/>
  <c r="A419" i="1" s="1"/>
  <c r="A420" i="1" s="1"/>
  <c r="A421" i="1" s="1"/>
  <c r="A422" i="1" s="1"/>
  <c r="A423" i="1" s="1"/>
  <c r="A424" i="1" s="1"/>
  <c r="A425" i="1" s="1"/>
  <c r="A426" i="1" s="1"/>
  <c r="A427" i="1" s="1"/>
  <c r="A428" i="1" s="1"/>
  <c r="A429" i="1" s="1"/>
  <c r="A430" i="1" s="1"/>
  <c r="A431" i="1" s="1"/>
  <c r="A432" i="1" s="1"/>
  <c r="A433" i="1" s="1"/>
  <c r="A434" i="1" s="1"/>
  <c r="A435" i="1" s="1"/>
  <c r="A396" i="1"/>
  <c r="A397" i="1" s="1"/>
  <c r="A398" i="1" s="1"/>
  <c r="A399" i="1" s="1"/>
  <c r="A400" i="1" s="1"/>
  <c r="A401" i="1" s="1"/>
  <c r="A402" i="1" s="1"/>
  <c r="A403" i="1" s="1"/>
  <c r="A404" i="1" s="1"/>
  <c r="A405" i="1" s="1"/>
  <c r="A406" i="1" s="1"/>
  <c r="A407" i="1" s="1"/>
  <c r="A408" i="1" s="1"/>
  <c r="A409" i="1" s="1"/>
  <c r="A410" i="1" s="1"/>
  <c r="A411" i="1" s="1"/>
  <c r="A412" i="1" s="1"/>
  <c r="A413" i="1" s="1"/>
  <c r="A414" i="1" s="1"/>
  <c r="A375" i="1"/>
  <c r="A376" i="1" s="1"/>
  <c r="A377" i="1" s="1"/>
  <c r="A378" i="1" s="1"/>
  <c r="A379" i="1" s="1"/>
  <c r="A380" i="1" s="1"/>
  <c r="A381" i="1" s="1"/>
  <c r="A382" i="1" s="1"/>
  <c r="A383" i="1" s="1"/>
  <c r="A384" i="1" s="1"/>
  <c r="A385" i="1" s="1"/>
  <c r="A386" i="1" s="1"/>
  <c r="A387" i="1" s="1"/>
  <c r="A388" i="1" s="1"/>
  <c r="A389" i="1" s="1"/>
  <c r="A390" i="1" s="1"/>
  <c r="A391" i="1" s="1"/>
  <c r="A392" i="1" s="1"/>
  <c r="A393" i="1" s="1"/>
  <c r="F438" i="1" l="1"/>
  <c r="H438" i="1" s="1"/>
  <c r="F450" i="1"/>
  <c r="H450" i="1" s="1"/>
  <c r="F383" i="1"/>
  <c r="H383" i="1" s="1"/>
  <c r="F421" i="1"/>
  <c r="H421" i="1" s="1"/>
  <c r="F433" i="1"/>
  <c r="H433" i="1" s="1"/>
  <c r="F446" i="1"/>
  <c r="H446" i="1" s="1"/>
  <c r="F444" i="1"/>
  <c r="H444" i="1" s="1"/>
  <c r="F386" i="1"/>
  <c r="H386" i="1" s="1"/>
  <c r="F399" i="1"/>
  <c r="H399" i="1" s="1"/>
  <c r="F443" i="1"/>
  <c r="H443" i="1" s="1"/>
  <c r="F449" i="1"/>
  <c r="H449" i="1" s="1"/>
  <c r="F378" i="1"/>
  <c r="H378" i="1" s="1"/>
  <c r="F397" i="1"/>
  <c r="H397" i="1" s="1"/>
  <c r="F422" i="1"/>
  <c r="H422" i="1" s="1"/>
  <c r="F376" i="1"/>
  <c r="H376" i="1" s="1"/>
  <c r="F395" i="1"/>
  <c r="F401" i="1"/>
  <c r="H401" i="1" s="1"/>
  <c r="F407" i="1"/>
  <c r="H407" i="1" s="1"/>
  <c r="F445" i="1"/>
  <c r="H445" i="1" s="1"/>
  <c r="F385" i="1"/>
  <c r="H385" i="1" s="1"/>
  <c r="F398" i="1"/>
  <c r="H398" i="1" s="1"/>
  <c r="F427" i="1"/>
  <c r="H427" i="1" s="1"/>
  <c r="F431" i="1"/>
  <c r="H431" i="1" s="1"/>
  <c r="F452" i="1"/>
  <c r="H452" i="1" s="1"/>
  <c r="F389" i="1"/>
  <c r="H389" i="1" s="1"/>
  <c r="F402" i="1"/>
  <c r="H402" i="1" s="1"/>
  <c r="F423" i="1"/>
  <c r="H423" i="1" s="1"/>
  <c r="F440" i="1"/>
  <c r="H440" i="1" s="1"/>
  <c r="F406" i="1"/>
  <c r="H406" i="1" s="1"/>
  <c r="F414" i="1"/>
  <c r="H414" i="1" s="1"/>
  <c r="F435" i="1"/>
  <c r="H435" i="1" s="1"/>
  <c r="F448" i="1"/>
  <c r="H448" i="1" s="1"/>
  <c r="F410" i="1"/>
  <c r="H410" i="1" s="1"/>
  <c r="F419" i="1"/>
  <c r="H419" i="1" s="1"/>
  <c r="F384" i="1"/>
  <c r="H384" i="1" s="1"/>
  <c r="F388" i="1"/>
  <c r="H388" i="1" s="1"/>
  <c r="F405" i="1"/>
  <c r="H405" i="1" s="1"/>
  <c r="F409" i="1"/>
  <c r="H409" i="1" s="1"/>
  <c r="F413" i="1"/>
  <c r="H413" i="1" s="1"/>
  <c r="F418" i="1"/>
  <c r="H418" i="1" s="1"/>
  <c r="F426" i="1"/>
  <c r="H426" i="1" s="1"/>
  <c r="F430" i="1"/>
  <c r="H430" i="1" s="1"/>
  <c r="F434" i="1"/>
  <c r="H434" i="1" s="1"/>
  <c r="F439" i="1"/>
  <c r="H439" i="1" s="1"/>
  <c r="F447" i="1"/>
  <c r="H447" i="1" s="1"/>
  <c r="F372" i="1"/>
  <c r="H372" i="1" s="1"/>
  <c r="F393" i="1"/>
  <c r="H393" i="1" s="1"/>
  <c r="F403" i="1"/>
  <c r="H403" i="1" s="1"/>
  <c r="F387" i="1"/>
  <c r="H387" i="1" s="1"/>
  <c r="F420" i="1"/>
  <c r="H420" i="1" s="1"/>
  <c r="F453" i="1"/>
  <c r="H453" i="1" s="1"/>
  <c r="F404" i="1"/>
  <c r="H404" i="1" s="1"/>
  <c r="F411" i="1"/>
  <c r="H411" i="1" s="1"/>
  <c r="F424" i="1"/>
  <c r="H424" i="1" s="1"/>
  <c r="F380" i="1"/>
  <c r="H380" i="1" s="1"/>
  <c r="F428" i="1"/>
  <c r="H428" i="1" s="1"/>
  <c r="F412" i="1"/>
  <c r="H412" i="1" s="1"/>
  <c r="F416" i="1"/>
  <c r="H416" i="1" s="1"/>
  <c r="F432" i="1"/>
  <c r="H432" i="1" s="1"/>
  <c r="F437" i="1"/>
  <c r="H437" i="1" s="1"/>
  <c r="F451" i="1"/>
  <c r="H451" i="1" s="1"/>
  <c r="F441" i="1"/>
  <c r="H441" i="1" s="1"/>
  <c r="F396" i="1"/>
  <c r="H396" i="1" s="1"/>
  <c r="F390" i="1"/>
  <c r="H390" i="1" s="1"/>
  <c r="F392" i="1"/>
  <c r="H392" i="1" s="1"/>
  <c r="F382" i="1"/>
  <c r="H382" i="1" s="1"/>
  <c r="F377" i="1"/>
  <c r="H377" i="1" s="1"/>
  <c r="F381" i="1"/>
  <c r="H381" i="1" s="1"/>
  <c r="F375" i="1"/>
  <c r="H375" i="1" s="1"/>
  <c r="F374" i="1"/>
  <c r="F200" i="1"/>
  <c r="H200" i="1" s="1"/>
  <c r="F199" i="1"/>
  <c r="H199" i="1" s="1"/>
  <c r="F198" i="1"/>
  <c r="H198" i="1" s="1"/>
  <c r="F197" i="1"/>
  <c r="H197" i="1" s="1"/>
  <c r="F196" i="1"/>
  <c r="H196" i="1" s="1"/>
  <c r="F195" i="1"/>
  <c r="H195" i="1" s="1"/>
  <c r="F194" i="1"/>
  <c r="H194" i="1" s="1"/>
  <c r="F193" i="1"/>
  <c r="H193" i="1" s="1"/>
  <c r="F192" i="1"/>
  <c r="H192" i="1" s="1"/>
  <c r="F191" i="1"/>
  <c r="H191" i="1" s="1"/>
  <c r="F190" i="1"/>
  <c r="H190" i="1" s="1"/>
  <c r="F189" i="1"/>
  <c r="H189" i="1" s="1"/>
  <c r="F188" i="1"/>
  <c r="H188" i="1" s="1"/>
  <c r="F187" i="1"/>
  <c r="H187" i="1" s="1"/>
  <c r="F186" i="1"/>
  <c r="H186" i="1" s="1"/>
  <c r="F184" i="1"/>
  <c r="H184" i="1" s="1"/>
  <c r="F183" i="1"/>
  <c r="H183" i="1" s="1"/>
  <c r="I179" i="1"/>
  <c r="F201" i="1"/>
  <c r="H201" i="1" s="1"/>
  <c r="F185" i="1"/>
  <c r="H185" i="1" s="1"/>
  <c r="A345" i="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18" i="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F313" i="1"/>
  <c r="F296" i="1"/>
  <c r="A291" i="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263" i="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F260" i="1"/>
  <c r="H260" i="1" s="1"/>
  <c r="F252" i="1"/>
  <c r="H252" i="1" s="1"/>
  <c r="F246" i="1"/>
  <c r="H246" i="1" s="1"/>
  <c r="A236" i="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I208" i="1"/>
  <c r="F222" i="1"/>
  <c r="F213" i="1"/>
  <c r="A209" i="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H395" i="1" l="1"/>
  <c r="G170" i="1" s="1"/>
  <c r="E170" i="1"/>
  <c r="C169" i="1"/>
  <c r="E169" i="1"/>
  <c r="C170" i="1"/>
  <c r="H374" i="1"/>
  <c r="G169" i="1" s="1"/>
  <c r="F247" i="1"/>
  <c r="H247" i="1" s="1"/>
  <c r="F335" i="1"/>
  <c r="H335" i="1" s="1"/>
  <c r="F215" i="1"/>
  <c r="H215" i="1" s="1"/>
  <c r="F334" i="1"/>
  <c r="H334" i="1" s="1"/>
  <c r="F238" i="1"/>
  <c r="H238" i="1" s="1"/>
  <c r="F304" i="1"/>
  <c r="H304" i="1" s="1"/>
  <c r="F216" i="1"/>
  <c r="H216" i="1" s="1"/>
  <c r="F310" i="1"/>
  <c r="H310" i="1" s="1"/>
  <c r="F340" i="1"/>
  <c r="H340" i="1" s="1"/>
  <c r="F214" i="1"/>
  <c r="H214" i="1" s="1"/>
  <c r="H222" i="1"/>
  <c r="F350" i="1"/>
  <c r="H350" i="1" s="1"/>
  <c r="F345" i="1"/>
  <c r="H345" i="1" s="1"/>
  <c r="F353" i="1"/>
  <c r="H353" i="1" s="1"/>
  <c r="F250" i="1"/>
  <c r="H250" i="1" s="1"/>
  <c r="F258" i="1"/>
  <c r="H258" i="1" s="1"/>
  <c r="F318" i="1"/>
  <c r="H318" i="1" s="1"/>
  <c r="F251" i="1"/>
  <c r="H251" i="1" s="1"/>
  <c r="F332" i="1"/>
  <c r="H332" i="1" s="1"/>
  <c r="F226" i="1"/>
  <c r="H226" i="1" s="1"/>
  <c r="F264" i="1"/>
  <c r="H264" i="1" s="1"/>
  <c r="F276" i="1"/>
  <c r="H276" i="1" s="1"/>
  <c r="F280" i="1"/>
  <c r="H280" i="1" s="1"/>
  <c r="F224" i="1"/>
  <c r="H224" i="1" s="1"/>
  <c r="F321" i="1"/>
  <c r="H321" i="1" s="1"/>
  <c r="F329" i="1"/>
  <c r="H329" i="1" s="1"/>
  <c r="F337" i="1"/>
  <c r="H337" i="1" s="1"/>
  <c r="F303" i="1"/>
  <c r="H303" i="1" s="1"/>
  <c r="F311" i="1"/>
  <c r="H311" i="1" s="1"/>
  <c r="F338" i="1"/>
  <c r="H338" i="1" s="1"/>
  <c r="F331" i="1"/>
  <c r="H331" i="1" s="1"/>
  <c r="F324" i="1"/>
  <c r="H324" i="1" s="1"/>
  <c r="F352" i="1"/>
  <c r="H352" i="1" s="1"/>
  <c r="F211" i="1"/>
  <c r="H211" i="1" s="1"/>
  <c r="F219" i="1"/>
  <c r="H219" i="1" s="1"/>
  <c r="F227" i="1"/>
  <c r="H227" i="1" s="1"/>
  <c r="F253" i="1"/>
  <c r="H253" i="1" s="1"/>
  <c r="F290" i="1"/>
  <c r="F325" i="1"/>
  <c r="H325" i="1" s="1"/>
  <c r="F320" i="1"/>
  <c r="H320" i="1" s="1"/>
  <c r="F244" i="1"/>
  <c r="H244" i="1" s="1"/>
  <c r="F300" i="1"/>
  <c r="H300" i="1" s="1"/>
  <c r="F217" i="1"/>
  <c r="H217" i="1" s="1"/>
  <c r="F239" i="1"/>
  <c r="H239" i="1" s="1"/>
  <c r="F326" i="1"/>
  <c r="H326" i="1" s="1"/>
  <c r="F248" i="1"/>
  <c r="H248" i="1" s="1"/>
  <c r="F256" i="1"/>
  <c r="H256" i="1" s="1"/>
  <c r="F262" i="1"/>
  <c r="H262" i="1" s="1"/>
  <c r="F301" i="1"/>
  <c r="H301" i="1" s="1"/>
  <c r="F249" i="1"/>
  <c r="H249" i="1" s="1"/>
  <c r="F241" i="1"/>
  <c r="H241" i="1" s="1"/>
  <c r="F330" i="1"/>
  <c r="H330" i="1" s="1"/>
  <c r="F344" i="1"/>
  <c r="H344" i="1" s="1"/>
  <c r="F365" i="1"/>
  <c r="H365" i="1" s="1"/>
  <c r="F361" i="1"/>
  <c r="H361" i="1" s="1"/>
  <c r="F356" i="1"/>
  <c r="H356" i="1" s="1"/>
  <c r="F360" i="1"/>
  <c r="H360" i="1" s="1"/>
  <c r="F364" i="1"/>
  <c r="H364" i="1" s="1"/>
  <c r="F362" i="1"/>
  <c r="H362" i="1" s="1"/>
  <c r="F355" i="1"/>
  <c r="H355" i="1" s="1"/>
  <c r="F367" i="1"/>
  <c r="H367" i="1" s="1"/>
  <c r="F348" i="1"/>
  <c r="H348" i="1" s="1"/>
  <c r="F212" i="1"/>
  <c r="H212" i="1" s="1"/>
  <c r="F221" i="1"/>
  <c r="H221" i="1" s="1"/>
  <c r="F225" i="1"/>
  <c r="H225" i="1" s="1"/>
  <c r="F245" i="1"/>
  <c r="H245" i="1" s="1"/>
  <c r="F305" i="1"/>
  <c r="H305" i="1" s="1"/>
  <c r="F322" i="1"/>
  <c r="H322" i="1" s="1"/>
  <c r="F347" i="1"/>
  <c r="H347" i="1" s="1"/>
  <c r="F354" i="1"/>
  <c r="H354" i="1" s="1"/>
  <c r="F357" i="1"/>
  <c r="H357" i="1" s="1"/>
  <c r="H213" i="1"/>
  <c r="F254" i="1"/>
  <c r="H254" i="1" s="1"/>
  <c r="F328" i="1"/>
  <c r="H328" i="1" s="1"/>
  <c r="F351" i="1"/>
  <c r="H351" i="1" s="1"/>
  <c r="F358" i="1"/>
  <c r="H358" i="1" s="1"/>
  <c r="F291" i="1"/>
  <c r="H291" i="1" s="1"/>
  <c r="F233" i="1"/>
  <c r="H233" i="1" s="1"/>
  <c r="F210" i="1"/>
  <c r="H210" i="1" s="1"/>
  <c r="F218" i="1"/>
  <c r="H218" i="1" s="1"/>
  <c r="F237" i="1"/>
  <c r="H237" i="1" s="1"/>
  <c r="F302" i="1"/>
  <c r="H302" i="1" s="1"/>
  <c r="F359" i="1"/>
  <c r="H359" i="1" s="1"/>
  <c r="F366" i="1"/>
  <c r="H366" i="1" s="1"/>
  <c r="F297" i="1"/>
  <c r="H297" i="1" s="1"/>
  <c r="F208" i="1"/>
  <c r="F231" i="1"/>
  <c r="H231" i="1" s="1"/>
  <c r="F257" i="1"/>
  <c r="H257" i="1" s="1"/>
  <c r="F292" i="1"/>
  <c r="H292" i="1" s="1"/>
  <c r="F323" i="1"/>
  <c r="H323" i="1" s="1"/>
  <c r="F336" i="1"/>
  <c r="H336" i="1" s="1"/>
  <c r="F363" i="1"/>
  <c r="H363" i="1" s="1"/>
  <c r="F232" i="1"/>
  <c r="H232" i="1" s="1"/>
  <c r="F259" i="1"/>
  <c r="H259" i="1" s="1"/>
  <c r="F242" i="1"/>
  <c r="H242" i="1" s="1"/>
  <c r="F266" i="1"/>
  <c r="H266" i="1" s="1"/>
  <c r="F274" i="1"/>
  <c r="H274" i="1" s="1"/>
  <c r="F278" i="1"/>
  <c r="H278" i="1" s="1"/>
  <c r="F282" i="1"/>
  <c r="H282" i="1" s="1"/>
  <c r="F298" i="1"/>
  <c r="H298" i="1" s="1"/>
  <c r="F293" i="1"/>
  <c r="H293" i="1" s="1"/>
  <c r="F299" i="1"/>
  <c r="H299" i="1" s="1"/>
  <c r="F309" i="1"/>
  <c r="H309" i="1" s="1"/>
  <c r="F341" i="1"/>
  <c r="H341" i="1" s="1"/>
  <c r="F346" i="1"/>
  <c r="H346" i="1" s="1"/>
  <c r="F349" i="1"/>
  <c r="H349" i="1" s="1"/>
  <c r="H296" i="1"/>
  <c r="F342" i="1"/>
  <c r="H342" i="1" s="1"/>
  <c r="F339" i="1"/>
  <c r="H339" i="1" s="1"/>
  <c r="F333" i="1"/>
  <c r="H333" i="1" s="1"/>
  <c r="F327" i="1"/>
  <c r="H327" i="1" s="1"/>
  <c r="F319" i="1"/>
  <c r="H319" i="1" s="1"/>
  <c r="F317" i="1"/>
  <c r="H317" i="1" s="1"/>
  <c r="K317" i="1" s="1"/>
  <c r="F275" i="1"/>
  <c r="H275" i="1" s="1"/>
  <c r="F279" i="1"/>
  <c r="H279" i="1" s="1"/>
  <c r="F269" i="1"/>
  <c r="H269" i="1" s="1"/>
  <c r="F273" i="1"/>
  <c r="H273" i="1" s="1"/>
  <c r="F281" i="1"/>
  <c r="H281" i="1" s="1"/>
  <c r="F285" i="1"/>
  <c r="H285" i="1" s="1"/>
  <c r="F315" i="1"/>
  <c r="H315" i="1" s="1"/>
  <c r="F314" i="1"/>
  <c r="H314" i="1" s="1"/>
  <c r="H313" i="1"/>
  <c r="F312" i="1"/>
  <c r="H312" i="1" s="1"/>
  <c r="F308" i="1"/>
  <c r="H308" i="1" s="1"/>
  <c r="F307" i="1"/>
  <c r="H307" i="1" s="1"/>
  <c r="F306" i="1"/>
  <c r="H306" i="1" s="1"/>
  <c r="F295" i="1"/>
  <c r="H295" i="1" s="1"/>
  <c r="F294" i="1"/>
  <c r="H294" i="1" s="1"/>
  <c r="F270" i="1"/>
  <c r="H270" i="1" s="1"/>
  <c r="F268" i="1"/>
  <c r="H268" i="1" s="1"/>
  <c r="F271" i="1"/>
  <c r="H271" i="1" s="1"/>
  <c r="F263" i="1"/>
  <c r="H263" i="1" s="1"/>
  <c r="F267" i="1"/>
  <c r="H267" i="1" s="1"/>
  <c r="F265" i="1"/>
  <c r="H265" i="1" s="1"/>
  <c r="F272" i="1"/>
  <c r="H272" i="1" s="1"/>
  <c r="F283" i="1"/>
  <c r="H283" i="1" s="1"/>
  <c r="F277" i="1"/>
  <c r="H277" i="1" s="1"/>
  <c r="F284" i="1"/>
  <c r="H284" i="1" s="1"/>
  <c r="F255" i="1"/>
  <c r="H255" i="1" s="1"/>
  <c r="F243" i="1"/>
  <c r="H243" i="1" s="1"/>
  <c r="F235" i="1"/>
  <c r="H235" i="1" s="1"/>
  <c r="F240" i="1"/>
  <c r="H240" i="1" s="1"/>
  <c r="F236" i="1"/>
  <c r="H236" i="1" s="1"/>
  <c r="F230" i="1"/>
  <c r="H230" i="1" s="1"/>
  <c r="F229" i="1"/>
  <c r="H229" i="1" s="1"/>
  <c r="F228" i="1"/>
  <c r="H228" i="1" s="1"/>
  <c r="F223" i="1"/>
  <c r="H223" i="1" s="1"/>
  <c r="F220" i="1"/>
  <c r="H220" i="1" s="1"/>
  <c r="F209" i="1"/>
  <c r="H209" i="1" s="1"/>
  <c r="F180" i="1"/>
  <c r="F181" i="1"/>
  <c r="H181" i="1" s="1"/>
  <c r="F182" i="1"/>
  <c r="H182" i="1" s="1"/>
  <c r="F179" i="1"/>
  <c r="H179" i="1" s="1"/>
  <c r="J235" i="1" l="1"/>
  <c r="J149" i="1" s="1"/>
  <c r="K235" i="1"/>
  <c r="K149" i="1" s="1"/>
  <c r="H180" i="1"/>
  <c r="G163" i="1" s="1"/>
  <c r="G164" i="1" s="1"/>
  <c r="C163" i="1"/>
  <c r="C164" i="1" s="1"/>
  <c r="E163" i="1"/>
  <c r="E164" i="1" s="1"/>
  <c r="H208" i="1"/>
  <c r="G167" i="1" s="1"/>
  <c r="C167" i="1"/>
  <c r="E167" i="1"/>
  <c r="H290" i="1"/>
  <c r="G168" i="1" s="1"/>
  <c r="C168" i="1"/>
  <c r="E168" i="1"/>
  <c r="B459" i="1"/>
  <c r="E171" i="1" l="1"/>
  <c r="I149" i="1"/>
  <c r="C171" i="1"/>
  <c r="G171" i="1"/>
  <c r="G58" i="1"/>
  <c r="C58" i="1"/>
  <c r="S33" i="1" l="1"/>
  <c r="F11" i="5" l="1"/>
  <c r="G11" i="5" s="1"/>
  <c r="F10" i="5"/>
  <c r="G10" i="5" s="1"/>
  <c r="F9" i="5"/>
  <c r="G9" i="5" s="1"/>
  <c r="F8" i="5"/>
  <c r="G8" i="5" s="1"/>
  <c r="F7" i="5"/>
  <c r="G7" i="5" s="1"/>
  <c r="F6" i="5"/>
  <c r="G6" i="5" s="1"/>
  <c r="F5" i="5"/>
  <c r="G5" i="5" s="1"/>
  <c r="G12" i="5" s="1"/>
  <c r="D481" i="1"/>
  <c r="B460" i="1"/>
  <c r="A180" i="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G172" i="1"/>
  <c r="E172" i="1"/>
  <c r="C172" i="1"/>
  <c r="F160" i="1"/>
  <c r="D69" i="1"/>
  <c r="D62" i="1"/>
  <c r="G51" i="1"/>
  <c r="C51" i="1"/>
  <c r="E44" i="1"/>
  <c r="E45" i="1" s="1"/>
  <c r="E31" i="1"/>
  <c r="E28" i="1"/>
  <c r="E26" i="1"/>
  <c r="C16" i="1"/>
  <c r="I15" i="1"/>
  <c r="Z13" i="1"/>
  <c r="E8" i="1"/>
  <c r="E3" i="1"/>
  <c r="H119" i="1"/>
  <c r="H76" i="1"/>
  <c r="H105" i="1"/>
  <c r="J75" i="1" l="1"/>
  <c r="J77" i="1" s="1"/>
  <c r="J78" i="1"/>
  <c r="J79" i="1"/>
  <c r="J80" i="1"/>
  <c r="C79" i="1" s="1"/>
  <c r="J109" i="1"/>
  <c r="D113" i="1"/>
  <c r="D115" i="1"/>
  <c r="J108" i="1"/>
  <c r="D114" i="1"/>
  <c r="J104" i="1"/>
  <c r="J106" i="1" s="1"/>
  <c r="D112" i="1"/>
  <c r="J107" i="1"/>
  <c r="D111" i="1"/>
  <c r="D117" i="1"/>
  <c r="D116" i="1"/>
  <c r="D110" i="1"/>
  <c r="D83" i="1"/>
  <c r="D85" i="1"/>
  <c r="D84" i="1"/>
  <c r="D88" i="1"/>
  <c r="D82" i="1"/>
  <c r="D87" i="1"/>
  <c r="D81" i="1"/>
  <c r="D86" i="1"/>
  <c r="J118" i="1"/>
  <c r="J120" i="1" s="1"/>
  <c r="D127" i="1"/>
  <c r="D129" i="1"/>
  <c r="J123" i="1"/>
  <c r="C122" i="1" s="1"/>
  <c r="D122" i="1" s="1"/>
  <c r="D128" i="1"/>
  <c r="J122" i="1"/>
  <c r="D126" i="1"/>
  <c r="J121" i="1"/>
  <c r="D125" i="1"/>
  <c r="D131" i="1"/>
  <c r="D130" i="1"/>
  <c r="B119" i="1"/>
  <c r="B105" i="1"/>
  <c r="B76" i="1"/>
  <c r="J81" i="1" s="1"/>
  <c r="B133" i="1" l="1"/>
  <c r="C108" i="1"/>
  <c r="D108" i="1" s="1"/>
  <c r="D79" i="1"/>
  <c r="D124" i="1"/>
  <c r="J129" i="1"/>
  <c r="J126" i="1"/>
  <c r="J128" i="1"/>
  <c r="J127" i="1"/>
  <c r="J124" i="1"/>
  <c r="J125" i="1" s="1"/>
  <c r="J130" i="1" s="1"/>
  <c r="J115" i="1"/>
  <c r="J112" i="1"/>
  <c r="J114" i="1"/>
  <c r="J113" i="1"/>
  <c r="J110" i="1"/>
  <c r="J111" i="1" s="1"/>
  <c r="J85" i="1"/>
  <c r="J83" i="1"/>
  <c r="J84" i="1"/>
  <c r="J82" i="1"/>
  <c r="J87" i="1" s="1"/>
  <c r="J86" i="1"/>
  <c r="H133" i="1"/>
  <c r="D145" i="1" l="1"/>
  <c r="D141" i="1"/>
  <c r="D143" i="1"/>
  <c r="D139" i="1"/>
  <c r="D142" i="1"/>
  <c r="D138" i="1"/>
  <c r="J135" i="1"/>
  <c r="D144" i="1"/>
  <c r="D140" i="1"/>
  <c r="J136" i="1"/>
  <c r="J137" i="1"/>
  <c r="C136" i="1" s="1"/>
  <c r="D136" i="1" s="1"/>
  <c r="J132" i="1"/>
  <c r="J134" i="1" s="1"/>
  <c r="J143" i="1"/>
  <c r="J142" i="1"/>
  <c r="J138" i="1"/>
  <c r="J139" i="1" s="1"/>
  <c r="J144" i="1" s="1"/>
  <c r="J145" i="1" s="1"/>
  <c r="C137" i="1" s="1"/>
  <c r="J141" i="1"/>
  <c r="J140" i="1"/>
  <c r="J131" i="1"/>
  <c r="C123" i="1" s="1"/>
  <c r="J88" i="1"/>
  <c r="J116" i="1"/>
  <c r="G122" i="1" l="1"/>
  <c r="E122" i="1"/>
  <c r="C80" i="1"/>
  <c r="E79" i="1" s="1"/>
  <c r="C103" i="1" s="1"/>
  <c r="E136" i="1"/>
  <c r="D137" i="1"/>
  <c r="I133" i="1" s="1"/>
  <c r="I134" i="1" s="1"/>
  <c r="G136" i="1"/>
  <c r="J133" i="1"/>
  <c r="J119" i="1"/>
  <c r="D123" i="1"/>
  <c r="I119" i="1" s="1"/>
  <c r="I120" i="1" s="1"/>
  <c r="J117" i="1"/>
  <c r="C109" i="1" s="1"/>
  <c r="G146" i="1" l="1"/>
  <c r="C146" i="1"/>
  <c r="J76" i="1"/>
  <c r="D80" i="1"/>
  <c r="I76" i="1" s="1"/>
  <c r="I77" i="1" s="1"/>
  <c r="G79" i="1"/>
  <c r="I132" i="1"/>
  <c r="C134" i="1" s="1"/>
  <c r="I118" i="1"/>
  <c r="C120" i="1" s="1"/>
  <c r="J105" i="1"/>
  <c r="E108" i="1"/>
  <c r="D109" i="1"/>
  <c r="I105" i="1" s="1"/>
  <c r="I106" i="1" s="1"/>
  <c r="G108" i="1"/>
  <c r="D73" i="1" l="1"/>
  <c r="F74" i="1" s="1"/>
  <c r="G103" i="1"/>
  <c r="I75" i="1"/>
  <c r="C77" i="1" s="1"/>
  <c r="I104" i="1"/>
  <c r="C106" i="1" s="1"/>
  <c r="D7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53"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04"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<sst xmlns="http://schemas.openxmlformats.org/spreadsheetml/2006/main" count="974" uniqueCount="368">
  <si>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</si>
  <si>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</si>
  <si>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</si>
  <si>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</si>
  <si>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</si>
  <si>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</si>
  <si>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</si>
  <si>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</si>
  <si>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</si>
  <si>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</si>
  <si>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</si>
  <si>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</si>
  <si>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</si>
  <si>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</si>
  <si>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</si>
  <si>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</si>
  <si>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</si>
  <si>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</si>
  <si>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</si>
  <si>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</si>
  <si>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</si>
  <si>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</si>
  <si>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</si>
  <si>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</si>
  <si>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</si>
  <si>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</si>
  <si>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</si>
  <si>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</si>
  <si>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</si>
  <si>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</si>
  <si>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</si>
  <si>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</si>
  <si>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</si>
  <si>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</si>
  <si>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</si>
  <si>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</si>
  <si>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</si>
  <si>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</si>
  <si>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</si>
  <si>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</si>
  <si>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</si>
  <si>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</si>
  <si>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</si>
  <si>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</si>
  <si>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</si>
  <si>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</si>
  <si>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</si>
  <si>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</si>
  <si>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</si>
  <si>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</si>
  <si>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</si>
  <si>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</si>
  <si>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</si>
  <si>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</si>
  <si>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</si>
  <si>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</si>
  <si>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</si>
  <si>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</si>
  <si>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</si>
  <si>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</si>
  <si>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</si>
  <si>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</si>
  <si>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</si>
  <si>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</si>
  <si>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</si>
  <si>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</si>
  <si>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</si>
  <si>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</si>
  <si>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</si>
  <si>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</si>
  <si>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</si>
  <si>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</si>
  <si>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</si>
  <si>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</si>
  <si>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</si>
  <si>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</si>
  <si>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</si>
  <si>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</si>
  <si>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</si>
  <si>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</si>
  <si>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</si>
  <si>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</si>
  <si>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</si>
  <si>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</si>
  <si>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</si>
  <si>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</si>
  <si>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</si>
  <si>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</si>
  <si>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</si>
  <si>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</si>
  <si>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</si>
  <si>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</si>
  <si>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</si>
  <si>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</si>
  <si>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</si>
  <si>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</si>
  <si>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</si>
  <si>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</si>
  <si>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</si>
  <si>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</si>
  <si>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</si>
  <si>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</si>
  <si>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</si>
  <si>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</si>
  <si>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</si>
  <si>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</si>
  <si>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</si>
  <si>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</si>
  <si>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</si>
  <si>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</si>
  <si>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</si>
  <si>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</si>
  <si>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</si>
  <si>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</si>
  <si>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</si>
  <si>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</si>
  <si>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</si>
  <si>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</si>
  <si>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</si>
  <si>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</si>
  <si>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</si>
  <si>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</si>
  <si>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</si>
  <si>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</si>
  <si>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</si>
  <si>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</si>
  <si>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</si>
  <si>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</si>
  <si>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</si>
  <si>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</si>
  <si>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</si>
  <si>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</si>
  <si>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</si>
  <si>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</si>
  <si>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</si>
  <si>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</si>
  <si>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</si>
  <si>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</si>
  <si>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</si>
  <si>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</si>
  <si>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</si>
  <si>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</si>
  <si>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</si>
  <si>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</si>
  <si>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</si>
  <si>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</si>
  <si>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</si>
  <si>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</si>
  <si>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</si>
  <si>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</si>
  <si>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</si>
  <si>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</si>
  <si>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</si>
  <si>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</si>
  <si>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</si>
  <si>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</si>
  <si>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</si>
  <si>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</si>
  <si>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</si>
  <si>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</si>
  <si>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</si>
  <si>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</si>
  <si>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</si>
  <si>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</si>
  <si>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</si>
  <si>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</si>
  <si>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</si>
  <si>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</si>
  <si>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</si>
  <si>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</si>
  <si>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</si>
  <si>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</si>
  <si>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</si>
  <si>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</si>
  <si>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</si>
  <si>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</si>
  <si>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</si>
  <si>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</si>
  <si>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</si>
  <si>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</si>
  <si>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</si>
  <si>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</si>
  <si>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</si>
  <si>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</si>
  <si>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</si>
  <si>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</si>
  <si>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</si>
  <si>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</si>
  <si>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</si>
  <si>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</si>
  <si>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</si>
  <si>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</si>
  <si>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</si>
  <si>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</si>
  <si>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</si>
  <si>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</si>
  <si>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</si>
  <si>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</si>
  <si>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</si>
  <si>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</si>
  <si>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</si>
  <si>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</si>
  <si>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</si>
  <si>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</si>
  <si>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</si>
  <si>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</si>
  <si>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</si>
  <si>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</si>
  <si>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</si>
  <si>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</si>
  <si>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</si>
  <si>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</si>
  <si>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</si>
  <si>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</si>
  <si>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</si>
  <si>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</si>
  <si>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</si>
  <si>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</si>
  <si>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</si>
  <si>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</si>
  <si>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</si>
  <si>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</si>
  <si>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</si>
  <si>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</si>
  <si>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</si>
  <si>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</si>
  <si>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</si>
  <si>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</si>
  <si>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</si>
  <si>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</si>
  <si>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</si>
  <si>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</si>
  <si>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</si>
  <si>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</si>
  <si>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</si>
  <si>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</si>
  <si>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</si>
  <si>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</si>
  <si>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</si>
  <si>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</si>
  <si>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</si>
  <si>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</si>
  <si>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</si>
  <si>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</si>
  <si>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</si>
  <si>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</si>
  <si>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</si>
  <si>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</si>
  <si>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</si>
  <si>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</si>
  <si>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</si>
  <si>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</si>
  <si>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</si>
  <si>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</si>
  <si>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</si>
  <si>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</si>
  <si>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</si>
  <si>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</si>
  <si>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</si>
  <si>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</si>
  <si>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</si>
  <si>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</si>
  <si>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</si>
  <si>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</si>
  <si>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</si>
  <si>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</si>
  <si>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</si>
  <si>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</si>
  <si>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</si>
  <si>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</si>
  <si>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</si>
  <si>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</si>
  <si>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</si>
  <si>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</si>
  <si>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</si>
  <si>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</si>
  <si>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</si>
  <si>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</si>
  <si>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</si>
  <si>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</si>
  <si>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</si>
  <si>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</si>
  <si>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</si>
  <si>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</si>
  <si>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</si>
  <si>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</si>
  <si>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</si>
  <si>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</si>
  <si>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</si>
  <si>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</si>
  <si>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</si>
  <si>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</si>
  <si>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</si>
  <si>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</si>
  <si>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</si>
  <si>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Shree Budhdev Infra</t>
  </si>
  <si>
    <t>Usha Residency</t>
  </si>
  <si>
    <t>Building No.1, 2 &amp; 3</t>
  </si>
  <si>
    <t>P51700053334</t>
  </si>
  <si>
    <t>https://maps.app.goo.gl/xTeUgh9fj5RhZJmE8</t>
  </si>
  <si>
    <t>19.2807548,73.0341008</t>
  </si>
  <si>
    <t>Survey No</t>
  </si>
  <si>
    <t>Narpoli</t>
  </si>
  <si>
    <t>Anjurphata</t>
  </si>
  <si>
    <t>Chinchoti Anjurphata Marg</t>
  </si>
  <si>
    <t>The Polymath School</t>
  </si>
  <si>
    <t>13.7 KM from Kalwa Railway Station</t>
  </si>
  <si>
    <t>Internal Road</t>
  </si>
  <si>
    <t>Open Plot</t>
  </si>
  <si>
    <t>Other Plot</t>
  </si>
  <si>
    <t>18.0 M.Wide D.P. Road</t>
  </si>
  <si>
    <t>03 Buildings</t>
  </si>
  <si>
    <t>Maharashtra Housing and Area Development Authority (MHADA)</t>
  </si>
  <si>
    <t>EE/BP/PMAY/A/MHADA/755/2023</t>
  </si>
  <si>
    <t>As per RERA - 31/12/2025</t>
  </si>
  <si>
    <t>Building No.1 to 3 = Gr/Stilt + 1st to 14th Floor</t>
  </si>
  <si>
    <t>Building No.1 = Gr/Stilt + 1st to 14th Floor</t>
  </si>
  <si>
    <t>Building No.3 = Gr/Stilt + 1st to 14th Floor</t>
  </si>
  <si>
    <t>Building No.1</t>
  </si>
  <si>
    <t>Ground Floor for Parking</t>
  </si>
  <si>
    <t>1st Floor for Residential</t>
  </si>
  <si>
    <t>1BHK</t>
  </si>
  <si>
    <t>AP Area</t>
  </si>
  <si>
    <t>2nd to 7th, 9th to 12th &amp; 14th Floor</t>
  </si>
  <si>
    <t>8th &amp; 13th Floor (Part Refuge Area)</t>
  </si>
  <si>
    <t>Refuge Area</t>
  </si>
  <si>
    <t>Building No.2</t>
  </si>
  <si>
    <t>Building No.3</t>
  </si>
  <si>
    <r>
      <t xml:space="preserve">Shop No.
</t>
    </r>
    <r>
      <rPr>
        <b/>
        <sz val="11"/>
        <rFont val="Times New Roman"/>
        <family val="1"/>
      </rPr>
      <t>(Approved Plan)</t>
    </r>
  </si>
  <si>
    <r>
      <t xml:space="preserve">Flat No.
</t>
    </r>
    <r>
      <rPr>
        <b/>
        <sz val="11"/>
        <rFont val="Times New Roman"/>
        <family val="1"/>
      </rPr>
      <t>(Approved Plan)</t>
    </r>
  </si>
  <si>
    <t>Shop</t>
  </si>
  <si>
    <t>Ground Floor for Commercial, Electric Meter Room, Society Office &amp; Parking</t>
  </si>
  <si>
    <t>1st to 3rd Floor for Residential
(Total EWS to be handed over to B.N.C.M.C)</t>
  </si>
  <si>
    <t>4th Floor</t>
  </si>
  <si>
    <t>5th to 7th, 9th to 12th &amp; 14th Floor</t>
  </si>
  <si>
    <t>We considered Gross carpet area = Net carpet + A.P. Area.</t>
  </si>
  <si>
    <t>Ground Floor for Residential &amp; Parking</t>
  </si>
  <si>
    <t>Shops</t>
  </si>
  <si>
    <r>
      <t xml:space="preserve">Proposed Amenities :                                                                                                                                                                                                                         </t>
    </r>
    <r>
      <rPr>
        <b/>
        <sz val="12"/>
        <rFont val="Times New Roman"/>
        <family val="1"/>
      </rPr>
      <t xml:space="preserve">                                               </t>
    </r>
  </si>
  <si>
    <t>Online</t>
  </si>
  <si>
    <t>Visitor</t>
  </si>
  <si>
    <t>24x7 CCTV Security, Branded Elevator, Ample Car Parking Space, Gym, Cricket Practice Pitch, Landscape Garden, Power Backup Common, Jogging Track, Yoga Deck, Temple, Senior Citizen Area, Seating Lounch, Common Toilet Area, Indoor Games, Fitness &amp; Recreation Area, Children Play Zone, ATM, Solar Energy connection, Gated Community</t>
  </si>
  <si>
    <t>MIS</t>
  </si>
  <si>
    <t>18, H.No.10</t>
  </si>
  <si>
    <t>Brijesh Pandey : 8668630805 &amp; 
Vivek Pandey : 9226122208</t>
  </si>
  <si>
    <t>B.N.C.M.C</t>
  </si>
  <si>
    <t>B.N.C.M.C Flats</t>
  </si>
  <si>
    <t>Sale</t>
  </si>
  <si>
    <t xml:space="preserve">Building No.3 </t>
  </si>
  <si>
    <t>Sale Flats - 936, B.N.C.M.C Flats - 61,  Shops - 23</t>
  </si>
  <si>
    <t>Building No.2 = Gr/Stilt + 1st to 14th Floor</t>
  </si>
  <si>
    <t>SIA/MH/INFRA2/442881/2023</t>
  </si>
  <si>
    <t>Plot Area = 9850 Sqm
Proposed Builtup Area = 45551.01 Sqm</t>
  </si>
  <si>
    <t>EC Updated on 27/04/2024</t>
  </si>
  <si>
    <t>EE/BP/PMAY/A/MHADA/431/2024</t>
  </si>
  <si>
    <t>This Further CC is Granted under sanction 45 of MRTP Act 1966 for the building no.1 &amp; 3 of Stilt + 14th having height 43.80 m, Bldg No.2 Gr + 14th Floor having 44.55 m. Comprising total 997 EWS T/s. &amp; 23 Conv. Shops as per approved plans issued by this office vide letter No. EE/BP/PMAY/A/MHADA/755/2021 plans dtd 18/09/2023.</t>
  </si>
  <si>
    <t xml:space="preserve">We have updated revised C.C (on 26/06/2024).
</t>
  </si>
  <si>
    <t>Mr. Mangesh Bapardekar</t>
  </si>
  <si>
    <t>Part 1 Building No.1 = Gr/Stilt + 1st to 14th Floor</t>
  </si>
  <si>
    <t>Part 2 Building No.1 = Gr/Stilt + 1st to 14th Floor</t>
  </si>
  <si>
    <t>Building No. 1 Average Progress %</t>
  </si>
  <si>
    <t>Part 2 Building No.3 = Gr/Stilt + 1st to 14th Floor</t>
  </si>
  <si>
    <t>Building No. 3 Average Progress %</t>
  </si>
  <si>
    <t xml:space="preserve">Building No. 3 Average Disbursement % </t>
  </si>
  <si>
    <t>Vivek Pandey : 9821234569</t>
  </si>
  <si>
    <t>Construction work is in process at the time of Visit.</t>
  </si>
  <si>
    <t>Building No. 1 Average Disburstment %</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</si>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</sst>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7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10" xfId="1" applyFont="1" applyBorder="1"/>
    <xf numFmtId="0" fontId="15"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1" fillId="2" borderId="30" xfId="0" applyFont="1" applyFill="1" applyBorder="1"/>
    <xf numFmtId="0" fontId="22" fillId="0" borderId="31" xfId="0" applyFont="1" applyBorder="1"/>
    <xf numFmtId="0" fontId="22" fillId="0" borderId="1" xfId="0" applyFont="1" applyBorder="1"/>
    <xf numFmtId="0" fontId="22"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3" fillId="0" borderId="0" xfId="1" applyFont="1" applyAlignment="1">
      <alignment horizontal="center" vertical="center"/>
    </xf>
    <xf numFmtId="0" fontId="29" fillId="0" borderId="0" xfId="1" applyFont="1" applyAlignment="1">
      <alignment horizontal="center" vertical="center"/>
    </xf>
    <xf numFmtId="0" fontId="13" fillId="0" borderId="0" xfId="2" applyFont="1" applyAlignment="1">
      <alignment horizontal="center" vertical="center"/>
    </xf>
    <xf numFmtId="0" fontId="13" fillId="0" borderId="0" xfId="0" applyFont="1" applyAlignment="1">
      <alignment horizontal="center" vertical="center"/>
    </xf>
    <xf numFmtId="1" fontId="13" fillId="0" borderId="0" xfId="1" applyNumberFormat="1" applyFont="1" applyAlignment="1">
      <alignment horizontal="center" vertical="center"/>
    </xf>
    <xf numFmtId="1" fontId="10" fillId="0" borderId="1" xfId="0" applyNumberFormat="1" applyFont="1" applyBorder="1" applyAlignment="1" applyProtection="1">
      <alignment horizontal="center" vertical="center" wrapText="1"/>
      <protection locked="0"/>
    </xf>
    <xf numFmtId="0" fontId="10" fillId="0" borderId="0" xfId="0" applyFont="1" applyAlignment="1">
      <alignment horizontal="center" vertical="center"/>
    </xf>
    <xf numFmtId="1" fontId="6" fillId="0" borderId="1" xfId="1" applyNumberFormat="1" applyFont="1" applyBorder="1" applyAlignment="1" applyProtection="1">
      <alignment horizontal="center" vertical="top" wrapText="1"/>
      <protection locked="0"/>
    </xf>
    <xf numFmtId="1" fontId="0" fillId="0" borderId="0" xfId="0" applyNumberFormat="1"/>
    <xf numFmtId="0" fontId="10" fillId="0" borderId="3" xfId="1" applyFont="1" applyBorder="1" applyAlignment="1" applyProtection="1">
      <alignment horizontal="center" vertical="top" wrapText="1"/>
      <protection locked="0"/>
    </xf>
    <xf numFmtId="9" fontId="10" fillId="0" borderId="3" xfId="8" applyFont="1" applyFill="1" applyBorder="1" applyAlignment="1" applyProtection="1">
      <alignment horizontal="center" vertical="top" wrapText="1"/>
      <protection locked="0"/>
    </xf>
    <xf numFmtId="0" fontId="21" fillId="2" borderId="16" xfId="0" applyFont="1" applyFill="1" applyBorder="1"/>
    <xf numFmtId="0" fontId="22" fillId="0" borderId="43" xfId="0" applyFont="1" applyBorder="1"/>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 fontId="11" fillId="3" borderId="8" xfId="1" applyNumberFormat="1" applyFont="1" applyFill="1" applyBorder="1" applyAlignment="1" applyProtection="1">
      <alignment horizontal="center" vertical="center" wrapText="1"/>
      <protection locked="0"/>
    </xf>
    <xf numFmtId="1" fontId="11" fillId="3" borderId="21" xfId="1" applyNumberFormat="1" applyFont="1" applyFill="1" applyBorder="1" applyAlignment="1" applyProtection="1">
      <alignment horizontal="center" vertical="center" wrapText="1"/>
      <protection locked="0"/>
    </xf>
    <xf numFmtId="1" fontId="11" fillId="3" borderId="9" xfId="1" applyNumberFormat="1" applyFont="1" applyFill="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wrapText="1"/>
      <protection locked="0"/>
    </xf>
    <xf numFmtId="1" fontId="10" fillId="0" borderId="16"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0" fontId="11" fillId="0" borderId="16" xfId="1" applyFont="1" applyBorder="1" applyAlignment="1" applyProtection="1">
      <alignment horizontal="center" vertical="top"/>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0" fillId="0" borderId="21" xfId="1" applyNumberFormat="1" applyFont="1" applyBorder="1" applyAlignment="1" applyProtection="1">
      <alignment horizontal="center" vertical="center"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10"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5" fillId="0" borderId="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64" fontId="10" fillId="0" borderId="1" xfId="1" applyNumberFormat="1" applyFont="1" applyBorder="1" applyAlignment="1" applyProtection="1">
      <alignment horizontal="left" vertical="top"/>
      <protection locked="0"/>
    </xf>
    <xf numFmtId="0" fontId="11" fillId="0" borderId="36"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37"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0" fillId="0" borderId="19" xfId="1" applyFont="1" applyBorder="1" applyAlignment="1" applyProtection="1">
      <alignment horizontal="left" vertical="top"/>
      <protection locked="0"/>
    </xf>
    <xf numFmtId="0" fontId="10" fillId="0" borderId="2" xfId="1" applyFont="1" applyBorder="1" applyAlignment="1" applyProtection="1">
      <alignment horizontal="left" vertical="top"/>
      <protection locked="0"/>
    </xf>
    <xf numFmtId="0" fontId="10" fillId="0" borderId="20" xfId="1" applyFont="1" applyBorder="1" applyAlignment="1" applyProtection="1">
      <alignment horizontal="left" vertical="top"/>
      <protection locked="0"/>
    </xf>
    <xf numFmtId="0" fontId="10" fillId="0" borderId="24" xfId="1" applyFont="1" applyBorder="1" applyAlignment="1" applyProtection="1">
      <alignment horizontal="left" vertical="top" wrapText="1"/>
      <protection locked="0"/>
    </xf>
    <xf numFmtId="0" fontId="10" fillId="0" borderId="25"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9" fillId="0" borderId="38" xfId="1" applyFont="1" applyBorder="1" applyAlignment="1" applyProtection="1">
      <alignment horizontal="center" vertical="center" wrapText="1"/>
      <protection locked="0"/>
    </xf>
    <xf numFmtId="0" fontId="9" fillId="0" borderId="39" xfId="1" applyFont="1" applyBorder="1" applyAlignment="1" applyProtection="1">
      <alignment horizontal="center" vertical="center" wrapText="1"/>
      <protection locked="0"/>
    </xf>
    <xf numFmtId="0" fontId="9" fillId="0" borderId="41" xfId="1" applyFont="1" applyBorder="1" applyAlignment="1" applyProtection="1">
      <alignment horizontal="center" vertical="center" wrapText="1"/>
      <protection locked="0"/>
    </xf>
    <xf numFmtId="0" fontId="9" fillId="0" borderId="29" xfId="1" applyFont="1" applyBorder="1" applyAlignment="1" applyProtection="1">
      <alignment horizontal="center" vertical="center" wrapText="1"/>
      <protection locked="0"/>
    </xf>
    <xf numFmtId="9" fontId="11" fillId="0" borderId="40" xfId="1" applyNumberFormat="1" applyFont="1" applyBorder="1" applyAlignment="1" applyProtection="1">
      <alignment horizontal="center" vertical="center" wrapText="1"/>
      <protection locked="0"/>
    </xf>
    <xf numFmtId="0" fontId="11" fillId="0" borderId="39" xfId="1" applyFont="1" applyBorder="1" applyAlignment="1" applyProtection="1">
      <alignment horizontal="center" vertical="center" wrapText="1"/>
      <protection locked="0"/>
    </xf>
    <xf numFmtId="0" fontId="11" fillId="0" borderId="28" xfId="1" applyFont="1" applyBorder="1" applyAlignment="1" applyProtection="1">
      <alignment horizontal="center" vertical="center" wrapText="1"/>
      <protection locked="0"/>
    </xf>
    <xf numFmtId="0" fontId="11" fillId="0" borderId="29" xfId="1" applyFont="1" applyBorder="1" applyAlignment="1" applyProtection="1">
      <alignment horizontal="center" vertical="center" wrapText="1"/>
      <protection locked="0"/>
    </xf>
    <xf numFmtId="0" fontId="9" fillId="0" borderId="40" xfId="1" applyFont="1" applyBorder="1" applyAlignment="1" applyProtection="1">
      <alignment horizontal="center" vertical="center" wrapText="1"/>
      <protection locked="0"/>
    </xf>
    <xf numFmtId="0" fontId="9" fillId="0" borderId="28" xfId="1" applyFont="1" applyBorder="1" applyAlignment="1" applyProtection="1">
      <alignment horizontal="center" vertical="center" wrapText="1"/>
      <protection locked="0"/>
    </xf>
    <xf numFmtId="0" fontId="11" fillId="0" borderId="42" xfId="1" applyFont="1" applyBorder="1" applyAlignment="1" applyProtection="1">
      <alignment horizontal="center" vertical="center" wrapText="1"/>
      <protection locked="0"/>
    </xf>
    <xf numFmtId="0" fontId="11" fillId="0" borderId="11" xfId="1" applyFont="1" applyBorder="1" applyAlignment="1" applyProtection="1">
      <alignment horizontal="center" vertical="center" wrapText="1"/>
      <protection locked="0"/>
    </xf>
    <xf numFmtId="0" fontId="10" fillId="0" borderId="5"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0" fontId="27" fillId="0" borderId="1" xfId="1" applyFont="1" applyBorder="1" applyAlignment="1" applyProtection="1">
      <alignment horizontal="center" vertical="top" wrapText="1"/>
      <protection locked="0"/>
    </xf>
    <xf numFmtId="14" fontId="10" fillId="0" borderId="1" xfId="1" applyNumberFormat="1" applyFont="1" applyBorder="1" applyAlignment="1" applyProtection="1">
      <alignment horizontal="left" vertical="top"/>
      <protection locked="0"/>
    </xf>
    <xf numFmtId="0" fontId="10" fillId="0" borderId="3" xfId="1" applyFont="1" applyBorder="1" applyAlignment="1" applyProtection="1">
      <alignment horizontal="left" vertical="top" wrapText="1"/>
      <protection locked="0"/>
    </xf>
    <xf numFmtId="16" fontId="10" fillId="0" borderId="1" xfId="1" applyNumberFormat="1" applyFont="1" applyBorder="1" applyAlignment="1" applyProtection="1">
      <alignment horizontal="left" vertical="top" wrapText="1"/>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2" fontId="10" fillId="0" borderId="1"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left" vertical="top" wrapText="1"/>
      <protection locked="0"/>
    </xf>
    <xf numFmtId="2" fontId="10" fillId="0" borderId="1" xfId="1" applyNumberFormat="1" applyFont="1" applyBorder="1" applyAlignment="1" applyProtection="1">
      <alignment horizontal="left" vertical="top"/>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10" fillId="0" borderId="3" xfId="1" applyFont="1" applyBorder="1" applyAlignment="1" applyProtection="1">
      <alignment horizontal="left" vertical="top"/>
      <protection locked="0"/>
    </xf>
    <xf numFmtId="0" fontId="23"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0" fontId="13" fillId="2" borderId="25" xfId="0" applyFont="1" applyFill="1" applyBorder="1" applyAlignment="1">
      <alignment horizontal="center" vertical="center"/>
    </xf>
    <xf numFmtId="0" fontId="13" fillId="2" borderId="0" xfId="0" applyFont="1" applyFill="1" applyAlignment="1">
      <alignment horizontal="center" vertical="center"/>
    </xf>
    <xf numFmtId="1" fontId="10" fillId="0" borderId="1" xfId="0" applyNumberFormat="1" applyFont="1" applyBorder="1" applyAlignment="1" applyProtection="1">
      <alignment horizontal="center" vertical="center" wrapText="1"/>
      <protection locked="0"/>
    </xf>
    <xf numFmtId="0" fontId="6" fillId="0" borderId="35"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0" fontId="9" fillId="0" borderId="44" xfId="1" applyFont="1" applyBorder="1" applyAlignment="1" applyProtection="1">
      <alignment horizontal="center" vertical="top" wrapText="1"/>
      <protection locked="0"/>
    </xf>
    <xf numFmtId="0" fontId="9" fillId="0" borderId="45" xfId="1" applyFont="1" applyBorder="1" applyAlignment="1" applyProtection="1">
      <alignment horizontal="center" vertical="top" wrapText="1"/>
      <protection locked="0"/>
    </xf>
    <xf numFmtId="9" fontId="11" fillId="0" borderId="45" xfId="1" applyNumberFormat="1" applyFont="1" applyBorder="1" applyAlignment="1" applyProtection="1">
      <alignment horizontal="center" vertical="center" wrapText="1"/>
      <protection locked="0"/>
    </xf>
    <xf numFmtId="0" fontId="11" fillId="0" borderId="45" xfId="1" applyFont="1" applyBorder="1" applyAlignment="1" applyProtection="1">
      <alignment horizontal="center" vertical="center" wrapText="1"/>
      <protection locked="0"/>
    </xf>
    <xf numFmtId="9" fontId="11" fillId="0" borderId="45" xfId="8" applyFont="1" applyFill="1" applyBorder="1" applyAlignment="1" applyProtection="1">
      <alignment horizontal="center" vertical="center" wrapText="1"/>
      <protection locked="0"/>
    </xf>
    <xf numFmtId="9" fontId="11" fillId="0" borderId="46" xfId="8" applyFont="1" applyFill="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jpeg"/><Relationship Id="rId4" Type="http://schemas.openxmlformats.org/officeDocument/2006/relationships/image" Target="../media/image28.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781050</xdr:colOff>
      <xdr:row>566</xdr:row>
      <xdr:rowOff>25401</xdr:rowOff>
    </xdr:from>
    <xdr:to>
      <xdr:col>6</xdr:col>
      <xdr:colOff>94800</xdr:colOff>
      <xdr:row>583</xdr:row>
      <xdr:rowOff>155981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543050" y="107924601"/>
          <a:ext cx="3399975" cy="3531005"/>
        </a:xfrm>
        <a:prstGeom prst="rect">
          <a:avLst/>
        </a:prstGeom>
        <a:ln>
          <a:solidFill>
            <a:schemeClr val="tx1"/>
          </a:solidFill>
        </a:ln>
      </xdr:spPr>
    </xdr:pic>
    <xdr:clientData/>
  </xdr:twoCellAnchor>
  <xdr:twoCellAnchor>
    <xdr:from>
      <xdr:col>1</xdr:col>
      <xdr:colOff>177800</xdr:colOff>
      <xdr:row>523</xdr:row>
      <xdr:rowOff>177800</xdr:rowOff>
    </xdr:from>
    <xdr:to>
      <xdr:col>6</xdr:col>
      <xdr:colOff>571550</xdr:colOff>
      <xdr:row>549</xdr:row>
      <xdr:rowOff>50712</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962660" y="104617520"/>
          <a:ext cx="4584750" cy="5024032"/>
          <a:chOff x="939800" y="103914575"/>
          <a:chExt cx="4479975" cy="5073562"/>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939800" y="103914575"/>
            <a:ext cx="4479975" cy="5073562"/>
          </a:xfrm>
          <a:prstGeom prst="rect">
            <a:avLst/>
          </a:prstGeom>
          <a:ln>
            <a:solidFill>
              <a:schemeClr val="tx1"/>
            </a:solidFill>
          </a:ln>
        </xdr:spPr>
      </xdr:pic>
      <xdr:sp macro="" textlink="">
        <xdr:nvSpPr>
          <xdr:cNvPr id="6" name="TextBox 6">
            <a:extLst>
              <a:ext uri="{FF2B5EF4-FFF2-40B4-BE49-F238E27FC236}">
                <a16:creationId xmlns:a16="http://schemas.microsoft.com/office/drawing/2014/main" id="{00000000-0008-0000-0000-000006000000}"/>
              </a:ext>
            </a:extLst>
          </xdr:cNvPr>
          <xdr:cNvSpPr txBox="1"/>
        </xdr:nvSpPr>
        <xdr:spPr>
          <a:xfrm>
            <a:off x="1219200" y="108356400"/>
            <a:ext cx="736600" cy="26773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Bldg No.1</a:t>
            </a:r>
          </a:p>
        </xdr:txBody>
      </xdr:sp>
      <xdr:cxnSp macro="">
        <xdr:nvCxnSpPr>
          <xdr:cNvPr id="8" name="Straight Arrow Connector 7">
            <a:extLst>
              <a:ext uri="{FF2B5EF4-FFF2-40B4-BE49-F238E27FC236}">
                <a16:creationId xmlns:a16="http://schemas.microsoft.com/office/drawing/2014/main" id="{00000000-0008-0000-0000-000008000000}"/>
              </a:ext>
            </a:extLst>
          </xdr:cNvPr>
          <xdr:cNvCxnSpPr>
            <a:stCxn id="6" idx="0"/>
          </xdr:cNvCxnSpPr>
        </xdr:nvCxnSpPr>
        <xdr:spPr>
          <a:xfrm flipV="1">
            <a:off x="1568450" y="107838875"/>
            <a:ext cx="171450" cy="5175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sp macro="" textlink="">
        <xdr:nvSpPr>
          <xdr:cNvPr id="11" name="TextBox 6">
            <a:extLst>
              <a:ext uri="{FF2B5EF4-FFF2-40B4-BE49-F238E27FC236}">
                <a16:creationId xmlns:a16="http://schemas.microsoft.com/office/drawing/2014/main" id="{00000000-0008-0000-0000-00000B000000}"/>
              </a:ext>
            </a:extLst>
          </xdr:cNvPr>
          <xdr:cNvSpPr txBox="1"/>
        </xdr:nvSpPr>
        <xdr:spPr>
          <a:xfrm>
            <a:off x="4448175" y="106689525"/>
            <a:ext cx="736600" cy="270910"/>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Bldg No.2</a:t>
            </a:r>
          </a:p>
        </xdr:txBody>
      </xdr:sp>
      <xdr:cxnSp macro="">
        <xdr:nvCxnSpPr>
          <xdr:cNvPr id="12" name="Straight Arrow Connector 11">
            <a:extLst>
              <a:ext uri="{FF2B5EF4-FFF2-40B4-BE49-F238E27FC236}">
                <a16:creationId xmlns:a16="http://schemas.microsoft.com/office/drawing/2014/main" id="{00000000-0008-0000-0000-00000C000000}"/>
              </a:ext>
            </a:extLst>
          </xdr:cNvPr>
          <xdr:cNvCxnSpPr>
            <a:stCxn id="11" idx="0"/>
          </xdr:cNvCxnSpPr>
        </xdr:nvCxnSpPr>
        <xdr:spPr>
          <a:xfrm flipH="1" flipV="1">
            <a:off x="3768725" y="106302175"/>
            <a:ext cx="1066800" cy="3873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sp macro="" textlink="">
        <xdr:nvSpPr>
          <xdr:cNvPr id="14" name="TextBox 6">
            <a:extLst>
              <a:ext uri="{FF2B5EF4-FFF2-40B4-BE49-F238E27FC236}">
                <a16:creationId xmlns:a16="http://schemas.microsoft.com/office/drawing/2014/main" id="{00000000-0008-0000-0000-00000E000000}"/>
              </a:ext>
            </a:extLst>
          </xdr:cNvPr>
          <xdr:cNvSpPr txBox="1"/>
        </xdr:nvSpPr>
        <xdr:spPr>
          <a:xfrm>
            <a:off x="1638300" y="104174925"/>
            <a:ext cx="774700" cy="26773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wrap="square" rtlCol="0" anchor="t">
            <a:sp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100" b="0" cap="none" spc="0">
                <a:ln w="0"/>
                <a:solidFill>
                  <a:schemeClr val="tx1"/>
                </a:solidFill>
                <a:effectLst>
                  <a:outerShdw blurRad="38100" dist="19050" dir="2700000" algn="tl" rotWithShape="0">
                    <a:schemeClr val="dk1">
                      <a:alpha val="40000"/>
                    </a:schemeClr>
                  </a:outerShdw>
                </a:effectLst>
              </a:rPr>
              <a:t>Bldg No.3</a:t>
            </a:r>
          </a:p>
        </xdr:txBody>
      </xdr:sp>
      <xdr:cxnSp macro="">
        <xdr:nvCxnSpPr>
          <xdr:cNvPr id="15" name="Straight Arrow Connector 14">
            <a:extLst>
              <a:ext uri="{FF2B5EF4-FFF2-40B4-BE49-F238E27FC236}">
                <a16:creationId xmlns:a16="http://schemas.microsoft.com/office/drawing/2014/main" id="{00000000-0008-0000-0000-00000F000000}"/>
              </a:ext>
            </a:extLst>
          </xdr:cNvPr>
          <xdr:cNvCxnSpPr/>
        </xdr:nvCxnSpPr>
        <xdr:spPr>
          <a:xfrm>
            <a:off x="2006600" y="104425750"/>
            <a:ext cx="708025" cy="5556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editAs="oneCell">
    <xdr:from>
      <xdr:col>8</xdr:col>
      <xdr:colOff>1193800</xdr:colOff>
      <xdr:row>10</xdr:row>
      <xdr:rowOff>120650</xdr:rowOff>
    </xdr:from>
    <xdr:to>
      <xdr:col>14</xdr:col>
      <xdr:colOff>267744</xdr:colOff>
      <xdr:row>26</xdr:row>
      <xdr:rowOff>105428</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7816850" y="2679700"/>
          <a:ext cx="4496844" cy="3382027"/>
        </a:xfrm>
        <a:prstGeom prst="rect">
          <a:avLst/>
        </a:prstGeom>
        <a:ln>
          <a:solidFill>
            <a:schemeClr val="tx1"/>
          </a:solidFill>
        </a:ln>
      </xdr:spPr>
    </xdr:pic>
    <xdr:clientData/>
  </xdr:twoCellAnchor>
  <xdr:twoCellAnchor editAs="oneCell">
    <xdr:from>
      <xdr:col>8</xdr:col>
      <xdr:colOff>152400</xdr:colOff>
      <xdr:row>46</xdr:row>
      <xdr:rowOff>28575</xdr:rowOff>
    </xdr:from>
    <xdr:to>
      <xdr:col>14</xdr:col>
      <xdr:colOff>14252</xdr:colOff>
      <xdr:row>56</xdr:row>
      <xdr:rowOff>489516</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6461312" y="10113869"/>
          <a:ext cx="5050175" cy="3240000"/>
        </a:xfrm>
        <a:prstGeom prst="rect">
          <a:avLst/>
        </a:prstGeom>
      </xdr:spPr>
    </xdr:pic>
    <xdr:clientData/>
  </xdr:twoCellAnchor>
  <xdr:twoCellAnchor>
    <xdr:from>
      <xdr:col>1</xdr:col>
      <xdr:colOff>609600</xdr:colOff>
      <xdr:row>584</xdr:row>
      <xdr:rowOff>85725</xdr:rowOff>
    </xdr:from>
    <xdr:to>
      <xdr:col>6</xdr:col>
      <xdr:colOff>314325</xdr:colOff>
      <xdr:row>606</xdr:row>
      <xdr:rowOff>0</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1394460" y="114629565"/>
          <a:ext cx="3895725" cy="4272915"/>
          <a:chOff x="1371600" y="112447107"/>
          <a:chExt cx="3794872" cy="4356980"/>
        </a:xfrm>
      </xdr:grpSpPr>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5"/>
          <a:stretch>
            <a:fillRect/>
          </a:stretch>
        </xdr:blipFill>
        <xdr:spPr>
          <a:xfrm>
            <a:off x="1371600" y="112447107"/>
            <a:ext cx="3794872" cy="4356980"/>
          </a:xfrm>
          <a:prstGeom prst="rect">
            <a:avLst/>
          </a:prstGeom>
          <a:ln>
            <a:solidFill>
              <a:schemeClr val="tx1"/>
            </a:solidFill>
          </a:ln>
        </xdr:spPr>
      </xdr:pic>
      <xdr:sp macro="" textlink="">
        <xdr:nvSpPr>
          <xdr:cNvPr id="53" name="TextBox 6">
            <a:extLst>
              <a:ext uri="{FF2B5EF4-FFF2-40B4-BE49-F238E27FC236}">
                <a16:creationId xmlns:a16="http://schemas.microsoft.com/office/drawing/2014/main" id="{00000000-0008-0000-0000-000035000000}"/>
              </a:ext>
            </a:extLst>
          </xdr:cNvPr>
          <xdr:cNvSpPr txBox="1"/>
        </xdr:nvSpPr>
        <xdr:spPr>
          <a:xfrm>
            <a:off x="2794611" y="113755779"/>
            <a:ext cx="914535" cy="2700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200" b="1" cap="none" spc="0">
                <a:ln w="0"/>
                <a:solidFill>
                  <a:srgbClr val="FFFF00"/>
                </a:solidFill>
                <a:effectLst>
                  <a:outerShdw blurRad="38100" dist="19050" dir="2700000" algn="tl" rotWithShape="0">
                    <a:schemeClr val="dk1">
                      <a:alpha val="40000"/>
                    </a:schemeClr>
                  </a:outerShdw>
                </a:effectLst>
              </a:rPr>
              <a:t>Bldg No.3</a:t>
            </a:r>
          </a:p>
        </xdr:txBody>
      </xdr:sp>
      <xdr:sp macro="" textlink="">
        <xdr:nvSpPr>
          <xdr:cNvPr id="19" name="Freeform 18">
            <a:extLst>
              <a:ext uri="{FF2B5EF4-FFF2-40B4-BE49-F238E27FC236}">
                <a16:creationId xmlns:a16="http://schemas.microsoft.com/office/drawing/2014/main" id="{00000000-0008-0000-0000-000013000000}"/>
              </a:ext>
            </a:extLst>
          </xdr:cNvPr>
          <xdr:cNvSpPr/>
        </xdr:nvSpPr>
        <xdr:spPr>
          <a:xfrm>
            <a:off x="1837766" y="113067353"/>
            <a:ext cx="2678205" cy="3126441"/>
          </a:xfrm>
          <a:custGeom>
            <a:avLst/>
            <a:gdLst>
              <a:gd name="connsiteX0" fmla="*/ 2689411 w 2689411"/>
              <a:gd name="connsiteY0" fmla="*/ 1736912 h 3070412"/>
              <a:gd name="connsiteX1" fmla="*/ 1378323 w 2689411"/>
              <a:gd name="connsiteY1" fmla="*/ 2465294 h 3070412"/>
              <a:gd name="connsiteX2" fmla="*/ 1210235 w 2689411"/>
              <a:gd name="connsiteY2" fmla="*/ 3070412 h 3070412"/>
              <a:gd name="connsiteX3" fmla="*/ 0 w 2689411"/>
              <a:gd name="connsiteY3" fmla="*/ 2823883 h 3070412"/>
              <a:gd name="connsiteX4" fmla="*/ 605117 w 2689411"/>
              <a:gd name="connsiteY4" fmla="*/ 1053353 h 3070412"/>
              <a:gd name="connsiteX5" fmla="*/ 1086970 w 2689411"/>
              <a:gd name="connsiteY5" fmla="*/ 571500 h 3070412"/>
              <a:gd name="connsiteX6" fmla="*/ 1075764 w 2689411"/>
              <a:gd name="connsiteY6" fmla="*/ 257736 h 3070412"/>
              <a:gd name="connsiteX7" fmla="*/ 1490382 w 2689411"/>
              <a:gd name="connsiteY7" fmla="*/ 0 h 3070412"/>
              <a:gd name="connsiteX8" fmla="*/ 1781735 w 2689411"/>
              <a:gd name="connsiteY8" fmla="*/ 224118 h 3070412"/>
              <a:gd name="connsiteX9" fmla="*/ 2017059 w 2689411"/>
              <a:gd name="connsiteY9" fmla="*/ 1109383 h 3070412"/>
              <a:gd name="connsiteX10" fmla="*/ 2689411 w 2689411"/>
              <a:gd name="connsiteY10" fmla="*/ 1736912 h 30704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2689411" h="3070412">
                <a:moveTo>
                  <a:pt x="2689411" y="1736912"/>
                </a:moveTo>
                <a:lnTo>
                  <a:pt x="1378323" y="2465294"/>
                </a:lnTo>
                <a:lnTo>
                  <a:pt x="1210235" y="3070412"/>
                </a:lnTo>
                <a:lnTo>
                  <a:pt x="0" y="2823883"/>
                </a:lnTo>
                <a:lnTo>
                  <a:pt x="605117" y="1053353"/>
                </a:lnTo>
                <a:lnTo>
                  <a:pt x="1086970" y="571500"/>
                </a:lnTo>
                <a:lnTo>
                  <a:pt x="1075764" y="257736"/>
                </a:lnTo>
                <a:lnTo>
                  <a:pt x="1490382" y="0"/>
                </a:lnTo>
                <a:lnTo>
                  <a:pt x="1781735" y="224118"/>
                </a:lnTo>
                <a:lnTo>
                  <a:pt x="2017059" y="1109383"/>
                </a:lnTo>
                <a:lnTo>
                  <a:pt x="2689411" y="1736912"/>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5" name="TextBox 6">
            <a:extLst>
              <a:ext uri="{FF2B5EF4-FFF2-40B4-BE49-F238E27FC236}">
                <a16:creationId xmlns:a16="http://schemas.microsoft.com/office/drawing/2014/main" id="{00000000-0008-0000-0000-000037000000}"/>
              </a:ext>
            </a:extLst>
          </xdr:cNvPr>
          <xdr:cNvSpPr txBox="1"/>
        </xdr:nvSpPr>
        <xdr:spPr>
          <a:xfrm>
            <a:off x="1983441" y="115476618"/>
            <a:ext cx="914535" cy="2700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200" b="1" cap="none" spc="0">
                <a:ln w="0"/>
                <a:solidFill>
                  <a:srgbClr val="FFFF00"/>
                </a:solidFill>
                <a:effectLst>
                  <a:outerShdw blurRad="38100" dist="19050" dir="2700000" algn="tl" rotWithShape="0">
                    <a:schemeClr val="dk1">
                      <a:alpha val="40000"/>
                    </a:schemeClr>
                  </a:outerShdw>
                </a:effectLst>
              </a:rPr>
              <a:t>Bldg No.1</a:t>
            </a:r>
          </a:p>
        </xdr:txBody>
      </xdr:sp>
      <xdr:sp macro="" textlink="">
        <xdr:nvSpPr>
          <xdr:cNvPr id="56" name="TextBox 6">
            <a:extLst>
              <a:ext uri="{FF2B5EF4-FFF2-40B4-BE49-F238E27FC236}">
                <a16:creationId xmlns:a16="http://schemas.microsoft.com/office/drawing/2014/main" id="{00000000-0008-0000-0000-000038000000}"/>
              </a:ext>
            </a:extLst>
          </xdr:cNvPr>
          <xdr:cNvSpPr txBox="1"/>
        </xdr:nvSpPr>
        <xdr:spPr>
          <a:xfrm>
            <a:off x="3222812" y="114822194"/>
            <a:ext cx="914535" cy="27004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rtlCol="0" anchor="t">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r>
              <a:rPr lang="en-IN" sz="1200" b="1" cap="none" spc="0">
                <a:ln w="0"/>
                <a:solidFill>
                  <a:srgbClr val="FFFF00"/>
                </a:solidFill>
                <a:effectLst>
                  <a:outerShdw blurRad="38100" dist="19050" dir="2700000" algn="tl" rotWithShape="0">
                    <a:schemeClr val="dk1">
                      <a:alpha val="40000"/>
                    </a:schemeClr>
                  </a:outerShdw>
                </a:effectLst>
              </a:rPr>
              <a:t>Bldg No.2</a:t>
            </a:r>
          </a:p>
        </xdr:txBody>
      </xdr:sp>
    </xdr:grpSp>
    <xdr:clientData/>
  </xdr:twoCellAnchor>
  <xdr:twoCellAnchor>
    <xdr:from>
      <xdr:col>8</xdr:col>
      <xdr:colOff>851894</xdr:colOff>
      <xdr:row>485</xdr:row>
      <xdr:rowOff>34837</xdr:rowOff>
    </xdr:from>
    <xdr:to>
      <xdr:col>8</xdr:col>
      <xdr:colOff>1030412</xdr:colOff>
      <xdr:row>486</xdr:row>
      <xdr:rowOff>172552</xdr:rowOff>
    </xdr:to>
    <xdr:cxnSp macro="">
      <xdr:nvCxnSpPr>
        <xdr:cNvPr id="57" name="Straight Arrow Connector 56">
          <a:extLst>
            <a:ext uri="{FF2B5EF4-FFF2-40B4-BE49-F238E27FC236}">
              <a16:creationId xmlns:a16="http://schemas.microsoft.com/office/drawing/2014/main" id="{1AA010E6-3C91-45A0-9B41-394B0927A393}"/>
            </a:ext>
          </a:extLst>
        </xdr:cNvPr>
        <xdr:cNvCxnSpPr>
          <a:stCxn id="51" idx="2"/>
        </xdr:cNvCxnSpPr>
      </xdr:nvCxnSpPr>
      <xdr:spPr>
        <a:xfrm flipH="1">
          <a:off x="7166969" y="97770862"/>
          <a:ext cx="178518" cy="33774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151644</xdr:colOff>
      <xdr:row>477</xdr:row>
      <xdr:rowOff>143205</xdr:rowOff>
    </xdr:from>
    <xdr:to>
      <xdr:col>12</xdr:col>
      <xdr:colOff>662940</xdr:colOff>
      <xdr:row>479</xdr:row>
      <xdr:rowOff>83820</xdr:rowOff>
    </xdr:to>
    <xdr:cxnSp macro="">
      <xdr:nvCxnSpPr>
        <xdr:cNvPr id="58" name="Straight Arrow Connector 57">
          <a:extLst>
            <a:ext uri="{FF2B5EF4-FFF2-40B4-BE49-F238E27FC236}">
              <a16:creationId xmlns:a16="http://schemas.microsoft.com/office/drawing/2014/main" id="{3AC722FA-EA53-4F36-B1FB-FDEB4E92A224}"/>
            </a:ext>
          </a:extLst>
        </xdr:cNvPr>
        <xdr:cNvCxnSpPr/>
      </xdr:nvCxnSpPr>
      <xdr:spPr>
        <a:xfrm>
          <a:off x="7832604" y="95477025"/>
          <a:ext cx="2972556" cy="33685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203835</xdr:colOff>
      <xdr:row>481</xdr:row>
      <xdr:rowOff>38100</xdr:rowOff>
    </xdr:from>
    <xdr:to>
      <xdr:col>17</xdr:col>
      <xdr:colOff>17319</xdr:colOff>
      <xdr:row>516</xdr:row>
      <xdr:rowOff>119656</xdr:rowOff>
    </xdr:to>
    <xdr:grpSp>
      <xdr:nvGrpSpPr>
        <xdr:cNvPr id="36" name="Group 35">
          <a:extLst>
            <a:ext uri="{FF2B5EF4-FFF2-40B4-BE49-F238E27FC236}">
              <a16:creationId xmlns:a16="http://schemas.microsoft.com/office/drawing/2014/main" id="{997E3B2A-525A-4E20-9C61-47415C0AE1D7}"/>
            </a:ext>
          </a:extLst>
        </xdr:cNvPr>
        <xdr:cNvGrpSpPr/>
      </xdr:nvGrpSpPr>
      <xdr:grpSpPr>
        <a:xfrm>
          <a:off x="7884795" y="96164400"/>
          <a:ext cx="6206664" cy="7008136"/>
          <a:chOff x="577775" y="520953"/>
          <a:chExt cx="6058074" cy="7072906"/>
        </a:xfrm>
      </xdr:grpSpPr>
      <xdr:pic>
        <xdr:nvPicPr>
          <xdr:cNvPr id="37" name="Picture 36">
            <a:extLst>
              <a:ext uri="{FF2B5EF4-FFF2-40B4-BE49-F238E27FC236}">
                <a16:creationId xmlns:a16="http://schemas.microsoft.com/office/drawing/2014/main" id="{90CAAEEF-788D-447A-92B4-6DDE7B8E06AB}"/>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2650537" y="520953"/>
            <a:ext cx="1888031" cy="2520000"/>
          </a:xfrm>
          <a:prstGeom prst="rect">
            <a:avLst/>
          </a:prstGeom>
          <a:ln>
            <a:solidFill>
              <a:schemeClr val="tx1"/>
            </a:solidFill>
          </a:ln>
        </xdr:spPr>
      </xdr:pic>
      <xdr:pic>
        <xdr:nvPicPr>
          <xdr:cNvPr id="38" name="Picture 37">
            <a:extLst>
              <a:ext uri="{FF2B5EF4-FFF2-40B4-BE49-F238E27FC236}">
                <a16:creationId xmlns:a16="http://schemas.microsoft.com/office/drawing/2014/main" id="{46AA3E65-5F28-42B0-82EA-659751079567}"/>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577775" y="520953"/>
            <a:ext cx="1888031" cy="2520000"/>
          </a:xfrm>
          <a:prstGeom prst="rect">
            <a:avLst/>
          </a:prstGeom>
          <a:ln>
            <a:solidFill>
              <a:schemeClr val="tx1"/>
            </a:solidFill>
          </a:ln>
        </xdr:spPr>
      </xdr:pic>
      <xdr:pic>
        <xdr:nvPicPr>
          <xdr:cNvPr id="39" name="Picture 38">
            <a:extLst>
              <a:ext uri="{FF2B5EF4-FFF2-40B4-BE49-F238E27FC236}">
                <a16:creationId xmlns:a16="http://schemas.microsoft.com/office/drawing/2014/main" id="{A41E30D9-DEAF-43E3-8BAC-FC9D979113A1}"/>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723299" y="520953"/>
            <a:ext cx="1888031" cy="2520000"/>
          </a:xfrm>
          <a:prstGeom prst="rect">
            <a:avLst/>
          </a:prstGeom>
          <a:ln>
            <a:solidFill>
              <a:schemeClr val="tx1"/>
            </a:solidFill>
          </a:ln>
        </xdr:spPr>
      </xdr:pic>
      <xdr:pic>
        <xdr:nvPicPr>
          <xdr:cNvPr id="40" name="Picture 39">
            <a:extLst>
              <a:ext uri="{FF2B5EF4-FFF2-40B4-BE49-F238E27FC236}">
                <a16:creationId xmlns:a16="http://schemas.microsoft.com/office/drawing/2014/main" id="{3318F16A-6C16-490F-A2EB-8457659C72FE}"/>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615995" y="3247406"/>
            <a:ext cx="1753172" cy="2340000"/>
          </a:xfrm>
          <a:prstGeom prst="rect">
            <a:avLst/>
          </a:prstGeom>
          <a:ln>
            <a:solidFill>
              <a:schemeClr val="tx1"/>
            </a:solidFill>
          </a:ln>
        </xdr:spPr>
      </xdr:pic>
      <xdr:pic>
        <xdr:nvPicPr>
          <xdr:cNvPr id="41" name="Picture 40">
            <a:extLst>
              <a:ext uri="{FF2B5EF4-FFF2-40B4-BE49-F238E27FC236}">
                <a16:creationId xmlns:a16="http://schemas.microsoft.com/office/drawing/2014/main" id="{9AB068EC-33BA-4429-A7A0-8E8408E2B34E}"/>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976240" y="5793859"/>
            <a:ext cx="1348593" cy="1800000"/>
          </a:xfrm>
          <a:prstGeom prst="rect">
            <a:avLst/>
          </a:prstGeom>
          <a:ln>
            <a:solidFill>
              <a:schemeClr val="tx1"/>
            </a:solidFill>
          </a:ln>
        </xdr:spPr>
      </xdr:pic>
      <xdr:pic>
        <xdr:nvPicPr>
          <xdr:cNvPr id="42" name="Picture 41">
            <a:extLst>
              <a:ext uri="{FF2B5EF4-FFF2-40B4-BE49-F238E27FC236}">
                <a16:creationId xmlns:a16="http://schemas.microsoft.com/office/drawing/2014/main" id="{66CC5E1F-E014-4AD2-B5E5-3345ACC2BF09}"/>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533169" y="5793859"/>
            <a:ext cx="1348593" cy="1800000"/>
          </a:xfrm>
          <a:prstGeom prst="rect">
            <a:avLst/>
          </a:prstGeom>
          <a:ln>
            <a:solidFill>
              <a:schemeClr val="tx1"/>
            </a:solidFill>
          </a:ln>
        </xdr:spPr>
      </xdr:pic>
      <xdr:sp macro="" textlink="">
        <xdr:nvSpPr>
          <xdr:cNvPr id="43" name="TextBox 92">
            <a:extLst>
              <a:ext uri="{FF2B5EF4-FFF2-40B4-BE49-F238E27FC236}">
                <a16:creationId xmlns:a16="http://schemas.microsoft.com/office/drawing/2014/main" id="{48BC2CAE-CE53-4FD2-966F-504F6A602CFC}"/>
              </a:ext>
            </a:extLst>
          </xdr:cNvPr>
          <xdr:cNvSpPr txBox="1"/>
        </xdr:nvSpPr>
        <xdr:spPr>
          <a:xfrm>
            <a:off x="577775" y="2579288"/>
            <a:ext cx="1788054"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Part 1 Bldg 1</a:t>
            </a:r>
            <a:endParaRPr lang="en-IN" sz="2400" b="1">
              <a:solidFill>
                <a:srgbClr val="FF0000"/>
              </a:solidFill>
            </a:endParaRPr>
          </a:p>
        </xdr:txBody>
      </xdr:sp>
      <xdr:sp macro="" textlink="">
        <xdr:nvSpPr>
          <xdr:cNvPr id="46" name="TextBox 93">
            <a:extLst>
              <a:ext uri="{FF2B5EF4-FFF2-40B4-BE49-F238E27FC236}">
                <a16:creationId xmlns:a16="http://schemas.microsoft.com/office/drawing/2014/main" id="{0A48F7A5-6B0A-4A75-A811-D7EAB5C2E4ED}"/>
              </a:ext>
            </a:extLst>
          </xdr:cNvPr>
          <xdr:cNvSpPr txBox="1"/>
        </xdr:nvSpPr>
        <xdr:spPr>
          <a:xfrm>
            <a:off x="2683393" y="2445781"/>
            <a:ext cx="1788054"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Part 2 Bldg 1</a:t>
            </a:r>
            <a:endParaRPr lang="en-IN" sz="2400" b="1">
              <a:solidFill>
                <a:srgbClr val="FF0000"/>
              </a:solidFill>
            </a:endParaRPr>
          </a:p>
        </xdr:txBody>
      </xdr:sp>
      <xdr:sp macro="" textlink="">
        <xdr:nvSpPr>
          <xdr:cNvPr id="47" name="TextBox 94">
            <a:extLst>
              <a:ext uri="{FF2B5EF4-FFF2-40B4-BE49-F238E27FC236}">
                <a16:creationId xmlns:a16="http://schemas.microsoft.com/office/drawing/2014/main" id="{D545869D-A66A-403E-87DA-B191F1C64A9E}"/>
              </a:ext>
            </a:extLst>
          </xdr:cNvPr>
          <xdr:cNvSpPr txBox="1"/>
        </xdr:nvSpPr>
        <xdr:spPr>
          <a:xfrm>
            <a:off x="5667314" y="520953"/>
            <a:ext cx="968535"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Bldg 2</a:t>
            </a:r>
            <a:endParaRPr lang="en-IN" sz="2400" b="1">
              <a:solidFill>
                <a:srgbClr val="FF0000"/>
              </a:solidFill>
            </a:endParaRPr>
          </a:p>
        </xdr:txBody>
      </xdr:sp>
      <xdr:pic>
        <xdr:nvPicPr>
          <xdr:cNvPr id="48" name="Picture 47">
            <a:extLst>
              <a:ext uri="{FF2B5EF4-FFF2-40B4-BE49-F238E27FC236}">
                <a16:creationId xmlns:a16="http://schemas.microsoft.com/office/drawing/2014/main" id="{04DAF63C-6EE6-4806-B598-6413B43E8CFB}"/>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795362" y="3209265"/>
            <a:ext cx="1753171" cy="2340000"/>
          </a:xfrm>
          <a:prstGeom prst="rect">
            <a:avLst/>
          </a:prstGeom>
          <a:ln>
            <a:solidFill>
              <a:schemeClr val="tx1"/>
            </a:solidFill>
          </a:ln>
        </xdr:spPr>
      </xdr:pic>
      <xdr:pic>
        <xdr:nvPicPr>
          <xdr:cNvPr id="59" name="Picture 58">
            <a:extLst>
              <a:ext uri="{FF2B5EF4-FFF2-40B4-BE49-F238E27FC236}">
                <a16:creationId xmlns:a16="http://schemas.microsoft.com/office/drawing/2014/main" id="{848E9D6F-E634-4B76-A65D-3A0C5E1A6482}"/>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683393" y="3247406"/>
            <a:ext cx="1753172" cy="2340000"/>
          </a:xfrm>
          <a:prstGeom prst="rect">
            <a:avLst/>
          </a:prstGeom>
          <a:ln>
            <a:solidFill>
              <a:schemeClr val="tx1"/>
            </a:solidFill>
          </a:ln>
        </xdr:spPr>
      </xdr:pic>
      <xdr:sp macro="" textlink="">
        <xdr:nvSpPr>
          <xdr:cNvPr id="60" name="TextBox 101">
            <a:extLst>
              <a:ext uri="{FF2B5EF4-FFF2-40B4-BE49-F238E27FC236}">
                <a16:creationId xmlns:a16="http://schemas.microsoft.com/office/drawing/2014/main" id="{881CF66C-9421-43BB-9A56-5EACC5F48B45}"/>
              </a:ext>
            </a:extLst>
          </xdr:cNvPr>
          <xdr:cNvSpPr txBox="1"/>
        </xdr:nvSpPr>
        <xdr:spPr>
          <a:xfrm>
            <a:off x="1253252" y="5099288"/>
            <a:ext cx="968535"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b="1">
                <a:solidFill>
                  <a:srgbClr val="FF0000"/>
                </a:solidFill>
              </a:rPr>
              <a:t>Bldg 3</a:t>
            </a:r>
            <a:endParaRPr lang="en-IN" sz="2400" b="1">
              <a:solidFill>
                <a:srgbClr val="FF0000"/>
              </a:solidFill>
            </a:endParaRPr>
          </a:p>
        </xdr:txBody>
      </xdr:sp>
    </xdr:grpSp>
    <xdr:clientData/>
  </xdr:twoCellAnchor>
  <xdr:twoCellAnchor>
    <xdr:from>
      <xdr:col>0</xdr:col>
      <xdr:colOff>213360</xdr:colOff>
      <xdr:row>482</xdr:row>
      <xdr:rowOff>15240</xdr:rowOff>
    </xdr:from>
    <xdr:to>
      <xdr:col>7</xdr:col>
      <xdr:colOff>496112</xdr:colOff>
      <xdr:row>518</xdr:row>
      <xdr:rowOff>14380</xdr:rowOff>
    </xdr:to>
    <xdr:grpSp>
      <xdr:nvGrpSpPr>
        <xdr:cNvPr id="10" name="Group 9">
          <a:extLst>
            <a:ext uri="{FF2B5EF4-FFF2-40B4-BE49-F238E27FC236}">
              <a16:creationId xmlns:a16="http://schemas.microsoft.com/office/drawing/2014/main" id="{7D7B7A3C-EA57-B5A7-527C-C340C64A4D22}"/>
            </a:ext>
          </a:extLst>
        </xdr:cNvPr>
        <xdr:cNvGrpSpPr/>
      </xdr:nvGrpSpPr>
      <xdr:grpSpPr>
        <a:xfrm>
          <a:off x="213360" y="96339660"/>
          <a:ext cx="6012992" cy="7123840"/>
          <a:chOff x="-38101" y="121920"/>
          <a:chExt cx="6012992" cy="7123840"/>
        </a:xfrm>
      </xdr:grpSpPr>
      <xdr:grpSp>
        <xdr:nvGrpSpPr>
          <xdr:cNvPr id="13" name="Group 12">
            <a:extLst>
              <a:ext uri="{FF2B5EF4-FFF2-40B4-BE49-F238E27FC236}">
                <a16:creationId xmlns:a16="http://schemas.microsoft.com/office/drawing/2014/main" id="{E4D363FB-A88A-1075-D2A2-D762006ED5D8}"/>
              </a:ext>
            </a:extLst>
          </xdr:cNvPr>
          <xdr:cNvGrpSpPr/>
        </xdr:nvGrpSpPr>
        <xdr:grpSpPr>
          <a:xfrm>
            <a:off x="-38101" y="2783840"/>
            <a:ext cx="6012992" cy="2520000"/>
            <a:chOff x="216932" y="2783840"/>
            <a:chExt cx="6012992" cy="2520000"/>
          </a:xfrm>
        </xdr:grpSpPr>
        <xdr:pic>
          <xdr:nvPicPr>
            <xdr:cNvPr id="26" name="Picture 25">
              <a:extLst>
                <a:ext uri="{FF2B5EF4-FFF2-40B4-BE49-F238E27FC236}">
                  <a16:creationId xmlns:a16="http://schemas.microsoft.com/office/drawing/2014/main" id="{02F9F9F2-9C01-C8CF-27AE-80596BA19735}"/>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4341893" y="2783840"/>
              <a:ext cx="1888031" cy="2520000"/>
            </a:xfrm>
            <a:prstGeom prst="rect">
              <a:avLst/>
            </a:prstGeom>
            <a:ln>
              <a:solidFill>
                <a:schemeClr val="tx1"/>
              </a:solidFill>
            </a:ln>
          </xdr:spPr>
        </xdr:pic>
        <xdr:pic>
          <xdr:nvPicPr>
            <xdr:cNvPr id="27" name="Picture 26">
              <a:extLst>
                <a:ext uri="{FF2B5EF4-FFF2-40B4-BE49-F238E27FC236}">
                  <a16:creationId xmlns:a16="http://schemas.microsoft.com/office/drawing/2014/main" id="{846B01B0-6875-6741-53FC-54F5C1105C45}"/>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2279413" y="2783840"/>
              <a:ext cx="1888031" cy="2520000"/>
            </a:xfrm>
            <a:prstGeom prst="rect">
              <a:avLst/>
            </a:prstGeom>
            <a:ln>
              <a:solidFill>
                <a:schemeClr val="tx1"/>
              </a:solidFill>
            </a:ln>
          </xdr:spPr>
        </xdr:pic>
        <xdr:pic>
          <xdr:nvPicPr>
            <xdr:cNvPr id="29" name="Picture 28">
              <a:extLst>
                <a:ext uri="{FF2B5EF4-FFF2-40B4-BE49-F238E27FC236}">
                  <a16:creationId xmlns:a16="http://schemas.microsoft.com/office/drawing/2014/main" id="{726D5FCE-739A-BF0E-136C-F5162F0A8F41}"/>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16932" y="2783840"/>
              <a:ext cx="1888031" cy="2520000"/>
            </a:xfrm>
            <a:prstGeom prst="rect">
              <a:avLst/>
            </a:prstGeom>
            <a:ln>
              <a:solidFill>
                <a:schemeClr val="tx1"/>
              </a:solidFill>
            </a:ln>
          </xdr:spPr>
        </xdr:pic>
      </xdr:grpSp>
      <xdr:grpSp>
        <xdr:nvGrpSpPr>
          <xdr:cNvPr id="16" name="Group 15">
            <a:extLst>
              <a:ext uri="{FF2B5EF4-FFF2-40B4-BE49-F238E27FC236}">
                <a16:creationId xmlns:a16="http://schemas.microsoft.com/office/drawing/2014/main" id="{DB96C273-3CC7-DFA8-D6D4-7ECA68995BA9}"/>
              </a:ext>
            </a:extLst>
          </xdr:cNvPr>
          <xdr:cNvGrpSpPr/>
        </xdr:nvGrpSpPr>
        <xdr:grpSpPr>
          <a:xfrm>
            <a:off x="-38100" y="121920"/>
            <a:ext cx="6012991" cy="2520000"/>
            <a:chOff x="216933" y="121920"/>
            <a:chExt cx="6012991" cy="2520000"/>
          </a:xfrm>
        </xdr:grpSpPr>
        <xdr:pic>
          <xdr:nvPicPr>
            <xdr:cNvPr id="23" name="Picture 22">
              <a:extLst>
                <a:ext uri="{FF2B5EF4-FFF2-40B4-BE49-F238E27FC236}">
                  <a16:creationId xmlns:a16="http://schemas.microsoft.com/office/drawing/2014/main" id="{7A3EA5DA-A257-4CBA-3CDB-070AEFB4E363}"/>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341893" y="121920"/>
              <a:ext cx="1888031" cy="2520000"/>
            </a:xfrm>
            <a:prstGeom prst="rect">
              <a:avLst/>
            </a:prstGeom>
            <a:ln>
              <a:solidFill>
                <a:schemeClr val="tx1"/>
              </a:solidFill>
            </a:ln>
          </xdr:spPr>
        </xdr:pic>
        <xdr:pic>
          <xdr:nvPicPr>
            <xdr:cNvPr id="24" name="Picture 23">
              <a:extLst>
                <a:ext uri="{FF2B5EF4-FFF2-40B4-BE49-F238E27FC236}">
                  <a16:creationId xmlns:a16="http://schemas.microsoft.com/office/drawing/2014/main" id="{AA2975BE-48EC-4DE2-5D29-FA791E5D54CB}"/>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216933" y="121920"/>
              <a:ext cx="1888031"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CE222DE2-45B9-7C75-5F11-41B9FBE8EDD0}"/>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279413" y="121920"/>
              <a:ext cx="1888031" cy="2520000"/>
            </a:xfrm>
            <a:prstGeom prst="rect">
              <a:avLst/>
            </a:prstGeom>
            <a:ln>
              <a:solidFill>
                <a:schemeClr val="tx1"/>
              </a:solidFill>
            </a:ln>
          </xdr:spPr>
        </xdr:pic>
      </xdr:grpSp>
      <xdr:grpSp>
        <xdr:nvGrpSpPr>
          <xdr:cNvPr id="17" name="Group 16">
            <a:extLst>
              <a:ext uri="{FF2B5EF4-FFF2-40B4-BE49-F238E27FC236}">
                <a16:creationId xmlns:a16="http://schemas.microsoft.com/office/drawing/2014/main" id="{27F6E276-3011-7B92-7891-185800519AFD}"/>
              </a:ext>
            </a:extLst>
          </xdr:cNvPr>
          <xdr:cNvGrpSpPr/>
        </xdr:nvGrpSpPr>
        <xdr:grpSpPr>
          <a:xfrm>
            <a:off x="246024" y="5445760"/>
            <a:ext cx="5444742" cy="1800000"/>
            <a:chOff x="-293133" y="5445760"/>
            <a:chExt cx="5444742" cy="1800000"/>
          </a:xfrm>
        </xdr:grpSpPr>
        <xdr:pic>
          <xdr:nvPicPr>
            <xdr:cNvPr id="18" name="Picture 17">
              <a:extLst>
                <a:ext uri="{FF2B5EF4-FFF2-40B4-BE49-F238E27FC236}">
                  <a16:creationId xmlns:a16="http://schemas.microsoft.com/office/drawing/2014/main" id="{F6FD12EE-E974-C3D8-2114-83F8BED87345}"/>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3803015" y="5445760"/>
              <a:ext cx="1348594"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3749CBA5-D52E-167D-548E-BBA5FC0F5367}"/>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2279413" y="5445760"/>
              <a:ext cx="1348594" cy="1800000"/>
            </a:xfrm>
            <a:prstGeom prst="rect">
              <a:avLst/>
            </a:prstGeom>
            <a:ln>
              <a:solidFill>
                <a:schemeClr val="tx1"/>
              </a:solidFill>
            </a:ln>
          </xdr:spPr>
        </xdr:pic>
        <xdr:pic>
          <xdr:nvPicPr>
            <xdr:cNvPr id="22" name="Picture 21">
              <a:extLst>
                <a:ext uri="{FF2B5EF4-FFF2-40B4-BE49-F238E27FC236}">
                  <a16:creationId xmlns:a16="http://schemas.microsoft.com/office/drawing/2014/main" id="{E440AD45-6A8C-E130-AA67-5B1B94DFC3AC}"/>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293133" y="5445760"/>
              <a:ext cx="2398096"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31</xdr:row>
      <xdr:rowOff>22146</xdr:rowOff>
    </xdr:from>
    <xdr:to>
      <xdr:col>4</xdr:col>
      <xdr:colOff>469412</xdr:colOff>
      <xdr:row>47</xdr:row>
      <xdr:rowOff>71411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5908970"/>
          <a:ext cx="5400000" cy="3037500"/>
        </a:xfrm>
        <a:prstGeom prst="rect">
          <a:avLst/>
        </a:prstGeom>
        <a:ln>
          <a:solidFill>
            <a:schemeClr val="tx1"/>
          </a:solidFill>
        </a:ln>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a:ln>
          <a:solidFill>
            <a:schemeClr val="tx1"/>
          </a:solidFill>
        </a:ln>
      </xdr:spPr>
    </xdr:pic>
    <xdr:clientData/>
  </xdr:twoCellAnchor>
  <xdr:twoCellAnchor editAs="oneCell">
    <xdr:from>
      <xdr:col>4</xdr:col>
      <xdr:colOff>633057</xdr:colOff>
      <xdr:row>14</xdr:row>
      <xdr:rowOff>0</xdr:rowOff>
    </xdr:from>
    <xdr:to>
      <xdr:col>10</xdr:col>
      <xdr:colOff>482409</xdr:colOff>
      <xdr:row>30</xdr:row>
      <xdr:rowOff>34323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176233" y="2696882"/>
          <a:ext cx="5400000" cy="3037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TeUgh9fj5RhZJmE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566"/>
  <sheetViews>
    <sheetView tabSelected="1" view="pageBreakPreview" zoomScaleNormal="100" zoomScaleSheetLayoutView="100" zoomScalePageLayoutView="85" workbookViewId="0">
      <selection activeCell="L601" sqref="L601"/>
    </sheetView>
  </sheetViews>
  <sheetFormatPr defaultColWidth="9.109375" defaultRowHeight="15.6" x14ac:dyDescent="0.3"/>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8" width="11" style="39" customWidth="1"/>
    <col min="9" max="9" width="17.44140625" style="20" customWidth="1"/>
    <col min="10" max="10" width="11.44140625" style="20" customWidth="1"/>
    <col min="11" max="11" width="10.5546875" style="20" bestFit="1" customWidth="1"/>
    <col min="12" max="12" width="13.88671875" style="20" bestFit="1" customWidth="1"/>
    <col min="13" max="13" width="11.88671875" style="20" customWidth="1"/>
    <col min="14" max="14" width="12.554687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224" t="s">
        <v>161</v>
      </c>
      <c r="B1" s="224"/>
      <c r="C1" s="224"/>
      <c r="D1" s="224"/>
      <c r="E1" s="224"/>
      <c r="F1" s="224"/>
      <c r="G1" s="224"/>
      <c r="H1" s="224"/>
    </row>
    <row r="2" spans="1:26" ht="16.5" customHeight="1" x14ac:dyDescent="0.3">
      <c r="A2" s="122" t="s">
        <v>0</v>
      </c>
      <c r="B2" s="122"/>
      <c r="C2" s="122"/>
      <c r="D2" s="122"/>
      <c r="E2" s="122"/>
      <c r="F2" s="122"/>
      <c r="G2" s="122"/>
      <c r="H2" s="122"/>
    </row>
    <row r="3" spans="1:26" x14ac:dyDescent="0.3">
      <c r="A3" s="141" t="s">
        <v>1</v>
      </c>
      <c r="B3" s="141"/>
      <c r="C3" s="141"/>
      <c r="D3" s="141"/>
      <c r="E3" s="141" t="str">
        <f ca="1">TEXT(TODAY(),"DD/MM/YYYY")</f>
        <v>08/09/2025</v>
      </c>
      <c r="F3" s="141"/>
      <c r="G3" s="141"/>
      <c r="H3" s="141"/>
      <c r="K3" s="53" t="s">
        <v>233</v>
      </c>
      <c r="L3" s="52" t="s">
        <v>231</v>
      </c>
      <c r="M3" s="52" t="s">
        <v>236</v>
      </c>
      <c r="N3" s="52" t="s">
        <v>234</v>
      </c>
      <c r="O3" s="52" t="s">
        <v>235</v>
      </c>
      <c r="P3" s="52" t="s">
        <v>237</v>
      </c>
    </row>
    <row r="4" spans="1:26" ht="15" customHeight="1" x14ac:dyDescent="0.3">
      <c r="A4" s="141" t="s">
        <v>230</v>
      </c>
      <c r="B4" s="141"/>
      <c r="C4" s="141"/>
      <c r="D4" s="141"/>
      <c r="E4" s="141" t="s">
        <v>231</v>
      </c>
      <c r="F4" s="141"/>
      <c r="G4" s="141"/>
      <c r="H4" s="141"/>
      <c r="K4" s="51" t="s">
        <v>232</v>
      </c>
      <c r="L4" s="52" t="s">
        <v>167</v>
      </c>
      <c r="M4" s="52" t="s">
        <v>241</v>
      </c>
      <c r="N4" s="52" t="s">
        <v>243</v>
      </c>
      <c r="O4" s="52" t="s">
        <v>245</v>
      </c>
      <c r="P4" s="52"/>
    </row>
    <row r="5" spans="1:26" ht="15" customHeight="1" x14ac:dyDescent="0.3">
      <c r="A5" s="141" t="s">
        <v>2</v>
      </c>
      <c r="B5" s="141"/>
      <c r="C5" s="141"/>
      <c r="D5" s="141"/>
      <c r="E5" s="141" t="s">
        <v>240</v>
      </c>
      <c r="F5" s="141"/>
      <c r="G5" s="141"/>
      <c r="H5" s="141"/>
      <c r="K5" s="51"/>
      <c r="L5" s="52" t="s">
        <v>238</v>
      </c>
      <c r="M5" s="52" t="s">
        <v>242</v>
      </c>
      <c r="N5" s="52" t="s">
        <v>244</v>
      </c>
      <c r="O5" s="52" t="s">
        <v>246</v>
      </c>
      <c r="P5" s="52"/>
    </row>
    <row r="6" spans="1:26" x14ac:dyDescent="0.3">
      <c r="A6" s="141" t="s">
        <v>3</v>
      </c>
      <c r="B6" s="141"/>
      <c r="C6" s="141"/>
      <c r="D6" s="141"/>
      <c r="E6" s="225">
        <v>45907</v>
      </c>
      <c r="F6" s="141"/>
      <c r="G6" s="141"/>
      <c r="H6" s="141"/>
      <c r="K6" s="51"/>
      <c r="L6" s="52" t="s">
        <v>239</v>
      </c>
      <c r="M6" s="52"/>
      <c r="N6" s="52"/>
      <c r="O6" s="52" t="s">
        <v>247</v>
      </c>
      <c r="P6" s="52"/>
    </row>
    <row r="7" spans="1:26" ht="16.5" customHeight="1" x14ac:dyDescent="0.3">
      <c r="A7" s="141" t="s">
        <v>4</v>
      </c>
      <c r="B7" s="141"/>
      <c r="C7" s="141"/>
      <c r="D7" s="141"/>
      <c r="E7" s="141" t="s">
        <v>295</v>
      </c>
      <c r="F7" s="141"/>
      <c r="G7" s="141"/>
      <c r="H7" s="141"/>
      <c r="K7" s="51"/>
      <c r="L7" s="52" t="s">
        <v>240</v>
      </c>
      <c r="M7" s="52"/>
      <c r="N7" s="52"/>
      <c r="O7" s="52" t="s">
        <v>247</v>
      </c>
      <c r="P7" s="52"/>
    </row>
    <row r="8" spans="1:26" ht="15" customHeight="1" x14ac:dyDescent="0.3">
      <c r="A8" s="141" t="s">
        <v>5</v>
      </c>
      <c r="B8" s="141"/>
      <c r="C8" s="141"/>
      <c r="D8" s="141"/>
      <c r="E8" s="141" t="str">
        <f>E7</f>
        <v>Shree Budhdev Infra</v>
      </c>
      <c r="F8" s="141"/>
      <c r="G8" s="141"/>
      <c r="H8" s="141"/>
      <c r="K8" s="51"/>
      <c r="L8" s="52"/>
      <c r="M8" s="52"/>
      <c r="N8" s="52"/>
      <c r="O8" s="52" t="s">
        <v>248</v>
      </c>
      <c r="P8" s="52"/>
    </row>
    <row r="9" spans="1:26" x14ac:dyDescent="0.3">
      <c r="A9" s="141" t="s">
        <v>6</v>
      </c>
      <c r="B9" s="141"/>
      <c r="C9" s="141"/>
      <c r="D9" s="141"/>
      <c r="E9" s="200" t="s">
        <v>296</v>
      </c>
      <c r="F9" s="200"/>
      <c r="G9" s="200"/>
      <c r="H9" s="200"/>
      <c r="K9" s="51"/>
      <c r="L9" s="52"/>
      <c r="M9" s="52"/>
      <c r="N9" s="52"/>
      <c r="O9" s="52" t="s">
        <v>249</v>
      </c>
      <c r="P9" s="52"/>
    </row>
    <row r="10" spans="1:26" ht="33" customHeight="1" x14ac:dyDescent="0.3">
      <c r="A10" s="141" t="s">
        <v>164</v>
      </c>
      <c r="B10" s="141"/>
      <c r="C10" s="141"/>
      <c r="D10" s="141"/>
      <c r="E10" s="140" t="s">
        <v>344</v>
      </c>
      <c r="F10" s="140"/>
      <c r="G10" s="140"/>
      <c r="H10" s="140"/>
      <c r="K10" s="51"/>
      <c r="L10" s="52"/>
      <c r="M10" s="52"/>
      <c r="N10" s="52"/>
      <c r="O10" s="52"/>
      <c r="P10" s="52"/>
    </row>
    <row r="11" spans="1:26" x14ac:dyDescent="0.3">
      <c r="A11" s="141" t="s">
        <v>165</v>
      </c>
      <c r="B11" s="141"/>
      <c r="C11" s="141"/>
      <c r="D11" s="141"/>
      <c r="E11" s="141" t="s">
        <v>364</v>
      </c>
      <c r="F11" s="141"/>
      <c r="G11" s="141"/>
      <c r="H11" s="141"/>
    </row>
    <row r="12" spans="1:26" x14ac:dyDescent="0.3">
      <c r="A12" s="141" t="s">
        <v>7</v>
      </c>
      <c r="B12" s="141"/>
      <c r="C12" s="141"/>
      <c r="D12" s="141"/>
      <c r="E12" s="141" t="s">
        <v>297</v>
      </c>
      <c r="F12" s="141"/>
      <c r="G12" s="141"/>
      <c r="H12" s="141"/>
    </row>
    <row r="13" spans="1:26" hidden="1" x14ac:dyDescent="0.3">
      <c r="A13" s="141" t="s">
        <v>168</v>
      </c>
      <c r="B13" s="141"/>
      <c r="C13" s="141"/>
      <c r="D13" s="141"/>
      <c r="E13" s="141"/>
      <c r="F13" s="141"/>
      <c r="G13" s="141"/>
      <c r="H13" s="141"/>
      <c r="S13" s="52" t="s">
        <v>175</v>
      </c>
      <c r="T13" s="52" t="s">
        <v>185</v>
      </c>
      <c r="U13" s="52" t="s">
        <v>169</v>
      </c>
      <c r="V13" s="52" t="s">
        <v>190</v>
      </c>
      <c r="W13" s="52" t="s">
        <v>208</v>
      </c>
      <c r="X13"/>
      <c r="Y13" t="s">
        <v>190</v>
      </c>
      <c r="Z13" t="e">
        <f ca="1">OFFSET($S$13,1,MATCH($G20,$S$13:$W$13,0)-1,15,1)</f>
        <v>#VALUE!</v>
      </c>
    </row>
    <row r="14" spans="1:26" x14ac:dyDescent="0.3">
      <c r="A14" s="141" t="s">
        <v>276</v>
      </c>
      <c r="B14" s="141"/>
      <c r="C14" s="141"/>
      <c r="D14" s="141"/>
      <c r="E14" s="140" t="s">
        <v>223</v>
      </c>
      <c r="F14" s="140"/>
      <c r="G14" s="140"/>
      <c r="H14" s="140"/>
      <c r="S14" s="52" t="s">
        <v>176</v>
      </c>
      <c r="T14" s="52" t="s">
        <v>183</v>
      </c>
      <c r="U14" s="52" t="s">
        <v>205</v>
      </c>
      <c r="V14" s="52" t="s">
        <v>191</v>
      </c>
      <c r="W14" s="52" t="s">
        <v>209</v>
      </c>
      <c r="X14"/>
      <c r="Y14"/>
      <c r="Z14"/>
    </row>
    <row r="15" spans="1:26" x14ac:dyDescent="0.3">
      <c r="A15" s="141" t="s">
        <v>8</v>
      </c>
      <c r="B15" s="141"/>
      <c r="C15" s="141"/>
      <c r="D15" s="141"/>
      <c r="E15" s="140" t="s">
        <v>298</v>
      </c>
      <c r="F15" s="141"/>
      <c r="G15" s="141"/>
      <c r="H15" s="141"/>
      <c r="I15" s="119" t="e">
        <f ca="1">OFFSET($D$5,1,MATCH($J13,$D$5:$H$5,0)-1,15,1)</f>
        <v>#N/A</v>
      </c>
      <c r="J15" s="120"/>
      <c r="K15" s="120"/>
      <c r="L15" s="120"/>
      <c r="M15" s="120"/>
      <c r="N15" s="120"/>
      <c r="O15" s="120"/>
      <c r="P15" s="120"/>
      <c r="S15" s="52" t="s">
        <v>177</v>
      </c>
      <c r="T15" s="52" t="s">
        <v>184</v>
      </c>
      <c r="U15" s="52" t="s">
        <v>206</v>
      </c>
      <c r="V15" s="52" t="s">
        <v>192</v>
      </c>
      <c r="W15" s="52" t="s">
        <v>222</v>
      </c>
      <c r="X15"/>
      <c r="Y15"/>
      <c r="Z15"/>
    </row>
    <row r="16" spans="1:26" ht="32.25" customHeight="1" x14ac:dyDescent="0.3">
      <c r="A16" s="140" t="s">
        <v>9</v>
      </c>
      <c r="B16" s="140"/>
      <c r="C16" s="140" t="str">
        <f>CONCATENATE((IF(OR(E9="",E9="NA"),"",E9)),", ",(IF(OR(A17="",A17="NA"),"",A17)),".",(IF(OR(C17="",C17="NA"),"",C17)),", near ",(IF(OR(C22="",C22="NA"),"",C22)),", ",(IF(OR(C19="",C19="NA"),"",C19)),", ",(IF(OR(C18="",C18="NA"),"",C18)),", ",(IF(OR(G19="",G19="NA"),"",G19)),", ",(IF(OR(C20="",C20="NA"),"",C20)),", ",(IF(OR(C21="",C21="NA"),"",C21)),", ",(IF(OR(G20="",G20="NA"),"",G20))," - ",(IF(OR(G21="",G21="NA"),"",G21)),".")</f>
        <v>Usha Residency, Survey No.18, H.No.10, near The Polymath School, Chinchoti Anjurphata Marg, Anjurphata, Narpoli, Bhiwandi, Bhiwandi, Thane  - 421302.</v>
      </c>
      <c r="D16" s="140"/>
      <c r="E16" s="140"/>
      <c r="F16" s="140"/>
      <c r="G16" s="140"/>
      <c r="H16" s="140"/>
      <c r="S16" s="52" t="s">
        <v>178</v>
      </c>
      <c r="T16" s="52" t="s">
        <v>186</v>
      </c>
      <c r="U16" s="52" t="s">
        <v>207</v>
      </c>
      <c r="V16" s="52" t="s">
        <v>193</v>
      </c>
      <c r="W16" s="52" t="s">
        <v>210</v>
      </c>
      <c r="X16"/>
      <c r="Y16"/>
      <c r="Z16"/>
    </row>
    <row r="17" spans="1:26" x14ac:dyDescent="0.3">
      <c r="A17" s="140" t="s">
        <v>301</v>
      </c>
      <c r="B17" s="140"/>
      <c r="C17" s="227" t="s">
        <v>343</v>
      </c>
      <c r="D17" s="140"/>
      <c r="E17" s="140"/>
      <c r="F17" s="140"/>
      <c r="G17" s="140"/>
      <c r="H17" s="140"/>
      <c r="S17" s="52" t="s">
        <v>179</v>
      </c>
      <c r="T17" s="52" t="s">
        <v>187</v>
      </c>
      <c r="U17" s="52" t="s">
        <v>169</v>
      </c>
      <c r="V17" s="52" t="s">
        <v>194</v>
      </c>
      <c r="W17" s="52" t="s">
        <v>211</v>
      </c>
      <c r="X17"/>
      <c r="Y17"/>
      <c r="Z17"/>
    </row>
    <row r="18" spans="1:26" ht="15.75" customHeight="1" x14ac:dyDescent="0.3">
      <c r="A18" s="140" t="s">
        <v>159</v>
      </c>
      <c r="B18" s="140"/>
      <c r="C18" s="140" t="s">
        <v>303</v>
      </c>
      <c r="D18" s="140"/>
      <c r="E18" s="140"/>
      <c r="F18" s="140"/>
      <c r="G18" s="140"/>
      <c r="H18" s="140"/>
      <c r="S18" s="52" t="s">
        <v>180</v>
      </c>
      <c r="T18" s="52" t="s">
        <v>185</v>
      </c>
      <c r="U18" s="52"/>
      <c r="V18" s="52" t="s">
        <v>195</v>
      </c>
      <c r="W18" s="52" t="s">
        <v>212</v>
      </c>
      <c r="X18"/>
      <c r="Y18"/>
      <c r="Z18"/>
    </row>
    <row r="19" spans="1:26" ht="15.75" customHeight="1" x14ac:dyDescent="0.3">
      <c r="A19" s="140" t="s">
        <v>10</v>
      </c>
      <c r="B19" s="140"/>
      <c r="C19" s="141" t="s">
        <v>304</v>
      </c>
      <c r="D19" s="141"/>
      <c r="E19" s="140" t="s">
        <v>70</v>
      </c>
      <c r="F19" s="140"/>
      <c r="G19" s="140" t="s">
        <v>302</v>
      </c>
      <c r="H19" s="140"/>
      <c r="S19" s="52" t="s">
        <v>181</v>
      </c>
      <c r="T19" s="52" t="s">
        <v>188</v>
      </c>
      <c r="U19" s="52"/>
      <c r="V19" s="52" t="s">
        <v>196</v>
      </c>
      <c r="W19" s="52" t="s">
        <v>213</v>
      </c>
      <c r="X19"/>
      <c r="Y19"/>
      <c r="Z19"/>
    </row>
    <row r="20" spans="1:26" x14ac:dyDescent="0.3">
      <c r="A20" s="141" t="s">
        <v>12</v>
      </c>
      <c r="B20" s="141"/>
      <c r="C20" s="140" t="s">
        <v>179</v>
      </c>
      <c r="D20" s="140"/>
      <c r="E20" s="140" t="s">
        <v>11</v>
      </c>
      <c r="F20" s="140"/>
      <c r="G20" s="228" t="s">
        <v>175</v>
      </c>
      <c r="H20" s="228"/>
      <c r="S20" s="52" t="s">
        <v>182</v>
      </c>
      <c r="T20" s="52" t="s">
        <v>189</v>
      </c>
      <c r="U20" s="52"/>
      <c r="V20" s="52" t="s">
        <v>197</v>
      </c>
      <c r="W20" s="52" t="s">
        <v>214</v>
      </c>
      <c r="X20"/>
      <c r="Y20"/>
      <c r="Z20"/>
    </row>
    <row r="21" spans="1:26" x14ac:dyDescent="0.3">
      <c r="A21" s="141" t="s">
        <v>71</v>
      </c>
      <c r="B21" s="141"/>
      <c r="C21" s="140" t="s">
        <v>179</v>
      </c>
      <c r="D21" s="140"/>
      <c r="E21" s="140" t="s">
        <v>13</v>
      </c>
      <c r="F21" s="140"/>
      <c r="G21" s="140">
        <v>421302</v>
      </c>
      <c r="H21" s="140"/>
      <c r="S21" s="52"/>
      <c r="T21" s="52"/>
      <c r="U21" s="52"/>
      <c r="V21" s="52" t="s">
        <v>198</v>
      </c>
      <c r="W21" s="52" t="s">
        <v>215</v>
      </c>
      <c r="X21"/>
      <c r="Y21"/>
      <c r="Z21"/>
    </row>
    <row r="22" spans="1:26" ht="32.25" customHeight="1" x14ac:dyDescent="0.3">
      <c r="A22" s="141" t="s">
        <v>118</v>
      </c>
      <c r="B22" s="141"/>
      <c r="C22" s="140" t="s">
        <v>305</v>
      </c>
      <c r="D22" s="140"/>
      <c r="E22" s="140" t="s">
        <v>14</v>
      </c>
      <c r="F22" s="140"/>
      <c r="G22" s="140" t="s">
        <v>306</v>
      </c>
      <c r="H22" s="140"/>
      <c r="S22" s="52"/>
      <c r="T22" s="52"/>
      <c r="U22" s="52"/>
      <c r="V22" s="52" t="s">
        <v>199</v>
      </c>
      <c r="W22" s="52" t="s">
        <v>216</v>
      </c>
      <c r="X22"/>
      <c r="Y22"/>
      <c r="Z22"/>
    </row>
    <row r="23" spans="1:26" ht="15" customHeight="1" x14ac:dyDescent="0.3">
      <c r="A23" s="129" t="s">
        <v>73</v>
      </c>
      <c r="B23" s="129"/>
      <c r="C23" s="129"/>
      <c r="D23" s="129"/>
      <c r="E23" s="141" t="s">
        <v>15</v>
      </c>
      <c r="F23" s="141"/>
      <c r="G23" s="141"/>
      <c r="H23" s="141"/>
      <c r="S23" s="52"/>
      <c r="T23" s="52"/>
      <c r="U23" s="52"/>
      <c r="V23" s="52" t="s">
        <v>200</v>
      </c>
      <c r="W23" s="52" t="s">
        <v>217</v>
      </c>
      <c r="X23"/>
      <c r="Y23"/>
      <c r="Z23"/>
    </row>
    <row r="24" spans="1:26" ht="18.75" customHeight="1" x14ac:dyDescent="0.3">
      <c r="A24" s="129"/>
      <c r="B24" s="129"/>
      <c r="C24" s="129"/>
      <c r="D24" s="129"/>
      <c r="E24" s="141"/>
      <c r="F24" s="141"/>
      <c r="G24" s="141"/>
      <c r="H24" s="141"/>
      <c r="S24" s="52"/>
      <c r="T24" s="52"/>
      <c r="U24" s="52"/>
      <c r="V24" s="52" t="s">
        <v>201</v>
      </c>
      <c r="W24" s="52" t="s">
        <v>218</v>
      </c>
      <c r="X24"/>
      <c r="Y24"/>
      <c r="Z24"/>
    </row>
    <row r="25" spans="1:26" ht="15" customHeight="1" x14ac:dyDescent="0.3">
      <c r="A25" s="129" t="s">
        <v>16</v>
      </c>
      <c r="B25" s="129"/>
      <c r="C25" s="129"/>
      <c r="D25" s="129"/>
      <c r="E25" s="140" t="s">
        <v>17</v>
      </c>
      <c r="F25" s="140"/>
      <c r="G25" s="140"/>
      <c r="H25" s="140"/>
      <c r="S25" s="52"/>
      <c r="T25" s="52"/>
      <c r="U25" s="52"/>
      <c r="V25" s="52" t="s">
        <v>202</v>
      </c>
      <c r="W25" s="52" t="s">
        <v>219</v>
      </c>
      <c r="X25"/>
      <c r="Y25"/>
      <c r="Z25"/>
    </row>
    <row r="26" spans="1:26" ht="15" customHeight="1" x14ac:dyDescent="0.3">
      <c r="A26" s="124" t="s">
        <v>18</v>
      </c>
      <c r="B26" s="124"/>
      <c r="C26" s="124"/>
      <c r="D26" s="124"/>
      <c r="E26" s="140" t="str">
        <f>IF(AND(G20="Mumbai"),"Upper Class","Middle Class")</f>
        <v>Middle Class</v>
      </c>
      <c r="F26" s="140"/>
      <c r="G26" s="140"/>
      <c r="H26" s="140"/>
      <c r="S26" s="52"/>
      <c r="T26" s="52"/>
      <c r="U26" s="52"/>
      <c r="V26" s="52" t="s">
        <v>203</v>
      </c>
      <c r="W26" s="52" t="s">
        <v>220</v>
      </c>
      <c r="X26"/>
      <c r="Y26"/>
      <c r="Z26"/>
    </row>
    <row r="27" spans="1:26" x14ac:dyDescent="0.3">
      <c r="A27" s="124" t="s">
        <v>19</v>
      </c>
      <c r="B27" s="124"/>
      <c r="C27" s="124"/>
      <c r="D27" s="124"/>
      <c r="E27" s="140" t="s">
        <v>20</v>
      </c>
      <c r="F27" s="140"/>
      <c r="G27" s="140"/>
      <c r="H27" s="140"/>
      <c r="S27" s="52"/>
      <c r="T27" s="52"/>
      <c r="U27" s="52"/>
      <c r="V27" s="52" t="s">
        <v>204</v>
      </c>
      <c r="W27" s="52" t="s">
        <v>221</v>
      </c>
      <c r="X27"/>
      <c r="Y27"/>
      <c r="Z27"/>
    </row>
    <row r="28" spans="1:26" ht="15.75" customHeight="1" x14ac:dyDescent="0.3">
      <c r="A28" s="124" t="s">
        <v>21</v>
      </c>
      <c r="B28" s="124"/>
      <c r="C28" s="124"/>
      <c r="D28" s="124"/>
      <c r="E28" s="140" t="str">
        <f>IF(AND(G20="Mumbai"),"Developed","Developing")</f>
        <v>Developing</v>
      </c>
      <c r="F28" s="140"/>
      <c r="G28" s="140"/>
      <c r="H28" s="140"/>
    </row>
    <row r="29" spans="1:26" x14ac:dyDescent="0.3">
      <c r="A29" s="124" t="s">
        <v>22</v>
      </c>
      <c r="B29" s="124"/>
      <c r="C29" s="124"/>
      <c r="D29" s="124"/>
      <c r="E29" s="140" t="s">
        <v>23</v>
      </c>
      <c r="F29" s="140"/>
      <c r="G29" s="140"/>
      <c r="H29" s="140"/>
    </row>
    <row r="30" spans="1:26" ht="15.75" customHeight="1" x14ac:dyDescent="0.3">
      <c r="A30" s="124" t="s">
        <v>78</v>
      </c>
      <c r="B30" s="124"/>
      <c r="C30" s="124"/>
      <c r="D30" s="124"/>
      <c r="E30" s="140" t="s">
        <v>79</v>
      </c>
      <c r="F30" s="140"/>
      <c r="G30" s="140"/>
      <c r="H30" s="140"/>
    </row>
    <row r="31" spans="1:26" ht="15" customHeight="1" x14ac:dyDescent="0.3">
      <c r="A31" s="124" t="s">
        <v>30</v>
      </c>
      <c r="B31" s="124"/>
      <c r="C31" s="124"/>
      <c r="D31" s="124"/>
      <c r="E31" s="14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40"/>
      <c r="G31" s="140"/>
      <c r="H31" s="140"/>
    </row>
    <row r="32" spans="1:26" ht="15.75" customHeight="1" x14ac:dyDescent="0.3">
      <c r="A32" s="124" t="s">
        <v>90</v>
      </c>
      <c r="B32" s="124"/>
      <c r="C32" s="124"/>
      <c r="D32" s="124"/>
      <c r="E32" s="140" t="s">
        <v>31</v>
      </c>
      <c r="F32" s="140"/>
      <c r="G32" s="140"/>
      <c r="H32" s="140"/>
    </row>
    <row r="33" spans="1:19" s="21" customFormat="1" x14ac:dyDescent="0.3">
      <c r="A33" s="236" t="s">
        <v>91</v>
      </c>
      <c r="B33" s="236"/>
      <c r="C33" s="233" t="s">
        <v>170</v>
      </c>
      <c r="D33" s="234"/>
      <c r="E33" s="235"/>
      <c r="F33" s="233" t="s">
        <v>29</v>
      </c>
      <c r="G33" s="234"/>
      <c r="H33" s="235"/>
      <c r="S33" s="21" t="e">
        <f ca="1">OFFSET($S$13,1,MATCH($G20,$S$13:$W$13,0)-1,15,1)</f>
        <v>#VALUE!</v>
      </c>
    </row>
    <row r="34" spans="1:19" s="21" customFormat="1" x14ac:dyDescent="0.3">
      <c r="A34" s="229" t="s">
        <v>24</v>
      </c>
      <c r="B34" s="229" t="s">
        <v>28</v>
      </c>
      <c r="C34" s="230" t="s">
        <v>309</v>
      </c>
      <c r="D34" s="231"/>
      <c r="E34" s="232"/>
      <c r="F34" s="230" t="s">
        <v>308</v>
      </c>
      <c r="G34" s="231"/>
      <c r="H34" s="232"/>
    </row>
    <row r="35" spans="1:19" x14ac:dyDescent="0.3">
      <c r="A35" s="229" t="s">
        <v>25</v>
      </c>
      <c r="B35" s="229" t="s">
        <v>28</v>
      </c>
      <c r="C35" s="230" t="s">
        <v>309</v>
      </c>
      <c r="D35" s="231"/>
      <c r="E35" s="232"/>
      <c r="F35" s="230" t="s">
        <v>308</v>
      </c>
      <c r="G35" s="231"/>
      <c r="H35" s="232"/>
    </row>
    <row r="36" spans="1:19" s="21" customFormat="1" x14ac:dyDescent="0.3">
      <c r="A36" s="229" t="s">
        <v>27</v>
      </c>
      <c r="B36" s="229" t="s">
        <v>28</v>
      </c>
      <c r="C36" s="230" t="s">
        <v>309</v>
      </c>
      <c r="D36" s="231"/>
      <c r="E36" s="232"/>
      <c r="F36" s="230" t="s">
        <v>308</v>
      </c>
      <c r="G36" s="231"/>
      <c r="H36" s="232"/>
    </row>
    <row r="37" spans="1:19" x14ac:dyDescent="0.3">
      <c r="A37" s="229" t="s">
        <v>26</v>
      </c>
      <c r="B37" s="229" t="s">
        <v>28</v>
      </c>
      <c r="C37" s="230" t="s">
        <v>310</v>
      </c>
      <c r="D37" s="231"/>
      <c r="E37" s="232"/>
      <c r="F37" s="230" t="s">
        <v>307</v>
      </c>
      <c r="G37" s="231"/>
      <c r="H37" s="232"/>
    </row>
    <row r="38" spans="1:19" x14ac:dyDescent="0.3">
      <c r="A38" s="124" t="s">
        <v>277</v>
      </c>
      <c r="B38" s="124"/>
      <c r="C38" s="124"/>
      <c r="D38" s="124"/>
      <c r="E38" s="124"/>
      <c r="F38" s="124"/>
      <c r="G38" s="124"/>
      <c r="H38" s="124"/>
    </row>
    <row r="39" spans="1:19" ht="15.75" customHeight="1" x14ac:dyDescent="0.3">
      <c r="A39" s="124" t="s">
        <v>162</v>
      </c>
      <c r="B39" s="124"/>
      <c r="C39" s="222" t="s">
        <v>300</v>
      </c>
      <c r="D39" s="222"/>
      <c r="E39" s="222"/>
      <c r="F39" s="222"/>
      <c r="G39" s="222"/>
      <c r="H39" s="222"/>
    </row>
    <row r="40" spans="1:19" x14ac:dyDescent="0.3">
      <c r="A40" s="124" t="s">
        <v>158</v>
      </c>
      <c r="B40" s="124"/>
      <c r="C40" s="247" t="s">
        <v>299</v>
      </c>
      <c r="D40" s="140"/>
      <c r="E40" s="140"/>
      <c r="F40" s="140"/>
      <c r="G40" s="140"/>
      <c r="H40" s="140"/>
    </row>
    <row r="41" spans="1:19" x14ac:dyDescent="0.3">
      <c r="A41" s="222" t="s">
        <v>32</v>
      </c>
      <c r="B41" s="222"/>
      <c r="C41" s="222"/>
      <c r="D41" s="222"/>
      <c r="E41" s="222"/>
      <c r="F41" s="222"/>
      <c r="G41" s="222"/>
      <c r="H41" s="222"/>
    </row>
    <row r="42" spans="1:19" x14ac:dyDescent="0.3">
      <c r="A42" s="124" t="s">
        <v>33</v>
      </c>
      <c r="B42" s="124"/>
      <c r="C42" s="124"/>
      <c r="D42" s="124"/>
      <c r="E42" s="237">
        <v>9850</v>
      </c>
      <c r="F42" s="237"/>
      <c r="G42" s="237"/>
      <c r="H42" s="237"/>
    </row>
    <row r="43" spans="1:19" x14ac:dyDescent="0.3">
      <c r="A43" s="124" t="s">
        <v>34</v>
      </c>
      <c r="B43" s="124"/>
      <c r="C43" s="124"/>
      <c r="D43" s="124"/>
      <c r="E43" s="131">
        <v>2.5</v>
      </c>
      <c r="F43" s="131"/>
      <c r="G43" s="131"/>
      <c r="H43" s="131"/>
    </row>
    <row r="44" spans="1:19" x14ac:dyDescent="0.3">
      <c r="A44" s="124" t="s">
        <v>35</v>
      </c>
      <c r="B44" s="124"/>
      <c r="C44" s="124"/>
      <c r="D44" s="124"/>
      <c r="E44" s="131">
        <f>E46/E42-E43</f>
        <v>1.7577248730964463</v>
      </c>
      <c r="F44" s="131"/>
      <c r="G44" s="131"/>
      <c r="H44" s="131"/>
    </row>
    <row r="45" spans="1:19" x14ac:dyDescent="0.3">
      <c r="A45" s="124" t="s">
        <v>36</v>
      </c>
      <c r="B45" s="124"/>
      <c r="C45" s="124"/>
      <c r="D45" s="124"/>
      <c r="E45" s="131">
        <f>E43+E44</f>
        <v>4.2577248730964463</v>
      </c>
      <c r="F45" s="131"/>
      <c r="G45" s="131"/>
      <c r="H45" s="131"/>
    </row>
    <row r="46" spans="1:19" x14ac:dyDescent="0.3">
      <c r="A46" s="124" t="s">
        <v>89</v>
      </c>
      <c r="B46" s="124"/>
      <c r="C46" s="124"/>
      <c r="D46" s="124"/>
      <c r="E46" s="243">
        <v>41938.589999999997</v>
      </c>
      <c r="F46" s="243"/>
      <c r="G46" s="243"/>
      <c r="H46" s="243"/>
    </row>
    <row r="47" spans="1:19" x14ac:dyDescent="0.3">
      <c r="A47" s="141" t="s">
        <v>37</v>
      </c>
      <c r="B47" s="141"/>
      <c r="C47" s="141"/>
      <c r="D47" s="141"/>
      <c r="E47" s="141" t="s">
        <v>311</v>
      </c>
      <c r="F47" s="141"/>
      <c r="G47" s="141"/>
      <c r="H47" s="141"/>
    </row>
    <row r="48" spans="1:19" x14ac:dyDescent="0.3">
      <c r="A48" s="222" t="s">
        <v>38</v>
      </c>
      <c r="B48" s="222"/>
      <c r="C48" s="222"/>
      <c r="D48" s="222"/>
      <c r="E48" s="222"/>
      <c r="F48" s="222"/>
      <c r="G48" s="222"/>
      <c r="H48" s="222"/>
    </row>
    <row r="49" spans="1:24" ht="33.75" customHeight="1" x14ac:dyDescent="0.3">
      <c r="A49" s="80" t="s">
        <v>147</v>
      </c>
      <c r="B49" s="82"/>
      <c r="C49" s="257" t="s">
        <v>312</v>
      </c>
      <c r="D49" s="258"/>
      <c r="E49" s="258"/>
      <c r="F49" s="258"/>
      <c r="G49" s="258"/>
      <c r="H49" s="259"/>
      <c r="R49" t="s">
        <v>250</v>
      </c>
      <c r="S49" t="s">
        <v>169</v>
      </c>
      <c r="T49" t="s">
        <v>175</v>
      </c>
      <c r="U49" t="s">
        <v>190</v>
      </c>
      <c r="V49" t="s">
        <v>185</v>
      </c>
    </row>
    <row r="50" spans="1:24" ht="15.75" customHeight="1" x14ac:dyDescent="0.3">
      <c r="A50" s="80" t="s">
        <v>39</v>
      </c>
      <c r="B50" s="82"/>
      <c r="C50" s="80" t="s">
        <v>313</v>
      </c>
      <c r="D50" s="81"/>
      <c r="E50" s="82"/>
      <c r="F50" s="17" t="s">
        <v>40</v>
      </c>
      <c r="G50" s="117">
        <v>45187</v>
      </c>
      <c r="H50" s="118"/>
      <c r="R50"/>
      <c r="S50" t="s">
        <v>251</v>
      </c>
      <c r="T50" t="s">
        <v>256</v>
      </c>
      <c r="U50" t="s">
        <v>267</v>
      </c>
      <c r="V50" t="s">
        <v>272</v>
      </c>
    </row>
    <row r="51" spans="1:24" x14ac:dyDescent="0.3">
      <c r="A51" s="80" t="s">
        <v>41</v>
      </c>
      <c r="B51" s="82"/>
      <c r="C51" s="80" t="str">
        <f>C50</f>
        <v>EE/BP/PMAY/A/MHADA/755/2023</v>
      </c>
      <c r="D51" s="81"/>
      <c r="E51" s="82"/>
      <c r="F51" s="17" t="s">
        <v>40</v>
      </c>
      <c r="G51" s="117">
        <f>G50</f>
        <v>45187</v>
      </c>
      <c r="H51" s="118"/>
      <c r="R51"/>
      <c r="S51" t="s">
        <v>252</v>
      </c>
      <c r="T51" t="s">
        <v>257</v>
      </c>
      <c r="U51" t="s">
        <v>265</v>
      </c>
      <c r="V51" t="s">
        <v>273</v>
      </c>
    </row>
    <row r="52" spans="1:24" s="22" customFormat="1" ht="15.75" customHeight="1" x14ac:dyDescent="0.3">
      <c r="A52" s="152" t="s">
        <v>151</v>
      </c>
      <c r="B52" s="153"/>
      <c r="C52" s="80" t="s">
        <v>354</v>
      </c>
      <c r="D52" s="81"/>
      <c r="E52" s="82"/>
      <c r="F52" s="17" t="s">
        <v>40</v>
      </c>
      <c r="G52" s="117">
        <v>45467</v>
      </c>
      <c r="H52" s="118"/>
      <c r="R52"/>
      <c r="S52" t="s">
        <v>253</v>
      </c>
      <c r="T52" t="s">
        <v>258</v>
      </c>
      <c r="U52" t="s">
        <v>255</v>
      </c>
      <c r="V52" t="s">
        <v>274</v>
      </c>
    </row>
    <row r="53" spans="1:24" s="22" customFormat="1" ht="79.5" customHeight="1" x14ac:dyDescent="0.3">
      <c r="A53" s="154"/>
      <c r="B53" s="155"/>
      <c r="C53" s="80" t="s">
        <v>355</v>
      </c>
      <c r="D53" s="81"/>
      <c r="E53" s="81"/>
      <c r="F53" s="81"/>
      <c r="G53" s="81"/>
      <c r="H53" s="82"/>
      <c r="R53"/>
      <c r="S53" t="s">
        <v>254</v>
      </c>
      <c r="T53" t="s">
        <v>261</v>
      </c>
      <c r="U53" t="s">
        <v>268</v>
      </c>
    </row>
    <row r="54" spans="1:24" s="22" customFormat="1" hidden="1" x14ac:dyDescent="0.3">
      <c r="A54" s="144" t="s">
        <v>278</v>
      </c>
      <c r="B54" s="145"/>
      <c r="C54" s="80"/>
      <c r="D54" s="81"/>
      <c r="E54" s="82"/>
      <c r="F54" s="17" t="s">
        <v>40</v>
      </c>
      <c r="G54" s="80"/>
      <c r="H54" s="82"/>
      <c r="R54"/>
      <c r="S54" t="s">
        <v>253</v>
      </c>
      <c r="T54" t="s">
        <v>258</v>
      </c>
      <c r="U54" t="s">
        <v>255</v>
      </c>
      <c r="V54" t="s">
        <v>274</v>
      </c>
    </row>
    <row r="55" spans="1:24" s="22" customFormat="1" ht="32.25" hidden="1" customHeight="1" x14ac:dyDescent="0.3">
      <c r="A55" s="146"/>
      <c r="B55" s="147"/>
      <c r="C55" s="251"/>
      <c r="D55" s="252"/>
      <c r="E55" s="252"/>
      <c r="F55" s="252"/>
      <c r="G55" s="252"/>
      <c r="H55" s="253"/>
      <c r="R55"/>
      <c r="S55" t="s">
        <v>255</v>
      </c>
      <c r="T55" t="s">
        <v>259</v>
      </c>
      <c r="U55" t="s">
        <v>269</v>
      </c>
      <c r="V55" s="20"/>
      <c r="W55" s="20"/>
      <c r="X55" s="20"/>
    </row>
    <row r="56" spans="1:24" s="22" customFormat="1" ht="26.25" customHeight="1" x14ac:dyDescent="0.3">
      <c r="A56" s="148" t="s">
        <v>279</v>
      </c>
      <c r="B56" s="149"/>
      <c r="C56" s="80" t="s">
        <v>351</v>
      </c>
      <c r="D56" s="81"/>
      <c r="E56" s="82"/>
      <c r="F56" s="17" t="s">
        <v>40</v>
      </c>
      <c r="G56" s="117">
        <v>45324</v>
      </c>
      <c r="H56" s="82"/>
      <c r="R56"/>
      <c r="S56" s="20"/>
      <c r="T56" t="s">
        <v>260</v>
      </c>
      <c r="U56" t="s">
        <v>270</v>
      </c>
      <c r="V56" s="20"/>
      <c r="W56" s="20"/>
      <c r="X56" s="20"/>
    </row>
    <row r="57" spans="1:24" s="22" customFormat="1" ht="40.5" customHeight="1" x14ac:dyDescent="0.3">
      <c r="A57" s="150"/>
      <c r="B57" s="151"/>
      <c r="C57" s="80" t="s">
        <v>352</v>
      </c>
      <c r="D57" s="81"/>
      <c r="E57" s="81"/>
      <c r="F57" s="81"/>
      <c r="G57" s="81"/>
      <c r="H57" s="82"/>
      <c r="R57"/>
      <c r="S57" s="20"/>
      <c r="T57" t="s">
        <v>262</v>
      </c>
      <c r="U57" t="s">
        <v>271</v>
      </c>
      <c r="V57" s="20"/>
      <c r="W57" s="20"/>
      <c r="X57" s="20"/>
    </row>
    <row r="58" spans="1:24" s="22" customFormat="1" ht="15.75" hidden="1" customHeight="1" x14ac:dyDescent="0.3">
      <c r="A58" s="144" t="s">
        <v>280</v>
      </c>
      <c r="B58" s="145"/>
      <c r="C58" s="80" t="str">
        <f>C57</f>
        <v>Plot Area = 9850 Sqm
Proposed Builtup Area = 45551.01 Sqm</v>
      </c>
      <c r="D58" s="81"/>
      <c r="E58" s="82"/>
      <c r="F58" s="17" t="s">
        <v>40</v>
      </c>
      <c r="G58" s="80">
        <f>G57</f>
        <v>0</v>
      </c>
      <c r="H58" s="82"/>
      <c r="R58"/>
      <c r="S58" s="20"/>
      <c r="T58" t="s">
        <v>263</v>
      </c>
      <c r="U58" s="20" t="s">
        <v>294</v>
      </c>
      <c r="V58" s="20"/>
      <c r="W58" s="20"/>
      <c r="X58" s="20"/>
    </row>
    <row r="59" spans="1:24" s="22" customFormat="1" ht="33.75" hidden="1" customHeight="1" x14ac:dyDescent="0.3">
      <c r="A59" s="146"/>
      <c r="B59" s="147"/>
      <c r="C59" s="129"/>
      <c r="D59" s="129"/>
      <c r="E59" s="129"/>
      <c r="F59" s="17" t="s">
        <v>117</v>
      </c>
      <c r="G59" s="129"/>
      <c r="H59" s="129"/>
      <c r="R59"/>
      <c r="S59" s="20"/>
      <c r="T59" t="s">
        <v>264</v>
      </c>
      <c r="U59" s="20"/>
      <c r="V59" s="20"/>
      <c r="W59" s="20"/>
      <c r="X59" s="20"/>
    </row>
    <row r="60" spans="1:24" x14ac:dyDescent="0.3">
      <c r="A60" s="125" t="s">
        <v>42</v>
      </c>
      <c r="B60" s="126"/>
      <c r="C60" s="125" t="s">
        <v>103</v>
      </c>
      <c r="D60" s="127"/>
      <c r="E60" s="126"/>
      <c r="F60" s="43" t="s">
        <v>40</v>
      </c>
      <c r="G60" s="142" t="s">
        <v>28</v>
      </c>
      <c r="H60" s="143"/>
      <c r="R60"/>
      <c r="T60" t="s">
        <v>266</v>
      </c>
    </row>
    <row r="61" spans="1:24" x14ac:dyDescent="0.3">
      <c r="A61" s="139" t="s">
        <v>44</v>
      </c>
      <c r="B61" s="139"/>
      <c r="C61" s="139"/>
      <c r="D61" s="139"/>
      <c r="E61" s="139"/>
      <c r="F61" s="139"/>
      <c r="G61" s="139"/>
      <c r="H61" s="139"/>
      <c r="T61" t="s">
        <v>275</v>
      </c>
    </row>
    <row r="62" spans="1:24" x14ac:dyDescent="0.3">
      <c r="A62" s="129" t="s">
        <v>88</v>
      </c>
      <c r="B62" s="129"/>
      <c r="C62" s="129"/>
      <c r="D62" s="124">
        <f>E46</f>
        <v>41938.589999999997</v>
      </c>
      <c r="E62" s="124"/>
      <c r="F62" s="124"/>
      <c r="G62" s="124"/>
      <c r="H62" s="124"/>
      <c r="R62"/>
    </row>
    <row r="63" spans="1:24" x14ac:dyDescent="0.3">
      <c r="A63" s="140" t="s">
        <v>45</v>
      </c>
      <c r="B63" s="141"/>
      <c r="C63" s="141"/>
      <c r="D63" s="141" t="s">
        <v>349</v>
      </c>
      <c r="E63" s="141"/>
      <c r="F63" s="141"/>
      <c r="G63" s="141"/>
      <c r="H63" s="141"/>
      <c r="I63" s="23"/>
      <c r="R63"/>
    </row>
    <row r="64" spans="1:24" x14ac:dyDescent="0.3">
      <c r="A64" s="148" t="s">
        <v>46</v>
      </c>
      <c r="B64" s="159"/>
      <c r="C64" s="149"/>
      <c r="D64" s="226" t="s">
        <v>315</v>
      </c>
      <c r="E64" s="246"/>
      <c r="F64" s="246"/>
      <c r="G64" s="246"/>
      <c r="H64" s="246"/>
      <c r="R64"/>
    </row>
    <row r="65" spans="1:19" ht="15.75" customHeight="1" x14ac:dyDescent="0.3">
      <c r="A65" s="148" t="s">
        <v>86</v>
      </c>
      <c r="B65" s="159"/>
      <c r="C65" s="159"/>
      <c r="D65" s="141" t="s">
        <v>316</v>
      </c>
      <c r="E65" s="141"/>
      <c r="F65" s="141"/>
      <c r="G65" s="141"/>
      <c r="H65" s="141"/>
      <c r="R65"/>
    </row>
    <row r="66" spans="1:19" ht="15.75" customHeight="1" x14ac:dyDescent="0.3">
      <c r="A66" s="160"/>
      <c r="B66" s="161"/>
      <c r="C66" s="161"/>
      <c r="D66" s="141" t="s">
        <v>350</v>
      </c>
      <c r="E66" s="141"/>
      <c r="F66" s="141"/>
      <c r="G66" s="141"/>
      <c r="H66" s="141"/>
      <c r="R66"/>
    </row>
    <row r="67" spans="1:19" ht="15.75" customHeight="1" x14ac:dyDescent="0.3">
      <c r="A67" s="150"/>
      <c r="B67" s="162"/>
      <c r="C67" s="162"/>
      <c r="D67" s="156" t="s">
        <v>317</v>
      </c>
      <c r="E67" s="157"/>
      <c r="F67" s="157"/>
      <c r="G67" s="157"/>
      <c r="H67" s="158"/>
      <c r="S67"/>
    </row>
    <row r="68" spans="1:19" ht="15.75" customHeight="1" x14ac:dyDescent="0.3">
      <c r="A68" s="124" t="s">
        <v>43</v>
      </c>
      <c r="B68" s="124"/>
      <c r="C68" s="124"/>
      <c r="D68" s="238" t="s">
        <v>314</v>
      </c>
      <c r="E68" s="238"/>
      <c r="F68" s="238"/>
      <c r="G68" s="238"/>
      <c r="H68" s="238"/>
      <c r="J68" s="24"/>
      <c r="K68" s="23"/>
      <c r="N68" s="23"/>
      <c r="S68"/>
    </row>
    <row r="69" spans="1:19" ht="15.75" customHeight="1" x14ac:dyDescent="0.3">
      <c r="A69" s="124" t="s">
        <v>84</v>
      </c>
      <c r="B69" s="124"/>
      <c r="C69" s="124"/>
      <c r="D69" s="242" t="str">
        <f>(IF(G60="NA","60 Years After Completion",IF(G60&lt;&gt;"NA",""&amp;60-ROUNDDOWN((E3-G60)/360,0)&amp;" Years"," ")))</f>
        <v>60 Years After Completion</v>
      </c>
      <c r="E69" s="242"/>
      <c r="F69" s="242"/>
      <c r="G69" s="242"/>
      <c r="H69" s="242"/>
      <c r="N69" s="23"/>
      <c r="S69"/>
    </row>
    <row r="70" spans="1:19" ht="15.75" customHeight="1" x14ac:dyDescent="0.3">
      <c r="A70" s="124" t="s">
        <v>85</v>
      </c>
      <c r="B70" s="124"/>
      <c r="C70" s="124"/>
      <c r="D70" s="129" t="s">
        <v>23</v>
      </c>
      <c r="E70" s="129"/>
      <c r="F70" s="129"/>
      <c r="G70" s="129"/>
      <c r="H70" s="129"/>
      <c r="J70" s="25"/>
      <c r="K70" s="25"/>
      <c r="S70"/>
    </row>
    <row r="71" spans="1:19" ht="93.75" customHeight="1" x14ac:dyDescent="0.3">
      <c r="A71" s="141" t="s">
        <v>338</v>
      </c>
      <c r="B71" s="141"/>
      <c r="C71" s="141"/>
      <c r="D71" s="140" t="s">
        <v>341</v>
      </c>
      <c r="E71" s="129"/>
      <c r="F71" s="129"/>
      <c r="G71" s="129"/>
      <c r="H71" s="129"/>
      <c r="S71"/>
    </row>
    <row r="72" spans="1:19" x14ac:dyDescent="0.3">
      <c r="A72" s="129" t="s">
        <v>144</v>
      </c>
      <c r="B72" s="129"/>
      <c r="C72" s="129"/>
      <c r="D72" s="129" t="s">
        <v>28</v>
      </c>
      <c r="E72" s="129"/>
      <c r="F72" s="129"/>
      <c r="G72" s="129"/>
      <c r="H72" s="129"/>
      <c r="I72" s="26"/>
      <c r="J72" s="26"/>
      <c r="K72" s="26"/>
      <c r="L72" s="26"/>
      <c r="M72" s="26"/>
      <c r="N72" s="26"/>
    </row>
    <row r="73" spans="1:19" ht="15.75" customHeight="1" x14ac:dyDescent="0.3">
      <c r="A73" s="130" t="s">
        <v>83</v>
      </c>
      <c r="B73" s="130"/>
      <c r="C73" s="130"/>
      <c r="D73" s="226" t="str">
        <f ca="1">(IF(G79&gt;95%,"Nothing",IF(G79&gt;0%,"Cement, Aggregate, Steel, etc",IF(G79=0%,"Work not yet Started"))))</f>
        <v>Cement, Aggregate, Steel, etc</v>
      </c>
      <c r="E73" s="226"/>
      <c r="F73" s="226"/>
      <c r="G73" s="226"/>
      <c r="H73" s="226"/>
      <c r="J73" s="25"/>
      <c r="S73"/>
    </row>
    <row r="74" spans="1:19" ht="33.75" customHeight="1" thickBot="1" x14ac:dyDescent="0.35">
      <c r="A74" s="261" t="s">
        <v>116</v>
      </c>
      <c r="B74" s="261"/>
      <c r="C74" s="261"/>
      <c r="D74" s="226" t="str">
        <f ca="1">(IF(D73="Nothing","Yes",IF(D73="Cement, Aggregate, Steel, etc","Under Construction",IF(D73="Work not yet Started","Work not yet Started"))))</f>
        <v>Under Construction</v>
      </c>
      <c r="E74" s="226"/>
      <c r="F74" s="226" t="str">
        <f ca="1">(IF(D73="Nothing","Yes",IF(D73="Cement, Aggregate, Steel, etc","Under Construction",IF(D73="Work not yet Started","Work not yet Started"))))</f>
        <v>Under Construction</v>
      </c>
      <c r="G74" s="226"/>
      <c r="H74" s="226"/>
      <c r="S74"/>
    </row>
    <row r="75" spans="1:19" ht="15.75" customHeight="1" x14ac:dyDescent="0.3">
      <c r="A75" s="194" t="s">
        <v>136</v>
      </c>
      <c r="B75" s="195"/>
      <c r="C75" s="254" t="s">
        <v>358</v>
      </c>
      <c r="D75" s="255"/>
      <c r="E75" s="255"/>
      <c r="F75" s="255"/>
      <c r="G75" s="255"/>
      <c r="H75" s="256"/>
      <c r="I75" s="47" t="str">
        <f ca="1">IF(D88=100%,"All work Completed. Possession granted to the Building.",IF(D87=100%,"All work Completed, Waiting for OC",I76&amp;""&amp;I77&amp;""&amp;J76&amp;""&amp;J75&amp;" "&amp;J77))</f>
        <v>Excavation, Plinth, RCC Slab, Brickwork Completed, Internal Plaster upto 8 Floor, External Plaster upto 8 Floor Completed</v>
      </c>
      <c r="J75" s="48"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Internal Plaster upto 8 Floor, External Plaster upto 8 Floor</v>
      </c>
      <c r="S75"/>
    </row>
    <row r="76" spans="1:19" x14ac:dyDescent="0.3">
      <c r="A76" s="15" t="s">
        <v>138</v>
      </c>
      <c r="B76" s="45">
        <f>IF(AND(ISNUMBER(SEARCH("1B",C75))),1,IF(AND(ISNUMBER(SEARCH("2B",C75))),2,IF(AND(ISNUMBER(SEARCH("3B",C75))),3,IF(AND(ISNUMBER(SEARCH("4B",C75))),4,IF(ISNUMBER(SEARCH("5B",C75)),5,0)))))</f>
        <v>0</v>
      </c>
      <c r="C76" s="45" t="s">
        <v>69</v>
      </c>
      <c r="D76" s="45">
        <v>1</v>
      </c>
      <c r="E76" s="45" t="s">
        <v>68</v>
      </c>
      <c r="F76" s="45">
        <v>0</v>
      </c>
      <c r="G76" s="45" t="s">
        <v>77</v>
      </c>
      <c r="H76" s="16">
        <f ca="1">--TRIM(RIGHT(SUBSTITUTE(LEFT(C75,_xlfn.AGGREGATE(16,6,FIND({0,1,2,3,4,5,6,7,8,9},C75,ROW(INDIRECT("1:"&amp;LEN(C75)))),1))," ",REPT(" ",LEN(C75))),LEN(C75)))</f>
        <v>14</v>
      </c>
      <c r="I76" s="49" t="str">
        <f ca="1">IF(D79=100%,"Excavation","")&amp;IF(D80=100%,", Plinth","")&amp;IF(D81=100%,", RCC Slab","")&amp;IF(D82=100%,", Brickwork","")&amp;IF(D83=100%,", Internal Plaster","")&amp;IF(D84=100%,", External Plaster","")&amp;IF(D85=100%,", Flooring","")&amp;IF(D86=100%,", Painting","")&amp;IF(D87=100%,", Building common Amenities","")</f>
        <v>Excavation, Plinth, RCC Slab, Brickwork</v>
      </c>
      <c r="J76" s="50"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5" customHeight="1" x14ac:dyDescent="0.3">
      <c r="A77" s="199" t="s">
        <v>87</v>
      </c>
      <c r="B77" s="200"/>
      <c r="C77" s="201" t="str">
        <f ca="1">I75</f>
        <v>Excavation, Plinth, RCC Slab, Brickwork Completed, Internal Plaster upto 8 Floor, External Plaster upto 8 Floor Completed</v>
      </c>
      <c r="D77" s="201"/>
      <c r="E77" s="201"/>
      <c r="F77" s="201"/>
      <c r="G77" s="201"/>
      <c r="H77" s="202"/>
      <c r="I77" s="49" t="str">
        <f ca="1">IF(I76&lt;&gt;""," Completed","")</f>
        <v xml:space="preserve"> Completed</v>
      </c>
      <c r="J77" s="50" t="str">
        <f ca="1">IF(J75&lt;&gt;"","Completed","")</f>
        <v>Completed</v>
      </c>
      <c r="S77"/>
    </row>
    <row r="78" spans="1:19" ht="15.75" customHeight="1" x14ac:dyDescent="0.3">
      <c r="A78" s="137" t="s">
        <v>47</v>
      </c>
      <c r="B78" s="138"/>
      <c r="C78" s="58" t="s">
        <v>135</v>
      </c>
      <c r="D78" s="58" t="s">
        <v>80</v>
      </c>
      <c r="E78" s="171" t="s">
        <v>82</v>
      </c>
      <c r="F78" s="171"/>
      <c r="G78" s="171" t="s">
        <v>81</v>
      </c>
      <c r="H78" s="219"/>
      <c r="I78" s="13" t="s">
        <v>137</v>
      </c>
      <c r="J78" s="27">
        <f ca="1">H76*25%</f>
        <v>3.5</v>
      </c>
      <c r="S78"/>
    </row>
    <row r="79" spans="1:19" x14ac:dyDescent="0.3">
      <c r="A79" s="137" t="s">
        <v>124</v>
      </c>
      <c r="B79" s="138"/>
      <c r="C79" s="58">
        <f ca="1">J80</f>
        <v>14</v>
      </c>
      <c r="D79" s="59">
        <f ca="1">((100/H76)*C79)/100</f>
        <v>1</v>
      </c>
      <c r="E79" s="164">
        <f ca="1">(((C80/H76*10)+(40/(D76+F76+H76)*C81)+(7.5/(H76)*C82)+(7.5/(H76)*C83)+(10/H76*C84)+(10/H76*C85)+(5/H76*C86)+(5/H76*C87)+(5/H76*C88))/100)</f>
        <v>0.67500000000000004</v>
      </c>
      <c r="F79" s="165"/>
      <c r="G79" s="164">
        <f ca="1">((((C79/H76)*20)+((C80/H76)*25)+(30/(H76+F76+D76)*C81)+(5/H76*C82)+(5/H76*C83)+(5/H76*C84)+(5/H76*C85)+(0/H76*C86)+(0/H76*C87)+(5/H76*C88))/100)</f>
        <v>0.85714285714285721</v>
      </c>
      <c r="H79" s="239"/>
      <c r="I79" s="13" t="s">
        <v>98</v>
      </c>
      <c r="J79" s="28">
        <f ca="1">H76*50%</f>
        <v>7</v>
      </c>
    </row>
    <row r="80" spans="1:19" x14ac:dyDescent="0.3">
      <c r="A80" s="137" t="s">
        <v>48</v>
      </c>
      <c r="B80" s="138"/>
      <c r="C80" s="62">
        <f ca="1">J88</f>
        <v>14</v>
      </c>
      <c r="D80" s="59">
        <f ca="1">((100/H76)*C80)/100</f>
        <v>1</v>
      </c>
      <c r="E80" s="166"/>
      <c r="F80" s="167"/>
      <c r="G80" s="166"/>
      <c r="H80" s="240"/>
      <c r="I80" s="13" t="s">
        <v>99</v>
      </c>
      <c r="J80" s="28">
        <f ca="1">H76</f>
        <v>14</v>
      </c>
      <c r="S80"/>
    </row>
    <row r="81" spans="1:19" ht="15.75" customHeight="1" x14ac:dyDescent="0.3">
      <c r="A81" s="137" t="s">
        <v>125</v>
      </c>
      <c r="B81" s="138"/>
      <c r="C81" s="58">
        <v>15</v>
      </c>
      <c r="D81" s="59">
        <f ca="1">((100/(D76+F76+H76))*C81)/100</f>
        <v>1</v>
      </c>
      <c r="E81" s="166"/>
      <c r="F81" s="167"/>
      <c r="G81" s="166"/>
      <c r="H81" s="240"/>
      <c r="I81" s="13" t="s">
        <v>100</v>
      </c>
      <c r="J81" s="29">
        <f ca="1">(IF(B76&gt;1,(H76/(B76+2)),H76/4))</f>
        <v>3.5</v>
      </c>
      <c r="S81"/>
    </row>
    <row r="82" spans="1:19" ht="15.75" customHeight="1" x14ac:dyDescent="0.3">
      <c r="A82" s="137" t="s">
        <v>132</v>
      </c>
      <c r="B82" s="138" t="s">
        <v>126</v>
      </c>
      <c r="C82" s="58">
        <v>14</v>
      </c>
      <c r="D82" s="59">
        <f ca="1">((100/H76)*C82)/100</f>
        <v>1</v>
      </c>
      <c r="E82" s="166"/>
      <c r="F82" s="167"/>
      <c r="G82" s="166"/>
      <c r="H82" s="240"/>
      <c r="I82" s="13" t="s">
        <v>101</v>
      </c>
      <c r="J82" s="29">
        <f ca="1">(IF(B76&gt;1,(H76/(B76+2)+J81),H76/4+J81))</f>
        <v>7</v>
      </c>
    </row>
    <row r="83" spans="1:19" ht="15.75" customHeight="1" x14ac:dyDescent="0.3">
      <c r="A83" s="137" t="s">
        <v>133</v>
      </c>
      <c r="B83" s="138" t="s">
        <v>126</v>
      </c>
      <c r="C83" s="58">
        <v>8</v>
      </c>
      <c r="D83" s="59">
        <f ca="1">((100/H76)*C83)/100</f>
        <v>0.57142857142857151</v>
      </c>
      <c r="E83" s="166"/>
      <c r="F83" s="167"/>
      <c r="G83" s="166"/>
      <c r="H83" s="240"/>
      <c r="I83" s="13" t="s">
        <v>142</v>
      </c>
      <c r="J83" s="29">
        <f>(IF(B76&gt;1,(H76/(B76+2)+J82),0))</f>
        <v>0</v>
      </c>
    </row>
    <row r="84" spans="1:19" ht="15" customHeight="1" x14ac:dyDescent="0.3">
      <c r="A84" s="137" t="s">
        <v>131</v>
      </c>
      <c r="B84" s="138" t="s">
        <v>128</v>
      </c>
      <c r="C84" s="58">
        <v>8</v>
      </c>
      <c r="D84" s="59">
        <f ca="1">((100/(H76))*C84)/100</f>
        <v>0.57142857142857151</v>
      </c>
      <c r="E84" s="166"/>
      <c r="F84" s="167"/>
      <c r="G84" s="166"/>
      <c r="H84" s="240"/>
      <c r="I84" s="13" t="s">
        <v>139</v>
      </c>
      <c r="J84" s="29">
        <f>(IF(B76&gt;2,(H76/(B76+2)+J83),0))</f>
        <v>0</v>
      </c>
    </row>
    <row r="85" spans="1:19" ht="15.75" customHeight="1" x14ac:dyDescent="0.3">
      <c r="A85" s="137" t="s">
        <v>127</v>
      </c>
      <c r="B85" s="138" t="s">
        <v>127</v>
      </c>
      <c r="C85" s="58">
        <v>0</v>
      </c>
      <c r="D85" s="59">
        <f ca="1">((100/H76)*C85)/100</f>
        <v>0</v>
      </c>
      <c r="E85" s="166"/>
      <c r="F85" s="167"/>
      <c r="G85" s="166"/>
      <c r="H85" s="240"/>
      <c r="I85" s="13" t="s">
        <v>140</v>
      </c>
      <c r="J85" s="30">
        <f>(IF(B76&gt;3,(H76/(B76+2)+J84),0))</f>
        <v>0</v>
      </c>
    </row>
    <row r="86" spans="1:19" ht="15.75" customHeight="1" x14ac:dyDescent="0.3">
      <c r="A86" s="137" t="s">
        <v>134</v>
      </c>
      <c r="B86" s="138"/>
      <c r="C86" s="58">
        <v>0</v>
      </c>
      <c r="D86" s="59">
        <f ca="1">((100/H76)*C86)/100</f>
        <v>0</v>
      </c>
      <c r="E86" s="166"/>
      <c r="F86" s="167"/>
      <c r="G86" s="166"/>
      <c r="H86" s="240"/>
      <c r="I86" s="13" t="s">
        <v>141</v>
      </c>
      <c r="J86" s="29">
        <f>(IF(B76&gt;4,(H76/(B76+2)+J85),0))</f>
        <v>0</v>
      </c>
    </row>
    <row r="87" spans="1:19" ht="15.75" customHeight="1" x14ac:dyDescent="0.3">
      <c r="A87" s="137" t="s">
        <v>129</v>
      </c>
      <c r="B87" s="138" t="s">
        <v>129</v>
      </c>
      <c r="C87" s="58">
        <v>0</v>
      </c>
      <c r="D87" s="59">
        <f ca="1">((100/(H76))*C87)/100</f>
        <v>0</v>
      </c>
      <c r="E87" s="166"/>
      <c r="F87" s="167"/>
      <c r="G87" s="166"/>
      <c r="H87" s="240"/>
      <c r="I87" s="13" t="s">
        <v>143</v>
      </c>
      <c r="J87" s="29">
        <f ca="1">(IF(B76=1,(H76/(B76+3)+J82),IF(B76=0,(H76/4+J82),IF(B76&gt;1,0))))</f>
        <v>10.5</v>
      </c>
    </row>
    <row r="88" spans="1:19" ht="16.2" thickBot="1" x14ac:dyDescent="0.35">
      <c r="A88" s="192" t="s">
        <v>130</v>
      </c>
      <c r="B88" s="193"/>
      <c r="C88" s="60">
        <v>0</v>
      </c>
      <c r="D88" s="61">
        <f ca="1">((100/(H76))*C88)/100</f>
        <v>0</v>
      </c>
      <c r="E88" s="168"/>
      <c r="F88" s="169"/>
      <c r="G88" s="168"/>
      <c r="H88" s="241"/>
      <c r="I88" s="14" t="s">
        <v>102</v>
      </c>
      <c r="J88" s="31">
        <f ca="1">(IF(B76&gt;1.5,(H76/(B76+2)+J82+MAX(0,J83-J82)+MAX(0,J84-J83)+MAX(0,J85-J84)+MAX(0,J86-J85)+MAX(0,J87-J86)),IF(B76=1,(H76/(B76+3)+J87),IF(B76=0,H76/4+J87))))</f>
        <v>14</v>
      </c>
    </row>
    <row r="89" spans="1:19" ht="15.75" customHeight="1" x14ac:dyDescent="0.3">
      <c r="A89" s="194" t="s">
        <v>136</v>
      </c>
      <c r="B89" s="195"/>
      <c r="C89" s="254" t="s">
        <v>359</v>
      </c>
      <c r="D89" s="255"/>
      <c r="E89" s="255"/>
      <c r="F89" s="255"/>
      <c r="G89" s="255"/>
      <c r="H89" s="256"/>
      <c r="I89" s="47" t="str">
        <f ca="1">IF(D102=100%,"All work Completed. Possession granted to the Building.",IF(D101=100%,"All work Completed, Waiting for OC",I90&amp;""&amp;I91&amp;""&amp;J90&amp;""&amp;J89&amp;" "&amp;J91))</f>
        <v>Excavation, Plinth, RCC Slab Completed, Brickwork upto 13 Floor Completed</v>
      </c>
      <c r="J89" s="48"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Brickwork upto 13 Floor</v>
      </c>
      <c r="S89"/>
    </row>
    <row r="90" spans="1:19" x14ac:dyDescent="0.3">
      <c r="A90" s="15" t="s">
        <v>138</v>
      </c>
      <c r="B90" s="45">
        <f>IF(AND(ISNUMBER(SEARCH("1B",C89))),1,IF(AND(ISNUMBER(SEARCH("2B",C89))),2,IF(AND(ISNUMBER(SEARCH("3B",C89))),3,IF(AND(ISNUMBER(SEARCH("4B",C89))),4,IF(ISNUMBER(SEARCH("5B",C89)),5,0)))))</f>
        <v>0</v>
      </c>
      <c r="C90" s="45" t="s">
        <v>69</v>
      </c>
      <c r="D90" s="45">
        <v>1</v>
      </c>
      <c r="E90" s="45" t="s">
        <v>68</v>
      </c>
      <c r="F90" s="45">
        <v>0</v>
      </c>
      <c r="G90" s="45" t="s">
        <v>77</v>
      </c>
      <c r="H90" s="16">
        <f ca="1">--TRIM(RIGHT(SUBSTITUTE(LEFT(C89,_xlfn.AGGREGATE(16,6,FIND({0,1,2,3,4,5,6,7,8,9},C89,ROW(INDIRECT("1:"&amp;LEN(C89)))),1))," ",REPT(" ",LEN(C89))),LEN(C89)))</f>
        <v>14</v>
      </c>
      <c r="I90" s="49" t="str">
        <f ca="1">IF(D93=100%,"Excavation","")&amp;IF(D94=100%,", Plinth","")&amp;IF(D95=100%,", RCC Slab","")&amp;IF(D96=100%,", Brickwork","")&amp;IF(D97=100%,", Internal Plaster","")&amp;IF(D98=100%,", External Plaster","")&amp;IF(D99=100%,", Flooring","")&amp;IF(D100=100%,", Painting","")&amp;IF(D101=100%,", Building common Amenities","")</f>
        <v>Excavation, Plinth, RCC Slab</v>
      </c>
      <c r="J90" s="50"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2.25" customHeight="1" x14ac:dyDescent="0.3">
      <c r="A91" s="199" t="s">
        <v>87</v>
      </c>
      <c r="B91" s="200"/>
      <c r="C91" s="201" t="str">
        <f ca="1">I89</f>
        <v>Excavation, Plinth, RCC Slab Completed, Brickwork upto 13 Floor Completed</v>
      </c>
      <c r="D91" s="201"/>
      <c r="E91" s="201"/>
      <c r="F91" s="201"/>
      <c r="G91" s="201"/>
      <c r="H91" s="202"/>
      <c r="I91" s="49" t="str">
        <f ca="1">IF(I90&lt;&gt;""," Completed","")</f>
        <v xml:space="preserve"> Completed</v>
      </c>
      <c r="J91" s="50" t="str">
        <f ca="1">IF(J89&lt;&gt;"","Completed","")</f>
        <v>Completed</v>
      </c>
      <c r="S91"/>
    </row>
    <row r="92" spans="1:19" ht="15.75" customHeight="1" x14ac:dyDescent="0.3">
      <c r="A92" s="137" t="s">
        <v>47</v>
      </c>
      <c r="B92" s="138"/>
      <c r="C92" s="58" t="s">
        <v>135</v>
      </c>
      <c r="D92" s="58" t="s">
        <v>80</v>
      </c>
      <c r="E92" s="171" t="s">
        <v>82</v>
      </c>
      <c r="F92" s="171"/>
      <c r="G92" s="171" t="s">
        <v>81</v>
      </c>
      <c r="H92" s="219"/>
      <c r="I92" s="13" t="s">
        <v>137</v>
      </c>
      <c r="J92" s="27">
        <f ca="1">H90*25%</f>
        <v>3.5</v>
      </c>
      <c r="S92"/>
    </row>
    <row r="93" spans="1:19" x14ac:dyDescent="0.3">
      <c r="A93" s="137" t="s">
        <v>124</v>
      </c>
      <c r="B93" s="138"/>
      <c r="C93" s="58">
        <f ca="1">J94</f>
        <v>14</v>
      </c>
      <c r="D93" s="59">
        <f ca="1">((100/H90)*C93)/100</f>
        <v>1</v>
      </c>
      <c r="E93" s="164">
        <f ca="1">(((C94/H90*10)+(40/(D90+F90+H90)*C95)+(7.5/(H90)*C96)+(7.5/(H90)*C97)+(10/H90*C98)+(10/H90*C99)+(5/H90*C100)+(5/H90*C101)+(5/H90*C102))/100)</f>
        <v>0.56964285714285712</v>
      </c>
      <c r="F93" s="165"/>
      <c r="G93" s="164">
        <f ca="1">((((C93/H90)*20)+((C94/H90)*25)+(30/(H90+F90+D90)*C95)+(5/H90*C96)+(5/H90*C97)+(5/H90*C98)+(5/H90*C99)+(0/H90*C100)+(0/H90*C101)+(5/H90*C102))/100)</f>
        <v>0.79642857142857137</v>
      </c>
      <c r="H93" s="239"/>
      <c r="I93" s="13" t="s">
        <v>98</v>
      </c>
      <c r="J93" s="28">
        <f ca="1">H90*50%</f>
        <v>7</v>
      </c>
    </row>
    <row r="94" spans="1:19" x14ac:dyDescent="0.3">
      <c r="A94" s="137" t="s">
        <v>48</v>
      </c>
      <c r="B94" s="138"/>
      <c r="C94" s="62">
        <f ca="1">J102</f>
        <v>14</v>
      </c>
      <c r="D94" s="59">
        <f ca="1">((100/H90)*C94)/100</f>
        <v>1</v>
      </c>
      <c r="E94" s="166"/>
      <c r="F94" s="167"/>
      <c r="G94" s="166"/>
      <c r="H94" s="240"/>
      <c r="I94" s="13" t="s">
        <v>99</v>
      </c>
      <c r="J94" s="28">
        <f ca="1">H90</f>
        <v>14</v>
      </c>
      <c r="S94"/>
    </row>
    <row r="95" spans="1:19" ht="15.75" customHeight="1" x14ac:dyDescent="0.3">
      <c r="A95" s="137" t="s">
        <v>125</v>
      </c>
      <c r="B95" s="138"/>
      <c r="C95" s="58">
        <v>15</v>
      </c>
      <c r="D95" s="59">
        <f ca="1">((100/(D90+F90+H90))*C95)/100</f>
        <v>1</v>
      </c>
      <c r="E95" s="166"/>
      <c r="F95" s="167"/>
      <c r="G95" s="166"/>
      <c r="H95" s="240"/>
      <c r="I95" s="13" t="s">
        <v>100</v>
      </c>
      <c r="J95" s="29">
        <f ca="1">(IF(B90&gt;1,(H90/(B90+2)),H90/4))</f>
        <v>3.5</v>
      </c>
      <c r="S95"/>
    </row>
    <row r="96" spans="1:19" ht="15.75" customHeight="1" x14ac:dyDescent="0.3">
      <c r="A96" s="137" t="s">
        <v>132</v>
      </c>
      <c r="B96" s="138" t="s">
        <v>126</v>
      </c>
      <c r="C96" s="58">
        <v>13</v>
      </c>
      <c r="D96" s="59">
        <f ca="1">((100/H90)*C96)/100</f>
        <v>0.9285714285714286</v>
      </c>
      <c r="E96" s="166"/>
      <c r="F96" s="167"/>
      <c r="G96" s="166"/>
      <c r="H96" s="240"/>
      <c r="I96" s="13" t="s">
        <v>101</v>
      </c>
      <c r="J96" s="29">
        <f ca="1">(IF(B90&gt;1,(H90/(B90+2)+J95),H90/4+J95))</f>
        <v>7</v>
      </c>
    </row>
    <row r="97" spans="1:10" ht="15.75" customHeight="1" x14ac:dyDescent="0.3">
      <c r="A97" s="137" t="s">
        <v>133</v>
      </c>
      <c r="B97" s="138" t="s">
        <v>126</v>
      </c>
      <c r="C97" s="58">
        <v>0</v>
      </c>
      <c r="D97" s="59">
        <f ca="1">((100/H90)*C97)/100</f>
        <v>0</v>
      </c>
      <c r="E97" s="166"/>
      <c r="F97" s="167"/>
      <c r="G97" s="166"/>
      <c r="H97" s="240"/>
      <c r="I97" s="13" t="s">
        <v>142</v>
      </c>
      <c r="J97" s="29">
        <f>(IF(B90&gt;1,(H90/(B90+2)+J96),0))</f>
        <v>0</v>
      </c>
    </row>
    <row r="98" spans="1:10" ht="15" customHeight="1" x14ac:dyDescent="0.3">
      <c r="A98" s="137" t="s">
        <v>131</v>
      </c>
      <c r="B98" s="138" t="s">
        <v>128</v>
      </c>
      <c r="C98" s="58">
        <v>0</v>
      </c>
      <c r="D98" s="59">
        <f ca="1">((100/(H90))*C98)/100</f>
        <v>0</v>
      </c>
      <c r="E98" s="166"/>
      <c r="F98" s="167"/>
      <c r="G98" s="166"/>
      <c r="H98" s="240"/>
      <c r="I98" s="13" t="s">
        <v>139</v>
      </c>
      <c r="J98" s="29">
        <f>(IF(B90&gt;2,(H90/(B90+2)+J97),0))</f>
        <v>0</v>
      </c>
    </row>
    <row r="99" spans="1:10" ht="15.75" customHeight="1" x14ac:dyDescent="0.3">
      <c r="A99" s="137" t="s">
        <v>127</v>
      </c>
      <c r="B99" s="138" t="s">
        <v>127</v>
      </c>
      <c r="C99" s="58">
        <v>0</v>
      </c>
      <c r="D99" s="59">
        <f ca="1">((100/H90)*C99)/100</f>
        <v>0</v>
      </c>
      <c r="E99" s="166"/>
      <c r="F99" s="167"/>
      <c r="G99" s="166"/>
      <c r="H99" s="240"/>
      <c r="I99" s="13" t="s">
        <v>140</v>
      </c>
      <c r="J99" s="30">
        <f>(IF(B90&gt;3,(H90/(B90+2)+J98),0))</f>
        <v>0</v>
      </c>
    </row>
    <row r="100" spans="1:10" ht="15.75" customHeight="1" x14ac:dyDescent="0.3">
      <c r="A100" s="137" t="s">
        <v>134</v>
      </c>
      <c r="B100" s="138"/>
      <c r="C100" s="58">
        <v>0</v>
      </c>
      <c r="D100" s="59">
        <f ca="1">((100/H90)*C100)/100</f>
        <v>0</v>
      </c>
      <c r="E100" s="166"/>
      <c r="F100" s="167"/>
      <c r="G100" s="166"/>
      <c r="H100" s="240"/>
      <c r="I100" s="13" t="s">
        <v>141</v>
      </c>
      <c r="J100" s="29">
        <f>(IF(B90&gt;4,(H90/(B90+2)+J99),0))</f>
        <v>0</v>
      </c>
    </row>
    <row r="101" spans="1:10" ht="15.75" customHeight="1" x14ac:dyDescent="0.3">
      <c r="A101" s="137" t="s">
        <v>129</v>
      </c>
      <c r="B101" s="138" t="s">
        <v>129</v>
      </c>
      <c r="C101" s="58">
        <v>0</v>
      </c>
      <c r="D101" s="59">
        <f ca="1">((100/(H90))*C101)/100</f>
        <v>0</v>
      </c>
      <c r="E101" s="166"/>
      <c r="F101" s="167"/>
      <c r="G101" s="166"/>
      <c r="H101" s="240"/>
      <c r="I101" s="13" t="s">
        <v>143</v>
      </c>
      <c r="J101" s="29">
        <f ca="1">(IF(B90=1,(H90/(B90+3)+J96),IF(B90=0,(H90/4+J96),IF(B90&gt;1,0))))</f>
        <v>10.5</v>
      </c>
    </row>
    <row r="102" spans="1:10" ht="16.2" thickBot="1" x14ac:dyDescent="0.35">
      <c r="A102" s="267" t="s">
        <v>130</v>
      </c>
      <c r="B102" s="268"/>
      <c r="C102" s="76">
        <v>0</v>
      </c>
      <c r="D102" s="77">
        <f ca="1">((100/(H90))*C102)/100</f>
        <v>0</v>
      </c>
      <c r="E102" s="166"/>
      <c r="F102" s="167"/>
      <c r="G102" s="166"/>
      <c r="H102" s="240"/>
      <c r="I102" s="14" t="s">
        <v>102</v>
      </c>
      <c r="J102" s="31">
        <f ca="1">(IF(B90&gt;1.5,(H90/(B90+2)+J96+MAX(0,J97-J96)+MAX(0,J98-J97)+MAX(0,J99-J98)+MAX(0,J100-J99)+MAX(0,J101-J100)),IF(B90=1,(H90/(B90+3)+J101),IF(B90=0,H90/4+J101))))</f>
        <v>14</v>
      </c>
    </row>
    <row r="103" spans="1:10" ht="49.5" customHeight="1" thickBot="1" x14ac:dyDescent="0.35">
      <c r="A103" s="269" t="s">
        <v>360</v>
      </c>
      <c r="B103" s="270"/>
      <c r="C103" s="271">
        <f ca="1">AVERAGE(E79,E93)</f>
        <v>0.62232142857142858</v>
      </c>
      <c r="D103" s="272"/>
      <c r="E103" s="270" t="s">
        <v>366</v>
      </c>
      <c r="F103" s="270"/>
      <c r="G103" s="273">
        <f ca="1">AVERAGE(G79,G93)</f>
        <v>0.82678571428571423</v>
      </c>
      <c r="H103" s="274"/>
      <c r="I103" s="13"/>
      <c r="J103" s="29"/>
    </row>
    <row r="104" spans="1:10" ht="15.75" customHeight="1" x14ac:dyDescent="0.3">
      <c r="A104" s="132" t="s">
        <v>136</v>
      </c>
      <c r="B104" s="133"/>
      <c r="C104" s="134" t="str">
        <f>D66</f>
        <v>Building No.2 = Gr/Stilt + 1st to 14th Floor</v>
      </c>
      <c r="D104" s="135"/>
      <c r="E104" s="135"/>
      <c r="F104" s="135"/>
      <c r="G104" s="135"/>
      <c r="H104" s="136"/>
      <c r="I104" s="78" t="str">
        <f ca="1">IF(D117=100%,"All work Completed. Possession granted to the Building.",IF(D116=100%,"All work Completed, Waiting for OC",I105&amp;""&amp;I106&amp;""&amp;J105&amp;""&amp;J104&amp;" "&amp;J106))</f>
        <v>Excavation, Plinth, RCC Slab, Brickwork Completed, Internal Plaster upto 13 Floor, External Plaster upto 12 Floor, Flooring upto 5 Floor Completed</v>
      </c>
      <c r="J104" s="79"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Internal Plaster upto 13 Floor, External Plaster upto 12 Floor, Flooring upto 5 Floor</v>
      </c>
    </row>
    <row r="105" spans="1:10" x14ac:dyDescent="0.3">
      <c r="A105" s="15" t="s">
        <v>138</v>
      </c>
      <c r="B105" s="45">
        <f>IF(AND(ISNUMBER(SEARCH("1B",C104))),1,IF(AND(ISNUMBER(SEARCH("2B",C104))),2,IF(AND(ISNUMBER(SEARCH("3B",C104))),3,IF(AND(ISNUMBER(SEARCH("4B",C104))),4,IF(ISNUMBER(SEARCH("5B",C104)),5,0)))))</f>
        <v>0</v>
      </c>
      <c r="C105" s="45" t="s">
        <v>69</v>
      </c>
      <c r="D105" s="45">
        <v>1</v>
      </c>
      <c r="E105" s="45" t="s">
        <v>68</v>
      </c>
      <c r="F105" s="45">
        <v>0</v>
      </c>
      <c r="G105" s="45" t="s">
        <v>77</v>
      </c>
      <c r="H105" s="16">
        <f ca="1">--TRIM(RIGHT(SUBSTITUTE(LEFT(C104,_xlfn.AGGREGATE(16,6,FIND({0,1,2,3,4,5,6,7,8,9},C104,ROW(INDIRECT("1:"&amp;LEN(C104)))),1))," ",REPT(" ",LEN(C104))),LEN(C104)))</f>
        <v>14</v>
      </c>
      <c r="I105" s="49" t="str">
        <f ca="1">IF(D108=100%,"Excavation","")&amp;IF(D109=100%,", Plinth","")&amp;IF(D110=100%,", RCC Slab","")&amp;IF(D111=100%,", Brickwork","")&amp;IF(D112=100%,", Internal Plaster","")&amp;IF(D113=100%,", External Plaster","")&amp;IF(D114=100%,", Flooring","")&amp;IF(D115=100%,", Painting","")&amp;IF(D116=100%,", Building common Amenities","")</f>
        <v>Excavation, Plinth, RCC Slab, Brickwork</v>
      </c>
      <c r="J105" s="50"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10" ht="34.5" customHeight="1" x14ac:dyDescent="0.3">
      <c r="A106" s="199" t="s">
        <v>87</v>
      </c>
      <c r="B106" s="200"/>
      <c r="C106" s="201" t="str">
        <f ca="1">(IF($G$60="NA",I104,"All work Completed. OC Received."))</f>
        <v>Excavation, Plinth, RCC Slab, Brickwork Completed, Internal Plaster upto 13 Floor, External Plaster upto 12 Floor, Flooring upto 5 Floor Completed</v>
      </c>
      <c r="D106" s="201"/>
      <c r="E106" s="201"/>
      <c r="F106" s="201"/>
      <c r="G106" s="201"/>
      <c r="H106" s="202"/>
      <c r="I106" s="49" t="str">
        <f ca="1">IF(I105&lt;&gt;""," Completed","")</f>
        <v xml:space="preserve"> Completed</v>
      </c>
      <c r="J106" s="50" t="str">
        <f ca="1">IF(J104&lt;&gt;"","Completed","")</f>
        <v>Completed</v>
      </c>
    </row>
    <row r="107" spans="1:10" ht="15.75" customHeight="1" x14ac:dyDescent="0.3">
      <c r="A107" s="170" t="s">
        <v>47</v>
      </c>
      <c r="B107" s="171"/>
      <c r="C107" s="58" t="s">
        <v>135</v>
      </c>
      <c r="D107" s="58" t="s">
        <v>80</v>
      </c>
      <c r="E107" s="171" t="s">
        <v>82</v>
      </c>
      <c r="F107" s="171"/>
      <c r="G107" s="171" t="s">
        <v>81</v>
      </c>
      <c r="H107" s="219"/>
      <c r="I107" s="13" t="s">
        <v>137</v>
      </c>
      <c r="J107" s="27">
        <f ca="1">H105*25%</f>
        <v>3.5</v>
      </c>
    </row>
    <row r="108" spans="1:10" x14ac:dyDescent="0.3">
      <c r="A108" s="170" t="s">
        <v>124</v>
      </c>
      <c r="B108" s="171"/>
      <c r="C108" s="58">
        <f ca="1">J109</f>
        <v>14</v>
      </c>
      <c r="D108" s="59">
        <f ca="1">((100/H105)*C108)/100</f>
        <v>1</v>
      </c>
      <c r="E108" s="164">
        <f ca="1">(((C109/H105*10)+(40/(D105+F105+H105)*C110)+(7.5/(H105)*C111)+(7.5/(H105)*C112)+(10/H105*C113)+(10/H105*C114)+(5/H105*C115)+(5/H105*C116)+(5/H105*C117))/100)</f>
        <v>0.76607142857142851</v>
      </c>
      <c r="F108" s="165"/>
      <c r="G108" s="164">
        <f ca="1">((((C108/H105)*20)+((C109/H105)*25)+(30/(H105+F105+D105)*C110)+(5/H105*C111)+(5/H105*C112)+(5/H105*C113)+(5/H105*C114)+(0/H105*C115)+(0/H105*C116)+(5/H105*C117))/100)</f>
        <v>0.90714285714285725</v>
      </c>
      <c r="H108" s="239"/>
      <c r="I108" s="13" t="s">
        <v>98</v>
      </c>
      <c r="J108" s="28">
        <f ca="1">H105*50%</f>
        <v>7</v>
      </c>
    </row>
    <row r="109" spans="1:10" x14ac:dyDescent="0.3">
      <c r="A109" s="170" t="s">
        <v>48</v>
      </c>
      <c r="B109" s="171"/>
      <c r="C109" s="62">
        <f ca="1">J117</f>
        <v>14</v>
      </c>
      <c r="D109" s="59">
        <f ca="1">((100/H105)*C109)/100</f>
        <v>1</v>
      </c>
      <c r="E109" s="166"/>
      <c r="F109" s="167"/>
      <c r="G109" s="166"/>
      <c r="H109" s="240"/>
      <c r="I109" s="13" t="s">
        <v>99</v>
      </c>
      <c r="J109" s="28">
        <f ca="1">H105</f>
        <v>14</v>
      </c>
    </row>
    <row r="110" spans="1:10" ht="15.75" customHeight="1" x14ac:dyDescent="0.3">
      <c r="A110" s="170" t="s">
        <v>125</v>
      </c>
      <c r="B110" s="171"/>
      <c r="C110" s="58">
        <v>15</v>
      </c>
      <c r="D110" s="59">
        <f ca="1">((100/(D105+F105+H105))*C110)/100</f>
        <v>1</v>
      </c>
      <c r="E110" s="166"/>
      <c r="F110" s="167"/>
      <c r="G110" s="166"/>
      <c r="H110" s="240"/>
      <c r="I110" s="13" t="s">
        <v>100</v>
      </c>
      <c r="J110" s="29">
        <f ca="1">(IF(B105&gt;1,(H105/(B105+2)),H105/4))</f>
        <v>3.5</v>
      </c>
    </row>
    <row r="111" spans="1:10" ht="15.75" customHeight="1" x14ac:dyDescent="0.3">
      <c r="A111" s="170" t="s">
        <v>132</v>
      </c>
      <c r="B111" s="171" t="s">
        <v>126</v>
      </c>
      <c r="C111" s="58">
        <v>14</v>
      </c>
      <c r="D111" s="59">
        <f ca="1">((100/H105)*C111)/100</f>
        <v>1</v>
      </c>
      <c r="E111" s="166"/>
      <c r="F111" s="167"/>
      <c r="G111" s="166"/>
      <c r="H111" s="240"/>
      <c r="I111" s="13" t="s">
        <v>101</v>
      </c>
      <c r="J111" s="29">
        <f ca="1">(IF(B105&gt;1,(H105/(B105+2)+J110),H105/4+J110))</f>
        <v>7</v>
      </c>
    </row>
    <row r="112" spans="1:10" ht="15.75" customHeight="1" x14ac:dyDescent="0.3">
      <c r="A112" s="170" t="s">
        <v>133</v>
      </c>
      <c r="B112" s="171" t="s">
        <v>126</v>
      </c>
      <c r="C112" s="58">
        <v>13</v>
      </c>
      <c r="D112" s="59">
        <f ca="1">((100/H105)*C112)/100</f>
        <v>0.9285714285714286</v>
      </c>
      <c r="E112" s="166"/>
      <c r="F112" s="167"/>
      <c r="G112" s="166"/>
      <c r="H112" s="240"/>
      <c r="I112" s="13" t="s">
        <v>142</v>
      </c>
      <c r="J112" s="29">
        <f>(IF(B105&gt;1,(H105/(B105+2)+J111),0))</f>
        <v>0</v>
      </c>
    </row>
    <row r="113" spans="1:10" ht="15" customHeight="1" x14ac:dyDescent="0.3">
      <c r="A113" s="170" t="s">
        <v>131</v>
      </c>
      <c r="B113" s="171" t="s">
        <v>128</v>
      </c>
      <c r="C113" s="58">
        <v>12</v>
      </c>
      <c r="D113" s="59">
        <f ca="1">((100/(H105))*C113)/100</f>
        <v>0.85714285714285721</v>
      </c>
      <c r="E113" s="166"/>
      <c r="F113" s="167"/>
      <c r="G113" s="166"/>
      <c r="H113" s="240"/>
      <c r="I113" s="13" t="s">
        <v>139</v>
      </c>
      <c r="J113" s="29">
        <f>(IF(B105&gt;2,(H105/(B105+2)+J112),0))</f>
        <v>0</v>
      </c>
    </row>
    <row r="114" spans="1:10" ht="15.75" customHeight="1" x14ac:dyDescent="0.3">
      <c r="A114" s="170" t="s">
        <v>127</v>
      </c>
      <c r="B114" s="171" t="s">
        <v>127</v>
      </c>
      <c r="C114" s="58">
        <v>5</v>
      </c>
      <c r="D114" s="59">
        <f ca="1">((100/H105)*C114)/100</f>
        <v>0.35714285714285715</v>
      </c>
      <c r="E114" s="166"/>
      <c r="F114" s="167"/>
      <c r="G114" s="166"/>
      <c r="H114" s="240"/>
      <c r="I114" s="13" t="s">
        <v>140</v>
      </c>
      <c r="J114" s="30">
        <f>(IF(B105&gt;3,(H105/(B105+2)+J113),0))</f>
        <v>0</v>
      </c>
    </row>
    <row r="115" spans="1:10" ht="15.75" customHeight="1" x14ac:dyDescent="0.3">
      <c r="A115" s="170" t="s">
        <v>134</v>
      </c>
      <c r="B115" s="171"/>
      <c r="C115" s="58">
        <v>0</v>
      </c>
      <c r="D115" s="59">
        <f ca="1">((100/H105)*C115)/100</f>
        <v>0</v>
      </c>
      <c r="E115" s="166"/>
      <c r="F115" s="167"/>
      <c r="G115" s="166"/>
      <c r="H115" s="240"/>
      <c r="I115" s="13" t="s">
        <v>141</v>
      </c>
      <c r="J115" s="29">
        <f>(IF(B105&gt;4,(H105/(B105+2)+J114),0))</f>
        <v>0</v>
      </c>
    </row>
    <row r="116" spans="1:10" ht="15.75" customHeight="1" x14ac:dyDescent="0.3">
      <c r="A116" s="170" t="s">
        <v>129</v>
      </c>
      <c r="B116" s="171" t="s">
        <v>129</v>
      </c>
      <c r="C116" s="58">
        <v>0</v>
      </c>
      <c r="D116" s="59">
        <f ca="1">((100/(H105))*C116)/100</f>
        <v>0</v>
      </c>
      <c r="E116" s="166"/>
      <c r="F116" s="167"/>
      <c r="G116" s="166"/>
      <c r="H116" s="240"/>
      <c r="I116" s="13" t="s">
        <v>143</v>
      </c>
      <c r="J116" s="29">
        <f ca="1">(IF(B105=1,(H105/(B105+3)+J111),IF(B105=0,(H105/4+J111),IF(B105&gt;1,0))))</f>
        <v>10.5</v>
      </c>
    </row>
    <row r="117" spans="1:10" ht="16.2" thickBot="1" x14ac:dyDescent="0.35">
      <c r="A117" s="179" t="s">
        <v>130</v>
      </c>
      <c r="B117" s="180"/>
      <c r="C117" s="60">
        <v>0</v>
      </c>
      <c r="D117" s="61">
        <f ca="1">((100/(H105))*C117)/100</f>
        <v>0</v>
      </c>
      <c r="E117" s="168"/>
      <c r="F117" s="169"/>
      <c r="G117" s="168"/>
      <c r="H117" s="241"/>
      <c r="I117" s="14" t="s">
        <v>102</v>
      </c>
      <c r="J117" s="31">
        <f ca="1">(IF(B105&gt;1.5,(H105/(B105+2)+J111+MAX(0,J112-J111)+MAX(0,J113-J112)+MAX(0,J114-J113)+MAX(0,J115-J114)+MAX(0,J116-J115)),IF(B105=1,(H105/(B105+3)+J116),IF(B105=0,H105/4+J116))))</f>
        <v>14</v>
      </c>
    </row>
    <row r="118" spans="1:10" ht="15.75" customHeight="1" x14ac:dyDescent="0.3">
      <c r="A118" s="194" t="s">
        <v>136</v>
      </c>
      <c r="B118" s="195"/>
      <c r="C118" s="196" t="s">
        <v>317</v>
      </c>
      <c r="D118" s="197"/>
      <c r="E118" s="197"/>
      <c r="F118" s="197"/>
      <c r="G118" s="197"/>
      <c r="H118" s="198"/>
      <c r="I118" s="47" t="str">
        <f ca="1">IF(D131=100%,"All work Completed. Possession granted to the Building.",IF(D130=100%,"All work Completed, Waiting for OC",I119&amp;""&amp;I120&amp;""&amp;J119&amp;""&amp;J118&amp;" "&amp;J120))</f>
        <v>Excavation, Plinth, RCC Slab Completed, Brickwork upto 13 Floor, Internal Plaster upto 10 Floor Completed</v>
      </c>
      <c r="J118" s="48"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Brickwork upto 13 Floor, Internal Plaster upto 10 Floor</v>
      </c>
    </row>
    <row r="119" spans="1:10" x14ac:dyDescent="0.3">
      <c r="A119" s="15" t="s">
        <v>138</v>
      </c>
      <c r="B119" s="45">
        <f>IF(AND(ISNUMBER(SEARCH("1B",C118))),1,IF(AND(ISNUMBER(SEARCH("2B",C118))),2,IF(AND(ISNUMBER(SEARCH("3B",C118))),3,IF(AND(ISNUMBER(SEARCH("4B",C118))),4,IF(ISNUMBER(SEARCH("5B",C118)),5,0)))))</f>
        <v>0</v>
      </c>
      <c r="C119" s="45" t="s">
        <v>69</v>
      </c>
      <c r="D119" s="45">
        <v>1</v>
      </c>
      <c r="E119" s="45" t="s">
        <v>68</v>
      </c>
      <c r="F119" s="45">
        <v>0</v>
      </c>
      <c r="G119" s="46" t="s">
        <v>77</v>
      </c>
      <c r="H119" s="16">
        <f ca="1">--TRIM(RIGHT(SUBSTITUTE(LEFT(C118,_xlfn.AGGREGATE(16,6,FIND({0,1,2,3,4,5,6,7,8,9},C118,ROW(INDIRECT("1:"&amp;LEN(C118)))),1))," ",REPT(" ",LEN(C118))),LEN(C118)))</f>
        <v>14</v>
      </c>
      <c r="I119" s="49" t="str">
        <f ca="1">IF(D122=100%,"Excavation","")&amp;IF(D123=100%,", Plinth","")&amp;IF(D124=100%,", RCC Slab","")&amp;IF(D125=100%,", Brickwork","")&amp;IF(D126=100%,", Internal Plaster","")&amp;IF(D127=100%,", External Plaster","")&amp;IF(D128=100%,", Flooring","")&amp;IF(D129=100%,", Painting","")&amp;IF(D130=100%,", Building common Amenities","")</f>
        <v>Excavation, Plinth, RCC Slab</v>
      </c>
      <c r="J119" s="50"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c>
    </row>
    <row r="120" spans="1:10" ht="34.799999999999997" customHeight="1" x14ac:dyDescent="0.3">
      <c r="A120" s="199" t="s">
        <v>87</v>
      </c>
      <c r="B120" s="200"/>
      <c r="C120" s="201" t="str">
        <f ca="1">(IF($G$60="NA",I118,"All work Completed. OC Received."))</f>
        <v>Excavation, Plinth, RCC Slab Completed, Brickwork upto 13 Floor, Internal Plaster upto 10 Floor Completed</v>
      </c>
      <c r="D120" s="201"/>
      <c r="E120" s="201"/>
      <c r="F120" s="201"/>
      <c r="G120" s="201"/>
      <c r="H120" s="202"/>
      <c r="I120" s="49" t="str">
        <f ca="1">IF(I119&lt;&gt;""," Completed","")</f>
        <v xml:space="preserve"> Completed</v>
      </c>
      <c r="J120" s="50" t="str">
        <f ca="1">IF(J118&lt;&gt;"","Completed","")</f>
        <v>Completed</v>
      </c>
    </row>
    <row r="121" spans="1:10" ht="15.75" customHeight="1" x14ac:dyDescent="0.3">
      <c r="A121" s="137" t="s">
        <v>47</v>
      </c>
      <c r="B121" s="138"/>
      <c r="C121" s="41" t="s">
        <v>135</v>
      </c>
      <c r="D121" s="41" t="s">
        <v>80</v>
      </c>
      <c r="E121" s="138" t="s">
        <v>82</v>
      </c>
      <c r="F121" s="138"/>
      <c r="G121" s="138" t="s">
        <v>81</v>
      </c>
      <c r="H121" s="203"/>
      <c r="I121" s="13" t="s">
        <v>137</v>
      </c>
      <c r="J121" s="27">
        <f ca="1">H119*25%</f>
        <v>3.5</v>
      </c>
    </row>
    <row r="122" spans="1:10" x14ac:dyDescent="0.3">
      <c r="A122" s="137" t="s">
        <v>124</v>
      </c>
      <c r="B122" s="138"/>
      <c r="C122" s="41">
        <f ca="1">J123</f>
        <v>14</v>
      </c>
      <c r="D122" s="18">
        <f ca="1">((100/H119)*C122)/100</f>
        <v>1</v>
      </c>
      <c r="E122" s="172">
        <f ca="1">(((C123/H119*10)+(40/(D119+F119+H119)*C124)+(7.5/(H119)*C125)+(7.5/(H119)*C126)+(10/H119*C127)+(10/H119*C128)+(5/H119*C129)+(5/H119*C130)+(5/H119*C131))/100)</f>
        <v>0.62321428571428572</v>
      </c>
      <c r="F122" s="173"/>
      <c r="G122" s="172">
        <f ca="1">((((C122/H119)*20)+((C123/H119)*25)+(30/(H119+F119+D119)*C124)+(5/H119*C125)+(5/H119*C126)+(5/H119*C127)+(5/H119*C128)+(0/H119*C129)+(0/H119*C130)+(5/H119*C131))/100)</f>
        <v>0.83214285714285707</v>
      </c>
      <c r="H122" s="204"/>
      <c r="I122" s="13" t="s">
        <v>98</v>
      </c>
      <c r="J122" s="28">
        <f ca="1">H119*50%</f>
        <v>7</v>
      </c>
    </row>
    <row r="123" spans="1:10" x14ac:dyDescent="0.3">
      <c r="A123" s="137" t="s">
        <v>48</v>
      </c>
      <c r="B123" s="138"/>
      <c r="C123" s="74">
        <f ca="1">J131</f>
        <v>14</v>
      </c>
      <c r="D123" s="18">
        <f ca="1">((100/H119)*C123)/100</f>
        <v>1</v>
      </c>
      <c r="E123" s="174"/>
      <c r="F123" s="175"/>
      <c r="G123" s="174"/>
      <c r="H123" s="205"/>
      <c r="I123" s="13" t="s">
        <v>99</v>
      </c>
      <c r="J123" s="28">
        <f ca="1">H119</f>
        <v>14</v>
      </c>
    </row>
    <row r="124" spans="1:10" ht="15.75" customHeight="1" x14ac:dyDescent="0.3">
      <c r="A124" s="137" t="s">
        <v>125</v>
      </c>
      <c r="B124" s="138"/>
      <c r="C124" s="41">
        <v>15</v>
      </c>
      <c r="D124" s="18">
        <f ca="1">((100/(D119+F119+H119))*C124)/100</f>
        <v>1</v>
      </c>
      <c r="E124" s="174"/>
      <c r="F124" s="175"/>
      <c r="G124" s="174"/>
      <c r="H124" s="205"/>
      <c r="I124" s="13" t="s">
        <v>100</v>
      </c>
      <c r="J124" s="29">
        <f ca="1">(IF(B119&gt;1,(H119/(B119+2)),H119/4))</f>
        <v>3.5</v>
      </c>
    </row>
    <row r="125" spans="1:10" ht="15.75" customHeight="1" x14ac:dyDescent="0.3">
      <c r="A125" s="137" t="s">
        <v>132</v>
      </c>
      <c r="B125" s="138" t="s">
        <v>126</v>
      </c>
      <c r="C125" s="41">
        <v>13</v>
      </c>
      <c r="D125" s="18">
        <f ca="1">((100/H119)*C125)/100</f>
        <v>0.9285714285714286</v>
      </c>
      <c r="E125" s="174"/>
      <c r="F125" s="175"/>
      <c r="G125" s="174"/>
      <c r="H125" s="205"/>
      <c r="I125" s="13" t="s">
        <v>101</v>
      </c>
      <c r="J125" s="29">
        <f ca="1">(IF(B119&gt;1,(H119/(B119+2)+J124),H119/4+J124))</f>
        <v>7</v>
      </c>
    </row>
    <row r="126" spans="1:10" ht="15.75" customHeight="1" x14ac:dyDescent="0.3">
      <c r="A126" s="137" t="s">
        <v>133</v>
      </c>
      <c r="B126" s="138" t="s">
        <v>126</v>
      </c>
      <c r="C126" s="41">
        <v>10</v>
      </c>
      <c r="D126" s="18">
        <f ca="1">((100/H119)*C126)/100</f>
        <v>0.7142857142857143</v>
      </c>
      <c r="E126" s="174"/>
      <c r="F126" s="175"/>
      <c r="G126" s="174"/>
      <c r="H126" s="205"/>
      <c r="I126" s="13" t="s">
        <v>142</v>
      </c>
      <c r="J126" s="29">
        <f>(IF(B119&gt;1,(H119/(B119+2)+J125),0))</f>
        <v>0</v>
      </c>
    </row>
    <row r="127" spans="1:10" ht="15" customHeight="1" x14ac:dyDescent="0.3">
      <c r="A127" s="137" t="s">
        <v>131</v>
      </c>
      <c r="B127" s="138" t="s">
        <v>128</v>
      </c>
      <c r="C127" s="41">
        <v>0</v>
      </c>
      <c r="D127" s="18">
        <f ca="1">((100/(H119))*C127)/100</f>
        <v>0</v>
      </c>
      <c r="E127" s="174"/>
      <c r="F127" s="175"/>
      <c r="G127" s="174"/>
      <c r="H127" s="205"/>
      <c r="I127" s="13" t="s">
        <v>139</v>
      </c>
      <c r="J127" s="29">
        <f>(IF(B119&gt;2,(H119/(B119+2)+J126),0))</f>
        <v>0</v>
      </c>
    </row>
    <row r="128" spans="1:10" ht="15.75" customHeight="1" x14ac:dyDescent="0.3">
      <c r="A128" s="137" t="s">
        <v>127</v>
      </c>
      <c r="B128" s="138" t="s">
        <v>127</v>
      </c>
      <c r="C128" s="41">
        <v>0</v>
      </c>
      <c r="D128" s="18">
        <f ca="1">((100/H119)*C128)/100</f>
        <v>0</v>
      </c>
      <c r="E128" s="174"/>
      <c r="F128" s="175"/>
      <c r="G128" s="174"/>
      <c r="H128" s="205"/>
      <c r="I128" s="13" t="s">
        <v>140</v>
      </c>
      <c r="J128" s="30">
        <f>(IF(B119&gt;3,(H119/(B119+2)+J127),0))</f>
        <v>0</v>
      </c>
    </row>
    <row r="129" spans="1:10" ht="15.75" customHeight="1" x14ac:dyDescent="0.3">
      <c r="A129" s="137" t="s">
        <v>134</v>
      </c>
      <c r="B129" s="138"/>
      <c r="C129" s="41">
        <v>0</v>
      </c>
      <c r="D129" s="18">
        <f ca="1">((100/H119)*C129)/100</f>
        <v>0</v>
      </c>
      <c r="E129" s="174"/>
      <c r="F129" s="175"/>
      <c r="G129" s="174"/>
      <c r="H129" s="205"/>
      <c r="I129" s="13" t="s">
        <v>141</v>
      </c>
      <c r="J129" s="29">
        <f>(IF(B119&gt;4,(H119/(B119+2)+J128),0))</f>
        <v>0</v>
      </c>
    </row>
    <row r="130" spans="1:10" ht="15.75" customHeight="1" x14ac:dyDescent="0.3">
      <c r="A130" s="137" t="s">
        <v>129</v>
      </c>
      <c r="B130" s="138" t="s">
        <v>129</v>
      </c>
      <c r="C130" s="41">
        <v>0</v>
      </c>
      <c r="D130" s="18">
        <f ca="1">((100/(H119))*C130)/100</f>
        <v>0</v>
      </c>
      <c r="E130" s="174"/>
      <c r="F130" s="175"/>
      <c r="G130" s="174"/>
      <c r="H130" s="205"/>
      <c r="I130" s="13" t="s">
        <v>143</v>
      </c>
      <c r="J130" s="29">
        <f ca="1">(IF(B119=1,(H119/(B119+3)+J125),IF(B119=0,(H119/4+J125),IF(B119&gt;1,0))))</f>
        <v>10.5</v>
      </c>
    </row>
    <row r="131" spans="1:10" ht="16.2" thickBot="1" x14ac:dyDescent="0.35">
      <c r="A131" s="192" t="s">
        <v>130</v>
      </c>
      <c r="B131" s="193"/>
      <c r="C131" s="42">
        <v>0</v>
      </c>
      <c r="D131" s="19">
        <f ca="1">((100/(H119))*C131)/100</f>
        <v>0</v>
      </c>
      <c r="E131" s="176"/>
      <c r="F131" s="177"/>
      <c r="G131" s="176"/>
      <c r="H131" s="206"/>
      <c r="I131" s="14" t="s">
        <v>102</v>
      </c>
      <c r="J131" s="31">
        <f ca="1">(IF(B119&gt;1.5,(H119/(B119+2)+J125+MAX(0,J126-J125)+MAX(0,J127-J126)+MAX(0,J128-J127)+MAX(0,J129-J128)+MAX(0,J130-J129)),IF(B119=1,(H119/(B119+3)+J130),IF(B119=0,H119/4+J130))))</f>
        <v>14</v>
      </c>
    </row>
    <row r="132" spans="1:10" ht="15.75" hidden="1" customHeight="1" x14ac:dyDescent="0.3">
      <c r="A132" s="194" t="s">
        <v>136</v>
      </c>
      <c r="B132" s="195"/>
      <c r="C132" s="196" t="s">
        <v>361</v>
      </c>
      <c r="D132" s="197"/>
      <c r="E132" s="197"/>
      <c r="F132" s="197"/>
      <c r="G132" s="197"/>
      <c r="H132" s="198"/>
      <c r="I132" s="47" t="str">
        <f ca="1">IF(D145=100%,"All work Completed. Possession granted to the Building.",IF(D144=100%,"All work Completed, Waiting for OC",I133&amp;""&amp;I134&amp;""&amp;J133&amp;""&amp;J132&amp;" "&amp;J134))</f>
        <v>Excavation, Plinth Completed, RCC upto 5 Slab Completed</v>
      </c>
      <c r="J132" s="48" t="str">
        <f ca="1">(IF(C138=(D133+F133+H133),"",IF(C138&gt;0,", RCC upto "&amp;C138&amp;" Slab","")))&amp;(IF(C139=H133,"",IF(C139&gt;0,", Brickwork upto "&amp;C139&amp;" Floor","")))&amp;(IF(C140=H133,"",IF(C140&gt;0,", Internal Plaster upto "&amp;C140&amp;" Floor","")))&amp;(IF(C141=H133,"",IF(C141&gt;0,", External Plaster upto "&amp;C141&amp;" Floor","")))&amp;(IF(C142=H133,"",IF(C142&gt;0,", Flooring upto "&amp;C142&amp;" Floor","")))&amp;(IF(C143=H133,"",IF(C143&gt;0,", Painting upto "&amp;C143&amp;" Floor","")))&amp;(IF(C144=H133,"",IF(C144&gt;0,", Finishing upto "&amp;C144&amp;" Floor","")))&amp;(IF(C145=H133,"",IF(C145&gt;0,", Possession upto "&amp;C145&amp;" Floor","")))</f>
        <v>, RCC upto 5 Slab</v>
      </c>
    </row>
    <row r="133" spans="1:10" hidden="1" x14ac:dyDescent="0.3">
      <c r="A133" s="15" t="s">
        <v>138</v>
      </c>
      <c r="B133" s="45">
        <f>IF(AND(ISNUMBER(SEARCH("1B",C132))),1,IF(AND(ISNUMBER(SEARCH("2B",C132))),2,IF(AND(ISNUMBER(SEARCH("3B",C132))),3,IF(AND(ISNUMBER(SEARCH("4B",C132))),4,IF(ISNUMBER(SEARCH("5B",C132)),5,0)))))</f>
        <v>0</v>
      </c>
      <c r="C133" s="45" t="s">
        <v>69</v>
      </c>
      <c r="D133" s="45">
        <v>1</v>
      </c>
      <c r="E133" s="45" t="s">
        <v>68</v>
      </c>
      <c r="F133" s="45">
        <v>0</v>
      </c>
      <c r="G133" s="46" t="s">
        <v>77</v>
      </c>
      <c r="H133" s="16">
        <f ca="1">--TRIM(RIGHT(SUBSTITUTE(LEFT(C132,_xlfn.AGGREGATE(16,6,FIND({0,1,2,3,4,5,6,7,8,9},C132,ROW(INDIRECT("1:"&amp;LEN(C132)))),1))," ",REPT(" ",LEN(C132))),LEN(C132)))</f>
        <v>14</v>
      </c>
      <c r="I133" s="49" t="str">
        <f ca="1">IF(D136=100%,"Excavation","")&amp;IF(D137=100%,", Plinth","")&amp;IF(D138=100%,", RCC Slab","")&amp;IF(D139=100%,", Brickwork","")&amp;IF(D140=100%,", Internal Plaster","")&amp;IF(D141=100%,", External Plaster","")&amp;IF(D142=100%,", Flooring","")&amp;IF(D143=100%,", Painting","")&amp;IF(D144=100%,", Building common Amenities","")</f>
        <v>Excavation, Plinth</v>
      </c>
      <c r="J133" s="50" t="str">
        <f ca="1">(IF(C136=0,"Work not yet Started.",IF(D136=25%,"Piling work in process",IF(D136=50%,"Excavation work in process",IF(D136=100%,"","0")))))&amp;(IF(C137=0%,"",IF(C137=J138,", Footing work is process",IF(C137=J139,", Footing work Completed",IF(C137=J140,", 1st Basement Completed",IF(C137=J141,", 1st &amp; 2nd Basement Completed",IF(C137=J142,", 1st to 3rd Basement Completed",IF(C137=J143,", 1st to 4th Basement Completed",IF(C137=J144,", Plinth work is process",IF(C137=J145,"","0"))))))))))</f>
        <v/>
      </c>
    </row>
    <row r="134" spans="1:10" hidden="1" x14ac:dyDescent="0.3">
      <c r="A134" s="199" t="s">
        <v>87</v>
      </c>
      <c r="B134" s="200"/>
      <c r="C134" s="201" t="str">
        <f ca="1">(IF($G$60="NA",I132,"All work Completed. OC Received."))</f>
        <v>Excavation, Plinth Completed, RCC upto 5 Slab Completed</v>
      </c>
      <c r="D134" s="201"/>
      <c r="E134" s="201"/>
      <c r="F134" s="201"/>
      <c r="G134" s="201"/>
      <c r="H134" s="202"/>
      <c r="I134" s="49" t="str">
        <f ca="1">IF(I133&lt;&gt;""," Completed","")</f>
        <v xml:space="preserve"> Completed</v>
      </c>
      <c r="J134" s="50" t="str">
        <f ca="1">IF(J132&lt;&gt;"","Completed","")</f>
        <v>Completed</v>
      </c>
    </row>
    <row r="135" spans="1:10" ht="15.75" hidden="1" customHeight="1" x14ac:dyDescent="0.3">
      <c r="A135" s="137" t="s">
        <v>47</v>
      </c>
      <c r="B135" s="138"/>
      <c r="C135" s="41" t="s">
        <v>135</v>
      </c>
      <c r="D135" s="41" t="s">
        <v>80</v>
      </c>
      <c r="E135" s="138" t="s">
        <v>82</v>
      </c>
      <c r="F135" s="138"/>
      <c r="G135" s="138" t="s">
        <v>81</v>
      </c>
      <c r="H135" s="203"/>
      <c r="I135" s="13" t="s">
        <v>137</v>
      </c>
      <c r="J135" s="27">
        <f ca="1">H133*25%</f>
        <v>3.5</v>
      </c>
    </row>
    <row r="136" spans="1:10" hidden="1" x14ac:dyDescent="0.3">
      <c r="A136" s="137" t="s">
        <v>124</v>
      </c>
      <c r="B136" s="138"/>
      <c r="C136" s="41">
        <f ca="1">J137</f>
        <v>14</v>
      </c>
      <c r="D136" s="18">
        <f ca="1">((100/H133)*C136)/100</f>
        <v>1</v>
      </c>
      <c r="E136" s="172">
        <f ca="1">(((C137/H133*10)+(40/(D133+F133+H133)*C138)+(7.5/(H133)*C139)+(7.5/(H133)*C140)+(10/H133*C141)+(10/H133*C142)+(5/H133*C143)+(5/H133*C144)+(5/H133*C145))/100)</f>
        <v>0.23333333333333331</v>
      </c>
      <c r="F136" s="173"/>
      <c r="G136" s="172">
        <f ca="1">((((C136/H133)*20)+((C137/H133)*25)+(30/(H133+F133+D133)*C138)+(5/H133*C139)+(5/H133*C140)+(5/H133*C141)+(5/H133*C142)+(0/H133*C143)+(0/H133*C144)+(5/H133*C145))/100)</f>
        <v>0.55000000000000004</v>
      </c>
      <c r="H136" s="204"/>
      <c r="I136" s="13" t="s">
        <v>98</v>
      </c>
      <c r="J136" s="28">
        <f ca="1">H133*50%</f>
        <v>7</v>
      </c>
    </row>
    <row r="137" spans="1:10" hidden="1" x14ac:dyDescent="0.3">
      <c r="A137" s="137" t="s">
        <v>48</v>
      </c>
      <c r="B137" s="138"/>
      <c r="C137" s="74">
        <f ca="1">J145</f>
        <v>14</v>
      </c>
      <c r="D137" s="18">
        <f ca="1">((100/H133)*C137)/100</f>
        <v>1</v>
      </c>
      <c r="E137" s="174"/>
      <c r="F137" s="175"/>
      <c r="G137" s="174"/>
      <c r="H137" s="205"/>
      <c r="I137" s="13" t="s">
        <v>99</v>
      </c>
      <c r="J137" s="28">
        <f ca="1">H133</f>
        <v>14</v>
      </c>
    </row>
    <row r="138" spans="1:10" ht="15.75" hidden="1" customHeight="1" x14ac:dyDescent="0.3">
      <c r="A138" s="137" t="s">
        <v>125</v>
      </c>
      <c r="B138" s="138"/>
      <c r="C138" s="41">
        <v>5</v>
      </c>
      <c r="D138" s="18">
        <f ca="1">((100/(D133+F133+H133))*C138)/100</f>
        <v>0.33333333333333337</v>
      </c>
      <c r="E138" s="174"/>
      <c r="F138" s="175"/>
      <c r="G138" s="174"/>
      <c r="H138" s="205"/>
      <c r="I138" s="13" t="s">
        <v>100</v>
      </c>
      <c r="J138" s="29">
        <f ca="1">(IF(B133&gt;1,(H133/(B133+2)),H133/4))</f>
        <v>3.5</v>
      </c>
    </row>
    <row r="139" spans="1:10" ht="15.75" hidden="1" customHeight="1" x14ac:dyDescent="0.3">
      <c r="A139" s="137" t="s">
        <v>132</v>
      </c>
      <c r="B139" s="138" t="s">
        <v>126</v>
      </c>
      <c r="C139" s="41">
        <v>0</v>
      </c>
      <c r="D139" s="18">
        <f ca="1">((100/H133)*C139)/100</f>
        <v>0</v>
      </c>
      <c r="E139" s="174"/>
      <c r="F139" s="175"/>
      <c r="G139" s="174"/>
      <c r="H139" s="205"/>
      <c r="I139" s="13" t="s">
        <v>101</v>
      </c>
      <c r="J139" s="29">
        <f ca="1">(IF(B133&gt;1,(H133/(B133+2)+J138),H133/4+J138))</f>
        <v>7</v>
      </c>
    </row>
    <row r="140" spans="1:10" ht="15.75" hidden="1" customHeight="1" x14ac:dyDescent="0.3">
      <c r="A140" s="137" t="s">
        <v>133</v>
      </c>
      <c r="B140" s="138" t="s">
        <v>126</v>
      </c>
      <c r="C140" s="41">
        <v>0</v>
      </c>
      <c r="D140" s="18">
        <f ca="1">((100/H133)*C140)/100</f>
        <v>0</v>
      </c>
      <c r="E140" s="174"/>
      <c r="F140" s="175"/>
      <c r="G140" s="174"/>
      <c r="H140" s="205"/>
      <c r="I140" s="13" t="s">
        <v>142</v>
      </c>
      <c r="J140" s="29">
        <f>(IF(B133&gt;1,(H133/(B133+2)+J139),0))</f>
        <v>0</v>
      </c>
    </row>
    <row r="141" spans="1:10" ht="15" hidden="1" customHeight="1" x14ac:dyDescent="0.3">
      <c r="A141" s="137" t="s">
        <v>131</v>
      </c>
      <c r="B141" s="138" t="s">
        <v>128</v>
      </c>
      <c r="C141" s="41">
        <v>0</v>
      </c>
      <c r="D141" s="18">
        <f ca="1">((100/(H133))*C141)/100</f>
        <v>0</v>
      </c>
      <c r="E141" s="174"/>
      <c r="F141" s="175"/>
      <c r="G141" s="174"/>
      <c r="H141" s="205"/>
      <c r="I141" s="13" t="s">
        <v>139</v>
      </c>
      <c r="J141" s="29">
        <f>(IF(B133&gt;2,(H133/(B133+2)+J140),0))</f>
        <v>0</v>
      </c>
    </row>
    <row r="142" spans="1:10" ht="15.75" hidden="1" customHeight="1" x14ac:dyDescent="0.3">
      <c r="A142" s="137" t="s">
        <v>127</v>
      </c>
      <c r="B142" s="138" t="s">
        <v>127</v>
      </c>
      <c r="C142" s="41">
        <v>0</v>
      </c>
      <c r="D142" s="18">
        <f ca="1">((100/H133)*C142)/100</f>
        <v>0</v>
      </c>
      <c r="E142" s="174"/>
      <c r="F142" s="175"/>
      <c r="G142" s="174"/>
      <c r="H142" s="205"/>
      <c r="I142" s="13" t="s">
        <v>140</v>
      </c>
      <c r="J142" s="30">
        <f>(IF(B133&gt;3,(H133/(B133+2)+J141),0))</f>
        <v>0</v>
      </c>
    </row>
    <row r="143" spans="1:10" ht="15.75" hidden="1" customHeight="1" x14ac:dyDescent="0.3">
      <c r="A143" s="137" t="s">
        <v>134</v>
      </c>
      <c r="B143" s="138"/>
      <c r="C143" s="41">
        <v>0</v>
      </c>
      <c r="D143" s="18">
        <f ca="1">((100/H133)*C143)/100</f>
        <v>0</v>
      </c>
      <c r="E143" s="174"/>
      <c r="F143" s="175"/>
      <c r="G143" s="174"/>
      <c r="H143" s="205"/>
      <c r="I143" s="13" t="s">
        <v>141</v>
      </c>
      <c r="J143" s="29">
        <f>(IF(B133&gt;4,(H133/(B133+2)+J142),0))</f>
        <v>0</v>
      </c>
    </row>
    <row r="144" spans="1:10" ht="15.75" hidden="1" customHeight="1" x14ac:dyDescent="0.3">
      <c r="A144" s="137" t="s">
        <v>129</v>
      </c>
      <c r="B144" s="138" t="s">
        <v>129</v>
      </c>
      <c r="C144" s="41">
        <v>0</v>
      </c>
      <c r="D144" s="18">
        <f ca="1">((100/(H133))*C144)/100</f>
        <v>0</v>
      </c>
      <c r="E144" s="174"/>
      <c r="F144" s="175"/>
      <c r="G144" s="174"/>
      <c r="H144" s="205"/>
      <c r="I144" s="13" t="s">
        <v>143</v>
      </c>
      <c r="J144" s="29">
        <f ca="1">(IF(B133=1,(H133/(B133+3)+J139),IF(B133=0,(H133/4+J139),IF(B133&gt;1,0))))</f>
        <v>10.5</v>
      </c>
    </row>
    <row r="145" spans="1:22" ht="16.2" hidden="1" thickBot="1" x14ac:dyDescent="0.35">
      <c r="A145" s="192" t="s">
        <v>130</v>
      </c>
      <c r="B145" s="193"/>
      <c r="C145" s="42">
        <v>0</v>
      </c>
      <c r="D145" s="19">
        <f ca="1">((100/(H133))*C145)/100</f>
        <v>0</v>
      </c>
      <c r="E145" s="176"/>
      <c r="F145" s="177"/>
      <c r="G145" s="176"/>
      <c r="H145" s="206"/>
      <c r="I145" s="14" t="s">
        <v>102</v>
      </c>
      <c r="J145" s="31">
        <f ca="1">(IF(B133&gt;1.5,(H133/(B133+2)+J139+MAX(0,J140-J139)+MAX(0,J141-J140)+MAX(0,J142-J141)+MAX(0,J143-J142)+MAX(0,J144-J143)),IF(B133=1,(H133/(B133+3)+J144),IF(B133=0,H133/4+J144))))</f>
        <v>14</v>
      </c>
    </row>
    <row r="146" spans="1:22" hidden="1" x14ac:dyDescent="0.3">
      <c r="A146" s="207" t="s">
        <v>362</v>
      </c>
      <c r="B146" s="208"/>
      <c r="C146" s="211">
        <f ca="1">AVERAGE(E122,E136)</f>
        <v>0.4282738095238095</v>
      </c>
      <c r="D146" s="212"/>
      <c r="E146" s="215" t="s">
        <v>363</v>
      </c>
      <c r="F146" s="208"/>
      <c r="G146" s="211">
        <f ca="1">AVERAGE(G122,G136)</f>
        <v>0.69107142857142856</v>
      </c>
      <c r="H146" s="217"/>
      <c r="I146" s="13"/>
      <c r="J146" s="75"/>
    </row>
    <row r="147" spans="1:22" ht="16.2" hidden="1" thickBot="1" x14ac:dyDescent="0.35">
      <c r="A147" s="209"/>
      <c r="B147" s="210"/>
      <c r="C147" s="213"/>
      <c r="D147" s="214"/>
      <c r="E147" s="216"/>
      <c r="F147" s="210"/>
      <c r="G147" s="213"/>
      <c r="H147" s="218"/>
      <c r="I147" s="13"/>
      <c r="J147" s="75"/>
    </row>
    <row r="148" spans="1:22" x14ac:dyDescent="0.3">
      <c r="A148" s="260" t="s">
        <v>153</v>
      </c>
      <c r="B148" s="260"/>
      <c r="C148" s="260"/>
      <c r="D148" s="260"/>
      <c r="E148" s="260"/>
      <c r="F148" s="178" t="s">
        <v>157</v>
      </c>
      <c r="G148" s="178"/>
      <c r="H148" s="178"/>
      <c r="I148" s="67"/>
      <c r="J148" s="67" t="s">
        <v>339</v>
      </c>
      <c r="K148" s="67" t="s">
        <v>340</v>
      </c>
      <c r="L148" s="67" t="s">
        <v>342</v>
      </c>
      <c r="M148" s="67"/>
      <c r="N148" s="67"/>
      <c r="R148" t="s">
        <v>250</v>
      </c>
      <c r="S148" t="s">
        <v>169</v>
      </c>
      <c r="T148" t="s">
        <v>175</v>
      </c>
      <c r="U148" t="s">
        <v>190</v>
      </c>
      <c r="V148" t="s">
        <v>185</v>
      </c>
    </row>
    <row r="149" spans="1:22" x14ac:dyDescent="0.3">
      <c r="A149" s="124" t="s">
        <v>155</v>
      </c>
      <c r="B149" s="124"/>
      <c r="C149" s="124"/>
      <c r="D149" s="124"/>
      <c r="E149" s="124"/>
      <c r="F149" s="121">
        <v>3500</v>
      </c>
      <c r="G149" s="121"/>
      <c r="H149" s="121"/>
      <c r="I149" s="71">
        <f>AVERAGE(J149:L149)</f>
        <v>3455.7572794752064</v>
      </c>
      <c r="J149" s="71">
        <f>J235</f>
        <v>3084.4949677462523</v>
      </c>
      <c r="K149" s="71">
        <f>AVERAGE(K235,K317)</f>
        <v>3282.7768706793672</v>
      </c>
      <c r="L149" s="67">
        <v>4000</v>
      </c>
      <c r="M149" s="67"/>
      <c r="N149" s="67"/>
      <c r="R149"/>
      <c r="S149">
        <v>800000</v>
      </c>
      <c r="T149">
        <v>100000</v>
      </c>
      <c r="U149">
        <v>100000</v>
      </c>
      <c r="V149">
        <v>100000</v>
      </c>
    </row>
    <row r="150" spans="1:22" x14ac:dyDescent="0.3">
      <c r="A150" s="124" t="s">
        <v>154</v>
      </c>
      <c r="B150" s="124"/>
      <c r="C150" s="124"/>
      <c r="D150" s="124"/>
      <c r="E150" s="124"/>
      <c r="F150" s="121">
        <v>5000</v>
      </c>
      <c r="G150" s="121"/>
      <c r="H150" s="121"/>
      <c r="I150" s="67"/>
      <c r="J150" s="67"/>
      <c r="K150" s="67"/>
      <c r="L150" s="67"/>
      <c r="M150" s="67"/>
      <c r="N150" s="67"/>
      <c r="R150"/>
      <c r="S150">
        <v>900000</v>
      </c>
      <c r="T150">
        <v>200000</v>
      </c>
      <c r="U150">
        <v>150000</v>
      </c>
      <c r="V150">
        <v>150000</v>
      </c>
    </row>
    <row r="151" spans="1:22" hidden="1" x14ac:dyDescent="0.3">
      <c r="A151" s="124" t="s">
        <v>156</v>
      </c>
      <c r="B151" s="124"/>
      <c r="C151" s="124"/>
      <c r="D151" s="124"/>
      <c r="E151" s="124"/>
      <c r="F151" s="121"/>
      <c r="G151" s="121"/>
      <c r="H151" s="121"/>
      <c r="I151" s="67"/>
      <c r="J151" s="67"/>
      <c r="K151" s="67"/>
      <c r="L151" s="67"/>
      <c r="M151" s="67"/>
      <c r="N151" s="67"/>
      <c r="R151"/>
      <c r="S151">
        <v>1000000</v>
      </c>
      <c r="T151">
        <v>250000</v>
      </c>
      <c r="U151">
        <v>200000</v>
      </c>
      <c r="V151">
        <v>200000</v>
      </c>
    </row>
    <row r="152" spans="1:22" s="32" customFormat="1" hidden="1" x14ac:dyDescent="0.3">
      <c r="A152" s="124" t="s">
        <v>172</v>
      </c>
      <c r="B152" s="124"/>
      <c r="C152" s="124"/>
      <c r="D152" s="124"/>
      <c r="E152" s="124"/>
      <c r="F152" s="121"/>
      <c r="G152" s="121"/>
      <c r="H152" s="121"/>
      <c r="I152" s="68"/>
      <c r="J152" s="68"/>
      <c r="K152" s="68"/>
      <c r="L152" s="68"/>
      <c r="M152" s="68"/>
      <c r="N152" s="68"/>
      <c r="R152"/>
      <c r="S152">
        <v>1100000</v>
      </c>
      <c r="T152">
        <v>300000</v>
      </c>
      <c r="U152">
        <v>250000</v>
      </c>
      <c r="V152" s="22">
        <v>250000</v>
      </c>
    </row>
    <row r="153" spans="1:22" s="32" customFormat="1" hidden="1" x14ac:dyDescent="0.3">
      <c r="A153" s="124" t="s">
        <v>92</v>
      </c>
      <c r="B153" s="124"/>
      <c r="C153" s="124"/>
      <c r="D153" s="124"/>
      <c r="E153" s="124"/>
      <c r="F153" s="121"/>
      <c r="G153" s="121"/>
      <c r="H153" s="121"/>
      <c r="I153" s="68"/>
      <c r="J153" s="68"/>
      <c r="K153" s="68"/>
      <c r="L153" s="68"/>
      <c r="M153" s="68"/>
      <c r="N153" s="68"/>
      <c r="R153"/>
      <c r="S153">
        <v>1200000</v>
      </c>
      <c r="T153">
        <v>350000</v>
      </c>
      <c r="U153">
        <v>300000</v>
      </c>
      <c r="V153">
        <v>300000</v>
      </c>
    </row>
    <row r="154" spans="1:22" s="32" customFormat="1" hidden="1" x14ac:dyDescent="0.3">
      <c r="A154" s="124" t="s">
        <v>93</v>
      </c>
      <c r="B154" s="124"/>
      <c r="C154" s="124"/>
      <c r="D154" s="124"/>
      <c r="E154" s="124"/>
      <c r="F154" s="121"/>
      <c r="G154" s="121"/>
      <c r="H154" s="121"/>
      <c r="I154" s="68"/>
      <c r="J154" s="68"/>
      <c r="K154" s="68"/>
      <c r="L154" s="68"/>
      <c r="M154" s="68"/>
      <c r="N154" s="68"/>
      <c r="R154"/>
      <c r="S154">
        <v>1300000</v>
      </c>
      <c r="T154">
        <v>400000</v>
      </c>
      <c r="U154">
        <v>350000</v>
      </c>
      <c r="V154" s="22">
        <v>400000</v>
      </c>
    </row>
    <row r="155" spans="1:22" s="32" customFormat="1" hidden="1" x14ac:dyDescent="0.3">
      <c r="A155" s="124" t="s">
        <v>94</v>
      </c>
      <c r="B155" s="124"/>
      <c r="C155" s="124"/>
      <c r="D155" s="124"/>
      <c r="E155" s="124"/>
      <c r="F155" s="121"/>
      <c r="G155" s="121"/>
      <c r="H155" s="121"/>
      <c r="I155" s="68"/>
      <c r="J155" s="68"/>
      <c r="K155" s="68"/>
      <c r="L155" s="68"/>
      <c r="M155" s="68"/>
      <c r="N155" s="68"/>
      <c r="R155"/>
      <c r="S155">
        <v>1400000</v>
      </c>
      <c r="T155">
        <v>500000</v>
      </c>
      <c r="U155">
        <v>400000</v>
      </c>
      <c r="V155"/>
    </row>
    <row r="156" spans="1:22" s="32" customFormat="1" hidden="1" x14ac:dyDescent="0.3">
      <c r="A156" s="124" t="s">
        <v>95</v>
      </c>
      <c r="B156" s="124"/>
      <c r="C156" s="124"/>
      <c r="D156" s="124"/>
      <c r="E156" s="124"/>
      <c r="F156" s="121"/>
      <c r="G156" s="121"/>
      <c r="H156" s="121"/>
      <c r="I156" s="68"/>
      <c r="J156" s="68"/>
      <c r="K156" s="68"/>
      <c r="L156" s="68"/>
      <c r="M156" s="68"/>
      <c r="N156" s="68"/>
      <c r="R156"/>
      <c r="S156">
        <v>1500000</v>
      </c>
      <c r="T156">
        <v>600000</v>
      </c>
      <c r="U156">
        <v>500000</v>
      </c>
      <c r="V156" s="22"/>
    </row>
    <row r="157" spans="1:22" s="32" customFormat="1" hidden="1" x14ac:dyDescent="0.3">
      <c r="A157" s="124" t="s">
        <v>96</v>
      </c>
      <c r="B157" s="124"/>
      <c r="C157" s="124"/>
      <c r="D157" s="124"/>
      <c r="E157" s="124"/>
      <c r="F157" s="121"/>
      <c r="G157" s="121"/>
      <c r="H157" s="121"/>
      <c r="I157" s="68"/>
      <c r="J157" s="68"/>
      <c r="K157" s="68"/>
      <c r="L157" s="68"/>
      <c r="M157" s="68"/>
      <c r="N157" s="68"/>
      <c r="R157"/>
      <c r="S157">
        <v>1600000</v>
      </c>
      <c r="T157">
        <v>700000</v>
      </c>
      <c r="U157">
        <v>600000</v>
      </c>
      <c r="V157"/>
    </row>
    <row r="158" spans="1:22" s="32" customFormat="1" hidden="1" x14ac:dyDescent="0.3">
      <c r="A158" s="124" t="s">
        <v>97</v>
      </c>
      <c r="B158" s="124"/>
      <c r="C158" s="124"/>
      <c r="D158" s="124"/>
      <c r="E158" s="124"/>
      <c r="F158" s="121"/>
      <c r="G158" s="121"/>
      <c r="H158" s="121"/>
      <c r="I158" s="68"/>
      <c r="J158" s="68"/>
      <c r="K158" s="68"/>
      <c r="L158" s="68"/>
      <c r="M158" s="68"/>
      <c r="N158" s="68"/>
      <c r="R158"/>
      <c r="S158">
        <v>1700000</v>
      </c>
      <c r="T158">
        <v>800000</v>
      </c>
      <c r="U158"/>
      <c r="V158" s="22"/>
    </row>
    <row r="159" spans="1:22" x14ac:dyDescent="0.3">
      <c r="A159" s="124" t="s">
        <v>49</v>
      </c>
      <c r="B159" s="124"/>
      <c r="C159" s="124"/>
      <c r="D159" s="124"/>
      <c r="E159" s="124"/>
      <c r="F159" s="121">
        <v>100000</v>
      </c>
      <c r="G159" s="121"/>
      <c r="H159" s="121"/>
      <c r="I159" s="67"/>
      <c r="J159" s="67"/>
      <c r="K159" s="67"/>
      <c r="L159" s="67"/>
      <c r="M159" s="67"/>
      <c r="N159" s="67"/>
      <c r="R159"/>
      <c r="S159">
        <v>1800000</v>
      </c>
      <c r="T159">
        <v>900000</v>
      </c>
      <c r="U159"/>
    </row>
    <row r="160" spans="1:22" s="33" customFormat="1" x14ac:dyDescent="0.3">
      <c r="A160" s="222" t="s">
        <v>50</v>
      </c>
      <c r="B160" s="222"/>
      <c r="C160" s="222"/>
      <c r="D160" s="222"/>
      <c r="E160" s="222"/>
      <c r="F160" s="121">
        <f>F149*0.8</f>
        <v>2800</v>
      </c>
      <c r="G160" s="121"/>
      <c r="H160" s="121"/>
      <c r="I160" s="69"/>
      <c r="J160" s="69"/>
      <c r="K160" s="69"/>
      <c r="L160" s="69"/>
      <c r="M160" s="69"/>
      <c r="N160" s="69"/>
      <c r="R160" s="20"/>
      <c r="S160" s="20"/>
      <c r="T160">
        <v>1000000</v>
      </c>
      <c r="U160"/>
      <c r="V160" s="20"/>
    </row>
    <row r="161" spans="1:22" s="34" customFormat="1" ht="15.75" customHeight="1" x14ac:dyDescent="0.3">
      <c r="A161" s="102" t="s">
        <v>72</v>
      </c>
      <c r="B161" s="102"/>
      <c r="C161" s="102"/>
      <c r="D161" s="102"/>
      <c r="E161" s="102"/>
      <c r="F161" s="102"/>
      <c r="G161" s="102"/>
      <c r="H161" s="102"/>
      <c r="I161" s="70"/>
      <c r="J161" s="70"/>
      <c r="K161" s="70"/>
      <c r="L161" s="70"/>
      <c r="M161" s="70"/>
      <c r="N161" s="70"/>
      <c r="R161"/>
      <c r="S161" s="20"/>
      <c r="T161"/>
      <c r="U161"/>
      <c r="V161" s="20"/>
    </row>
    <row r="162" spans="1:22" s="34" customFormat="1" ht="15.75" customHeight="1" x14ac:dyDescent="0.3">
      <c r="A162" s="123" t="s">
        <v>51</v>
      </c>
      <c r="B162" s="123"/>
      <c r="C162" s="105" t="s">
        <v>75</v>
      </c>
      <c r="D162" s="105"/>
      <c r="E162" s="128" t="s">
        <v>52</v>
      </c>
      <c r="F162" s="128"/>
      <c r="G162" s="123" t="s">
        <v>53</v>
      </c>
      <c r="H162" s="123"/>
      <c r="R162"/>
      <c r="S162" s="20"/>
      <c r="T162"/>
      <c r="U162" s="20"/>
      <c r="V162" s="20"/>
    </row>
    <row r="163" spans="1:22" s="34" customFormat="1" x14ac:dyDescent="0.3">
      <c r="A163" s="223" t="s">
        <v>337</v>
      </c>
      <c r="B163" s="223"/>
      <c r="C163" s="163">
        <f>COUNT(F179:F201)</f>
        <v>23</v>
      </c>
      <c r="D163" s="248"/>
      <c r="E163" s="163">
        <f>SUM(F179:F201)</f>
        <v>4572.2242799999995</v>
      </c>
      <c r="F163" s="248"/>
      <c r="G163" s="163">
        <f>SUM(H179:H201)</f>
        <v>7086.9476339999992</v>
      </c>
      <c r="H163" s="248"/>
      <c r="R163"/>
      <c r="S163" s="20"/>
      <c r="T163"/>
      <c r="U163" s="20"/>
      <c r="V163" s="20"/>
    </row>
    <row r="164" spans="1:22" s="34" customFormat="1" x14ac:dyDescent="0.3">
      <c r="A164" s="102" t="s">
        <v>146</v>
      </c>
      <c r="B164" s="102"/>
      <c r="C164" s="104">
        <f>SUM(C163)</f>
        <v>23</v>
      </c>
      <c r="D164" s="105"/>
      <c r="E164" s="103">
        <f>SUM(E163)</f>
        <v>4572.2242799999995</v>
      </c>
      <c r="F164" s="128"/>
      <c r="G164" s="123">
        <f>SUM(G163)</f>
        <v>7086.9476339999992</v>
      </c>
      <c r="H164" s="123"/>
      <c r="R164"/>
      <c r="S164" s="20"/>
      <c r="T164"/>
      <c r="U164" s="20"/>
      <c r="V164" s="20"/>
    </row>
    <row r="165" spans="1:22" s="34" customFormat="1" x14ac:dyDescent="0.3">
      <c r="A165" s="102" t="s">
        <v>67</v>
      </c>
      <c r="B165" s="102"/>
      <c r="C165" s="102"/>
      <c r="D165" s="102"/>
      <c r="E165" s="102"/>
      <c r="F165" s="102"/>
      <c r="G165" s="102"/>
      <c r="H165" s="102"/>
      <c r="T165"/>
    </row>
    <row r="166" spans="1:22" s="34" customFormat="1" ht="15.75" customHeight="1" x14ac:dyDescent="0.3">
      <c r="A166" s="123" t="s">
        <v>51</v>
      </c>
      <c r="B166" s="123"/>
      <c r="C166" s="105" t="s">
        <v>75</v>
      </c>
      <c r="D166" s="105"/>
      <c r="E166" s="128" t="s">
        <v>52</v>
      </c>
      <c r="F166" s="128"/>
      <c r="G166" s="123" t="s">
        <v>53</v>
      </c>
      <c r="H166" s="123"/>
      <c r="T166"/>
    </row>
    <row r="167" spans="1:22" s="34" customFormat="1" x14ac:dyDescent="0.3">
      <c r="A167" s="223" t="s">
        <v>318</v>
      </c>
      <c r="B167" s="223"/>
      <c r="C167" s="163">
        <f>COUNT(F208:F233)+COUNT(F235:F260)*11+COUNT(F262:F285)*2</f>
        <v>360</v>
      </c>
      <c r="D167" s="163"/>
      <c r="E167" s="163">
        <f>SUM(F208:F233)+SUM(F235:F260)*11+SUM(F262:F285)*2</f>
        <v>131766.86016000004</v>
      </c>
      <c r="F167" s="163"/>
      <c r="G167" s="163">
        <f>SUM(H208:H233)+SUM(H235:H260)*11+SUM(H262:H285)*2</f>
        <v>199547.12232000008</v>
      </c>
      <c r="H167" s="163"/>
      <c r="T167"/>
    </row>
    <row r="168" spans="1:22" s="34" customFormat="1" ht="15.6" customHeight="1" x14ac:dyDescent="0.3">
      <c r="A168" s="223" t="s">
        <v>326</v>
      </c>
      <c r="B168" s="223"/>
      <c r="C168" s="163">
        <f>COUNT(F290:F315)+COUNT(F317:F342)*11+COUNT(F344:F367)*2</f>
        <v>360</v>
      </c>
      <c r="D168" s="163"/>
      <c r="E168" s="163">
        <f>SUM(F290:F315)+SUM(F317:F342)*11+SUM(F344:F367)*2</f>
        <v>129429.56520000003</v>
      </c>
      <c r="F168" s="163"/>
      <c r="G168" s="163">
        <f>SUM(H290:H315)+SUM(H317:H342)*11+SUM(H344:H367)*2</f>
        <v>196685.15860499995</v>
      </c>
      <c r="H168" s="163"/>
      <c r="T168"/>
    </row>
    <row r="169" spans="1:22" s="73" customFormat="1" ht="38.4" customHeight="1" x14ac:dyDescent="0.3">
      <c r="A169" s="100" t="s">
        <v>348</v>
      </c>
      <c r="B169" s="72" t="s">
        <v>346</v>
      </c>
      <c r="C169" s="266">
        <f>COUNT(F372)+COUNT(F374:F393)*3</f>
        <v>61</v>
      </c>
      <c r="D169" s="266"/>
      <c r="E169" s="266">
        <f>SUM(F372)+SUM(F374:F393)*3</f>
        <v>21961.573920000006</v>
      </c>
      <c r="F169" s="266"/>
      <c r="G169" s="266">
        <f>SUM(H372)+SUM(H374:H393)*3</f>
        <v>32942.360879999993</v>
      </c>
      <c r="H169" s="266"/>
      <c r="T169"/>
    </row>
    <row r="170" spans="1:22" s="34" customFormat="1" ht="15.75" customHeight="1" x14ac:dyDescent="0.3">
      <c r="A170" s="101"/>
      <c r="B170" s="44" t="s">
        <v>347</v>
      </c>
      <c r="C170" s="163">
        <f>COUNT(F395:F414)+COUNT(F416:F435)*8+COUNT(F437:F454)*2</f>
        <v>216</v>
      </c>
      <c r="D170" s="163"/>
      <c r="E170" s="163">
        <f>SUM(F395:F414)+SUM(F416:F435)*8+SUM(F437:F454)*2</f>
        <v>77899.929120000015</v>
      </c>
      <c r="F170" s="163"/>
      <c r="G170" s="163">
        <f>SUM(H395:H414)+SUM(H416:H435)*8+SUM(H437:H454)*2</f>
        <v>116849.89367999998</v>
      </c>
      <c r="H170" s="163"/>
      <c r="T170"/>
    </row>
    <row r="171" spans="1:22" s="34" customFormat="1" x14ac:dyDescent="0.3">
      <c r="A171" s="102" t="s">
        <v>146</v>
      </c>
      <c r="B171" s="102"/>
      <c r="C171" s="104">
        <f>SUM(C167:C170)</f>
        <v>997</v>
      </c>
      <c r="D171" s="105"/>
      <c r="E171" s="103">
        <f>SUM(E167:E170)</f>
        <v>361057.92840000009</v>
      </c>
      <c r="F171" s="103"/>
      <c r="G171" s="123">
        <f>SUM(G167:G170)</f>
        <v>546024.535485</v>
      </c>
      <c r="H171" s="123"/>
    </row>
    <row r="172" spans="1:22" s="34" customFormat="1" ht="16.2" thickBot="1" x14ac:dyDescent="0.35">
      <c r="A172" s="106" t="s">
        <v>163</v>
      </c>
      <c r="B172" s="107"/>
      <c r="C172" s="108">
        <f>C164+C171</f>
        <v>1020</v>
      </c>
      <c r="D172" s="108"/>
      <c r="E172" s="109">
        <f>E164+E171</f>
        <v>365630.15268000012</v>
      </c>
      <c r="F172" s="109"/>
      <c r="G172" s="249">
        <f>G164+G171</f>
        <v>553111.48311899998</v>
      </c>
      <c r="H172" s="250"/>
      <c r="T172" s="73"/>
    </row>
    <row r="173" spans="1:22" s="33" customFormat="1" x14ac:dyDescent="0.3">
      <c r="A173" s="112" t="s">
        <v>54</v>
      </c>
      <c r="B173" s="112"/>
      <c r="C173" s="112"/>
      <c r="D173" s="112"/>
      <c r="E173" s="112"/>
      <c r="F173" s="112"/>
      <c r="G173" s="112"/>
      <c r="H173" s="112"/>
      <c r="T173" s="34"/>
    </row>
    <row r="174" spans="1:22" x14ac:dyDescent="0.3">
      <c r="A174" s="122" t="s">
        <v>171</v>
      </c>
      <c r="B174" s="122"/>
      <c r="C174" s="122"/>
      <c r="D174" s="122"/>
      <c r="E174" s="122"/>
      <c r="F174" s="122"/>
      <c r="G174" s="122"/>
      <c r="H174" s="122"/>
      <c r="T174" s="34"/>
    </row>
    <row r="175" spans="1:22" ht="47.25" customHeight="1" x14ac:dyDescent="0.3">
      <c r="A175" s="110" t="s">
        <v>328</v>
      </c>
      <c r="B175" s="110" t="s">
        <v>173</v>
      </c>
      <c r="C175" s="110" t="s">
        <v>55</v>
      </c>
      <c r="D175" s="110" t="s">
        <v>228</v>
      </c>
      <c r="E175" s="244" t="s">
        <v>152</v>
      </c>
      <c r="F175" s="110" t="s">
        <v>56</v>
      </c>
      <c r="G175" s="244" t="s">
        <v>57</v>
      </c>
      <c r="H175" s="63" t="s">
        <v>145</v>
      </c>
      <c r="T175" s="34"/>
    </row>
    <row r="176" spans="1:22" s="36" customFormat="1" x14ac:dyDescent="0.3">
      <c r="A176" s="111"/>
      <c r="B176" s="111"/>
      <c r="C176" s="111"/>
      <c r="D176" s="111"/>
      <c r="E176" s="245"/>
      <c r="F176" s="111"/>
      <c r="G176" s="245"/>
      <c r="H176" s="64">
        <v>0.55000000000000004</v>
      </c>
      <c r="T176" s="34"/>
    </row>
    <row r="177" spans="1:20" s="36" customFormat="1" x14ac:dyDescent="0.3">
      <c r="A177" s="83" t="s">
        <v>326</v>
      </c>
      <c r="B177" s="84"/>
      <c r="C177" s="84"/>
      <c r="D177" s="84"/>
      <c r="E177" s="84"/>
      <c r="F177" s="84"/>
      <c r="G177" s="84"/>
      <c r="H177" s="85"/>
      <c r="J177" s="66">
        <v>10.763999999999999</v>
      </c>
      <c r="T177" s="34"/>
    </row>
    <row r="178" spans="1:20" s="36" customFormat="1" x14ac:dyDescent="0.3">
      <c r="A178" s="97" t="s">
        <v>331</v>
      </c>
      <c r="B178" s="98"/>
      <c r="C178" s="98"/>
      <c r="D178" s="98"/>
      <c r="E178" s="98"/>
      <c r="F178" s="98"/>
      <c r="G178" s="98"/>
      <c r="H178" s="99"/>
      <c r="J178" s="35"/>
      <c r="T178" s="34"/>
    </row>
    <row r="179" spans="1:20" s="36" customFormat="1" ht="15.75" customHeight="1" x14ac:dyDescent="0.3">
      <c r="A179" s="95">
        <v>1</v>
      </c>
      <c r="B179" s="96"/>
      <c r="C179" s="65" t="s">
        <v>330</v>
      </c>
      <c r="D179" s="66">
        <f>(23.83)*10.764</f>
        <v>256.50611999999995</v>
      </c>
      <c r="E179" s="65">
        <v>0</v>
      </c>
      <c r="F179" s="65">
        <f>D179+(IF(E179&lt;201,E179,IF(E179&lt;301,E179/2,E179/3)))</f>
        <v>256.50611999999995</v>
      </c>
      <c r="G179" s="65">
        <v>0</v>
      </c>
      <c r="H179" s="65">
        <f>(F179+(IF(G179&lt;101,G179,IF(G179&lt;201,G179/2,IF(G179&lt;=301,G179/3,G179/4)))))*(($H$176)+1)</f>
        <v>397.58448599999991</v>
      </c>
      <c r="I179" s="35">
        <f>2.7*7.95+1*2.15</f>
        <v>23.615000000000002</v>
      </c>
      <c r="L179" s="88"/>
      <c r="M179" s="88"/>
      <c r="N179" s="35"/>
      <c r="T179" s="33"/>
    </row>
    <row r="180" spans="1:20" s="36" customFormat="1" ht="15.75" customHeight="1" x14ac:dyDescent="0.3">
      <c r="A180" s="95">
        <f t="shared" ref="A180:A201" si="0">A179+1</f>
        <v>2</v>
      </c>
      <c r="B180" s="96"/>
      <c r="C180" s="65" t="s">
        <v>330</v>
      </c>
      <c r="D180" s="66">
        <f>(21.86)*10.764</f>
        <v>235.30103999999997</v>
      </c>
      <c r="E180" s="65">
        <v>0</v>
      </c>
      <c r="F180" s="65">
        <f t="shared" ref="F180:F182" si="1">D180+(IF(E180&lt;201,E180,IF(E180&lt;301,E180/2,E180/3)))</f>
        <v>235.30103999999997</v>
      </c>
      <c r="G180" s="65">
        <v>0</v>
      </c>
      <c r="H180" s="65">
        <f t="shared" ref="H180:H182" si="2">(F180+(IF(G180&lt;101,G180,IF(G180&lt;201,G180/2,IF(G180&lt;=301,G180/3,G180/4)))))*(($H$176)+1)</f>
        <v>364.71661199999994</v>
      </c>
      <c r="I180" s="35"/>
      <c r="L180" s="88"/>
      <c r="M180" s="88"/>
      <c r="N180" s="35"/>
    </row>
    <row r="181" spans="1:20" s="36" customFormat="1" ht="15.75" customHeight="1" x14ac:dyDescent="0.3">
      <c r="A181" s="95">
        <f t="shared" si="0"/>
        <v>3</v>
      </c>
      <c r="B181" s="96"/>
      <c r="C181" s="65" t="s">
        <v>330</v>
      </c>
      <c r="D181" s="66">
        <f>(21.47)*10.764</f>
        <v>231.10307999999998</v>
      </c>
      <c r="E181" s="65">
        <v>0</v>
      </c>
      <c r="F181" s="65">
        <f t="shared" si="1"/>
        <v>231.10307999999998</v>
      </c>
      <c r="G181" s="65">
        <v>0</v>
      </c>
      <c r="H181" s="65">
        <f t="shared" si="2"/>
        <v>358.20977399999998</v>
      </c>
      <c r="I181" s="35"/>
      <c r="L181" s="88"/>
      <c r="M181" s="88"/>
      <c r="N181" s="35"/>
      <c r="T181" s="20"/>
    </row>
    <row r="182" spans="1:20" s="36" customFormat="1" ht="15.75" customHeight="1" x14ac:dyDescent="0.3">
      <c r="A182" s="95">
        <f t="shared" si="0"/>
        <v>4</v>
      </c>
      <c r="B182" s="96"/>
      <c r="C182" s="65" t="s">
        <v>330</v>
      </c>
      <c r="D182" s="66">
        <f>(6.15)*10.764</f>
        <v>66.198599999999999</v>
      </c>
      <c r="E182" s="65">
        <v>0</v>
      </c>
      <c r="F182" s="65">
        <f t="shared" si="1"/>
        <v>66.198599999999999</v>
      </c>
      <c r="G182" s="65">
        <v>0</v>
      </c>
      <c r="H182" s="65">
        <f t="shared" si="2"/>
        <v>102.60783000000001</v>
      </c>
      <c r="I182" s="35"/>
      <c r="L182" s="88"/>
      <c r="M182" s="88"/>
      <c r="N182" s="35"/>
      <c r="T182" s="20"/>
    </row>
    <row r="183" spans="1:20" s="36" customFormat="1" ht="15.75" customHeight="1" x14ac:dyDescent="0.3">
      <c r="A183" s="95">
        <f t="shared" si="0"/>
        <v>5</v>
      </c>
      <c r="B183" s="96"/>
      <c r="C183" s="65" t="s">
        <v>330</v>
      </c>
      <c r="D183" s="66">
        <f>(23.83)*10.764</f>
        <v>256.50611999999995</v>
      </c>
      <c r="E183" s="65">
        <v>0</v>
      </c>
      <c r="F183" s="65">
        <f t="shared" ref="F183:F188" si="3">D183+(IF(E183&lt;201,E183,IF(E183&lt;301,E183/2,E183/3)))</f>
        <v>256.50611999999995</v>
      </c>
      <c r="G183" s="65">
        <v>0</v>
      </c>
      <c r="H183" s="65">
        <f t="shared" ref="H183:H188" si="4">(F183+(IF(G183&lt;101,G183,IF(G183&lt;201,G183/2,IF(G183&lt;=301,G183/3,G183/4)))))*(($H$176)+1)</f>
        <v>397.58448599999991</v>
      </c>
      <c r="I183" s="35"/>
      <c r="L183" s="88"/>
      <c r="M183" s="88"/>
      <c r="N183" s="35"/>
    </row>
    <row r="184" spans="1:20" s="36" customFormat="1" ht="15.75" customHeight="1" x14ac:dyDescent="0.3">
      <c r="A184" s="95">
        <f t="shared" si="0"/>
        <v>6</v>
      </c>
      <c r="B184" s="96"/>
      <c r="C184" s="65" t="s">
        <v>330</v>
      </c>
      <c r="D184" s="66">
        <f>(21.86)*10.764</f>
        <v>235.30103999999997</v>
      </c>
      <c r="E184" s="65">
        <v>0</v>
      </c>
      <c r="F184" s="65">
        <f t="shared" si="3"/>
        <v>235.30103999999997</v>
      </c>
      <c r="G184" s="65">
        <v>0</v>
      </c>
      <c r="H184" s="65">
        <f t="shared" si="4"/>
        <v>364.71661199999994</v>
      </c>
      <c r="I184" s="35"/>
      <c r="L184" s="88"/>
      <c r="M184" s="88"/>
      <c r="N184" s="35"/>
    </row>
    <row r="185" spans="1:20" s="36" customFormat="1" x14ac:dyDescent="0.3">
      <c r="A185" s="95">
        <f t="shared" si="0"/>
        <v>7</v>
      </c>
      <c r="B185" s="96"/>
      <c r="C185" s="65" t="s">
        <v>330</v>
      </c>
      <c r="D185" s="66">
        <f>(21.47)*10.764</f>
        <v>231.10307999999998</v>
      </c>
      <c r="E185" s="65">
        <v>0</v>
      </c>
      <c r="F185" s="65">
        <f t="shared" si="3"/>
        <v>231.10307999999998</v>
      </c>
      <c r="G185" s="65">
        <v>0</v>
      </c>
      <c r="H185" s="65">
        <f t="shared" si="4"/>
        <v>358.20977399999998</v>
      </c>
      <c r="I185" s="35"/>
      <c r="L185" s="88"/>
      <c r="M185" s="88"/>
      <c r="N185" s="35"/>
    </row>
    <row r="186" spans="1:20" s="36" customFormat="1" ht="15.75" customHeight="1" x14ac:dyDescent="0.3">
      <c r="A186" s="95">
        <f t="shared" si="0"/>
        <v>8</v>
      </c>
      <c r="B186" s="96"/>
      <c r="C186" s="65" t="s">
        <v>330</v>
      </c>
      <c r="D186" s="66">
        <f>(11.72)*10.764</f>
        <v>126.15407999999999</v>
      </c>
      <c r="E186" s="65">
        <v>0</v>
      </c>
      <c r="F186" s="65">
        <f t="shared" si="3"/>
        <v>126.15407999999999</v>
      </c>
      <c r="G186" s="65">
        <v>0</v>
      </c>
      <c r="H186" s="65">
        <f t="shared" si="4"/>
        <v>195.53882400000001</v>
      </c>
      <c r="I186" s="35"/>
      <c r="L186" s="88"/>
      <c r="M186" s="88"/>
      <c r="N186" s="35"/>
    </row>
    <row r="187" spans="1:20" s="36" customFormat="1" ht="15.75" customHeight="1" x14ac:dyDescent="0.3">
      <c r="A187" s="95">
        <f t="shared" si="0"/>
        <v>9</v>
      </c>
      <c r="B187" s="96"/>
      <c r="C187" s="65" t="s">
        <v>330</v>
      </c>
      <c r="D187" s="66">
        <f>(11.72)*10.764</f>
        <v>126.15407999999999</v>
      </c>
      <c r="E187" s="65">
        <v>0</v>
      </c>
      <c r="F187" s="65">
        <f t="shared" si="3"/>
        <v>126.15407999999999</v>
      </c>
      <c r="G187" s="65">
        <v>0</v>
      </c>
      <c r="H187" s="65">
        <f t="shared" si="4"/>
        <v>195.53882400000001</v>
      </c>
      <c r="I187" s="35"/>
      <c r="L187" s="88"/>
      <c r="M187" s="88"/>
      <c r="N187" s="35"/>
    </row>
    <row r="188" spans="1:20" s="36" customFormat="1" ht="15.75" customHeight="1" x14ac:dyDescent="0.3">
      <c r="A188" s="95">
        <f t="shared" si="0"/>
        <v>10</v>
      </c>
      <c r="B188" s="96"/>
      <c r="C188" s="65" t="s">
        <v>330</v>
      </c>
      <c r="D188" s="66">
        <f>(21.47)*10.764</f>
        <v>231.10307999999998</v>
      </c>
      <c r="E188" s="65">
        <v>0</v>
      </c>
      <c r="F188" s="65">
        <f t="shared" si="3"/>
        <v>231.10307999999998</v>
      </c>
      <c r="G188" s="65">
        <v>0</v>
      </c>
      <c r="H188" s="65">
        <f t="shared" si="4"/>
        <v>358.20977399999998</v>
      </c>
      <c r="I188" s="35"/>
      <c r="L188" s="88"/>
      <c r="M188" s="88"/>
      <c r="N188" s="35"/>
    </row>
    <row r="189" spans="1:20" s="36" customFormat="1" ht="15.75" customHeight="1" x14ac:dyDescent="0.3">
      <c r="A189" s="95">
        <f t="shared" si="0"/>
        <v>11</v>
      </c>
      <c r="B189" s="96"/>
      <c r="C189" s="65" t="s">
        <v>330</v>
      </c>
      <c r="D189" s="66">
        <f>(21.86)*10.764</f>
        <v>235.30103999999997</v>
      </c>
      <c r="E189" s="65">
        <v>0</v>
      </c>
      <c r="F189" s="65">
        <f t="shared" ref="F189:F200" si="5">D189+(IF(E189&lt;201,E189,IF(E189&lt;301,E189/2,E189/3)))</f>
        <v>235.30103999999997</v>
      </c>
      <c r="G189" s="65">
        <v>0</v>
      </c>
      <c r="H189" s="65">
        <f t="shared" ref="H189:H200" si="6">(F189+(IF(G189&lt;101,G189,IF(G189&lt;201,G189/2,IF(G189&lt;=301,G189/3,G189/4)))))*(($H$176)+1)</f>
        <v>364.71661199999994</v>
      </c>
      <c r="I189" s="35"/>
      <c r="L189" s="88"/>
      <c r="M189" s="88"/>
      <c r="N189" s="35"/>
    </row>
    <row r="190" spans="1:20" s="36" customFormat="1" ht="15.75" customHeight="1" x14ac:dyDescent="0.3">
      <c r="A190" s="95">
        <f t="shared" si="0"/>
        <v>12</v>
      </c>
      <c r="B190" s="96"/>
      <c r="C190" s="65" t="s">
        <v>330</v>
      </c>
      <c r="D190" s="66">
        <f>(21.47)*10.764</f>
        <v>231.10307999999998</v>
      </c>
      <c r="E190" s="65">
        <v>0</v>
      </c>
      <c r="F190" s="65">
        <f t="shared" si="5"/>
        <v>231.10307999999998</v>
      </c>
      <c r="G190" s="65">
        <v>0</v>
      </c>
      <c r="H190" s="65">
        <f t="shared" si="6"/>
        <v>358.20977399999998</v>
      </c>
      <c r="I190" s="35"/>
      <c r="L190" s="88"/>
      <c r="M190" s="88"/>
      <c r="N190" s="35"/>
    </row>
    <row r="191" spans="1:20" s="36" customFormat="1" x14ac:dyDescent="0.3">
      <c r="A191" s="95">
        <f t="shared" si="0"/>
        <v>13</v>
      </c>
      <c r="B191" s="96"/>
      <c r="C191" s="65" t="s">
        <v>330</v>
      </c>
      <c r="D191" s="66">
        <f>(6.15)*10.764</f>
        <v>66.198599999999999</v>
      </c>
      <c r="E191" s="65">
        <v>0</v>
      </c>
      <c r="F191" s="65">
        <f t="shared" si="5"/>
        <v>66.198599999999999</v>
      </c>
      <c r="G191" s="65">
        <v>0</v>
      </c>
      <c r="H191" s="65">
        <f t="shared" si="6"/>
        <v>102.60783000000001</v>
      </c>
      <c r="I191" s="35"/>
      <c r="L191" s="88"/>
      <c r="M191" s="88"/>
      <c r="N191" s="35"/>
    </row>
    <row r="192" spans="1:20" s="36" customFormat="1" ht="15.75" customHeight="1" x14ac:dyDescent="0.3">
      <c r="A192" s="95">
        <f t="shared" si="0"/>
        <v>14</v>
      </c>
      <c r="B192" s="96"/>
      <c r="C192" s="65" t="s">
        <v>330</v>
      </c>
      <c r="D192" s="66">
        <f>(23.83)*10.764</f>
        <v>256.50611999999995</v>
      </c>
      <c r="E192" s="65">
        <v>0</v>
      </c>
      <c r="F192" s="65">
        <f t="shared" si="5"/>
        <v>256.50611999999995</v>
      </c>
      <c r="G192" s="65">
        <v>0</v>
      </c>
      <c r="H192" s="65">
        <f t="shared" si="6"/>
        <v>397.58448599999991</v>
      </c>
      <c r="I192" s="35"/>
      <c r="L192" s="88"/>
      <c r="M192" s="88"/>
      <c r="N192" s="35"/>
    </row>
    <row r="193" spans="1:20" s="36" customFormat="1" ht="15.75" customHeight="1" x14ac:dyDescent="0.3">
      <c r="A193" s="95">
        <f t="shared" si="0"/>
        <v>15</v>
      </c>
      <c r="B193" s="96"/>
      <c r="C193" s="65" t="s">
        <v>330</v>
      </c>
      <c r="D193" s="66">
        <f>(21.86)*10.764</f>
        <v>235.30103999999997</v>
      </c>
      <c r="E193" s="65">
        <v>0</v>
      </c>
      <c r="F193" s="65">
        <f t="shared" si="5"/>
        <v>235.30103999999997</v>
      </c>
      <c r="G193" s="65">
        <v>0</v>
      </c>
      <c r="H193" s="65">
        <f t="shared" si="6"/>
        <v>364.71661199999994</v>
      </c>
      <c r="I193" s="35"/>
      <c r="L193" s="88"/>
      <c r="M193" s="88"/>
      <c r="N193" s="35"/>
    </row>
    <row r="194" spans="1:20" s="36" customFormat="1" ht="15.75" customHeight="1" x14ac:dyDescent="0.3">
      <c r="A194" s="95">
        <f t="shared" si="0"/>
        <v>16</v>
      </c>
      <c r="B194" s="96"/>
      <c r="C194" s="65" t="s">
        <v>330</v>
      </c>
      <c r="D194" s="66">
        <f>(21.47)*10.764</f>
        <v>231.10307999999998</v>
      </c>
      <c r="E194" s="65">
        <v>0</v>
      </c>
      <c r="F194" s="65">
        <f t="shared" si="5"/>
        <v>231.10307999999998</v>
      </c>
      <c r="G194" s="65">
        <v>0</v>
      </c>
      <c r="H194" s="65">
        <f t="shared" si="6"/>
        <v>358.20977399999998</v>
      </c>
      <c r="I194" s="35"/>
      <c r="L194" s="88"/>
      <c r="M194" s="88"/>
      <c r="N194" s="35"/>
    </row>
    <row r="195" spans="1:20" s="36" customFormat="1" ht="15.75" customHeight="1" x14ac:dyDescent="0.3">
      <c r="A195" s="95">
        <f t="shared" si="0"/>
        <v>17</v>
      </c>
      <c r="B195" s="96"/>
      <c r="C195" s="65" t="s">
        <v>330</v>
      </c>
      <c r="D195" s="66">
        <f>(6.15)*10.764</f>
        <v>66.198599999999999</v>
      </c>
      <c r="E195" s="65">
        <v>0</v>
      </c>
      <c r="F195" s="65">
        <f t="shared" si="5"/>
        <v>66.198599999999999</v>
      </c>
      <c r="G195" s="65">
        <v>0</v>
      </c>
      <c r="H195" s="65">
        <f t="shared" si="6"/>
        <v>102.60783000000001</v>
      </c>
      <c r="I195" s="35"/>
      <c r="L195" s="88"/>
      <c r="M195" s="88"/>
      <c r="N195" s="35"/>
    </row>
    <row r="196" spans="1:20" s="36" customFormat="1" ht="15.75" customHeight="1" x14ac:dyDescent="0.3">
      <c r="A196" s="95">
        <f t="shared" si="0"/>
        <v>18</v>
      </c>
      <c r="B196" s="96"/>
      <c r="C196" s="65" t="s">
        <v>330</v>
      </c>
      <c r="D196" s="66">
        <f>(23.83)*10.764</f>
        <v>256.50611999999995</v>
      </c>
      <c r="E196" s="65">
        <v>0</v>
      </c>
      <c r="F196" s="65">
        <f t="shared" si="5"/>
        <v>256.50611999999995</v>
      </c>
      <c r="G196" s="65">
        <v>0</v>
      </c>
      <c r="H196" s="65">
        <f t="shared" si="6"/>
        <v>397.58448599999991</v>
      </c>
      <c r="I196" s="35"/>
      <c r="L196" s="88"/>
      <c r="M196" s="88"/>
      <c r="N196" s="35"/>
    </row>
    <row r="197" spans="1:20" s="36" customFormat="1" x14ac:dyDescent="0.3">
      <c r="A197" s="95">
        <f t="shared" si="0"/>
        <v>19</v>
      </c>
      <c r="B197" s="96"/>
      <c r="C197" s="65" t="s">
        <v>330</v>
      </c>
      <c r="D197" s="66">
        <f>(21.47)*10.764</f>
        <v>231.10307999999998</v>
      </c>
      <c r="E197" s="65">
        <v>0</v>
      </c>
      <c r="F197" s="65">
        <f t="shared" si="5"/>
        <v>231.10307999999998</v>
      </c>
      <c r="G197" s="65">
        <v>0</v>
      </c>
      <c r="H197" s="65">
        <f t="shared" si="6"/>
        <v>358.20977399999998</v>
      </c>
      <c r="I197" s="35"/>
      <c r="L197" s="88"/>
      <c r="M197" s="88"/>
      <c r="N197" s="35"/>
    </row>
    <row r="198" spans="1:20" s="36" customFormat="1" ht="15.75" customHeight="1" x14ac:dyDescent="0.3">
      <c r="A198" s="95">
        <f t="shared" si="0"/>
        <v>20</v>
      </c>
      <c r="B198" s="96"/>
      <c r="C198" s="65" t="s">
        <v>330</v>
      </c>
      <c r="D198" s="66">
        <f>(21.47)*10.764</f>
        <v>231.10307999999998</v>
      </c>
      <c r="E198" s="65">
        <v>0</v>
      </c>
      <c r="F198" s="65">
        <f t="shared" si="5"/>
        <v>231.10307999999998</v>
      </c>
      <c r="G198" s="65">
        <v>0</v>
      </c>
      <c r="H198" s="65">
        <f t="shared" si="6"/>
        <v>358.20977399999998</v>
      </c>
      <c r="I198" s="35"/>
      <c r="L198" s="88"/>
      <c r="M198" s="88"/>
      <c r="N198" s="35"/>
    </row>
    <row r="199" spans="1:20" s="36" customFormat="1" ht="15.75" customHeight="1" x14ac:dyDescent="0.3">
      <c r="A199" s="95">
        <f t="shared" si="0"/>
        <v>21</v>
      </c>
      <c r="B199" s="96"/>
      <c r="C199" s="65" t="s">
        <v>330</v>
      </c>
      <c r="D199" s="66">
        <f>(14.04)*10.764</f>
        <v>151.12655999999998</v>
      </c>
      <c r="E199" s="65">
        <v>0</v>
      </c>
      <c r="F199" s="65">
        <f t="shared" si="5"/>
        <v>151.12655999999998</v>
      </c>
      <c r="G199" s="65">
        <v>0</v>
      </c>
      <c r="H199" s="65">
        <f t="shared" si="6"/>
        <v>234.24616799999998</v>
      </c>
      <c r="I199" s="35"/>
      <c r="L199" s="88"/>
      <c r="M199" s="88"/>
      <c r="N199" s="35"/>
    </row>
    <row r="200" spans="1:20" s="36" customFormat="1" ht="15.75" customHeight="1" x14ac:dyDescent="0.3">
      <c r="A200" s="95">
        <f t="shared" si="0"/>
        <v>22</v>
      </c>
      <c r="B200" s="96"/>
      <c r="C200" s="65" t="s">
        <v>330</v>
      </c>
      <c r="D200" s="66">
        <f>(15.54)*10.764</f>
        <v>167.27255999999997</v>
      </c>
      <c r="E200" s="65">
        <v>0</v>
      </c>
      <c r="F200" s="65">
        <f t="shared" si="5"/>
        <v>167.27255999999997</v>
      </c>
      <c r="G200" s="65">
        <v>0</v>
      </c>
      <c r="H200" s="65">
        <f t="shared" si="6"/>
        <v>259.27246799999995</v>
      </c>
      <c r="I200" s="35"/>
      <c r="L200" s="88"/>
      <c r="M200" s="88"/>
      <c r="N200" s="35"/>
    </row>
    <row r="201" spans="1:20" s="36" customFormat="1" ht="15.75" customHeight="1" x14ac:dyDescent="0.3">
      <c r="A201" s="95">
        <f t="shared" si="0"/>
        <v>23</v>
      </c>
      <c r="B201" s="96"/>
      <c r="C201" s="65" t="s">
        <v>330</v>
      </c>
      <c r="D201" s="66">
        <f>(20.25)*10.764</f>
        <v>217.97099999999998</v>
      </c>
      <c r="E201" s="65">
        <v>0</v>
      </c>
      <c r="F201" s="65">
        <f t="shared" ref="F201" si="7">D201+(IF(E201&lt;201,E201,IF(E201&lt;301,E201/2,E201/3)))</f>
        <v>217.97099999999998</v>
      </c>
      <c r="G201" s="65">
        <v>0</v>
      </c>
      <c r="H201" s="65">
        <f>(F201+(IF(G201&lt;101,G201,IF(G201&lt;201,G201/2,IF(G201&lt;=301,G201/3,G201/4)))))*(($H$176)+1)</f>
        <v>337.85504999999995</v>
      </c>
      <c r="I201" s="35"/>
      <c r="L201" s="88"/>
      <c r="M201" s="88"/>
      <c r="N201" s="35"/>
    </row>
    <row r="202" spans="1:20" s="36" customFormat="1" x14ac:dyDescent="0.3">
      <c r="A202" s="95"/>
      <c r="B202" s="116"/>
      <c r="C202" s="116"/>
      <c r="D202" s="116"/>
      <c r="E202" s="116"/>
      <c r="F202" s="116"/>
      <c r="G202" s="116"/>
      <c r="H202" s="96"/>
      <c r="I202" s="35"/>
      <c r="N202" s="35"/>
    </row>
    <row r="203" spans="1:20" ht="47.25" customHeight="1" x14ac:dyDescent="0.3">
      <c r="A203" s="262" t="s">
        <v>329</v>
      </c>
      <c r="B203" s="110" t="s">
        <v>174</v>
      </c>
      <c r="C203" s="110" t="s">
        <v>55</v>
      </c>
      <c r="D203" s="110" t="s">
        <v>228</v>
      </c>
      <c r="E203" s="110" t="s">
        <v>322</v>
      </c>
      <c r="F203" s="110" t="s">
        <v>56</v>
      </c>
      <c r="G203" s="244" t="s">
        <v>57</v>
      </c>
      <c r="H203" s="63" t="s">
        <v>145</v>
      </c>
      <c r="I203" s="35"/>
      <c r="T203" s="36"/>
    </row>
    <row r="204" spans="1:20" s="36" customFormat="1" x14ac:dyDescent="0.3">
      <c r="A204" s="263"/>
      <c r="B204" s="111"/>
      <c r="C204" s="111"/>
      <c r="D204" s="111"/>
      <c r="E204" s="111"/>
      <c r="F204" s="111"/>
      <c r="G204" s="245"/>
      <c r="H204" s="64">
        <v>0.5</v>
      </c>
      <c r="I204" s="35"/>
    </row>
    <row r="205" spans="1:20" s="36" customFormat="1" x14ac:dyDescent="0.3">
      <c r="A205" s="83" t="s">
        <v>318</v>
      </c>
      <c r="B205" s="84"/>
      <c r="C205" s="84"/>
      <c r="D205" s="84"/>
      <c r="E205" s="84"/>
      <c r="F205" s="84"/>
      <c r="G205" s="84"/>
      <c r="H205" s="85"/>
      <c r="J205" s="35"/>
    </row>
    <row r="206" spans="1:20" s="36" customFormat="1" x14ac:dyDescent="0.3">
      <c r="A206" s="97" t="s">
        <v>319</v>
      </c>
      <c r="B206" s="98"/>
      <c r="C206" s="98"/>
      <c r="D206" s="98"/>
      <c r="E206" s="98"/>
      <c r="F206" s="98"/>
      <c r="G206" s="98"/>
      <c r="H206" s="99"/>
      <c r="J206" s="35"/>
    </row>
    <row r="207" spans="1:20" s="36" customFormat="1" x14ac:dyDescent="0.3">
      <c r="A207" s="97" t="s">
        <v>320</v>
      </c>
      <c r="B207" s="98"/>
      <c r="C207" s="98"/>
      <c r="D207" s="98"/>
      <c r="E207" s="98"/>
      <c r="F207" s="98"/>
      <c r="G207" s="98"/>
      <c r="H207" s="99"/>
      <c r="J207" s="35"/>
    </row>
    <row r="208" spans="1:20" s="36" customFormat="1" ht="15.75" customHeight="1" x14ac:dyDescent="0.3">
      <c r="A208" s="95">
        <v>1</v>
      </c>
      <c r="B208" s="96"/>
      <c r="C208" s="65" t="s">
        <v>321</v>
      </c>
      <c r="D208" s="66">
        <f t="shared" ref="D208:D233" si="8">(29.98)*10.764</f>
        <v>322.70472000000001</v>
      </c>
      <c r="E208" s="66">
        <f>(0.75*2.9)*10.764</f>
        <v>23.411699999999996</v>
      </c>
      <c r="F208" s="65">
        <f t="shared" ref="F208:F233" si="9">D208+E208</f>
        <v>346.11642000000001</v>
      </c>
      <c r="G208" s="66">
        <f>(1.65*2.75+1*2.65)*10.764</f>
        <v>77.366249999999994</v>
      </c>
      <c r="H208" s="65">
        <f t="shared" ref="H208:H233" si="10">F208*(($H$204)+1)+(IF(G208&lt;101,G208,IF(G208&lt;201,G208/2,IF(G208&lt;=301,G208/3,G208/4))))</f>
        <v>596.54088000000002</v>
      </c>
      <c r="I208" s="35">
        <f>2.7*4.25+2.15*1.85+2.9*2.65+1.9*1+1.9*1.2+0.9*1.9</f>
        <v>29.0275</v>
      </c>
      <c r="L208" s="88"/>
      <c r="M208" s="88"/>
      <c r="N208" s="35"/>
    </row>
    <row r="209" spans="1:20" s="36" customFormat="1" ht="15.75" customHeight="1" x14ac:dyDescent="0.3">
      <c r="A209" s="95">
        <f t="shared" ref="A209:A233" si="11">A208+1</f>
        <v>2</v>
      </c>
      <c r="B209" s="96"/>
      <c r="C209" s="65" t="s">
        <v>321</v>
      </c>
      <c r="D209" s="66">
        <f t="shared" si="8"/>
        <v>322.70472000000001</v>
      </c>
      <c r="E209" s="66">
        <f t="shared" ref="E209:E218" si="12">(0.75*2.9)*10.764</f>
        <v>23.411699999999996</v>
      </c>
      <c r="F209" s="65">
        <f t="shared" si="9"/>
        <v>346.11642000000001</v>
      </c>
      <c r="G209" s="66">
        <f t="shared" ref="G209:G220" si="13">(1.65*2.75+1*2.65)*10.764</f>
        <v>77.366249999999994</v>
      </c>
      <c r="H209" s="65">
        <f t="shared" si="10"/>
        <v>596.54088000000002</v>
      </c>
      <c r="I209" s="35"/>
      <c r="L209" s="88"/>
      <c r="M209" s="88"/>
      <c r="N209" s="35"/>
    </row>
    <row r="210" spans="1:20" s="36" customFormat="1" ht="15.75" customHeight="1" x14ac:dyDescent="0.3">
      <c r="A210" s="86">
        <f t="shared" si="11"/>
        <v>3</v>
      </c>
      <c r="B210" s="87"/>
      <c r="C210" s="57" t="s">
        <v>321</v>
      </c>
      <c r="D210" s="66">
        <f t="shared" si="8"/>
        <v>322.70472000000001</v>
      </c>
      <c r="E210" s="66">
        <f t="shared" si="12"/>
        <v>23.411699999999996</v>
      </c>
      <c r="F210" s="57">
        <f t="shared" si="9"/>
        <v>346.11642000000001</v>
      </c>
      <c r="G210" s="66">
        <f t="shared" si="13"/>
        <v>77.366249999999994</v>
      </c>
      <c r="H210" s="57">
        <f t="shared" si="10"/>
        <v>596.54088000000002</v>
      </c>
      <c r="I210" s="35"/>
      <c r="L210" s="88"/>
      <c r="M210" s="88"/>
      <c r="N210" s="35"/>
    </row>
    <row r="211" spans="1:20" s="36" customFormat="1" ht="15.75" customHeight="1" x14ac:dyDescent="0.3">
      <c r="A211" s="86">
        <f t="shared" si="11"/>
        <v>4</v>
      </c>
      <c r="B211" s="87"/>
      <c r="C211" s="57" t="s">
        <v>321</v>
      </c>
      <c r="D211" s="66">
        <f t="shared" si="8"/>
        <v>322.70472000000001</v>
      </c>
      <c r="E211" s="66">
        <f t="shared" si="12"/>
        <v>23.411699999999996</v>
      </c>
      <c r="F211" s="57">
        <f t="shared" si="9"/>
        <v>346.11642000000001</v>
      </c>
      <c r="G211" s="66">
        <f>(1.65*2.75+3.3*3.25+1.15*2.75)*10.764</f>
        <v>198.32669999999996</v>
      </c>
      <c r="H211" s="57">
        <f t="shared" si="10"/>
        <v>618.33798000000002</v>
      </c>
      <c r="I211" s="35"/>
      <c r="L211" s="88"/>
      <c r="M211" s="88"/>
      <c r="N211" s="35"/>
      <c r="T211" s="20"/>
    </row>
    <row r="212" spans="1:20" s="36" customFormat="1" ht="15.75" customHeight="1" x14ac:dyDescent="0.3">
      <c r="A212" s="86">
        <f t="shared" si="11"/>
        <v>5</v>
      </c>
      <c r="B212" s="87"/>
      <c r="C212" s="57" t="s">
        <v>321</v>
      </c>
      <c r="D212" s="66">
        <f t="shared" si="8"/>
        <v>322.70472000000001</v>
      </c>
      <c r="E212" s="66">
        <f t="shared" si="12"/>
        <v>23.411699999999996</v>
      </c>
      <c r="F212" s="57">
        <f t="shared" si="9"/>
        <v>346.11642000000001</v>
      </c>
      <c r="G212" s="66">
        <f t="shared" si="13"/>
        <v>77.366249999999994</v>
      </c>
      <c r="H212" s="57">
        <f t="shared" si="10"/>
        <v>596.54088000000002</v>
      </c>
      <c r="I212" s="35"/>
      <c r="L212" s="88"/>
      <c r="M212" s="88"/>
      <c r="N212" s="35"/>
    </row>
    <row r="213" spans="1:20" s="36" customFormat="1" ht="15.75" customHeight="1" x14ac:dyDescent="0.3">
      <c r="A213" s="86">
        <f t="shared" si="11"/>
        <v>6</v>
      </c>
      <c r="B213" s="87"/>
      <c r="C213" s="57" t="s">
        <v>321</v>
      </c>
      <c r="D213" s="66">
        <f t="shared" si="8"/>
        <v>322.70472000000001</v>
      </c>
      <c r="E213" s="66">
        <f t="shared" si="12"/>
        <v>23.411699999999996</v>
      </c>
      <c r="F213" s="57">
        <f t="shared" si="9"/>
        <v>346.11642000000001</v>
      </c>
      <c r="G213" s="66">
        <f t="shared" si="13"/>
        <v>77.366249999999994</v>
      </c>
      <c r="H213" s="57">
        <f t="shared" si="10"/>
        <v>596.54088000000002</v>
      </c>
      <c r="I213" s="35"/>
      <c r="L213" s="88"/>
      <c r="M213" s="88"/>
      <c r="N213" s="35"/>
    </row>
    <row r="214" spans="1:20" s="36" customFormat="1" ht="15.75" customHeight="1" x14ac:dyDescent="0.3">
      <c r="A214" s="86">
        <f t="shared" si="11"/>
        <v>7</v>
      </c>
      <c r="B214" s="87"/>
      <c r="C214" s="57" t="s">
        <v>321</v>
      </c>
      <c r="D214" s="66">
        <f t="shared" si="8"/>
        <v>322.70472000000001</v>
      </c>
      <c r="E214" s="66">
        <f t="shared" si="12"/>
        <v>23.411699999999996</v>
      </c>
      <c r="F214" s="57">
        <f t="shared" si="9"/>
        <v>346.11642000000001</v>
      </c>
      <c r="G214" s="66">
        <f t="shared" si="13"/>
        <v>77.366249999999994</v>
      </c>
      <c r="H214" s="57">
        <f t="shared" si="10"/>
        <v>596.54088000000002</v>
      </c>
      <c r="I214" s="35"/>
      <c r="L214" s="88"/>
      <c r="M214" s="88"/>
      <c r="N214" s="35"/>
    </row>
    <row r="215" spans="1:20" s="36" customFormat="1" ht="15.75" customHeight="1" x14ac:dyDescent="0.3">
      <c r="A215" s="86">
        <f t="shared" si="11"/>
        <v>8</v>
      </c>
      <c r="B215" s="87"/>
      <c r="C215" s="57" t="s">
        <v>321</v>
      </c>
      <c r="D215" s="66">
        <f t="shared" si="8"/>
        <v>322.70472000000001</v>
      </c>
      <c r="E215" s="66">
        <f t="shared" si="12"/>
        <v>23.411699999999996</v>
      </c>
      <c r="F215" s="57">
        <f t="shared" si="9"/>
        <v>346.11642000000001</v>
      </c>
      <c r="G215" s="66">
        <f>(1.65*2.75+1*1.65)*10.764</f>
        <v>66.602249999999998</v>
      </c>
      <c r="H215" s="57">
        <f t="shared" si="10"/>
        <v>585.77688000000001</v>
      </c>
      <c r="I215" s="35"/>
      <c r="L215" s="88"/>
      <c r="M215" s="88"/>
      <c r="N215" s="35"/>
    </row>
    <row r="216" spans="1:20" s="36" customFormat="1" ht="15.75" customHeight="1" x14ac:dyDescent="0.3">
      <c r="A216" s="86">
        <f t="shared" si="11"/>
        <v>9</v>
      </c>
      <c r="B216" s="87"/>
      <c r="C216" s="57" t="s">
        <v>321</v>
      </c>
      <c r="D216" s="66">
        <f t="shared" si="8"/>
        <v>322.70472000000001</v>
      </c>
      <c r="E216" s="66">
        <f t="shared" si="12"/>
        <v>23.411699999999996</v>
      </c>
      <c r="F216" s="57">
        <f t="shared" si="9"/>
        <v>346.11642000000001</v>
      </c>
      <c r="G216" s="66">
        <f>(1.65*1.65+1*2.65)*10.764</f>
        <v>57.829589999999989</v>
      </c>
      <c r="H216" s="57">
        <f t="shared" si="10"/>
        <v>577.00421999999992</v>
      </c>
      <c r="I216" s="35"/>
      <c r="L216" s="88"/>
      <c r="M216" s="88"/>
      <c r="N216" s="35"/>
    </row>
    <row r="217" spans="1:20" s="36" customFormat="1" ht="15.75" customHeight="1" x14ac:dyDescent="0.3">
      <c r="A217" s="86">
        <f t="shared" si="11"/>
        <v>10</v>
      </c>
      <c r="B217" s="87"/>
      <c r="C217" s="57" t="s">
        <v>321</v>
      </c>
      <c r="D217" s="66">
        <f t="shared" si="8"/>
        <v>322.70472000000001</v>
      </c>
      <c r="E217" s="66">
        <f t="shared" si="12"/>
        <v>23.411699999999996</v>
      </c>
      <c r="F217" s="57">
        <f t="shared" si="9"/>
        <v>346.11642000000001</v>
      </c>
      <c r="G217" s="66">
        <f t="shared" si="13"/>
        <v>77.366249999999994</v>
      </c>
      <c r="H217" s="57">
        <f t="shared" si="10"/>
        <v>596.54088000000002</v>
      </c>
      <c r="I217" s="35"/>
      <c r="L217" s="88"/>
      <c r="M217" s="88"/>
      <c r="N217" s="35"/>
    </row>
    <row r="218" spans="1:20" s="36" customFormat="1" ht="15.75" customHeight="1" x14ac:dyDescent="0.3">
      <c r="A218" s="86">
        <f t="shared" si="11"/>
        <v>11</v>
      </c>
      <c r="B218" s="87"/>
      <c r="C218" s="57" t="s">
        <v>321</v>
      </c>
      <c r="D218" s="66">
        <f t="shared" si="8"/>
        <v>322.70472000000001</v>
      </c>
      <c r="E218" s="66">
        <f t="shared" si="12"/>
        <v>23.411699999999996</v>
      </c>
      <c r="F218" s="57">
        <f t="shared" si="9"/>
        <v>346.11642000000001</v>
      </c>
      <c r="G218" s="66">
        <f t="shared" si="13"/>
        <v>77.366249999999994</v>
      </c>
      <c r="H218" s="57">
        <f t="shared" si="10"/>
        <v>596.54088000000002</v>
      </c>
      <c r="I218" s="35"/>
      <c r="L218" s="88"/>
      <c r="M218" s="88"/>
      <c r="N218" s="35"/>
    </row>
    <row r="219" spans="1:20" s="36" customFormat="1" ht="15.75" customHeight="1" x14ac:dyDescent="0.3">
      <c r="A219" s="86">
        <f t="shared" si="11"/>
        <v>12</v>
      </c>
      <c r="B219" s="87"/>
      <c r="C219" s="57" t="s">
        <v>321</v>
      </c>
      <c r="D219" s="66">
        <f t="shared" si="8"/>
        <v>322.70472000000001</v>
      </c>
      <c r="E219" s="66">
        <f>(0.75*2.9+1.8*1.2)*10.764</f>
        <v>46.661939999999994</v>
      </c>
      <c r="F219" s="57">
        <f t="shared" si="9"/>
        <v>369.36666000000002</v>
      </c>
      <c r="G219" s="66">
        <f>(1*2.65)*10.764</f>
        <v>28.524599999999996</v>
      </c>
      <c r="H219" s="57">
        <f t="shared" si="10"/>
        <v>582.57458999999994</v>
      </c>
      <c r="I219" s="35"/>
      <c r="L219" s="88"/>
      <c r="M219" s="88"/>
      <c r="N219" s="35"/>
    </row>
    <row r="220" spans="1:20" s="36" customFormat="1" ht="15.75" customHeight="1" x14ac:dyDescent="0.3">
      <c r="A220" s="86">
        <f t="shared" si="11"/>
        <v>13</v>
      </c>
      <c r="B220" s="87"/>
      <c r="C220" s="57" t="s">
        <v>321</v>
      </c>
      <c r="D220" s="66">
        <f t="shared" si="8"/>
        <v>322.70472000000001</v>
      </c>
      <c r="E220" s="66">
        <f t="shared" ref="E220:E231" si="14">(0.75*2.9)*10.764</f>
        <v>23.411699999999996</v>
      </c>
      <c r="F220" s="57">
        <f t="shared" si="9"/>
        <v>346.11642000000001</v>
      </c>
      <c r="G220" s="66">
        <f t="shared" si="13"/>
        <v>77.366249999999994</v>
      </c>
      <c r="H220" s="57">
        <f t="shared" si="10"/>
        <v>596.54088000000002</v>
      </c>
      <c r="I220" s="35"/>
      <c r="L220" s="88"/>
      <c r="M220" s="88"/>
      <c r="N220" s="35"/>
    </row>
    <row r="221" spans="1:20" s="36" customFormat="1" ht="15.75" customHeight="1" x14ac:dyDescent="0.3">
      <c r="A221" s="86">
        <f t="shared" si="11"/>
        <v>14</v>
      </c>
      <c r="B221" s="87"/>
      <c r="C221" s="57" t="s">
        <v>321</v>
      </c>
      <c r="D221" s="66">
        <f t="shared" si="8"/>
        <v>322.70472000000001</v>
      </c>
      <c r="E221" s="66">
        <f t="shared" si="14"/>
        <v>23.411699999999996</v>
      </c>
      <c r="F221" s="57">
        <f t="shared" si="9"/>
        <v>346.11642000000001</v>
      </c>
      <c r="G221" s="66">
        <f>(1.65*2.75+1*1.65)*10.764</f>
        <v>66.602249999999998</v>
      </c>
      <c r="H221" s="57">
        <f t="shared" si="10"/>
        <v>585.77688000000001</v>
      </c>
      <c r="I221" s="35"/>
      <c r="L221" s="88"/>
      <c r="M221" s="88"/>
      <c r="N221" s="35"/>
    </row>
    <row r="222" spans="1:20" s="36" customFormat="1" ht="15.75" customHeight="1" x14ac:dyDescent="0.3">
      <c r="A222" s="86">
        <f t="shared" si="11"/>
        <v>15</v>
      </c>
      <c r="B222" s="87"/>
      <c r="C222" s="57" t="s">
        <v>321</v>
      </c>
      <c r="D222" s="66">
        <f t="shared" si="8"/>
        <v>322.70472000000001</v>
      </c>
      <c r="E222" s="66">
        <f t="shared" si="14"/>
        <v>23.411699999999996</v>
      </c>
      <c r="F222" s="57">
        <f t="shared" si="9"/>
        <v>346.11642000000001</v>
      </c>
      <c r="G222" s="66">
        <f>(1.65*1.65+1*2.65)*10.764</f>
        <v>57.829589999999989</v>
      </c>
      <c r="H222" s="57">
        <f t="shared" si="10"/>
        <v>577.00421999999992</v>
      </c>
      <c r="I222" s="35"/>
      <c r="L222" s="88"/>
      <c r="M222" s="88"/>
      <c r="N222" s="35"/>
    </row>
    <row r="223" spans="1:20" s="36" customFormat="1" ht="15.75" customHeight="1" x14ac:dyDescent="0.3">
      <c r="A223" s="86">
        <f t="shared" si="11"/>
        <v>16</v>
      </c>
      <c r="B223" s="87"/>
      <c r="C223" s="57" t="s">
        <v>321</v>
      </c>
      <c r="D223" s="66">
        <f t="shared" si="8"/>
        <v>322.70472000000001</v>
      </c>
      <c r="E223" s="66">
        <f t="shared" si="14"/>
        <v>23.411699999999996</v>
      </c>
      <c r="F223" s="57">
        <f t="shared" si="9"/>
        <v>346.11642000000001</v>
      </c>
      <c r="G223" s="66">
        <f t="shared" ref="G223:G233" si="15">(1.65*2.75+1*2.65)*10.764</f>
        <v>77.366249999999994</v>
      </c>
      <c r="H223" s="57">
        <f t="shared" si="10"/>
        <v>596.54088000000002</v>
      </c>
      <c r="I223" s="35"/>
      <c r="L223" s="88"/>
      <c r="M223" s="88"/>
      <c r="N223" s="35"/>
    </row>
    <row r="224" spans="1:20" s="36" customFormat="1" ht="15.75" customHeight="1" x14ac:dyDescent="0.3">
      <c r="A224" s="86">
        <f t="shared" si="11"/>
        <v>17</v>
      </c>
      <c r="B224" s="87"/>
      <c r="C224" s="57" t="s">
        <v>321</v>
      </c>
      <c r="D224" s="66">
        <f t="shared" si="8"/>
        <v>322.70472000000001</v>
      </c>
      <c r="E224" s="66">
        <f t="shared" si="14"/>
        <v>23.411699999999996</v>
      </c>
      <c r="F224" s="57">
        <f t="shared" si="9"/>
        <v>346.11642000000001</v>
      </c>
      <c r="G224" s="66">
        <f t="shared" si="15"/>
        <v>77.366249999999994</v>
      </c>
      <c r="H224" s="57">
        <f t="shared" si="10"/>
        <v>596.54088000000002</v>
      </c>
      <c r="I224" s="35"/>
      <c r="L224" s="88"/>
      <c r="M224" s="88"/>
      <c r="N224" s="35"/>
    </row>
    <row r="225" spans="1:20" s="36" customFormat="1" ht="15.75" customHeight="1" x14ac:dyDescent="0.3">
      <c r="A225" s="86">
        <f t="shared" si="11"/>
        <v>18</v>
      </c>
      <c r="B225" s="87"/>
      <c r="C225" s="57" t="s">
        <v>321</v>
      </c>
      <c r="D225" s="66">
        <f t="shared" si="8"/>
        <v>322.70472000000001</v>
      </c>
      <c r="E225" s="66">
        <f t="shared" si="14"/>
        <v>23.411699999999996</v>
      </c>
      <c r="F225" s="57">
        <f t="shared" si="9"/>
        <v>346.11642000000001</v>
      </c>
      <c r="G225" s="66">
        <f t="shared" si="15"/>
        <v>77.366249999999994</v>
      </c>
      <c r="H225" s="57">
        <f t="shared" si="10"/>
        <v>596.54088000000002</v>
      </c>
      <c r="I225" s="35"/>
      <c r="L225" s="88"/>
      <c r="M225" s="88"/>
      <c r="N225" s="35"/>
    </row>
    <row r="226" spans="1:20" s="36" customFormat="1" ht="15.75" customHeight="1" x14ac:dyDescent="0.3">
      <c r="A226" s="86">
        <f t="shared" si="11"/>
        <v>19</v>
      </c>
      <c r="B226" s="87"/>
      <c r="C226" s="57" t="s">
        <v>321</v>
      </c>
      <c r="D226" s="66">
        <f t="shared" si="8"/>
        <v>322.70472000000001</v>
      </c>
      <c r="E226" s="66">
        <f t="shared" si="14"/>
        <v>23.411699999999996</v>
      </c>
      <c r="F226" s="57">
        <f t="shared" si="9"/>
        <v>346.11642000000001</v>
      </c>
      <c r="G226" s="66">
        <f t="shared" si="15"/>
        <v>77.366249999999994</v>
      </c>
      <c r="H226" s="57">
        <f t="shared" si="10"/>
        <v>596.54088000000002</v>
      </c>
      <c r="I226" s="35"/>
      <c r="L226" s="88"/>
      <c r="M226" s="88"/>
      <c r="N226" s="35"/>
    </row>
    <row r="227" spans="1:20" s="36" customFormat="1" ht="15.75" customHeight="1" x14ac:dyDescent="0.3">
      <c r="A227" s="86">
        <f t="shared" si="11"/>
        <v>20</v>
      </c>
      <c r="B227" s="87"/>
      <c r="C227" s="57" t="s">
        <v>321</v>
      </c>
      <c r="D227" s="66">
        <f t="shared" si="8"/>
        <v>322.70472000000001</v>
      </c>
      <c r="E227" s="66">
        <f t="shared" si="14"/>
        <v>23.411699999999996</v>
      </c>
      <c r="F227" s="57">
        <f t="shared" si="9"/>
        <v>346.11642000000001</v>
      </c>
      <c r="G227" s="66">
        <f>(1.65*2.75+3.3*3.25+1.15*2.75)*10.764</f>
        <v>198.32669999999996</v>
      </c>
      <c r="H227" s="57">
        <f t="shared" si="10"/>
        <v>618.33798000000002</v>
      </c>
      <c r="I227" s="35"/>
      <c r="L227" s="88"/>
      <c r="M227" s="88"/>
      <c r="N227" s="35"/>
    </row>
    <row r="228" spans="1:20" s="36" customFormat="1" ht="15.75" customHeight="1" x14ac:dyDescent="0.3">
      <c r="A228" s="86">
        <f t="shared" si="11"/>
        <v>21</v>
      </c>
      <c r="B228" s="87"/>
      <c r="C228" s="57" t="s">
        <v>321</v>
      </c>
      <c r="D228" s="66">
        <f t="shared" si="8"/>
        <v>322.70472000000001</v>
      </c>
      <c r="E228" s="66">
        <f t="shared" si="14"/>
        <v>23.411699999999996</v>
      </c>
      <c r="F228" s="57">
        <f t="shared" si="9"/>
        <v>346.11642000000001</v>
      </c>
      <c r="G228" s="66">
        <f t="shared" si="15"/>
        <v>77.366249999999994</v>
      </c>
      <c r="H228" s="57">
        <f t="shared" si="10"/>
        <v>596.54088000000002</v>
      </c>
      <c r="I228" s="35"/>
      <c r="L228" s="88"/>
      <c r="M228" s="88"/>
      <c r="N228" s="35"/>
    </row>
    <row r="229" spans="1:20" s="36" customFormat="1" ht="15.75" customHeight="1" x14ac:dyDescent="0.3">
      <c r="A229" s="86">
        <f t="shared" si="11"/>
        <v>22</v>
      </c>
      <c r="B229" s="87"/>
      <c r="C229" s="57" t="s">
        <v>321</v>
      </c>
      <c r="D229" s="66">
        <f t="shared" si="8"/>
        <v>322.70472000000001</v>
      </c>
      <c r="E229" s="66">
        <f t="shared" si="14"/>
        <v>23.411699999999996</v>
      </c>
      <c r="F229" s="57">
        <f t="shared" si="9"/>
        <v>346.11642000000001</v>
      </c>
      <c r="G229" s="66">
        <f t="shared" si="15"/>
        <v>77.366249999999994</v>
      </c>
      <c r="H229" s="57">
        <f t="shared" si="10"/>
        <v>596.54088000000002</v>
      </c>
      <c r="I229" s="35"/>
      <c r="L229" s="88"/>
      <c r="M229" s="88"/>
      <c r="N229" s="35"/>
    </row>
    <row r="230" spans="1:20" s="36" customFormat="1" ht="15.75" customHeight="1" x14ac:dyDescent="0.3">
      <c r="A230" s="86">
        <f t="shared" si="11"/>
        <v>23</v>
      </c>
      <c r="B230" s="87"/>
      <c r="C230" s="57" t="s">
        <v>321</v>
      </c>
      <c r="D230" s="66">
        <f t="shared" si="8"/>
        <v>322.70472000000001</v>
      </c>
      <c r="E230" s="66">
        <f t="shared" si="14"/>
        <v>23.411699999999996</v>
      </c>
      <c r="F230" s="57">
        <f t="shared" si="9"/>
        <v>346.11642000000001</v>
      </c>
      <c r="G230" s="66">
        <f t="shared" si="15"/>
        <v>77.366249999999994</v>
      </c>
      <c r="H230" s="57">
        <f t="shared" si="10"/>
        <v>596.54088000000002</v>
      </c>
      <c r="I230" s="35"/>
      <c r="L230" s="88"/>
      <c r="M230" s="88"/>
      <c r="N230" s="35"/>
    </row>
    <row r="231" spans="1:20" s="36" customFormat="1" ht="15.75" customHeight="1" x14ac:dyDescent="0.3">
      <c r="A231" s="86">
        <f t="shared" si="11"/>
        <v>24</v>
      </c>
      <c r="B231" s="87"/>
      <c r="C231" s="57" t="s">
        <v>321</v>
      </c>
      <c r="D231" s="66">
        <f t="shared" si="8"/>
        <v>322.70472000000001</v>
      </c>
      <c r="E231" s="66">
        <f t="shared" si="14"/>
        <v>23.411699999999996</v>
      </c>
      <c r="F231" s="57">
        <f t="shared" si="9"/>
        <v>346.11642000000001</v>
      </c>
      <c r="G231" s="66">
        <f t="shared" si="15"/>
        <v>77.366249999999994</v>
      </c>
      <c r="H231" s="57">
        <f t="shared" si="10"/>
        <v>596.54088000000002</v>
      </c>
      <c r="I231" s="35"/>
      <c r="L231" s="88"/>
      <c r="M231" s="88"/>
      <c r="N231" s="35"/>
    </row>
    <row r="232" spans="1:20" s="36" customFormat="1" ht="15.75" customHeight="1" x14ac:dyDescent="0.3">
      <c r="A232" s="86">
        <f t="shared" si="11"/>
        <v>25</v>
      </c>
      <c r="B232" s="87"/>
      <c r="C232" s="57" t="s">
        <v>321</v>
      </c>
      <c r="D232" s="66">
        <f t="shared" si="8"/>
        <v>322.70472000000001</v>
      </c>
      <c r="E232" s="66">
        <f>(0.75*2.9+1.8*1.2)*10.764</f>
        <v>46.661939999999994</v>
      </c>
      <c r="F232" s="57">
        <f t="shared" si="9"/>
        <v>369.36666000000002</v>
      </c>
      <c r="G232" s="66">
        <f>(1*2.65)*10.764</f>
        <v>28.524599999999996</v>
      </c>
      <c r="H232" s="57">
        <f t="shared" si="10"/>
        <v>582.57458999999994</v>
      </c>
      <c r="I232" s="35"/>
      <c r="L232" s="88"/>
      <c r="M232" s="88"/>
      <c r="N232" s="35"/>
    </row>
    <row r="233" spans="1:20" s="36" customFormat="1" ht="15.75" customHeight="1" x14ac:dyDescent="0.3">
      <c r="A233" s="86">
        <f t="shared" si="11"/>
        <v>26</v>
      </c>
      <c r="B233" s="87"/>
      <c r="C233" s="57" t="s">
        <v>321</v>
      </c>
      <c r="D233" s="66">
        <f t="shared" si="8"/>
        <v>322.70472000000001</v>
      </c>
      <c r="E233" s="66">
        <f>(0.75*2.9)*10.764</f>
        <v>23.411699999999996</v>
      </c>
      <c r="F233" s="57">
        <f t="shared" si="9"/>
        <v>346.11642000000001</v>
      </c>
      <c r="G233" s="66">
        <f t="shared" si="15"/>
        <v>77.366249999999994</v>
      </c>
      <c r="H233" s="57">
        <f t="shared" si="10"/>
        <v>596.54088000000002</v>
      </c>
      <c r="I233" s="35"/>
      <c r="L233" s="88"/>
      <c r="M233" s="88"/>
      <c r="N233" s="35"/>
    </row>
    <row r="234" spans="1:20" s="36" customFormat="1" x14ac:dyDescent="0.3">
      <c r="A234" s="113" t="s">
        <v>323</v>
      </c>
      <c r="B234" s="114"/>
      <c r="C234" s="114"/>
      <c r="D234" s="114"/>
      <c r="E234" s="114"/>
      <c r="F234" s="114"/>
      <c r="G234" s="114"/>
      <c r="H234" s="115"/>
      <c r="J234" s="35"/>
    </row>
    <row r="235" spans="1:20" s="36" customFormat="1" ht="15.75" customHeight="1" x14ac:dyDescent="0.3">
      <c r="A235" s="86">
        <v>1</v>
      </c>
      <c r="B235" s="87"/>
      <c r="C235" s="57" t="s">
        <v>321</v>
      </c>
      <c r="D235" s="66">
        <f t="shared" ref="D235:D260" si="16">(29.98)*10.764</f>
        <v>322.70472000000001</v>
      </c>
      <c r="E235" s="66">
        <f>(0.75*2.9+1.65*1.2)*10.764</f>
        <v>44.724419999999988</v>
      </c>
      <c r="F235" s="57">
        <f t="shared" ref="F235:F260" si="17">D235+E235</f>
        <v>367.42914000000002</v>
      </c>
      <c r="G235" s="57">
        <v>0</v>
      </c>
      <c r="H235" s="57">
        <f t="shared" ref="H235:H260" si="18">F235*(($H$204)+1)+(IF(G235&lt;101,G235,IF(G235&lt;201,G235/2,IF(G235&lt;=301,G235/3,G235/4))))</f>
        <v>551.14371000000006</v>
      </c>
      <c r="I235" s="35"/>
      <c r="J235" s="35">
        <f>1700000/H235</f>
        <v>3084.4949677462523</v>
      </c>
      <c r="K235" s="35">
        <f>1800000/H235</f>
        <v>3265.9358482019143</v>
      </c>
      <c r="L235" s="88"/>
      <c r="M235" s="88"/>
      <c r="N235" s="35"/>
    </row>
    <row r="236" spans="1:20" s="36" customFormat="1" ht="15.75" customHeight="1" x14ac:dyDescent="0.3">
      <c r="A236" s="86">
        <f t="shared" ref="A236:A260" si="19">A235+1</f>
        <v>2</v>
      </c>
      <c r="B236" s="87"/>
      <c r="C236" s="57" t="s">
        <v>321</v>
      </c>
      <c r="D236" s="66">
        <f t="shared" si="16"/>
        <v>322.70472000000001</v>
      </c>
      <c r="E236" s="66">
        <f t="shared" ref="E236:E260" si="20">(0.75*2.9+1.65*1.2)*10.764</f>
        <v>44.724419999999988</v>
      </c>
      <c r="F236" s="57">
        <f t="shared" si="17"/>
        <v>367.42914000000002</v>
      </c>
      <c r="G236" s="57">
        <v>0</v>
      </c>
      <c r="H236" s="57">
        <f t="shared" si="18"/>
        <v>551.14371000000006</v>
      </c>
      <c r="I236" s="35"/>
      <c r="K236" s="35"/>
      <c r="L236" s="88"/>
      <c r="M236" s="88"/>
      <c r="N236" s="35"/>
    </row>
    <row r="237" spans="1:20" s="36" customFormat="1" ht="15.75" customHeight="1" x14ac:dyDescent="0.3">
      <c r="A237" s="86">
        <f t="shared" si="19"/>
        <v>3</v>
      </c>
      <c r="B237" s="87"/>
      <c r="C237" s="57" t="s">
        <v>321</v>
      </c>
      <c r="D237" s="66">
        <f t="shared" si="16"/>
        <v>322.70472000000001</v>
      </c>
      <c r="E237" s="66">
        <f t="shared" si="20"/>
        <v>44.724419999999988</v>
      </c>
      <c r="F237" s="57">
        <f t="shared" si="17"/>
        <v>367.42914000000002</v>
      </c>
      <c r="G237" s="57">
        <v>0</v>
      </c>
      <c r="H237" s="57">
        <f t="shared" si="18"/>
        <v>551.14371000000006</v>
      </c>
      <c r="I237" s="35"/>
      <c r="K237" s="35"/>
      <c r="L237" s="88"/>
      <c r="M237" s="88"/>
      <c r="N237" s="35"/>
    </row>
    <row r="238" spans="1:20" s="36" customFormat="1" ht="15.75" customHeight="1" x14ac:dyDescent="0.3">
      <c r="A238" s="86">
        <f t="shared" si="19"/>
        <v>4</v>
      </c>
      <c r="B238" s="87"/>
      <c r="C238" s="57" t="s">
        <v>321</v>
      </c>
      <c r="D238" s="66">
        <f t="shared" si="16"/>
        <v>322.70472000000001</v>
      </c>
      <c r="E238" s="66">
        <f t="shared" si="20"/>
        <v>44.724419999999988</v>
      </c>
      <c r="F238" s="57">
        <f t="shared" si="17"/>
        <v>367.42914000000002</v>
      </c>
      <c r="G238" s="57">
        <v>0</v>
      </c>
      <c r="H238" s="57">
        <f t="shared" si="18"/>
        <v>551.14371000000006</v>
      </c>
      <c r="I238" s="35"/>
      <c r="K238" s="35"/>
      <c r="L238" s="88"/>
      <c r="M238" s="88"/>
      <c r="N238" s="35"/>
      <c r="T238" s="20"/>
    </row>
    <row r="239" spans="1:20" s="36" customFormat="1" ht="15.75" customHeight="1" x14ac:dyDescent="0.3">
      <c r="A239" s="86">
        <f t="shared" si="19"/>
        <v>5</v>
      </c>
      <c r="B239" s="87"/>
      <c r="C239" s="57" t="s">
        <v>321</v>
      </c>
      <c r="D239" s="66">
        <f t="shared" si="16"/>
        <v>322.70472000000001</v>
      </c>
      <c r="E239" s="66">
        <f t="shared" si="20"/>
        <v>44.724419999999988</v>
      </c>
      <c r="F239" s="57">
        <f t="shared" si="17"/>
        <v>367.42914000000002</v>
      </c>
      <c r="G239" s="57">
        <v>0</v>
      </c>
      <c r="H239" s="57">
        <f t="shared" si="18"/>
        <v>551.14371000000006</v>
      </c>
      <c r="I239" s="35"/>
      <c r="K239" s="35"/>
      <c r="L239" s="88"/>
      <c r="M239" s="88"/>
      <c r="N239" s="35"/>
    </row>
    <row r="240" spans="1:20" s="36" customFormat="1" ht="15.75" customHeight="1" x14ac:dyDescent="0.3">
      <c r="A240" s="86">
        <f t="shared" si="19"/>
        <v>6</v>
      </c>
      <c r="B240" s="87"/>
      <c r="C240" s="57" t="s">
        <v>321</v>
      </c>
      <c r="D240" s="66">
        <f t="shared" si="16"/>
        <v>322.70472000000001</v>
      </c>
      <c r="E240" s="66">
        <f t="shared" si="20"/>
        <v>44.724419999999988</v>
      </c>
      <c r="F240" s="57">
        <f t="shared" si="17"/>
        <v>367.42914000000002</v>
      </c>
      <c r="G240" s="57">
        <v>0</v>
      </c>
      <c r="H240" s="57">
        <f t="shared" si="18"/>
        <v>551.14371000000006</v>
      </c>
      <c r="I240" s="35"/>
      <c r="K240" s="35"/>
      <c r="L240" s="88"/>
      <c r="M240" s="88"/>
      <c r="N240" s="35"/>
    </row>
    <row r="241" spans="1:14" s="36" customFormat="1" ht="15.75" customHeight="1" x14ac:dyDescent="0.3">
      <c r="A241" s="86">
        <f t="shared" si="19"/>
        <v>7</v>
      </c>
      <c r="B241" s="87"/>
      <c r="C241" s="57" t="s">
        <v>321</v>
      </c>
      <c r="D241" s="66">
        <f t="shared" si="16"/>
        <v>322.70472000000001</v>
      </c>
      <c r="E241" s="66">
        <f t="shared" si="20"/>
        <v>44.724419999999988</v>
      </c>
      <c r="F241" s="57">
        <f t="shared" si="17"/>
        <v>367.42914000000002</v>
      </c>
      <c r="G241" s="57">
        <v>0</v>
      </c>
      <c r="H241" s="57">
        <f t="shared" si="18"/>
        <v>551.14371000000006</v>
      </c>
      <c r="I241" s="35"/>
      <c r="K241" s="35"/>
      <c r="L241" s="88"/>
      <c r="M241" s="88"/>
      <c r="N241" s="35"/>
    </row>
    <row r="242" spans="1:14" s="36" customFormat="1" ht="15.75" customHeight="1" x14ac:dyDescent="0.3">
      <c r="A242" s="86">
        <f t="shared" si="19"/>
        <v>8</v>
      </c>
      <c r="B242" s="87"/>
      <c r="C242" s="57" t="s">
        <v>321</v>
      </c>
      <c r="D242" s="66">
        <f t="shared" si="16"/>
        <v>322.70472000000001</v>
      </c>
      <c r="E242" s="66">
        <f t="shared" si="20"/>
        <v>44.724419999999988</v>
      </c>
      <c r="F242" s="57">
        <f t="shared" si="17"/>
        <v>367.42914000000002</v>
      </c>
      <c r="G242" s="57">
        <v>0</v>
      </c>
      <c r="H242" s="57">
        <f t="shared" si="18"/>
        <v>551.14371000000006</v>
      </c>
      <c r="I242" s="35"/>
      <c r="K242" s="35"/>
      <c r="L242" s="88"/>
      <c r="M242" s="88"/>
      <c r="N242" s="35"/>
    </row>
    <row r="243" spans="1:14" s="36" customFormat="1" ht="15.75" customHeight="1" x14ac:dyDescent="0.3">
      <c r="A243" s="86">
        <f t="shared" si="19"/>
        <v>9</v>
      </c>
      <c r="B243" s="87"/>
      <c r="C243" s="57" t="s">
        <v>321</v>
      </c>
      <c r="D243" s="66">
        <f t="shared" si="16"/>
        <v>322.70472000000001</v>
      </c>
      <c r="E243" s="66">
        <f t="shared" si="20"/>
        <v>44.724419999999988</v>
      </c>
      <c r="F243" s="57">
        <f t="shared" si="17"/>
        <v>367.42914000000002</v>
      </c>
      <c r="G243" s="57">
        <v>0</v>
      </c>
      <c r="H243" s="57">
        <f t="shared" si="18"/>
        <v>551.14371000000006</v>
      </c>
      <c r="I243" s="35"/>
      <c r="K243" s="35"/>
      <c r="L243" s="88"/>
      <c r="M243" s="88"/>
      <c r="N243" s="35"/>
    </row>
    <row r="244" spans="1:14" s="36" customFormat="1" ht="15.75" customHeight="1" x14ac:dyDescent="0.3">
      <c r="A244" s="86">
        <f t="shared" si="19"/>
        <v>10</v>
      </c>
      <c r="B244" s="87"/>
      <c r="C244" s="57" t="s">
        <v>321</v>
      </c>
      <c r="D244" s="66">
        <f t="shared" si="16"/>
        <v>322.70472000000001</v>
      </c>
      <c r="E244" s="66">
        <f t="shared" si="20"/>
        <v>44.724419999999988</v>
      </c>
      <c r="F244" s="57">
        <f t="shared" si="17"/>
        <v>367.42914000000002</v>
      </c>
      <c r="G244" s="57">
        <v>0</v>
      </c>
      <c r="H244" s="57">
        <f t="shared" si="18"/>
        <v>551.14371000000006</v>
      </c>
      <c r="I244" s="35"/>
      <c r="K244" s="35"/>
      <c r="L244" s="88"/>
      <c r="M244" s="88"/>
      <c r="N244" s="35"/>
    </row>
    <row r="245" spans="1:14" s="36" customFormat="1" ht="15.75" customHeight="1" x14ac:dyDescent="0.3">
      <c r="A245" s="86">
        <f t="shared" si="19"/>
        <v>11</v>
      </c>
      <c r="B245" s="87"/>
      <c r="C245" s="57" t="s">
        <v>321</v>
      </c>
      <c r="D245" s="66">
        <f t="shared" si="16"/>
        <v>322.70472000000001</v>
      </c>
      <c r="E245" s="66">
        <f t="shared" si="20"/>
        <v>44.724419999999988</v>
      </c>
      <c r="F245" s="57">
        <f t="shared" si="17"/>
        <v>367.42914000000002</v>
      </c>
      <c r="G245" s="57">
        <v>0</v>
      </c>
      <c r="H245" s="57">
        <f t="shared" si="18"/>
        <v>551.14371000000006</v>
      </c>
      <c r="I245" s="35"/>
      <c r="K245" s="35"/>
      <c r="L245" s="88"/>
      <c r="M245" s="88"/>
      <c r="N245" s="35"/>
    </row>
    <row r="246" spans="1:14" s="36" customFormat="1" ht="15.75" customHeight="1" x14ac:dyDescent="0.3">
      <c r="A246" s="86">
        <f t="shared" si="19"/>
        <v>12</v>
      </c>
      <c r="B246" s="87"/>
      <c r="C246" s="57" t="s">
        <v>321</v>
      </c>
      <c r="D246" s="66">
        <f t="shared" si="16"/>
        <v>322.70472000000001</v>
      </c>
      <c r="E246" s="66">
        <f t="shared" si="20"/>
        <v>44.724419999999988</v>
      </c>
      <c r="F246" s="57">
        <f t="shared" si="17"/>
        <v>367.42914000000002</v>
      </c>
      <c r="G246" s="57">
        <v>0</v>
      </c>
      <c r="H246" s="57">
        <f t="shared" si="18"/>
        <v>551.14371000000006</v>
      </c>
      <c r="I246" s="35"/>
      <c r="K246" s="35"/>
      <c r="L246" s="88"/>
      <c r="M246" s="88"/>
      <c r="N246" s="35"/>
    </row>
    <row r="247" spans="1:14" s="36" customFormat="1" ht="15.75" customHeight="1" x14ac:dyDescent="0.3">
      <c r="A247" s="86">
        <f t="shared" si="19"/>
        <v>13</v>
      </c>
      <c r="B247" s="87"/>
      <c r="C247" s="57" t="s">
        <v>321</v>
      </c>
      <c r="D247" s="66">
        <f t="shared" si="16"/>
        <v>322.70472000000001</v>
      </c>
      <c r="E247" s="66">
        <f t="shared" si="20"/>
        <v>44.724419999999988</v>
      </c>
      <c r="F247" s="57">
        <f t="shared" si="17"/>
        <v>367.42914000000002</v>
      </c>
      <c r="G247" s="57">
        <v>0</v>
      </c>
      <c r="H247" s="57">
        <f t="shared" si="18"/>
        <v>551.14371000000006</v>
      </c>
      <c r="I247" s="35"/>
      <c r="L247" s="88"/>
      <c r="M247" s="88"/>
      <c r="N247" s="35"/>
    </row>
    <row r="248" spans="1:14" s="36" customFormat="1" ht="15.75" customHeight="1" x14ac:dyDescent="0.3">
      <c r="A248" s="86">
        <f t="shared" si="19"/>
        <v>14</v>
      </c>
      <c r="B248" s="87"/>
      <c r="C248" s="57" t="s">
        <v>321</v>
      </c>
      <c r="D248" s="66">
        <f t="shared" si="16"/>
        <v>322.70472000000001</v>
      </c>
      <c r="E248" s="66">
        <f t="shared" si="20"/>
        <v>44.724419999999988</v>
      </c>
      <c r="F248" s="57">
        <f t="shared" si="17"/>
        <v>367.42914000000002</v>
      </c>
      <c r="G248" s="57">
        <v>0</v>
      </c>
      <c r="H248" s="57">
        <f t="shared" si="18"/>
        <v>551.14371000000006</v>
      </c>
      <c r="I248" s="35"/>
      <c r="L248" s="88"/>
      <c r="M248" s="88"/>
      <c r="N248" s="35"/>
    </row>
    <row r="249" spans="1:14" s="36" customFormat="1" ht="15.75" customHeight="1" x14ac:dyDescent="0.3">
      <c r="A249" s="86">
        <f t="shared" si="19"/>
        <v>15</v>
      </c>
      <c r="B249" s="87"/>
      <c r="C249" s="57" t="s">
        <v>321</v>
      </c>
      <c r="D249" s="66">
        <f t="shared" si="16"/>
        <v>322.70472000000001</v>
      </c>
      <c r="E249" s="66">
        <f t="shared" si="20"/>
        <v>44.724419999999988</v>
      </c>
      <c r="F249" s="57">
        <f t="shared" si="17"/>
        <v>367.42914000000002</v>
      </c>
      <c r="G249" s="57">
        <v>0</v>
      </c>
      <c r="H249" s="57">
        <f t="shared" si="18"/>
        <v>551.14371000000006</v>
      </c>
      <c r="I249" s="35"/>
      <c r="L249" s="88"/>
      <c r="M249" s="88"/>
      <c r="N249" s="35"/>
    </row>
    <row r="250" spans="1:14" s="36" customFormat="1" ht="15.75" customHeight="1" x14ac:dyDescent="0.3">
      <c r="A250" s="86">
        <f t="shared" si="19"/>
        <v>16</v>
      </c>
      <c r="B250" s="87"/>
      <c r="C250" s="57" t="s">
        <v>321</v>
      </c>
      <c r="D250" s="66">
        <f t="shared" si="16"/>
        <v>322.70472000000001</v>
      </c>
      <c r="E250" s="66">
        <f t="shared" si="20"/>
        <v>44.724419999999988</v>
      </c>
      <c r="F250" s="57">
        <f t="shared" si="17"/>
        <v>367.42914000000002</v>
      </c>
      <c r="G250" s="57">
        <v>0</v>
      </c>
      <c r="H250" s="57">
        <f t="shared" si="18"/>
        <v>551.14371000000006</v>
      </c>
      <c r="I250" s="35"/>
      <c r="L250" s="88"/>
      <c r="M250" s="88"/>
      <c r="N250" s="35"/>
    </row>
    <row r="251" spans="1:14" s="36" customFormat="1" ht="15.75" customHeight="1" x14ac:dyDescent="0.3">
      <c r="A251" s="86">
        <f t="shared" si="19"/>
        <v>17</v>
      </c>
      <c r="B251" s="87"/>
      <c r="C251" s="57" t="s">
        <v>321</v>
      </c>
      <c r="D251" s="66">
        <f t="shared" si="16"/>
        <v>322.70472000000001</v>
      </c>
      <c r="E251" s="66">
        <f t="shared" si="20"/>
        <v>44.724419999999988</v>
      </c>
      <c r="F251" s="57">
        <f t="shared" si="17"/>
        <v>367.42914000000002</v>
      </c>
      <c r="G251" s="57">
        <v>0</v>
      </c>
      <c r="H251" s="57">
        <f t="shared" si="18"/>
        <v>551.14371000000006</v>
      </c>
      <c r="I251" s="35"/>
      <c r="L251" s="88"/>
      <c r="M251" s="88"/>
      <c r="N251" s="35"/>
    </row>
    <row r="252" spans="1:14" s="36" customFormat="1" ht="15.75" customHeight="1" x14ac:dyDescent="0.3">
      <c r="A252" s="86">
        <f t="shared" si="19"/>
        <v>18</v>
      </c>
      <c r="B252" s="87"/>
      <c r="C252" s="57" t="s">
        <v>321</v>
      </c>
      <c r="D252" s="66">
        <f t="shared" si="16"/>
        <v>322.70472000000001</v>
      </c>
      <c r="E252" s="66">
        <f t="shared" si="20"/>
        <v>44.724419999999988</v>
      </c>
      <c r="F252" s="57">
        <f t="shared" si="17"/>
        <v>367.42914000000002</v>
      </c>
      <c r="G252" s="57">
        <v>0</v>
      </c>
      <c r="H252" s="57">
        <f t="shared" si="18"/>
        <v>551.14371000000006</v>
      </c>
      <c r="I252" s="35"/>
      <c r="L252" s="88"/>
      <c r="M252" s="88"/>
      <c r="N252" s="35"/>
    </row>
    <row r="253" spans="1:14" s="36" customFormat="1" ht="15.75" customHeight="1" x14ac:dyDescent="0.3">
      <c r="A253" s="86">
        <f t="shared" si="19"/>
        <v>19</v>
      </c>
      <c r="B253" s="87"/>
      <c r="C253" s="57" t="s">
        <v>321</v>
      </c>
      <c r="D253" s="66">
        <f t="shared" si="16"/>
        <v>322.70472000000001</v>
      </c>
      <c r="E253" s="66">
        <f t="shared" si="20"/>
        <v>44.724419999999988</v>
      </c>
      <c r="F253" s="57">
        <f t="shared" si="17"/>
        <v>367.42914000000002</v>
      </c>
      <c r="G253" s="57">
        <v>0</v>
      </c>
      <c r="H253" s="57">
        <f t="shared" si="18"/>
        <v>551.14371000000006</v>
      </c>
      <c r="I253" s="35"/>
      <c r="L253" s="88"/>
      <c r="M253" s="88"/>
      <c r="N253" s="35"/>
    </row>
    <row r="254" spans="1:14" s="36" customFormat="1" ht="15.75" customHeight="1" x14ac:dyDescent="0.3">
      <c r="A254" s="86">
        <f t="shared" si="19"/>
        <v>20</v>
      </c>
      <c r="B254" s="87"/>
      <c r="C254" s="57" t="s">
        <v>321</v>
      </c>
      <c r="D254" s="66">
        <f t="shared" si="16"/>
        <v>322.70472000000001</v>
      </c>
      <c r="E254" s="66">
        <f t="shared" si="20"/>
        <v>44.724419999999988</v>
      </c>
      <c r="F254" s="57">
        <f t="shared" si="17"/>
        <v>367.42914000000002</v>
      </c>
      <c r="G254" s="57">
        <v>0</v>
      </c>
      <c r="H254" s="57">
        <f t="shared" si="18"/>
        <v>551.14371000000006</v>
      </c>
      <c r="I254" s="35"/>
      <c r="L254" s="88"/>
      <c r="M254" s="88"/>
      <c r="N254" s="35"/>
    </row>
    <row r="255" spans="1:14" s="36" customFormat="1" ht="15.75" customHeight="1" x14ac:dyDescent="0.3">
      <c r="A255" s="86">
        <f t="shared" si="19"/>
        <v>21</v>
      </c>
      <c r="B255" s="87"/>
      <c r="C255" s="57" t="s">
        <v>321</v>
      </c>
      <c r="D255" s="66">
        <f t="shared" si="16"/>
        <v>322.70472000000001</v>
      </c>
      <c r="E255" s="66">
        <f t="shared" si="20"/>
        <v>44.724419999999988</v>
      </c>
      <c r="F255" s="57">
        <f t="shared" si="17"/>
        <v>367.42914000000002</v>
      </c>
      <c r="G255" s="57">
        <v>0</v>
      </c>
      <c r="H255" s="57">
        <f t="shared" si="18"/>
        <v>551.14371000000006</v>
      </c>
      <c r="I255" s="35"/>
      <c r="L255" s="88"/>
      <c r="M255" s="88"/>
      <c r="N255" s="35"/>
    </row>
    <row r="256" spans="1:14" s="36" customFormat="1" ht="15.75" customHeight="1" x14ac:dyDescent="0.3">
      <c r="A256" s="86">
        <f t="shared" si="19"/>
        <v>22</v>
      </c>
      <c r="B256" s="87"/>
      <c r="C256" s="57" t="s">
        <v>321</v>
      </c>
      <c r="D256" s="66">
        <f t="shared" si="16"/>
        <v>322.70472000000001</v>
      </c>
      <c r="E256" s="66">
        <f t="shared" si="20"/>
        <v>44.724419999999988</v>
      </c>
      <c r="F256" s="57">
        <f t="shared" si="17"/>
        <v>367.42914000000002</v>
      </c>
      <c r="G256" s="57">
        <v>0</v>
      </c>
      <c r="H256" s="57">
        <f t="shared" si="18"/>
        <v>551.14371000000006</v>
      </c>
      <c r="I256" s="35"/>
      <c r="L256" s="88"/>
      <c r="M256" s="88"/>
      <c r="N256" s="35"/>
    </row>
    <row r="257" spans="1:20" s="36" customFormat="1" ht="15.75" customHeight="1" x14ac:dyDescent="0.3">
      <c r="A257" s="86">
        <f t="shared" si="19"/>
        <v>23</v>
      </c>
      <c r="B257" s="87"/>
      <c r="C257" s="57" t="s">
        <v>321</v>
      </c>
      <c r="D257" s="66">
        <f t="shared" si="16"/>
        <v>322.70472000000001</v>
      </c>
      <c r="E257" s="66">
        <f t="shared" si="20"/>
        <v>44.724419999999988</v>
      </c>
      <c r="F257" s="57">
        <f t="shared" si="17"/>
        <v>367.42914000000002</v>
      </c>
      <c r="G257" s="57">
        <v>0</v>
      </c>
      <c r="H257" s="57">
        <f t="shared" si="18"/>
        <v>551.14371000000006</v>
      </c>
      <c r="I257" s="35"/>
      <c r="L257" s="88"/>
      <c r="M257" s="88"/>
      <c r="N257" s="35"/>
    </row>
    <row r="258" spans="1:20" s="36" customFormat="1" ht="15.75" customHeight="1" x14ac:dyDescent="0.3">
      <c r="A258" s="86">
        <f t="shared" si="19"/>
        <v>24</v>
      </c>
      <c r="B258" s="87"/>
      <c r="C258" s="57" t="s">
        <v>321</v>
      </c>
      <c r="D258" s="66">
        <f t="shared" si="16"/>
        <v>322.70472000000001</v>
      </c>
      <c r="E258" s="66">
        <f t="shared" si="20"/>
        <v>44.724419999999988</v>
      </c>
      <c r="F258" s="57">
        <f t="shared" si="17"/>
        <v>367.42914000000002</v>
      </c>
      <c r="G258" s="57">
        <v>0</v>
      </c>
      <c r="H258" s="57">
        <f t="shared" si="18"/>
        <v>551.14371000000006</v>
      </c>
      <c r="I258" s="35"/>
      <c r="L258" s="88"/>
      <c r="M258" s="88"/>
      <c r="N258" s="35"/>
    </row>
    <row r="259" spans="1:20" s="36" customFormat="1" ht="15.75" customHeight="1" x14ac:dyDescent="0.3">
      <c r="A259" s="86">
        <f t="shared" si="19"/>
        <v>25</v>
      </c>
      <c r="B259" s="87"/>
      <c r="C259" s="57" t="s">
        <v>321</v>
      </c>
      <c r="D259" s="66">
        <f t="shared" si="16"/>
        <v>322.70472000000001</v>
      </c>
      <c r="E259" s="66">
        <f t="shared" si="20"/>
        <v>44.724419999999988</v>
      </c>
      <c r="F259" s="57">
        <f t="shared" si="17"/>
        <v>367.42914000000002</v>
      </c>
      <c r="G259" s="57">
        <v>0</v>
      </c>
      <c r="H259" s="57">
        <f t="shared" si="18"/>
        <v>551.14371000000006</v>
      </c>
      <c r="I259" s="35"/>
      <c r="L259" s="88"/>
      <c r="M259" s="88"/>
      <c r="N259" s="35"/>
    </row>
    <row r="260" spans="1:20" s="36" customFormat="1" ht="15.75" customHeight="1" x14ac:dyDescent="0.3">
      <c r="A260" s="86">
        <f t="shared" si="19"/>
        <v>26</v>
      </c>
      <c r="B260" s="87"/>
      <c r="C260" s="57" t="s">
        <v>321</v>
      </c>
      <c r="D260" s="66">
        <f t="shared" si="16"/>
        <v>322.70472000000001</v>
      </c>
      <c r="E260" s="66">
        <f t="shared" si="20"/>
        <v>44.724419999999988</v>
      </c>
      <c r="F260" s="57">
        <f t="shared" si="17"/>
        <v>367.42914000000002</v>
      </c>
      <c r="G260" s="57">
        <v>0</v>
      </c>
      <c r="H260" s="57">
        <f t="shared" si="18"/>
        <v>551.14371000000006</v>
      </c>
      <c r="I260" s="35"/>
      <c r="L260" s="88"/>
      <c r="M260" s="88"/>
      <c r="N260" s="35"/>
    </row>
    <row r="261" spans="1:20" s="36" customFormat="1" x14ac:dyDescent="0.3">
      <c r="A261" s="113" t="s">
        <v>324</v>
      </c>
      <c r="B261" s="114"/>
      <c r="C261" s="114"/>
      <c r="D261" s="114"/>
      <c r="E261" s="114"/>
      <c r="F261" s="114"/>
      <c r="G261" s="114"/>
      <c r="H261" s="115"/>
      <c r="J261" s="35"/>
    </row>
    <row r="262" spans="1:20" s="36" customFormat="1" ht="15.75" customHeight="1" x14ac:dyDescent="0.3">
      <c r="A262" s="86">
        <v>1</v>
      </c>
      <c r="B262" s="87"/>
      <c r="C262" s="57" t="s">
        <v>321</v>
      </c>
      <c r="D262" s="66">
        <f t="shared" ref="D262:D285" si="21">(29.98)*10.764</f>
        <v>322.70472000000001</v>
      </c>
      <c r="E262" s="66">
        <f t="shared" ref="E262:E285" si="22">(0.75*2.9+1.65*1.2)*10.764</f>
        <v>44.724419999999988</v>
      </c>
      <c r="F262" s="57">
        <f t="shared" ref="F262:F285" si="23">D262+E262</f>
        <v>367.42914000000002</v>
      </c>
      <c r="G262" s="57">
        <v>0</v>
      </c>
      <c r="H262" s="57">
        <f t="shared" ref="H262:H285" si="24">F262*(($H$204)+1)+(IF(G262&lt;101,G262,IF(G262&lt;201,G262/2,IF(G262&lt;=301,G262/3,G262/4))))</f>
        <v>551.14371000000006</v>
      </c>
      <c r="I262" s="35"/>
      <c r="L262" s="88"/>
      <c r="M262" s="88"/>
      <c r="N262" s="35"/>
    </row>
    <row r="263" spans="1:20" s="36" customFormat="1" ht="15.75" customHeight="1" x14ac:dyDescent="0.3">
      <c r="A263" s="86">
        <f t="shared" ref="A263:A287" si="25">A262+1</f>
        <v>2</v>
      </c>
      <c r="B263" s="87"/>
      <c r="C263" s="57" t="s">
        <v>321</v>
      </c>
      <c r="D263" s="66">
        <f t="shared" si="21"/>
        <v>322.70472000000001</v>
      </c>
      <c r="E263" s="66">
        <f t="shared" si="22"/>
        <v>44.724419999999988</v>
      </c>
      <c r="F263" s="57">
        <f t="shared" si="23"/>
        <v>367.42914000000002</v>
      </c>
      <c r="G263" s="57">
        <v>0</v>
      </c>
      <c r="H263" s="57">
        <f t="shared" si="24"/>
        <v>551.14371000000006</v>
      </c>
      <c r="I263" s="35"/>
      <c r="L263" s="88"/>
      <c r="M263" s="88"/>
      <c r="N263" s="35"/>
    </row>
    <row r="264" spans="1:20" s="36" customFormat="1" ht="15.75" customHeight="1" x14ac:dyDescent="0.3">
      <c r="A264" s="86">
        <f t="shared" si="25"/>
        <v>3</v>
      </c>
      <c r="B264" s="87"/>
      <c r="C264" s="57" t="s">
        <v>321</v>
      </c>
      <c r="D264" s="66">
        <f t="shared" si="21"/>
        <v>322.70472000000001</v>
      </c>
      <c r="E264" s="66">
        <f t="shared" si="22"/>
        <v>44.724419999999988</v>
      </c>
      <c r="F264" s="57">
        <f t="shared" si="23"/>
        <v>367.42914000000002</v>
      </c>
      <c r="G264" s="57">
        <v>0</v>
      </c>
      <c r="H264" s="57">
        <f t="shared" si="24"/>
        <v>551.14371000000006</v>
      </c>
      <c r="I264" s="35"/>
      <c r="L264" s="88"/>
      <c r="M264" s="88"/>
      <c r="N264" s="35"/>
    </row>
    <row r="265" spans="1:20" s="36" customFormat="1" ht="15.75" customHeight="1" x14ac:dyDescent="0.3">
      <c r="A265" s="86">
        <f t="shared" si="25"/>
        <v>4</v>
      </c>
      <c r="B265" s="87"/>
      <c r="C265" s="57" t="s">
        <v>321</v>
      </c>
      <c r="D265" s="66">
        <f t="shared" si="21"/>
        <v>322.70472000000001</v>
      </c>
      <c r="E265" s="66">
        <f t="shared" si="22"/>
        <v>44.724419999999988</v>
      </c>
      <c r="F265" s="57">
        <f t="shared" si="23"/>
        <v>367.42914000000002</v>
      </c>
      <c r="G265" s="57">
        <v>0</v>
      </c>
      <c r="H265" s="57">
        <f t="shared" si="24"/>
        <v>551.14371000000006</v>
      </c>
      <c r="I265" s="35"/>
      <c r="L265" s="88"/>
      <c r="M265" s="88"/>
      <c r="N265" s="35"/>
      <c r="T265" s="20"/>
    </row>
    <row r="266" spans="1:20" s="36" customFormat="1" ht="15.75" customHeight="1" x14ac:dyDescent="0.3">
      <c r="A266" s="86">
        <f t="shared" si="25"/>
        <v>5</v>
      </c>
      <c r="B266" s="87"/>
      <c r="C266" s="57" t="s">
        <v>321</v>
      </c>
      <c r="D266" s="66">
        <f t="shared" si="21"/>
        <v>322.70472000000001</v>
      </c>
      <c r="E266" s="66">
        <f t="shared" si="22"/>
        <v>44.724419999999988</v>
      </c>
      <c r="F266" s="57">
        <f t="shared" si="23"/>
        <v>367.42914000000002</v>
      </c>
      <c r="G266" s="57">
        <v>0</v>
      </c>
      <c r="H266" s="57">
        <f t="shared" si="24"/>
        <v>551.14371000000006</v>
      </c>
      <c r="I266" s="35"/>
      <c r="L266" s="88"/>
      <c r="M266" s="88"/>
      <c r="N266" s="35"/>
    </row>
    <row r="267" spans="1:20" s="36" customFormat="1" ht="15.75" customHeight="1" x14ac:dyDescent="0.3">
      <c r="A267" s="86">
        <f t="shared" si="25"/>
        <v>6</v>
      </c>
      <c r="B267" s="87"/>
      <c r="C267" s="57" t="s">
        <v>321</v>
      </c>
      <c r="D267" s="66">
        <f t="shared" si="21"/>
        <v>322.70472000000001</v>
      </c>
      <c r="E267" s="66">
        <f t="shared" si="22"/>
        <v>44.724419999999988</v>
      </c>
      <c r="F267" s="57">
        <f t="shared" si="23"/>
        <v>367.42914000000002</v>
      </c>
      <c r="G267" s="57">
        <v>0</v>
      </c>
      <c r="H267" s="57">
        <f t="shared" si="24"/>
        <v>551.14371000000006</v>
      </c>
      <c r="I267" s="35"/>
      <c r="L267" s="88"/>
      <c r="M267" s="88"/>
      <c r="N267" s="35"/>
    </row>
    <row r="268" spans="1:20" s="36" customFormat="1" ht="15.75" customHeight="1" x14ac:dyDescent="0.3">
      <c r="A268" s="86">
        <f t="shared" si="25"/>
        <v>7</v>
      </c>
      <c r="B268" s="87"/>
      <c r="C268" s="57" t="s">
        <v>321</v>
      </c>
      <c r="D268" s="66">
        <f t="shared" si="21"/>
        <v>322.70472000000001</v>
      </c>
      <c r="E268" s="66">
        <f t="shared" si="22"/>
        <v>44.724419999999988</v>
      </c>
      <c r="F268" s="57">
        <f t="shared" si="23"/>
        <v>367.42914000000002</v>
      </c>
      <c r="G268" s="57">
        <v>0</v>
      </c>
      <c r="H268" s="57">
        <f t="shared" si="24"/>
        <v>551.14371000000006</v>
      </c>
      <c r="I268" s="35"/>
      <c r="L268" s="88"/>
      <c r="M268" s="88"/>
      <c r="N268" s="35"/>
    </row>
    <row r="269" spans="1:20" s="36" customFormat="1" ht="15.75" customHeight="1" x14ac:dyDescent="0.3">
      <c r="A269" s="86">
        <f t="shared" si="25"/>
        <v>8</v>
      </c>
      <c r="B269" s="87"/>
      <c r="C269" s="57" t="s">
        <v>321</v>
      </c>
      <c r="D269" s="66">
        <f t="shared" si="21"/>
        <v>322.70472000000001</v>
      </c>
      <c r="E269" s="66">
        <f t="shared" si="22"/>
        <v>44.724419999999988</v>
      </c>
      <c r="F269" s="57">
        <f t="shared" si="23"/>
        <v>367.42914000000002</v>
      </c>
      <c r="G269" s="57">
        <v>0</v>
      </c>
      <c r="H269" s="57">
        <f t="shared" si="24"/>
        <v>551.14371000000006</v>
      </c>
      <c r="I269" s="35"/>
      <c r="L269" s="88"/>
      <c r="M269" s="88"/>
      <c r="N269" s="35"/>
    </row>
    <row r="270" spans="1:20" s="36" customFormat="1" ht="15.75" customHeight="1" x14ac:dyDescent="0.3">
      <c r="A270" s="86">
        <f t="shared" si="25"/>
        <v>9</v>
      </c>
      <c r="B270" s="87"/>
      <c r="C270" s="57" t="s">
        <v>321</v>
      </c>
      <c r="D270" s="66">
        <f t="shared" si="21"/>
        <v>322.70472000000001</v>
      </c>
      <c r="E270" s="66">
        <f t="shared" si="22"/>
        <v>44.724419999999988</v>
      </c>
      <c r="F270" s="57">
        <f t="shared" si="23"/>
        <v>367.42914000000002</v>
      </c>
      <c r="G270" s="57">
        <v>0</v>
      </c>
      <c r="H270" s="57">
        <f t="shared" si="24"/>
        <v>551.14371000000006</v>
      </c>
      <c r="I270" s="35"/>
      <c r="L270" s="88"/>
      <c r="M270" s="88"/>
      <c r="N270" s="35"/>
    </row>
    <row r="271" spans="1:20" s="36" customFormat="1" ht="15.75" customHeight="1" x14ac:dyDescent="0.3">
      <c r="A271" s="86">
        <f t="shared" si="25"/>
        <v>10</v>
      </c>
      <c r="B271" s="87"/>
      <c r="C271" s="57" t="s">
        <v>321</v>
      </c>
      <c r="D271" s="66">
        <f t="shared" si="21"/>
        <v>322.70472000000001</v>
      </c>
      <c r="E271" s="66">
        <f t="shared" si="22"/>
        <v>44.724419999999988</v>
      </c>
      <c r="F271" s="57">
        <f t="shared" si="23"/>
        <v>367.42914000000002</v>
      </c>
      <c r="G271" s="57">
        <v>0</v>
      </c>
      <c r="H271" s="57">
        <f t="shared" si="24"/>
        <v>551.14371000000006</v>
      </c>
      <c r="I271" s="35"/>
      <c r="L271" s="88"/>
      <c r="M271" s="88"/>
      <c r="N271" s="35"/>
    </row>
    <row r="272" spans="1:20" s="36" customFormat="1" ht="15.75" customHeight="1" x14ac:dyDescent="0.3">
      <c r="A272" s="86">
        <f t="shared" si="25"/>
        <v>11</v>
      </c>
      <c r="B272" s="87"/>
      <c r="C272" s="57" t="s">
        <v>321</v>
      </c>
      <c r="D272" s="66">
        <f t="shared" si="21"/>
        <v>322.70472000000001</v>
      </c>
      <c r="E272" s="66">
        <f t="shared" si="22"/>
        <v>44.724419999999988</v>
      </c>
      <c r="F272" s="57">
        <f t="shared" si="23"/>
        <v>367.42914000000002</v>
      </c>
      <c r="G272" s="57">
        <v>0</v>
      </c>
      <c r="H272" s="57">
        <f t="shared" si="24"/>
        <v>551.14371000000006</v>
      </c>
      <c r="I272" s="35"/>
      <c r="L272" s="88"/>
      <c r="M272" s="88"/>
      <c r="N272" s="35"/>
    </row>
    <row r="273" spans="1:14" s="36" customFormat="1" ht="15.75" customHeight="1" x14ac:dyDescent="0.3">
      <c r="A273" s="86">
        <f t="shared" si="25"/>
        <v>12</v>
      </c>
      <c r="B273" s="87"/>
      <c r="C273" s="57" t="s">
        <v>321</v>
      </c>
      <c r="D273" s="66">
        <f t="shared" si="21"/>
        <v>322.70472000000001</v>
      </c>
      <c r="E273" s="66">
        <f t="shared" si="22"/>
        <v>44.724419999999988</v>
      </c>
      <c r="F273" s="57">
        <f t="shared" si="23"/>
        <v>367.42914000000002</v>
      </c>
      <c r="G273" s="57">
        <v>0</v>
      </c>
      <c r="H273" s="57">
        <f t="shared" si="24"/>
        <v>551.14371000000006</v>
      </c>
      <c r="I273" s="35"/>
      <c r="L273" s="88"/>
      <c r="M273" s="88"/>
      <c r="N273" s="35"/>
    </row>
    <row r="274" spans="1:14" s="36" customFormat="1" ht="15.75" customHeight="1" x14ac:dyDescent="0.3">
      <c r="A274" s="86">
        <f t="shared" si="25"/>
        <v>13</v>
      </c>
      <c r="B274" s="87"/>
      <c r="C274" s="57" t="s">
        <v>321</v>
      </c>
      <c r="D274" s="66">
        <f t="shared" si="21"/>
        <v>322.70472000000001</v>
      </c>
      <c r="E274" s="66">
        <f t="shared" si="22"/>
        <v>44.724419999999988</v>
      </c>
      <c r="F274" s="57">
        <f t="shared" si="23"/>
        <v>367.42914000000002</v>
      </c>
      <c r="G274" s="57">
        <v>0</v>
      </c>
      <c r="H274" s="57">
        <f t="shared" si="24"/>
        <v>551.14371000000006</v>
      </c>
      <c r="I274" s="35"/>
      <c r="L274" s="88"/>
      <c r="M274" s="88"/>
      <c r="N274" s="35"/>
    </row>
    <row r="275" spans="1:14" s="36" customFormat="1" ht="15.75" customHeight="1" x14ac:dyDescent="0.3">
      <c r="A275" s="86">
        <f t="shared" si="25"/>
        <v>14</v>
      </c>
      <c r="B275" s="87"/>
      <c r="C275" s="57" t="s">
        <v>321</v>
      </c>
      <c r="D275" s="66">
        <f t="shared" si="21"/>
        <v>322.70472000000001</v>
      </c>
      <c r="E275" s="66">
        <f t="shared" si="22"/>
        <v>44.724419999999988</v>
      </c>
      <c r="F275" s="57">
        <f t="shared" si="23"/>
        <v>367.42914000000002</v>
      </c>
      <c r="G275" s="57">
        <v>0</v>
      </c>
      <c r="H275" s="57">
        <f t="shared" si="24"/>
        <v>551.14371000000006</v>
      </c>
      <c r="I275" s="35"/>
      <c r="L275" s="88"/>
      <c r="M275" s="88"/>
      <c r="N275" s="35"/>
    </row>
    <row r="276" spans="1:14" s="36" customFormat="1" ht="15.75" customHeight="1" x14ac:dyDescent="0.3">
      <c r="A276" s="86">
        <f t="shared" si="25"/>
        <v>15</v>
      </c>
      <c r="B276" s="87"/>
      <c r="C276" s="57" t="s">
        <v>321</v>
      </c>
      <c r="D276" s="66">
        <f t="shared" si="21"/>
        <v>322.70472000000001</v>
      </c>
      <c r="E276" s="66">
        <f t="shared" si="22"/>
        <v>44.724419999999988</v>
      </c>
      <c r="F276" s="57">
        <f t="shared" si="23"/>
        <v>367.42914000000002</v>
      </c>
      <c r="G276" s="57">
        <v>0</v>
      </c>
      <c r="H276" s="57">
        <f t="shared" si="24"/>
        <v>551.14371000000006</v>
      </c>
      <c r="I276" s="35"/>
      <c r="L276" s="88"/>
      <c r="M276" s="88"/>
      <c r="N276" s="35"/>
    </row>
    <row r="277" spans="1:14" s="36" customFormat="1" ht="15.75" customHeight="1" x14ac:dyDescent="0.3">
      <c r="A277" s="86">
        <f t="shared" si="25"/>
        <v>16</v>
      </c>
      <c r="B277" s="87"/>
      <c r="C277" s="57" t="s">
        <v>321</v>
      </c>
      <c r="D277" s="66">
        <f t="shared" si="21"/>
        <v>322.70472000000001</v>
      </c>
      <c r="E277" s="66">
        <f t="shared" si="22"/>
        <v>44.724419999999988</v>
      </c>
      <c r="F277" s="57">
        <f t="shared" si="23"/>
        <v>367.42914000000002</v>
      </c>
      <c r="G277" s="57">
        <v>0</v>
      </c>
      <c r="H277" s="57">
        <f t="shared" si="24"/>
        <v>551.14371000000006</v>
      </c>
      <c r="I277" s="35"/>
      <c r="L277" s="88"/>
      <c r="M277" s="88"/>
      <c r="N277" s="35"/>
    </row>
    <row r="278" spans="1:14" s="36" customFormat="1" ht="15.75" customHeight="1" x14ac:dyDescent="0.3">
      <c r="A278" s="86">
        <f t="shared" si="25"/>
        <v>17</v>
      </c>
      <c r="B278" s="87"/>
      <c r="C278" s="57" t="s">
        <v>321</v>
      </c>
      <c r="D278" s="66">
        <f t="shared" si="21"/>
        <v>322.70472000000001</v>
      </c>
      <c r="E278" s="66">
        <f t="shared" si="22"/>
        <v>44.724419999999988</v>
      </c>
      <c r="F278" s="57">
        <f t="shared" si="23"/>
        <v>367.42914000000002</v>
      </c>
      <c r="G278" s="57">
        <v>0</v>
      </c>
      <c r="H278" s="57">
        <f t="shared" si="24"/>
        <v>551.14371000000006</v>
      </c>
      <c r="I278" s="35"/>
      <c r="L278" s="88"/>
      <c r="M278" s="88"/>
      <c r="N278" s="35"/>
    </row>
    <row r="279" spans="1:14" s="36" customFormat="1" ht="15.75" customHeight="1" x14ac:dyDescent="0.3">
      <c r="A279" s="86">
        <f t="shared" si="25"/>
        <v>18</v>
      </c>
      <c r="B279" s="87"/>
      <c r="C279" s="57" t="s">
        <v>321</v>
      </c>
      <c r="D279" s="66">
        <f t="shared" si="21"/>
        <v>322.70472000000001</v>
      </c>
      <c r="E279" s="66">
        <f t="shared" si="22"/>
        <v>44.724419999999988</v>
      </c>
      <c r="F279" s="57">
        <f t="shared" si="23"/>
        <v>367.42914000000002</v>
      </c>
      <c r="G279" s="57">
        <v>0</v>
      </c>
      <c r="H279" s="57">
        <f t="shared" si="24"/>
        <v>551.14371000000006</v>
      </c>
      <c r="I279" s="35"/>
      <c r="L279" s="88"/>
      <c r="M279" s="88"/>
      <c r="N279" s="35"/>
    </row>
    <row r="280" spans="1:14" s="36" customFormat="1" ht="15.75" customHeight="1" x14ac:dyDescent="0.3">
      <c r="A280" s="86">
        <f t="shared" si="25"/>
        <v>19</v>
      </c>
      <c r="B280" s="87"/>
      <c r="C280" s="57" t="s">
        <v>321</v>
      </c>
      <c r="D280" s="66">
        <f t="shared" si="21"/>
        <v>322.70472000000001</v>
      </c>
      <c r="E280" s="66">
        <f t="shared" si="22"/>
        <v>44.724419999999988</v>
      </c>
      <c r="F280" s="57">
        <f t="shared" si="23"/>
        <v>367.42914000000002</v>
      </c>
      <c r="G280" s="57">
        <v>0</v>
      </c>
      <c r="H280" s="57">
        <f t="shared" si="24"/>
        <v>551.14371000000006</v>
      </c>
      <c r="I280" s="35"/>
      <c r="L280" s="88"/>
      <c r="M280" s="88"/>
      <c r="N280" s="35"/>
    </row>
    <row r="281" spans="1:14" s="36" customFormat="1" ht="15.75" customHeight="1" x14ac:dyDescent="0.3">
      <c r="A281" s="86">
        <f t="shared" si="25"/>
        <v>20</v>
      </c>
      <c r="B281" s="87"/>
      <c r="C281" s="57" t="s">
        <v>321</v>
      </c>
      <c r="D281" s="66">
        <f t="shared" si="21"/>
        <v>322.70472000000001</v>
      </c>
      <c r="E281" s="66">
        <f t="shared" si="22"/>
        <v>44.724419999999988</v>
      </c>
      <c r="F281" s="57">
        <f t="shared" si="23"/>
        <v>367.42914000000002</v>
      </c>
      <c r="G281" s="57">
        <v>0</v>
      </c>
      <c r="H281" s="57">
        <f t="shared" si="24"/>
        <v>551.14371000000006</v>
      </c>
      <c r="I281" s="35"/>
      <c r="L281" s="88"/>
      <c r="M281" s="88"/>
      <c r="N281" s="35"/>
    </row>
    <row r="282" spans="1:14" s="36" customFormat="1" ht="15.75" customHeight="1" x14ac:dyDescent="0.3">
      <c r="A282" s="86">
        <f t="shared" si="25"/>
        <v>21</v>
      </c>
      <c r="B282" s="87"/>
      <c r="C282" s="57" t="s">
        <v>321</v>
      </c>
      <c r="D282" s="66">
        <f t="shared" si="21"/>
        <v>322.70472000000001</v>
      </c>
      <c r="E282" s="66">
        <f t="shared" si="22"/>
        <v>44.724419999999988</v>
      </c>
      <c r="F282" s="57">
        <f t="shared" si="23"/>
        <v>367.42914000000002</v>
      </c>
      <c r="G282" s="57">
        <v>0</v>
      </c>
      <c r="H282" s="57">
        <f t="shared" si="24"/>
        <v>551.14371000000006</v>
      </c>
      <c r="I282" s="35"/>
      <c r="L282" s="88"/>
      <c r="M282" s="88"/>
      <c r="N282" s="35"/>
    </row>
    <row r="283" spans="1:14" s="36" customFormat="1" ht="15.75" customHeight="1" x14ac:dyDescent="0.3">
      <c r="A283" s="86">
        <f t="shared" si="25"/>
        <v>22</v>
      </c>
      <c r="B283" s="87"/>
      <c r="C283" s="57" t="s">
        <v>321</v>
      </c>
      <c r="D283" s="66">
        <f t="shared" si="21"/>
        <v>322.70472000000001</v>
      </c>
      <c r="E283" s="66">
        <f t="shared" si="22"/>
        <v>44.724419999999988</v>
      </c>
      <c r="F283" s="57">
        <f t="shared" si="23"/>
        <v>367.42914000000002</v>
      </c>
      <c r="G283" s="57">
        <v>0</v>
      </c>
      <c r="H283" s="57">
        <f t="shared" si="24"/>
        <v>551.14371000000006</v>
      </c>
      <c r="I283" s="35"/>
      <c r="L283" s="88"/>
      <c r="M283" s="88"/>
      <c r="N283" s="35"/>
    </row>
    <row r="284" spans="1:14" s="36" customFormat="1" ht="15.75" customHeight="1" x14ac:dyDescent="0.3">
      <c r="A284" s="86">
        <f t="shared" si="25"/>
        <v>23</v>
      </c>
      <c r="B284" s="87"/>
      <c r="C284" s="57" t="s">
        <v>321</v>
      </c>
      <c r="D284" s="66">
        <f t="shared" si="21"/>
        <v>322.70472000000001</v>
      </c>
      <c r="E284" s="66">
        <f t="shared" si="22"/>
        <v>44.724419999999988</v>
      </c>
      <c r="F284" s="57">
        <f t="shared" si="23"/>
        <v>367.42914000000002</v>
      </c>
      <c r="G284" s="57">
        <v>0</v>
      </c>
      <c r="H284" s="57">
        <f t="shared" si="24"/>
        <v>551.14371000000006</v>
      </c>
      <c r="I284" s="35"/>
      <c r="L284" s="88"/>
      <c r="M284" s="88"/>
      <c r="N284" s="35"/>
    </row>
    <row r="285" spans="1:14" s="36" customFormat="1" ht="15.75" customHeight="1" x14ac:dyDescent="0.3">
      <c r="A285" s="86">
        <f t="shared" si="25"/>
        <v>24</v>
      </c>
      <c r="B285" s="87"/>
      <c r="C285" s="57" t="s">
        <v>321</v>
      </c>
      <c r="D285" s="66">
        <f t="shared" si="21"/>
        <v>322.70472000000001</v>
      </c>
      <c r="E285" s="66">
        <f t="shared" si="22"/>
        <v>44.724419999999988</v>
      </c>
      <c r="F285" s="57">
        <f t="shared" si="23"/>
        <v>367.42914000000002</v>
      </c>
      <c r="G285" s="57">
        <v>0</v>
      </c>
      <c r="H285" s="57">
        <f t="shared" si="24"/>
        <v>551.14371000000006</v>
      </c>
      <c r="I285" s="35"/>
      <c r="L285" s="88"/>
      <c r="M285" s="88"/>
      <c r="N285" s="35"/>
    </row>
    <row r="286" spans="1:14" s="36" customFormat="1" ht="15.75" customHeight="1" x14ac:dyDescent="0.3">
      <c r="A286" s="86">
        <f t="shared" si="25"/>
        <v>25</v>
      </c>
      <c r="B286" s="87"/>
      <c r="C286" s="89" t="s">
        <v>325</v>
      </c>
      <c r="D286" s="90"/>
      <c r="E286" s="90"/>
      <c r="F286" s="90"/>
      <c r="G286" s="90"/>
      <c r="H286" s="91"/>
      <c r="I286" s="35"/>
      <c r="L286" s="88"/>
      <c r="M286" s="88"/>
      <c r="N286" s="35"/>
    </row>
    <row r="287" spans="1:14" s="36" customFormat="1" ht="15.75" customHeight="1" x14ac:dyDescent="0.3">
      <c r="A287" s="86">
        <f t="shared" si="25"/>
        <v>26</v>
      </c>
      <c r="B287" s="87"/>
      <c r="C287" s="92"/>
      <c r="D287" s="93"/>
      <c r="E287" s="93"/>
      <c r="F287" s="93"/>
      <c r="G287" s="93"/>
      <c r="H287" s="94"/>
      <c r="I287" s="35"/>
      <c r="L287" s="88"/>
      <c r="M287" s="88"/>
      <c r="N287" s="35"/>
    </row>
    <row r="288" spans="1:14" s="36" customFormat="1" x14ac:dyDescent="0.3">
      <c r="A288" s="83" t="s">
        <v>326</v>
      </c>
      <c r="B288" s="84"/>
      <c r="C288" s="84"/>
      <c r="D288" s="84"/>
      <c r="E288" s="84"/>
      <c r="F288" s="84"/>
      <c r="G288" s="84"/>
      <c r="H288" s="85"/>
      <c r="J288" s="35"/>
    </row>
    <row r="289" spans="1:20" s="36" customFormat="1" x14ac:dyDescent="0.3">
      <c r="A289" s="97" t="s">
        <v>320</v>
      </c>
      <c r="B289" s="98"/>
      <c r="C289" s="98"/>
      <c r="D289" s="98"/>
      <c r="E289" s="98"/>
      <c r="F289" s="98"/>
      <c r="G289" s="98"/>
      <c r="H289" s="99"/>
      <c r="J289" s="66">
        <v>10.763999999999999</v>
      </c>
    </row>
    <row r="290" spans="1:20" s="36" customFormat="1" ht="15.75" customHeight="1" x14ac:dyDescent="0.3">
      <c r="A290" s="95">
        <v>1</v>
      </c>
      <c r="B290" s="96"/>
      <c r="C290" s="65" t="s">
        <v>321</v>
      </c>
      <c r="D290" s="66">
        <f t="shared" ref="D290:D315" si="26">(29.98)*10.764</f>
        <v>322.70472000000001</v>
      </c>
      <c r="E290" s="66">
        <f>(0.75*2.7)*10.764</f>
        <v>21.797100000000004</v>
      </c>
      <c r="F290" s="65">
        <f t="shared" ref="F290:F315" si="27">D290+E290</f>
        <v>344.50182000000001</v>
      </c>
      <c r="G290" s="66">
        <f>(1.25*4.45+3.75)*10.764</f>
        <v>100.23975</v>
      </c>
      <c r="H290" s="65">
        <f t="shared" ref="H290:H315" si="28">F290*(($H$204)+1)+(IF(G290&lt;101,G290,IF(G290&lt;201,G290/2,IF(G290&lt;=301,G290/3,G290/4))))</f>
        <v>616.99248</v>
      </c>
      <c r="I290" s="35"/>
      <c r="L290" s="88"/>
      <c r="M290" s="88"/>
      <c r="N290" s="35"/>
    </row>
    <row r="291" spans="1:20" s="36" customFormat="1" ht="15.75" customHeight="1" x14ac:dyDescent="0.3">
      <c r="A291" s="95">
        <f t="shared" ref="A291:A315" si="29">A290+1</f>
        <v>2</v>
      </c>
      <c r="B291" s="96"/>
      <c r="C291" s="65" t="s">
        <v>321</v>
      </c>
      <c r="D291" s="66">
        <f t="shared" si="26"/>
        <v>322.70472000000001</v>
      </c>
      <c r="E291" s="66">
        <f t="shared" ref="E291:E305" si="30">(0.75*2.7)*10.764</f>
        <v>21.797100000000004</v>
      </c>
      <c r="F291" s="65">
        <f t="shared" si="27"/>
        <v>344.50182000000001</v>
      </c>
      <c r="G291" s="66">
        <f t="shared" ref="G291:G292" si="31">(1.25*4.45+3.75)*10.764</f>
        <v>100.23975</v>
      </c>
      <c r="H291" s="65">
        <f t="shared" si="28"/>
        <v>616.99248</v>
      </c>
      <c r="I291" s="35"/>
      <c r="L291" s="88"/>
      <c r="M291" s="88"/>
      <c r="N291" s="35"/>
    </row>
    <row r="292" spans="1:20" s="36" customFormat="1" ht="15.75" customHeight="1" x14ac:dyDescent="0.3">
      <c r="A292" s="86">
        <f t="shared" si="29"/>
        <v>3</v>
      </c>
      <c r="B292" s="87"/>
      <c r="C292" s="57" t="s">
        <v>321</v>
      </c>
      <c r="D292" s="66">
        <f t="shared" si="26"/>
        <v>322.70472000000001</v>
      </c>
      <c r="E292" s="66">
        <f t="shared" si="30"/>
        <v>21.797100000000004</v>
      </c>
      <c r="F292" s="57">
        <f t="shared" si="27"/>
        <v>344.50182000000001</v>
      </c>
      <c r="G292" s="66">
        <f t="shared" si="31"/>
        <v>100.23975</v>
      </c>
      <c r="H292" s="57">
        <f t="shared" si="28"/>
        <v>616.99248</v>
      </c>
      <c r="I292" s="35"/>
      <c r="L292" s="88"/>
      <c r="M292" s="88"/>
      <c r="N292" s="35"/>
    </row>
    <row r="293" spans="1:20" s="36" customFormat="1" ht="15.75" customHeight="1" x14ac:dyDescent="0.3">
      <c r="A293" s="86">
        <f t="shared" si="29"/>
        <v>4</v>
      </c>
      <c r="B293" s="87"/>
      <c r="C293" s="57" t="s">
        <v>321</v>
      </c>
      <c r="D293" s="66">
        <f t="shared" si="26"/>
        <v>322.70472000000001</v>
      </c>
      <c r="E293" s="66">
        <f t="shared" si="30"/>
        <v>21.797100000000004</v>
      </c>
      <c r="F293" s="57">
        <f t="shared" si="27"/>
        <v>344.50182000000001</v>
      </c>
      <c r="G293" s="66">
        <f>(1.25*4.45+3.65+2*5)*10.764</f>
        <v>206.80334999999997</v>
      </c>
      <c r="H293" s="57">
        <f t="shared" si="28"/>
        <v>585.68718000000001</v>
      </c>
      <c r="I293" s="35"/>
      <c r="L293" s="88"/>
      <c r="M293" s="88"/>
      <c r="N293" s="35"/>
      <c r="T293" s="20"/>
    </row>
    <row r="294" spans="1:20" s="36" customFormat="1" ht="15.75" customHeight="1" x14ac:dyDescent="0.3">
      <c r="A294" s="86">
        <f t="shared" si="29"/>
        <v>5</v>
      </c>
      <c r="B294" s="87"/>
      <c r="C294" s="57" t="s">
        <v>321</v>
      </c>
      <c r="D294" s="66">
        <f t="shared" si="26"/>
        <v>322.70472000000001</v>
      </c>
      <c r="E294" s="66">
        <f t="shared" si="30"/>
        <v>21.797100000000004</v>
      </c>
      <c r="F294" s="57">
        <f t="shared" si="27"/>
        <v>344.50182000000001</v>
      </c>
      <c r="G294" s="66">
        <f>(1.25*4.45+3.65+2*5)*10.764</f>
        <v>206.80334999999997</v>
      </c>
      <c r="H294" s="57">
        <f t="shared" si="28"/>
        <v>585.68718000000001</v>
      </c>
      <c r="I294" s="35"/>
      <c r="L294" s="88"/>
      <c r="M294" s="88"/>
      <c r="N294" s="35"/>
    </row>
    <row r="295" spans="1:20" s="36" customFormat="1" ht="15.75" customHeight="1" x14ac:dyDescent="0.3">
      <c r="A295" s="86">
        <f t="shared" si="29"/>
        <v>6</v>
      </c>
      <c r="B295" s="87"/>
      <c r="C295" s="57" t="s">
        <v>321</v>
      </c>
      <c r="D295" s="66">
        <f t="shared" si="26"/>
        <v>322.70472000000001</v>
      </c>
      <c r="E295" s="66">
        <f t="shared" si="30"/>
        <v>21.797100000000004</v>
      </c>
      <c r="F295" s="57">
        <f t="shared" si="27"/>
        <v>344.50182000000001</v>
      </c>
      <c r="G295" s="66">
        <f t="shared" ref="G295:G315" si="32">(1.25*4.45+3.75)*10.764</f>
        <v>100.23975</v>
      </c>
      <c r="H295" s="57">
        <f t="shared" si="28"/>
        <v>616.99248</v>
      </c>
      <c r="I295" s="35"/>
      <c r="L295" s="88"/>
      <c r="M295" s="88"/>
      <c r="N295" s="35"/>
    </row>
    <row r="296" spans="1:20" s="36" customFormat="1" ht="15.75" customHeight="1" x14ac:dyDescent="0.3">
      <c r="A296" s="86">
        <f t="shared" si="29"/>
        <v>7</v>
      </c>
      <c r="B296" s="87"/>
      <c r="C296" s="57" t="s">
        <v>321</v>
      </c>
      <c r="D296" s="66">
        <f t="shared" si="26"/>
        <v>322.70472000000001</v>
      </c>
      <c r="E296" s="66">
        <f t="shared" si="30"/>
        <v>21.797100000000004</v>
      </c>
      <c r="F296" s="57">
        <f t="shared" si="27"/>
        <v>344.50182000000001</v>
      </c>
      <c r="G296" s="66">
        <f t="shared" si="32"/>
        <v>100.23975</v>
      </c>
      <c r="H296" s="57">
        <f t="shared" si="28"/>
        <v>616.99248</v>
      </c>
      <c r="I296" s="35"/>
      <c r="L296" s="88"/>
      <c r="M296" s="88"/>
      <c r="N296" s="35"/>
    </row>
    <row r="297" spans="1:20" s="36" customFormat="1" ht="15.75" customHeight="1" x14ac:dyDescent="0.3">
      <c r="A297" s="86">
        <f t="shared" si="29"/>
        <v>8</v>
      </c>
      <c r="B297" s="87"/>
      <c r="C297" s="57" t="s">
        <v>321</v>
      </c>
      <c r="D297" s="66">
        <f t="shared" si="26"/>
        <v>322.70472000000001</v>
      </c>
      <c r="E297" s="66">
        <f t="shared" si="30"/>
        <v>21.797100000000004</v>
      </c>
      <c r="F297" s="57">
        <f t="shared" si="27"/>
        <v>344.50182000000001</v>
      </c>
      <c r="G297" s="66">
        <f t="shared" si="32"/>
        <v>100.23975</v>
      </c>
      <c r="H297" s="57">
        <f t="shared" si="28"/>
        <v>616.99248</v>
      </c>
      <c r="I297" s="35"/>
      <c r="L297" s="88"/>
      <c r="M297" s="88"/>
      <c r="N297" s="35"/>
    </row>
    <row r="298" spans="1:20" s="36" customFormat="1" ht="15.75" customHeight="1" x14ac:dyDescent="0.3">
      <c r="A298" s="86">
        <f t="shared" si="29"/>
        <v>9</v>
      </c>
      <c r="B298" s="87"/>
      <c r="C298" s="57" t="s">
        <v>321</v>
      </c>
      <c r="D298" s="66">
        <f t="shared" si="26"/>
        <v>322.70472000000001</v>
      </c>
      <c r="E298" s="66">
        <f t="shared" si="30"/>
        <v>21.797100000000004</v>
      </c>
      <c r="F298" s="57">
        <f t="shared" si="27"/>
        <v>344.50182000000001</v>
      </c>
      <c r="G298" s="66">
        <f t="shared" si="32"/>
        <v>100.23975</v>
      </c>
      <c r="H298" s="57">
        <f t="shared" si="28"/>
        <v>616.99248</v>
      </c>
      <c r="I298" s="35"/>
      <c r="L298" s="88"/>
      <c r="M298" s="88"/>
      <c r="N298" s="35"/>
    </row>
    <row r="299" spans="1:20" s="36" customFormat="1" ht="15.75" customHeight="1" x14ac:dyDescent="0.3">
      <c r="A299" s="86">
        <f t="shared" si="29"/>
        <v>10</v>
      </c>
      <c r="B299" s="87"/>
      <c r="C299" s="57" t="s">
        <v>321</v>
      </c>
      <c r="D299" s="66">
        <f t="shared" si="26"/>
        <v>322.70472000000001</v>
      </c>
      <c r="E299" s="66">
        <f t="shared" si="30"/>
        <v>21.797100000000004</v>
      </c>
      <c r="F299" s="57">
        <f t="shared" si="27"/>
        <v>344.50182000000001</v>
      </c>
      <c r="G299" s="66">
        <f t="shared" si="32"/>
        <v>100.23975</v>
      </c>
      <c r="H299" s="57">
        <f t="shared" si="28"/>
        <v>616.99248</v>
      </c>
      <c r="I299" s="35"/>
      <c r="L299" s="88"/>
      <c r="M299" s="88"/>
      <c r="N299" s="35"/>
    </row>
    <row r="300" spans="1:20" s="36" customFormat="1" ht="15.75" customHeight="1" x14ac:dyDescent="0.3">
      <c r="A300" s="86">
        <f t="shared" si="29"/>
        <v>11</v>
      </c>
      <c r="B300" s="87"/>
      <c r="C300" s="57" t="s">
        <v>321</v>
      </c>
      <c r="D300" s="66">
        <f t="shared" si="26"/>
        <v>322.70472000000001</v>
      </c>
      <c r="E300" s="66">
        <f t="shared" si="30"/>
        <v>21.797100000000004</v>
      </c>
      <c r="F300" s="57">
        <f t="shared" si="27"/>
        <v>344.50182000000001</v>
      </c>
      <c r="G300" s="66">
        <f t="shared" si="32"/>
        <v>100.23975</v>
      </c>
      <c r="H300" s="57">
        <f t="shared" si="28"/>
        <v>616.99248</v>
      </c>
      <c r="I300" s="35"/>
      <c r="L300" s="88"/>
      <c r="M300" s="88"/>
      <c r="N300" s="35"/>
    </row>
    <row r="301" spans="1:20" s="36" customFormat="1" ht="15.75" customHeight="1" x14ac:dyDescent="0.3">
      <c r="A301" s="86">
        <f t="shared" si="29"/>
        <v>12</v>
      </c>
      <c r="B301" s="87"/>
      <c r="C301" s="57" t="s">
        <v>321</v>
      </c>
      <c r="D301" s="66">
        <f t="shared" si="26"/>
        <v>322.70472000000001</v>
      </c>
      <c r="E301" s="66">
        <f t="shared" si="30"/>
        <v>21.797100000000004</v>
      </c>
      <c r="F301" s="57">
        <f t="shared" si="27"/>
        <v>344.50182000000001</v>
      </c>
      <c r="G301" s="66">
        <f>(1.25*4.45+1)*10.764</f>
        <v>70.638750000000002</v>
      </c>
      <c r="H301" s="57">
        <f t="shared" si="28"/>
        <v>587.39148</v>
      </c>
      <c r="I301" s="35"/>
      <c r="L301" s="88"/>
      <c r="M301" s="88"/>
      <c r="N301" s="35"/>
    </row>
    <row r="302" spans="1:20" s="36" customFormat="1" ht="15.75" customHeight="1" x14ac:dyDescent="0.3">
      <c r="A302" s="86">
        <f t="shared" si="29"/>
        <v>13</v>
      </c>
      <c r="B302" s="87"/>
      <c r="C302" s="57" t="s">
        <v>321</v>
      </c>
      <c r="D302" s="66">
        <f t="shared" si="26"/>
        <v>322.70472000000001</v>
      </c>
      <c r="E302" s="66">
        <f t="shared" si="30"/>
        <v>21.797100000000004</v>
      </c>
      <c r="F302" s="57">
        <f t="shared" si="27"/>
        <v>344.50182000000001</v>
      </c>
      <c r="G302" s="66">
        <f>(1.25*4.45+2)*10.764</f>
        <v>81.402749999999997</v>
      </c>
      <c r="H302" s="57">
        <f t="shared" si="28"/>
        <v>598.15548000000001</v>
      </c>
      <c r="I302" s="35"/>
      <c r="L302" s="88"/>
      <c r="M302" s="88"/>
      <c r="N302" s="35"/>
    </row>
    <row r="303" spans="1:20" s="36" customFormat="1" ht="15.75" customHeight="1" x14ac:dyDescent="0.3">
      <c r="A303" s="86">
        <f t="shared" si="29"/>
        <v>14</v>
      </c>
      <c r="B303" s="87"/>
      <c r="C303" s="57" t="s">
        <v>321</v>
      </c>
      <c r="D303" s="66">
        <f t="shared" si="26"/>
        <v>322.70472000000001</v>
      </c>
      <c r="E303" s="66">
        <f t="shared" si="30"/>
        <v>21.797100000000004</v>
      </c>
      <c r="F303" s="57">
        <f t="shared" si="27"/>
        <v>344.50182000000001</v>
      </c>
      <c r="G303" s="66">
        <f t="shared" si="32"/>
        <v>100.23975</v>
      </c>
      <c r="H303" s="57">
        <f t="shared" si="28"/>
        <v>616.99248</v>
      </c>
      <c r="I303" s="35"/>
      <c r="L303" s="88"/>
      <c r="M303" s="88"/>
      <c r="N303" s="35"/>
    </row>
    <row r="304" spans="1:20" s="36" customFormat="1" ht="15.75" customHeight="1" x14ac:dyDescent="0.3">
      <c r="A304" s="86">
        <f t="shared" si="29"/>
        <v>15</v>
      </c>
      <c r="B304" s="87"/>
      <c r="C304" s="57" t="s">
        <v>321</v>
      </c>
      <c r="D304" s="66">
        <f t="shared" si="26"/>
        <v>322.70472000000001</v>
      </c>
      <c r="E304" s="66">
        <f t="shared" si="30"/>
        <v>21.797100000000004</v>
      </c>
      <c r="F304" s="57">
        <f t="shared" si="27"/>
        <v>344.50182000000001</v>
      </c>
      <c r="G304" s="66">
        <f t="shared" si="32"/>
        <v>100.23975</v>
      </c>
      <c r="H304" s="57">
        <f t="shared" si="28"/>
        <v>616.99248</v>
      </c>
      <c r="I304" s="35"/>
      <c r="L304" s="88"/>
      <c r="M304" s="88"/>
      <c r="N304" s="35"/>
    </row>
    <row r="305" spans="1:20" s="36" customFormat="1" ht="15.75" customHeight="1" x14ac:dyDescent="0.3">
      <c r="A305" s="86">
        <f t="shared" si="29"/>
        <v>16</v>
      </c>
      <c r="B305" s="87"/>
      <c r="C305" s="57" t="s">
        <v>321</v>
      </c>
      <c r="D305" s="66">
        <f t="shared" si="26"/>
        <v>322.70472000000001</v>
      </c>
      <c r="E305" s="66">
        <f t="shared" si="30"/>
        <v>21.797100000000004</v>
      </c>
      <c r="F305" s="57">
        <f t="shared" si="27"/>
        <v>344.50182000000001</v>
      </c>
      <c r="G305" s="66">
        <f t="shared" si="32"/>
        <v>100.23975</v>
      </c>
      <c r="H305" s="57">
        <f t="shared" si="28"/>
        <v>616.99248</v>
      </c>
      <c r="I305" s="35"/>
      <c r="L305" s="88"/>
      <c r="M305" s="88"/>
      <c r="N305" s="35"/>
    </row>
    <row r="306" spans="1:20" s="36" customFormat="1" ht="15.75" customHeight="1" x14ac:dyDescent="0.3">
      <c r="A306" s="86">
        <f t="shared" si="29"/>
        <v>17</v>
      </c>
      <c r="B306" s="87"/>
      <c r="C306" s="57" t="s">
        <v>321</v>
      </c>
      <c r="D306" s="66">
        <f t="shared" si="26"/>
        <v>322.70472000000001</v>
      </c>
      <c r="E306" s="66">
        <f>(0.75*2.7+1.25*1.2)*10.764</f>
        <v>37.943100000000001</v>
      </c>
      <c r="F306" s="57">
        <f t="shared" si="27"/>
        <v>360.64782000000002</v>
      </c>
      <c r="G306" s="66">
        <f t="shared" si="32"/>
        <v>100.23975</v>
      </c>
      <c r="H306" s="57">
        <f t="shared" si="28"/>
        <v>641.21147999999994</v>
      </c>
      <c r="I306" s="35"/>
      <c r="L306" s="88"/>
      <c r="M306" s="88"/>
      <c r="N306" s="35"/>
    </row>
    <row r="307" spans="1:20" s="36" customFormat="1" ht="15.75" customHeight="1" x14ac:dyDescent="0.3">
      <c r="A307" s="86">
        <f t="shared" si="29"/>
        <v>18</v>
      </c>
      <c r="B307" s="87"/>
      <c r="C307" s="57" t="s">
        <v>321</v>
      </c>
      <c r="D307" s="66">
        <f t="shared" si="26"/>
        <v>322.70472000000001</v>
      </c>
      <c r="E307" s="66">
        <f t="shared" ref="E307:E315" si="33">(0.75*2.7)*10.764</f>
        <v>21.797100000000004</v>
      </c>
      <c r="F307" s="57">
        <f t="shared" si="27"/>
        <v>344.50182000000001</v>
      </c>
      <c r="G307" s="66">
        <f t="shared" si="32"/>
        <v>100.23975</v>
      </c>
      <c r="H307" s="57">
        <f t="shared" si="28"/>
        <v>616.99248</v>
      </c>
      <c r="I307" s="35"/>
      <c r="L307" s="88"/>
      <c r="M307" s="88"/>
      <c r="N307" s="35"/>
    </row>
    <row r="308" spans="1:20" s="36" customFormat="1" ht="15.75" customHeight="1" x14ac:dyDescent="0.3">
      <c r="A308" s="86">
        <f t="shared" si="29"/>
        <v>19</v>
      </c>
      <c r="B308" s="87"/>
      <c r="C308" s="57" t="s">
        <v>321</v>
      </c>
      <c r="D308" s="66">
        <f t="shared" si="26"/>
        <v>322.70472000000001</v>
      </c>
      <c r="E308" s="66">
        <f t="shared" si="33"/>
        <v>21.797100000000004</v>
      </c>
      <c r="F308" s="57">
        <f t="shared" si="27"/>
        <v>344.50182000000001</v>
      </c>
      <c r="G308" s="66">
        <f t="shared" si="32"/>
        <v>100.23975</v>
      </c>
      <c r="H308" s="57">
        <f t="shared" si="28"/>
        <v>616.99248</v>
      </c>
      <c r="I308" s="35"/>
      <c r="L308" s="88"/>
      <c r="M308" s="88"/>
      <c r="N308" s="35"/>
    </row>
    <row r="309" spans="1:20" s="36" customFormat="1" ht="15.75" customHeight="1" x14ac:dyDescent="0.3">
      <c r="A309" s="86">
        <f t="shared" si="29"/>
        <v>20</v>
      </c>
      <c r="B309" s="87"/>
      <c r="C309" s="57" t="s">
        <v>321</v>
      </c>
      <c r="D309" s="66">
        <f t="shared" si="26"/>
        <v>322.70472000000001</v>
      </c>
      <c r="E309" s="66">
        <f t="shared" si="33"/>
        <v>21.797100000000004</v>
      </c>
      <c r="F309" s="57">
        <f t="shared" si="27"/>
        <v>344.50182000000001</v>
      </c>
      <c r="G309" s="66">
        <f t="shared" si="32"/>
        <v>100.23975</v>
      </c>
      <c r="H309" s="57">
        <f t="shared" si="28"/>
        <v>616.99248</v>
      </c>
      <c r="I309" s="35"/>
      <c r="L309" s="88"/>
      <c r="M309" s="88"/>
      <c r="N309" s="35"/>
    </row>
    <row r="310" spans="1:20" s="36" customFormat="1" ht="15.75" customHeight="1" x14ac:dyDescent="0.3">
      <c r="A310" s="86">
        <f t="shared" si="29"/>
        <v>21</v>
      </c>
      <c r="B310" s="87"/>
      <c r="C310" s="57" t="s">
        <v>321</v>
      </c>
      <c r="D310" s="66">
        <f t="shared" si="26"/>
        <v>322.70472000000001</v>
      </c>
      <c r="E310" s="66">
        <f t="shared" si="33"/>
        <v>21.797100000000004</v>
      </c>
      <c r="F310" s="57">
        <f t="shared" si="27"/>
        <v>344.50182000000001</v>
      </c>
      <c r="G310" s="66">
        <f t="shared" si="32"/>
        <v>100.23975</v>
      </c>
      <c r="H310" s="57">
        <f t="shared" si="28"/>
        <v>616.99248</v>
      </c>
      <c r="I310" s="35"/>
      <c r="L310" s="88"/>
      <c r="M310" s="88"/>
      <c r="N310" s="35"/>
    </row>
    <row r="311" spans="1:20" s="36" customFormat="1" ht="15.75" customHeight="1" x14ac:dyDescent="0.3">
      <c r="A311" s="86">
        <f t="shared" si="29"/>
        <v>22</v>
      </c>
      <c r="B311" s="87"/>
      <c r="C311" s="57" t="s">
        <v>321</v>
      </c>
      <c r="D311" s="66">
        <f t="shared" si="26"/>
        <v>322.70472000000001</v>
      </c>
      <c r="E311" s="66">
        <f t="shared" si="33"/>
        <v>21.797100000000004</v>
      </c>
      <c r="F311" s="57">
        <f t="shared" si="27"/>
        <v>344.50182000000001</v>
      </c>
      <c r="G311" s="66">
        <f t="shared" si="32"/>
        <v>100.23975</v>
      </c>
      <c r="H311" s="57">
        <f t="shared" si="28"/>
        <v>616.99248</v>
      </c>
      <c r="I311" s="35"/>
      <c r="L311" s="88"/>
      <c r="M311" s="88"/>
      <c r="N311" s="35"/>
    </row>
    <row r="312" spans="1:20" s="36" customFormat="1" ht="15.75" customHeight="1" x14ac:dyDescent="0.3">
      <c r="A312" s="86">
        <f t="shared" si="29"/>
        <v>23</v>
      </c>
      <c r="B312" s="87"/>
      <c r="C312" s="57" t="s">
        <v>321</v>
      </c>
      <c r="D312" s="66">
        <f t="shared" si="26"/>
        <v>322.70472000000001</v>
      </c>
      <c r="E312" s="66">
        <f t="shared" si="33"/>
        <v>21.797100000000004</v>
      </c>
      <c r="F312" s="57">
        <f t="shared" si="27"/>
        <v>344.50182000000001</v>
      </c>
      <c r="G312" s="66">
        <f t="shared" si="32"/>
        <v>100.23975</v>
      </c>
      <c r="H312" s="57">
        <f t="shared" si="28"/>
        <v>616.99248</v>
      </c>
      <c r="I312" s="35"/>
      <c r="L312" s="88"/>
      <c r="M312" s="88"/>
      <c r="N312" s="35"/>
    </row>
    <row r="313" spans="1:20" s="36" customFormat="1" ht="15.75" customHeight="1" x14ac:dyDescent="0.3">
      <c r="A313" s="86">
        <f t="shared" si="29"/>
        <v>24</v>
      </c>
      <c r="B313" s="87"/>
      <c r="C313" s="57" t="s">
        <v>321</v>
      </c>
      <c r="D313" s="66">
        <f t="shared" si="26"/>
        <v>322.70472000000001</v>
      </c>
      <c r="E313" s="66">
        <f t="shared" si="33"/>
        <v>21.797100000000004</v>
      </c>
      <c r="F313" s="57">
        <f t="shared" si="27"/>
        <v>344.50182000000001</v>
      </c>
      <c r="G313" s="66">
        <f>(6.9*3+3*0.75+2.15*6.65+2.55*6.65)*10.764</f>
        <v>583.4626199999999</v>
      </c>
      <c r="H313" s="57">
        <f t="shared" si="28"/>
        <v>662.61838499999999</v>
      </c>
      <c r="I313" s="35"/>
      <c r="L313" s="88"/>
      <c r="M313" s="88"/>
      <c r="N313" s="35"/>
    </row>
    <row r="314" spans="1:20" s="36" customFormat="1" ht="15.75" customHeight="1" x14ac:dyDescent="0.3">
      <c r="A314" s="86">
        <f t="shared" si="29"/>
        <v>25</v>
      </c>
      <c r="B314" s="87"/>
      <c r="C314" s="57" t="s">
        <v>321</v>
      </c>
      <c r="D314" s="66">
        <f t="shared" si="26"/>
        <v>322.70472000000001</v>
      </c>
      <c r="E314" s="66">
        <f t="shared" si="33"/>
        <v>21.797100000000004</v>
      </c>
      <c r="F314" s="57">
        <f t="shared" si="27"/>
        <v>344.50182000000001</v>
      </c>
      <c r="G314" s="66">
        <f t="shared" si="32"/>
        <v>100.23975</v>
      </c>
      <c r="H314" s="57">
        <f t="shared" si="28"/>
        <v>616.99248</v>
      </c>
      <c r="I314" s="35"/>
      <c r="L314" s="88"/>
      <c r="M314" s="88"/>
      <c r="N314" s="35"/>
    </row>
    <row r="315" spans="1:20" s="36" customFormat="1" ht="15.75" customHeight="1" x14ac:dyDescent="0.3">
      <c r="A315" s="86">
        <f t="shared" si="29"/>
        <v>26</v>
      </c>
      <c r="B315" s="87"/>
      <c r="C315" s="57" t="s">
        <v>321</v>
      </c>
      <c r="D315" s="66">
        <f t="shared" si="26"/>
        <v>322.70472000000001</v>
      </c>
      <c r="E315" s="66">
        <f t="shared" si="33"/>
        <v>21.797100000000004</v>
      </c>
      <c r="F315" s="57">
        <f t="shared" si="27"/>
        <v>344.50182000000001</v>
      </c>
      <c r="G315" s="66">
        <f t="shared" si="32"/>
        <v>100.23975</v>
      </c>
      <c r="H315" s="57">
        <f t="shared" si="28"/>
        <v>616.99248</v>
      </c>
      <c r="I315" s="35"/>
      <c r="L315" s="88"/>
      <c r="M315" s="88"/>
      <c r="N315" s="35"/>
    </row>
    <row r="316" spans="1:20" s="36" customFormat="1" x14ac:dyDescent="0.3">
      <c r="A316" s="97" t="s">
        <v>323</v>
      </c>
      <c r="B316" s="98"/>
      <c r="C316" s="98"/>
      <c r="D316" s="98"/>
      <c r="E316" s="98"/>
      <c r="F316" s="98"/>
      <c r="G316" s="98"/>
      <c r="H316" s="99"/>
      <c r="J316" s="35"/>
    </row>
    <row r="317" spans="1:20" s="36" customFormat="1" ht="15.75" customHeight="1" x14ac:dyDescent="0.3">
      <c r="A317" s="95">
        <v>1</v>
      </c>
      <c r="B317" s="96"/>
      <c r="C317" s="65" t="s">
        <v>321</v>
      </c>
      <c r="D317" s="66">
        <f t="shared" ref="D317:D342" si="34">(29.98)*10.764</f>
        <v>322.70472000000001</v>
      </c>
      <c r="E317" s="66">
        <f>(0.75*2.7+1.25*1.2)*10.764</f>
        <v>37.943100000000001</v>
      </c>
      <c r="F317" s="65">
        <f t="shared" ref="F317:F342" si="35">D317+E317</f>
        <v>360.64782000000002</v>
      </c>
      <c r="G317" s="65">
        <v>0</v>
      </c>
      <c r="H317" s="65">
        <f t="shared" ref="H317:H342" si="36">F317*(($H$204)+1)+(IF(G317&lt;101,G317,IF(G317&lt;201,G317/2,IF(G317&lt;=301,G317/3,G317/4))))</f>
        <v>540.97172999999998</v>
      </c>
      <c r="I317" s="35"/>
      <c r="J317" s="35"/>
      <c r="K317" s="35">
        <f>1785000/H317</f>
        <v>3299.6178931568202</v>
      </c>
      <c r="L317" s="88"/>
      <c r="M317" s="88"/>
      <c r="N317" s="35"/>
    </row>
    <row r="318" spans="1:20" s="36" customFormat="1" ht="15.75" customHeight="1" x14ac:dyDescent="0.3">
      <c r="A318" s="95">
        <f t="shared" ref="A318:A342" si="37">A317+1</f>
        <v>2</v>
      </c>
      <c r="B318" s="96"/>
      <c r="C318" s="65" t="s">
        <v>321</v>
      </c>
      <c r="D318" s="66">
        <f t="shared" si="34"/>
        <v>322.70472000000001</v>
      </c>
      <c r="E318" s="66">
        <f t="shared" ref="E318:E342" si="38">(0.75*2.7+1.25*1.2)*10.764</f>
        <v>37.943100000000001</v>
      </c>
      <c r="F318" s="65">
        <f t="shared" si="35"/>
        <v>360.64782000000002</v>
      </c>
      <c r="G318" s="65">
        <v>0</v>
      </c>
      <c r="H318" s="65">
        <f t="shared" si="36"/>
        <v>540.97172999999998</v>
      </c>
      <c r="I318" s="35"/>
      <c r="L318" s="88"/>
      <c r="M318" s="88"/>
      <c r="N318" s="35"/>
    </row>
    <row r="319" spans="1:20" s="36" customFormat="1" ht="15.75" customHeight="1" x14ac:dyDescent="0.3">
      <c r="A319" s="86">
        <f t="shared" si="37"/>
        <v>3</v>
      </c>
      <c r="B319" s="87"/>
      <c r="C319" s="57" t="s">
        <v>321</v>
      </c>
      <c r="D319" s="66">
        <f t="shared" si="34"/>
        <v>322.70472000000001</v>
      </c>
      <c r="E319" s="66">
        <f t="shared" si="38"/>
        <v>37.943100000000001</v>
      </c>
      <c r="F319" s="57">
        <f t="shared" si="35"/>
        <v>360.64782000000002</v>
      </c>
      <c r="G319" s="65">
        <v>0</v>
      </c>
      <c r="H319" s="57">
        <f t="shared" si="36"/>
        <v>540.97172999999998</v>
      </c>
      <c r="I319" s="35"/>
      <c r="L319" s="88"/>
      <c r="M319" s="88"/>
      <c r="N319" s="35"/>
    </row>
    <row r="320" spans="1:20" s="36" customFormat="1" ht="15.75" customHeight="1" x14ac:dyDescent="0.3">
      <c r="A320" s="86">
        <f t="shared" si="37"/>
        <v>4</v>
      </c>
      <c r="B320" s="87"/>
      <c r="C320" s="57" t="s">
        <v>321</v>
      </c>
      <c r="D320" s="66">
        <f t="shared" si="34"/>
        <v>322.70472000000001</v>
      </c>
      <c r="E320" s="66">
        <f t="shared" si="38"/>
        <v>37.943100000000001</v>
      </c>
      <c r="F320" s="57">
        <f t="shared" si="35"/>
        <v>360.64782000000002</v>
      </c>
      <c r="G320" s="65">
        <v>0</v>
      </c>
      <c r="H320" s="57">
        <f t="shared" si="36"/>
        <v>540.97172999999998</v>
      </c>
      <c r="I320" s="35"/>
      <c r="L320" s="88"/>
      <c r="M320" s="88"/>
      <c r="N320" s="35"/>
      <c r="T320" s="20"/>
    </row>
    <row r="321" spans="1:14" s="36" customFormat="1" ht="15.75" customHeight="1" x14ac:dyDescent="0.3">
      <c r="A321" s="86">
        <f t="shared" si="37"/>
        <v>5</v>
      </c>
      <c r="B321" s="87"/>
      <c r="C321" s="57" t="s">
        <v>321</v>
      </c>
      <c r="D321" s="66">
        <f t="shared" si="34"/>
        <v>322.70472000000001</v>
      </c>
      <c r="E321" s="66">
        <f t="shared" si="38"/>
        <v>37.943100000000001</v>
      </c>
      <c r="F321" s="57">
        <f t="shared" si="35"/>
        <v>360.64782000000002</v>
      </c>
      <c r="G321" s="65">
        <v>0</v>
      </c>
      <c r="H321" s="57">
        <f t="shared" si="36"/>
        <v>540.97172999999998</v>
      </c>
      <c r="I321" s="35"/>
      <c r="L321" s="88"/>
      <c r="M321" s="88"/>
      <c r="N321" s="35"/>
    </row>
    <row r="322" spans="1:14" s="36" customFormat="1" ht="15.75" customHeight="1" x14ac:dyDescent="0.3">
      <c r="A322" s="86">
        <f t="shared" si="37"/>
        <v>6</v>
      </c>
      <c r="B322" s="87"/>
      <c r="C322" s="57" t="s">
        <v>321</v>
      </c>
      <c r="D322" s="66">
        <f t="shared" si="34"/>
        <v>322.70472000000001</v>
      </c>
      <c r="E322" s="66">
        <f t="shared" si="38"/>
        <v>37.943100000000001</v>
      </c>
      <c r="F322" s="57">
        <f t="shared" si="35"/>
        <v>360.64782000000002</v>
      </c>
      <c r="G322" s="65">
        <v>0</v>
      </c>
      <c r="H322" s="57">
        <f t="shared" si="36"/>
        <v>540.97172999999998</v>
      </c>
      <c r="I322" s="35"/>
      <c r="L322" s="88"/>
      <c r="M322" s="88"/>
      <c r="N322" s="35"/>
    </row>
    <row r="323" spans="1:14" s="36" customFormat="1" ht="15.75" customHeight="1" x14ac:dyDescent="0.3">
      <c r="A323" s="86">
        <f t="shared" si="37"/>
        <v>7</v>
      </c>
      <c r="B323" s="87"/>
      <c r="C323" s="57" t="s">
        <v>321</v>
      </c>
      <c r="D323" s="66">
        <f t="shared" si="34"/>
        <v>322.70472000000001</v>
      </c>
      <c r="E323" s="66">
        <f t="shared" si="38"/>
        <v>37.943100000000001</v>
      </c>
      <c r="F323" s="57">
        <f t="shared" si="35"/>
        <v>360.64782000000002</v>
      </c>
      <c r="G323" s="65">
        <v>0</v>
      </c>
      <c r="H323" s="57">
        <f t="shared" si="36"/>
        <v>540.97172999999998</v>
      </c>
      <c r="I323" s="35"/>
      <c r="L323" s="88"/>
      <c r="M323" s="88"/>
      <c r="N323" s="35"/>
    </row>
    <row r="324" spans="1:14" s="36" customFormat="1" ht="15.75" customHeight="1" x14ac:dyDescent="0.3">
      <c r="A324" s="86">
        <f t="shared" si="37"/>
        <v>8</v>
      </c>
      <c r="B324" s="87"/>
      <c r="C324" s="57" t="s">
        <v>321</v>
      </c>
      <c r="D324" s="66">
        <f t="shared" si="34"/>
        <v>322.70472000000001</v>
      </c>
      <c r="E324" s="66">
        <f t="shared" si="38"/>
        <v>37.943100000000001</v>
      </c>
      <c r="F324" s="57">
        <f t="shared" si="35"/>
        <v>360.64782000000002</v>
      </c>
      <c r="G324" s="65">
        <v>0</v>
      </c>
      <c r="H324" s="57">
        <f t="shared" si="36"/>
        <v>540.97172999999998</v>
      </c>
      <c r="I324" s="35"/>
      <c r="L324" s="88"/>
      <c r="M324" s="88"/>
      <c r="N324" s="35"/>
    </row>
    <row r="325" spans="1:14" s="36" customFormat="1" ht="15.75" customHeight="1" x14ac:dyDescent="0.3">
      <c r="A325" s="86">
        <f t="shared" si="37"/>
        <v>9</v>
      </c>
      <c r="B325" s="87"/>
      <c r="C325" s="57" t="s">
        <v>321</v>
      </c>
      <c r="D325" s="66">
        <f t="shared" si="34"/>
        <v>322.70472000000001</v>
      </c>
      <c r="E325" s="66">
        <f t="shared" si="38"/>
        <v>37.943100000000001</v>
      </c>
      <c r="F325" s="57">
        <f t="shared" si="35"/>
        <v>360.64782000000002</v>
      </c>
      <c r="G325" s="65">
        <v>0</v>
      </c>
      <c r="H325" s="57">
        <f t="shared" si="36"/>
        <v>540.97172999999998</v>
      </c>
      <c r="I325" s="35"/>
      <c r="L325" s="88"/>
      <c r="M325" s="88"/>
      <c r="N325" s="35"/>
    </row>
    <row r="326" spans="1:14" s="36" customFormat="1" ht="15.75" customHeight="1" x14ac:dyDescent="0.3">
      <c r="A326" s="86">
        <f t="shared" si="37"/>
        <v>10</v>
      </c>
      <c r="B326" s="87"/>
      <c r="C326" s="57" t="s">
        <v>321</v>
      </c>
      <c r="D326" s="66">
        <f t="shared" si="34"/>
        <v>322.70472000000001</v>
      </c>
      <c r="E326" s="66">
        <f t="shared" si="38"/>
        <v>37.943100000000001</v>
      </c>
      <c r="F326" s="57">
        <f t="shared" si="35"/>
        <v>360.64782000000002</v>
      </c>
      <c r="G326" s="65">
        <v>0</v>
      </c>
      <c r="H326" s="57">
        <f t="shared" si="36"/>
        <v>540.97172999999998</v>
      </c>
      <c r="I326" s="35"/>
      <c r="L326" s="88"/>
      <c r="M326" s="88"/>
      <c r="N326" s="35"/>
    </row>
    <row r="327" spans="1:14" s="36" customFormat="1" ht="15.75" customHeight="1" x14ac:dyDescent="0.3">
      <c r="A327" s="86">
        <f t="shared" si="37"/>
        <v>11</v>
      </c>
      <c r="B327" s="87"/>
      <c r="C327" s="57" t="s">
        <v>321</v>
      </c>
      <c r="D327" s="66">
        <f t="shared" si="34"/>
        <v>322.70472000000001</v>
      </c>
      <c r="E327" s="66">
        <f t="shared" si="38"/>
        <v>37.943100000000001</v>
      </c>
      <c r="F327" s="57">
        <f t="shared" si="35"/>
        <v>360.64782000000002</v>
      </c>
      <c r="G327" s="65">
        <v>0</v>
      </c>
      <c r="H327" s="57">
        <f t="shared" si="36"/>
        <v>540.97172999999998</v>
      </c>
      <c r="I327" s="35"/>
      <c r="L327" s="88"/>
      <c r="M327" s="88"/>
      <c r="N327" s="35"/>
    </row>
    <row r="328" spans="1:14" s="36" customFormat="1" ht="15.75" customHeight="1" x14ac:dyDescent="0.3">
      <c r="A328" s="86">
        <f t="shared" si="37"/>
        <v>12</v>
      </c>
      <c r="B328" s="87"/>
      <c r="C328" s="57" t="s">
        <v>321</v>
      </c>
      <c r="D328" s="66">
        <f t="shared" si="34"/>
        <v>322.70472000000001</v>
      </c>
      <c r="E328" s="66">
        <f t="shared" si="38"/>
        <v>37.943100000000001</v>
      </c>
      <c r="F328" s="57">
        <f t="shared" si="35"/>
        <v>360.64782000000002</v>
      </c>
      <c r="G328" s="65">
        <v>0</v>
      </c>
      <c r="H328" s="57">
        <f t="shared" si="36"/>
        <v>540.97172999999998</v>
      </c>
      <c r="I328" s="35"/>
      <c r="L328" s="88"/>
      <c r="M328" s="88"/>
      <c r="N328" s="35"/>
    </row>
    <row r="329" spans="1:14" s="36" customFormat="1" ht="15.75" customHeight="1" x14ac:dyDescent="0.3">
      <c r="A329" s="86">
        <f t="shared" si="37"/>
        <v>13</v>
      </c>
      <c r="B329" s="87"/>
      <c r="C329" s="57" t="s">
        <v>321</v>
      </c>
      <c r="D329" s="66">
        <f t="shared" si="34"/>
        <v>322.70472000000001</v>
      </c>
      <c r="E329" s="66">
        <f t="shared" si="38"/>
        <v>37.943100000000001</v>
      </c>
      <c r="F329" s="57">
        <f t="shared" si="35"/>
        <v>360.64782000000002</v>
      </c>
      <c r="G329" s="65">
        <v>0</v>
      </c>
      <c r="H329" s="57">
        <f t="shared" si="36"/>
        <v>540.97172999999998</v>
      </c>
      <c r="I329" s="35"/>
      <c r="L329" s="88"/>
      <c r="M329" s="88"/>
      <c r="N329" s="35"/>
    </row>
    <row r="330" spans="1:14" s="36" customFormat="1" ht="15.75" customHeight="1" x14ac:dyDescent="0.3">
      <c r="A330" s="86">
        <f t="shared" si="37"/>
        <v>14</v>
      </c>
      <c r="B330" s="87"/>
      <c r="C330" s="57" t="s">
        <v>321</v>
      </c>
      <c r="D330" s="66">
        <f t="shared" si="34"/>
        <v>322.70472000000001</v>
      </c>
      <c r="E330" s="66">
        <f t="shared" si="38"/>
        <v>37.943100000000001</v>
      </c>
      <c r="F330" s="57">
        <f t="shared" si="35"/>
        <v>360.64782000000002</v>
      </c>
      <c r="G330" s="65">
        <v>0</v>
      </c>
      <c r="H330" s="57">
        <f t="shared" si="36"/>
        <v>540.97172999999998</v>
      </c>
      <c r="I330" s="35"/>
      <c r="L330" s="88"/>
      <c r="M330" s="88"/>
      <c r="N330" s="35"/>
    </row>
    <row r="331" spans="1:14" s="36" customFormat="1" ht="15.75" customHeight="1" x14ac:dyDescent="0.3">
      <c r="A331" s="86">
        <f t="shared" si="37"/>
        <v>15</v>
      </c>
      <c r="B331" s="87"/>
      <c r="C331" s="57" t="s">
        <v>321</v>
      </c>
      <c r="D331" s="66">
        <f t="shared" si="34"/>
        <v>322.70472000000001</v>
      </c>
      <c r="E331" s="66">
        <f t="shared" si="38"/>
        <v>37.943100000000001</v>
      </c>
      <c r="F331" s="57">
        <f t="shared" si="35"/>
        <v>360.64782000000002</v>
      </c>
      <c r="G331" s="65">
        <v>0</v>
      </c>
      <c r="H331" s="57">
        <f t="shared" si="36"/>
        <v>540.97172999999998</v>
      </c>
      <c r="I331" s="35"/>
      <c r="L331" s="88"/>
      <c r="M331" s="88"/>
      <c r="N331" s="35"/>
    </row>
    <row r="332" spans="1:14" s="36" customFormat="1" ht="15.75" customHeight="1" x14ac:dyDescent="0.3">
      <c r="A332" s="86">
        <f t="shared" si="37"/>
        <v>16</v>
      </c>
      <c r="B332" s="87"/>
      <c r="C332" s="57" t="s">
        <v>321</v>
      </c>
      <c r="D332" s="66">
        <f t="shared" si="34"/>
        <v>322.70472000000001</v>
      </c>
      <c r="E332" s="66">
        <f t="shared" si="38"/>
        <v>37.943100000000001</v>
      </c>
      <c r="F332" s="57">
        <f t="shared" si="35"/>
        <v>360.64782000000002</v>
      </c>
      <c r="G332" s="65">
        <v>0</v>
      </c>
      <c r="H332" s="57">
        <f t="shared" si="36"/>
        <v>540.97172999999998</v>
      </c>
      <c r="I332" s="35"/>
      <c r="L332" s="88"/>
      <c r="M332" s="88"/>
      <c r="N332" s="35"/>
    </row>
    <row r="333" spans="1:14" s="36" customFormat="1" ht="15.75" customHeight="1" x14ac:dyDescent="0.3">
      <c r="A333" s="86">
        <f t="shared" si="37"/>
        <v>17</v>
      </c>
      <c r="B333" s="87"/>
      <c r="C333" s="57" t="s">
        <v>321</v>
      </c>
      <c r="D333" s="66">
        <f t="shared" si="34"/>
        <v>322.70472000000001</v>
      </c>
      <c r="E333" s="66">
        <f t="shared" si="38"/>
        <v>37.943100000000001</v>
      </c>
      <c r="F333" s="57">
        <f t="shared" si="35"/>
        <v>360.64782000000002</v>
      </c>
      <c r="G333" s="65">
        <v>0</v>
      </c>
      <c r="H333" s="57">
        <f t="shared" si="36"/>
        <v>540.97172999999998</v>
      </c>
      <c r="I333" s="35"/>
      <c r="L333" s="88"/>
      <c r="M333" s="88"/>
      <c r="N333" s="35"/>
    </row>
    <row r="334" spans="1:14" s="36" customFormat="1" ht="15.75" customHeight="1" x14ac:dyDescent="0.3">
      <c r="A334" s="86">
        <f t="shared" si="37"/>
        <v>18</v>
      </c>
      <c r="B334" s="87"/>
      <c r="C334" s="57" t="s">
        <v>321</v>
      </c>
      <c r="D334" s="66">
        <f t="shared" si="34"/>
        <v>322.70472000000001</v>
      </c>
      <c r="E334" s="66">
        <f t="shared" si="38"/>
        <v>37.943100000000001</v>
      </c>
      <c r="F334" s="57">
        <f t="shared" si="35"/>
        <v>360.64782000000002</v>
      </c>
      <c r="G334" s="65">
        <v>0</v>
      </c>
      <c r="H334" s="57">
        <f t="shared" si="36"/>
        <v>540.97172999999998</v>
      </c>
      <c r="I334" s="35"/>
      <c r="L334" s="88"/>
      <c r="M334" s="88"/>
      <c r="N334" s="35"/>
    </row>
    <row r="335" spans="1:14" s="36" customFormat="1" ht="15.75" customHeight="1" x14ac:dyDescent="0.3">
      <c r="A335" s="86">
        <f t="shared" si="37"/>
        <v>19</v>
      </c>
      <c r="B335" s="87"/>
      <c r="C335" s="57" t="s">
        <v>321</v>
      </c>
      <c r="D335" s="66">
        <f t="shared" si="34"/>
        <v>322.70472000000001</v>
      </c>
      <c r="E335" s="66">
        <f t="shared" si="38"/>
        <v>37.943100000000001</v>
      </c>
      <c r="F335" s="57">
        <f t="shared" si="35"/>
        <v>360.64782000000002</v>
      </c>
      <c r="G335" s="65">
        <v>0</v>
      </c>
      <c r="H335" s="57">
        <f t="shared" si="36"/>
        <v>540.97172999999998</v>
      </c>
      <c r="I335" s="35"/>
      <c r="L335" s="88"/>
      <c r="M335" s="88"/>
      <c r="N335" s="35"/>
    </row>
    <row r="336" spans="1:14" s="36" customFormat="1" ht="15.75" customHeight="1" x14ac:dyDescent="0.3">
      <c r="A336" s="86">
        <f t="shared" si="37"/>
        <v>20</v>
      </c>
      <c r="B336" s="87"/>
      <c r="C336" s="57" t="s">
        <v>321</v>
      </c>
      <c r="D336" s="66">
        <f t="shared" si="34"/>
        <v>322.70472000000001</v>
      </c>
      <c r="E336" s="66">
        <f t="shared" si="38"/>
        <v>37.943100000000001</v>
      </c>
      <c r="F336" s="57">
        <f t="shared" si="35"/>
        <v>360.64782000000002</v>
      </c>
      <c r="G336" s="65">
        <v>0</v>
      </c>
      <c r="H336" s="57">
        <f t="shared" si="36"/>
        <v>540.97172999999998</v>
      </c>
      <c r="I336" s="35"/>
      <c r="L336" s="88"/>
      <c r="M336" s="88"/>
      <c r="N336" s="35"/>
    </row>
    <row r="337" spans="1:20" s="36" customFormat="1" ht="15.75" customHeight="1" x14ac:dyDescent="0.3">
      <c r="A337" s="86">
        <f t="shared" si="37"/>
        <v>21</v>
      </c>
      <c r="B337" s="87"/>
      <c r="C337" s="57" t="s">
        <v>321</v>
      </c>
      <c r="D337" s="66">
        <f t="shared" si="34"/>
        <v>322.70472000000001</v>
      </c>
      <c r="E337" s="66">
        <f t="shared" si="38"/>
        <v>37.943100000000001</v>
      </c>
      <c r="F337" s="57">
        <f t="shared" si="35"/>
        <v>360.64782000000002</v>
      </c>
      <c r="G337" s="65">
        <v>0</v>
      </c>
      <c r="H337" s="57">
        <f t="shared" si="36"/>
        <v>540.97172999999998</v>
      </c>
      <c r="I337" s="35"/>
      <c r="L337" s="88"/>
      <c r="M337" s="88"/>
      <c r="N337" s="35"/>
    </row>
    <row r="338" spans="1:20" s="36" customFormat="1" ht="15.75" customHeight="1" x14ac:dyDescent="0.3">
      <c r="A338" s="86">
        <f t="shared" si="37"/>
        <v>22</v>
      </c>
      <c r="B338" s="87"/>
      <c r="C338" s="57" t="s">
        <v>321</v>
      </c>
      <c r="D338" s="66">
        <f t="shared" si="34"/>
        <v>322.70472000000001</v>
      </c>
      <c r="E338" s="66">
        <f t="shared" si="38"/>
        <v>37.943100000000001</v>
      </c>
      <c r="F338" s="57">
        <f t="shared" si="35"/>
        <v>360.64782000000002</v>
      </c>
      <c r="G338" s="65">
        <v>0</v>
      </c>
      <c r="H338" s="57">
        <f t="shared" si="36"/>
        <v>540.97172999999998</v>
      </c>
      <c r="I338" s="35"/>
      <c r="L338" s="88"/>
      <c r="M338" s="88"/>
      <c r="N338" s="35"/>
    </row>
    <row r="339" spans="1:20" s="36" customFormat="1" ht="15.75" customHeight="1" x14ac:dyDescent="0.3">
      <c r="A339" s="86">
        <f t="shared" si="37"/>
        <v>23</v>
      </c>
      <c r="B339" s="87"/>
      <c r="C339" s="57" t="s">
        <v>321</v>
      </c>
      <c r="D339" s="66">
        <f t="shared" si="34"/>
        <v>322.70472000000001</v>
      </c>
      <c r="E339" s="66">
        <f t="shared" si="38"/>
        <v>37.943100000000001</v>
      </c>
      <c r="F339" s="57">
        <f t="shared" si="35"/>
        <v>360.64782000000002</v>
      </c>
      <c r="G339" s="65">
        <v>0</v>
      </c>
      <c r="H339" s="57">
        <f t="shared" si="36"/>
        <v>540.97172999999998</v>
      </c>
      <c r="I339" s="35"/>
      <c r="L339" s="88"/>
      <c r="M339" s="88"/>
      <c r="N339" s="35"/>
    </row>
    <row r="340" spans="1:20" s="36" customFormat="1" ht="15.75" customHeight="1" x14ac:dyDescent="0.3">
      <c r="A340" s="86">
        <f t="shared" si="37"/>
        <v>24</v>
      </c>
      <c r="B340" s="87"/>
      <c r="C340" s="57" t="s">
        <v>321</v>
      </c>
      <c r="D340" s="66">
        <f t="shared" si="34"/>
        <v>322.70472000000001</v>
      </c>
      <c r="E340" s="66">
        <f t="shared" si="38"/>
        <v>37.943100000000001</v>
      </c>
      <c r="F340" s="57">
        <f t="shared" si="35"/>
        <v>360.64782000000002</v>
      </c>
      <c r="G340" s="65">
        <v>0</v>
      </c>
      <c r="H340" s="57">
        <f t="shared" si="36"/>
        <v>540.97172999999998</v>
      </c>
      <c r="I340" s="35"/>
      <c r="L340" s="88"/>
      <c r="M340" s="88"/>
      <c r="N340" s="35"/>
    </row>
    <row r="341" spans="1:20" s="36" customFormat="1" ht="15.75" customHeight="1" x14ac:dyDescent="0.3">
      <c r="A341" s="86">
        <f t="shared" si="37"/>
        <v>25</v>
      </c>
      <c r="B341" s="87"/>
      <c r="C341" s="57" t="s">
        <v>321</v>
      </c>
      <c r="D341" s="66">
        <f t="shared" si="34"/>
        <v>322.70472000000001</v>
      </c>
      <c r="E341" s="66">
        <f t="shared" si="38"/>
        <v>37.943100000000001</v>
      </c>
      <c r="F341" s="57">
        <f t="shared" si="35"/>
        <v>360.64782000000002</v>
      </c>
      <c r="G341" s="65">
        <v>0</v>
      </c>
      <c r="H341" s="57">
        <f t="shared" si="36"/>
        <v>540.97172999999998</v>
      </c>
      <c r="I341" s="35"/>
      <c r="L341" s="88"/>
      <c r="M341" s="88"/>
      <c r="N341" s="35"/>
    </row>
    <row r="342" spans="1:20" s="36" customFormat="1" ht="15.75" customHeight="1" x14ac:dyDescent="0.3">
      <c r="A342" s="86">
        <f t="shared" si="37"/>
        <v>26</v>
      </c>
      <c r="B342" s="87"/>
      <c r="C342" s="57" t="s">
        <v>321</v>
      </c>
      <c r="D342" s="66">
        <f t="shared" si="34"/>
        <v>322.70472000000001</v>
      </c>
      <c r="E342" s="66">
        <f t="shared" si="38"/>
        <v>37.943100000000001</v>
      </c>
      <c r="F342" s="57">
        <f t="shared" si="35"/>
        <v>360.64782000000002</v>
      </c>
      <c r="G342" s="65">
        <v>0</v>
      </c>
      <c r="H342" s="57">
        <f t="shared" si="36"/>
        <v>540.97172999999998</v>
      </c>
      <c r="I342" s="35"/>
      <c r="L342" s="88"/>
      <c r="M342" s="88"/>
      <c r="N342" s="35"/>
    </row>
    <row r="343" spans="1:20" s="36" customFormat="1" x14ac:dyDescent="0.3">
      <c r="A343" s="97" t="s">
        <v>324</v>
      </c>
      <c r="B343" s="98"/>
      <c r="C343" s="98"/>
      <c r="D343" s="98"/>
      <c r="E343" s="98"/>
      <c r="F343" s="98"/>
      <c r="G343" s="98"/>
      <c r="H343" s="99"/>
      <c r="J343" s="35"/>
    </row>
    <row r="344" spans="1:20" s="36" customFormat="1" ht="15.75" customHeight="1" x14ac:dyDescent="0.3">
      <c r="A344" s="95">
        <v>1</v>
      </c>
      <c r="B344" s="96"/>
      <c r="C344" s="65" t="s">
        <v>321</v>
      </c>
      <c r="D344" s="66">
        <f t="shared" ref="D344:D367" si="39">(29.98)*10.764</f>
        <v>322.70472000000001</v>
      </c>
      <c r="E344" s="66">
        <f t="shared" ref="E344:E367" si="40">(0.75*2.7+1.25*1.2)*10.764</f>
        <v>37.943100000000001</v>
      </c>
      <c r="F344" s="65">
        <f t="shared" ref="F344:F367" si="41">D344+E344</f>
        <v>360.64782000000002</v>
      </c>
      <c r="G344" s="65">
        <v>0</v>
      </c>
      <c r="H344" s="65">
        <f t="shared" ref="H344:H367" si="42">F344*(($H$204)+1)+(IF(G344&lt;101,G344,IF(G344&lt;201,G344/2,IF(G344&lt;=301,G344/3,G344/4))))</f>
        <v>540.97172999999998</v>
      </c>
      <c r="I344" s="35"/>
      <c r="L344" s="88"/>
      <c r="M344" s="88"/>
      <c r="N344" s="35"/>
    </row>
    <row r="345" spans="1:20" s="36" customFormat="1" ht="15.75" customHeight="1" x14ac:dyDescent="0.3">
      <c r="A345" s="95">
        <f t="shared" ref="A345:A369" si="43">A344+1</f>
        <v>2</v>
      </c>
      <c r="B345" s="96"/>
      <c r="C345" s="65" t="s">
        <v>321</v>
      </c>
      <c r="D345" s="66">
        <f t="shared" si="39"/>
        <v>322.70472000000001</v>
      </c>
      <c r="E345" s="66">
        <f t="shared" si="40"/>
        <v>37.943100000000001</v>
      </c>
      <c r="F345" s="65">
        <f t="shared" si="41"/>
        <v>360.64782000000002</v>
      </c>
      <c r="G345" s="65">
        <v>0</v>
      </c>
      <c r="H345" s="65">
        <f t="shared" si="42"/>
        <v>540.97172999999998</v>
      </c>
      <c r="I345" s="35"/>
      <c r="L345" s="88"/>
      <c r="M345" s="88"/>
      <c r="N345" s="35"/>
    </row>
    <row r="346" spans="1:20" s="36" customFormat="1" ht="15.75" customHeight="1" x14ac:dyDescent="0.3">
      <c r="A346" s="86">
        <f t="shared" si="43"/>
        <v>3</v>
      </c>
      <c r="B346" s="87"/>
      <c r="C346" s="57" t="s">
        <v>321</v>
      </c>
      <c r="D346" s="66">
        <f t="shared" si="39"/>
        <v>322.70472000000001</v>
      </c>
      <c r="E346" s="66">
        <f t="shared" si="40"/>
        <v>37.943100000000001</v>
      </c>
      <c r="F346" s="57">
        <f t="shared" si="41"/>
        <v>360.64782000000002</v>
      </c>
      <c r="G346" s="65">
        <v>0</v>
      </c>
      <c r="H346" s="57">
        <f t="shared" si="42"/>
        <v>540.97172999999998</v>
      </c>
      <c r="I346" s="35"/>
      <c r="L346" s="88"/>
      <c r="M346" s="88"/>
      <c r="N346" s="35"/>
    </row>
    <row r="347" spans="1:20" s="36" customFormat="1" ht="15.75" customHeight="1" x14ac:dyDescent="0.3">
      <c r="A347" s="86">
        <f t="shared" si="43"/>
        <v>4</v>
      </c>
      <c r="B347" s="87"/>
      <c r="C347" s="57" t="s">
        <v>321</v>
      </c>
      <c r="D347" s="66">
        <f t="shared" si="39"/>
        <v>322.70472000000001</v>
      </c>
      <c r="E347" s="66">
        <f t="shared" si="40"/>
        <v>37.943100000000001</v>
      </c>
      <c r="F347" s="57">
        <f t="shared" si="41"/>
        <v>360.64782000000002</v>
      </c>
      <c r="G347" s="65">
        <v>0</v>
      </c>
      <c r="H347" s="57">
        <f t="shared" si="42"/>
        <v>540.97172999999998</v>
      </c>
      <c r="I347" s="35"/>
      <c r="L347" s="88"/>
      <c r="M347" s="88"/>
      <c r="N347" s="35"/>
      <c r="T347" s="20"/>
    </row>
    <row r="348" spans="1:20" s="36" customFormat="1" ht="15.75" customHeight="1" x14ac:dyDescent="0.3">
      <c r="A348" s="86">
        <f t="shared" si="43"/>
        <v>5</v>
      </c>
      <c r="B348" s="87"/>
      <c r="C348" s="57" t="s">
        <v>321</v>
      </c>
      <c r="D348" s="66">
        <f t="shared" si="39"/>
        <v>322.70472000000001</v>
      </c>
      <c r="E348" s="66">
        <f t="shared" si="40"/>
        <v>37.943100000000001</v>
      </c>
      <c r="F348" s="57">
        <f t="shared" si="41"/>
        <v>360.64782000000002</v>
      </c>
      <c r="G348" s="65">
        <v>0</v>
      </c>
      <c r="H348" s="57">
        <f t="shared" si="42"/>
        <v>540.97172999999998</v>
      </c>
      <c r="I348" s="35"/>
      <c r="L348" s="88"/>
      <c r="M348" s="88"/>
      <c r="N348" s="35"/>
    </row>
    <row r="349" spans="1:20" s="36" customFormat="1" ht="15.75" customHeight="1" x14ac:dyDescent="0.3">
      <c r="A349" s="86">
        <f t="shared" si="43"/>
        <v>6</v>
      </c>
      <c r="B349" s="87"/>
      <c r="C349" s="57" t="s">
        <v>321</v>
      </c>
      <c r="D349" s="66">
        <f t="shared" si="39"/>
        <v>322.70472000000001</v>
      </c>
      <c r="E349" s="66">
        <f t="shared" si="40"/>
        <v>37.943100000000001</v>
      </c>
      <c r="F349" s="57">
        <f t="shared" si="41"/>
        <v>360.64782000000002</v>
      </c>
      <c r="G349" s="65">
        <v>0</v>
      </c>
      <c r="H349" s="57">
        <f t="shared" si="42"/>
        <v>540.97172999999998</v>
      </c>
      <c r="I349" s="35"/>
      <c r="L349" s="88"/>
      <c r="M349" s="88"/>
      <c r="N349" s="35"/>
    </row>
    <row r="350" spans="1:20" s="36" customFormat="1" ht="15.75" customHeight="1" x14ac:dyDescent="0.3">
      <c r="A350" s="86">
        <f t="shared" si="43"/>
        <v>7</v>
      </c>
      <c r="B350" s="87"/>
      <c r="C350" s="57" t="s">
        <v>321</v>
      </c>
      <c r="D350" s="66">
        <f t="shared" si="39"/>
        <v>322.70472000000001</v>
      </c>
      <c r="E350" s="66">
        <f t="shared" si="40"/>
        <v>37.943100000000001</v>
      </c>
      <c r="F350" s="57">
        <f t="shared" si="41"/>
        <v>360.64782000000002</v>
      </c>
      <c r="G350" s="65">
        <v>0</v>
      </c>
      <c r="H350" s="57">
        <f t="shared" si="42"/>
        <v>540.97172999999998</v>
      </c>
      <c r="I350" s="35"/>
      <c r="L350" s="88"/>
      <c r="M350" s="88"/>
      <c r="N350" s="35"/>
    </row>
    <row r="351" spans="1:20" s="36" customFormat="1" ht="15.75" customHeight="1" x14ac:dyDescent="0.3">
      <c r="A351" s="86">
        <f t="shared" si="43"/>
        <v>8</v>
      </c>
      <c r="B351" s="87"/>
      <c r="C351" s="57" t="s">
        <v>321</v>
      </c>
      <c r="D351" s="66">
        <f t="shared" si="39"/>
        <v>322.70472000000001</v>
      </c>
      <c r="E351" s="66">
        <f t="shared" si="40"/>
        <v>37.943100000000001</v>
      </c>
      <c r="F351" s="57">
        <f t="shared" si="41"/>
        <v>360.64782000000002</v>
      </c>
      <c r="G351" s="65">
        <v>0</v>
      </c>
      <c r="H351" s="57">
        <f t="shared" si="42"/>
        <v>540.97172999999998</v>
      </c>
      <c r="I351" s="35"/>
      <c r="L351" s="88"/>
      <c r="M351" s="88"/>
      <c r="N351" s="35"/>
    </row>
    <row r="352" spans="1:20" s="36" customFormat="1" ht="15.75" customHeight="1" x14ac:dyDescent="0.3">
      <c r="A352" s="86">
        <f t="shared" si="43"/>
        <v>9</v>
      </c>
      <c r="B352" s="87"/>
      <c r="C352" s="57" t="s">
        <v>321</v>
      </c>
      <c r="D352" s="66">
        <f t="shared" si="39"/>
        <v>322.70472000000001</v>
      </c>
      <c r="E352" s="66">
        <f t="shared" si="40"/>
        <v>37.943100000000001</v>
      </c>
      <c r="F352" s="57">
        <f t="shared" si="41"/>
        <v>360.64782000000002</v>
      </c>
      <c r="G352" s="65">
        <v>0</v>
      </c>
      <c r="H352" s="57">
        <f t="shared" si="42"/>
        <v>540.97172999999998</v>
      </c>
      <c r="I352" s="35"/>
      <c r="L352" s="88"/>
      <c r="M352" s="88"/>
      <c r="N352" s="35"/>
    </row>
    <row r="353" spans="1:14" s="36" customFormat="1" ht="15.75" customHeight="1" x14ac:dyDescent="0.3">
      <c r="A353" s="86">
        <f t="shared" si="43"/>
        <v>10</v>
      </c>
      <c r="B353" s="87"/>
      <c r="C353" s="57" t="s">
        <v>321</v>
      </c>
      <c r="D353" s="66">
        <f t="shared" si="39"/>
        <v>322.70472000000001</v>
      </c>
      <c r="E353" s="66">
        <f t="shared" si="40"/>
        <v>37.943100000000001</v>
      </c>
      <c r="F353" s="57">
        <f t="shared" si="41"/>
        <v>360.64782000000002</v>
      </c>
      <c r="G353" s="65">
        <v>0</v>
      </c>
      <c r="H353" s="57">
        <f t="shared" si="42"/>
        <v>540.97172999999998</v>
      </c>
      <c r="I353" s="35"/>
      <c r="L353" s="88"/>
      <c r="M353" s="88"/>
      <c r="N353" s="35"/>
    </row>
    <row r="354" spans="1:14" s="36" customFormat="1" ht="15.75" customHeight="1" x14ac:dyDescent="0.3">
      <c r="A354" s="86">
        <f t="shared" si="43"/>
        <v>11</v>
      </c>
      <c r="B354" s="87"/>
      <c r="C354" s="57" t="s">
        <v>321</v>
      </c>
      <c r="D354" s="66">
        <f t="shared" si="39"/>
        <v>322.70472000000001</v>
      </c>
      <c r="E354" s="66">
        <f t="shared" si="40"/>
        <v>37.943100000000001</v>
      </c>
      <c r="F354" s="57">
        <f t="shared" si="41"/>
        <v>360.64782000000002</v>
      </c>
      <c r="G354" s="65">
        <v>0</v>
      </c>
      <c r="H354" s="57">
        <f t="shared" si="42"/>
        <v>540.97172999999998</v>
      </c>
      <c r="I354" s="35"/>
      <c r="L354" s="88"/>
      <c r="M354" s="88"/>
      <c r="N354" s="35"/>
    </row>
    <row r="355" spans="1:14" s="36" customFormat="1" ht="15.75" customHeight="1" x14ac:dyDescent="0.3">
      <c r="A355" s="86">
        <f t="shared" si="43"/>
        <v>12</v>
      </c>
      <c r="B355" s="87"/>
      <c r="C355" s="57" t="s">
        <v>321</v>
      </c>
      <c r="D355" s="66">
        <f t="shared" si="39"/>
        <v>322.70472000000001</v>
      </c>
      <c r="E355" s="66">
        <f t="shared" si="40"/>
        <v>37.943100000000001</v>
      </c>
      <c r="F355" s="57">
        <f t="shared" si="41"/>
        <v>360.64782000000002</v>
      </c>
      <c r="G355" s="65">
        <v>0</v>
      </c>
      <c r="H355" s="57">
        <f t="shared" si="42"/>
        <v>540.97172999999998</v>
      </c>
      <c r="I355" s="35"/>
      <c r="L355" s="88"/>
      <c r="M355" s="88"/>
      <c r="N355" s="35"/>
    </row>
    <row r="356" spans="1:14" s="36" customFormat="1" ht="15.75" customHeight="1" x14ac:dyDescent="0.3">
      <c r="A356" s="86">
        <f t="shared" si="43"/>
        <v>13</v>
      </c>
      <c r="B356" s="87"/>
      <c r="C356" s="57" t="s">
        <v>321</v>
      </c>
      <c r="D356" s="66">
        <f t="shared" si="39"/>
        <v>322.70472000000001</v>
      </c>
      <c r="E356" s="66">
        <f t="shared" si="40"/>
        <v>37.943100000000001</v>
      </c>
      <c r="F356" s="57">
        <f t="shared" si="41"/>
        <v>360.64782000000002</v>
      </c>
      <c r="G356" s="65">
        <v>0</v>
      </c>
      <c r="H356" s="57">
        <f t="shared" si="42"/>
        <v>540.97172999999998</v>
      </c>
      <c r="I356" s="35"/>
      <c r="L356" s="88"/>
      <c r="M356" s="88"/>
      <c r="N356" s="35"/>
    </row>
    <row r="357" spans="1:14" s="36" customFormat="1" ht="15.75" customHeight="1" x14ac:dyDescent="0.3">
      <c r="A357" s="86">
        <f t="shared" si="43"/>
        <v>14</v>
      </c>
      <c r="B357" s="87"/>
      <c r="C357" s="57" t="s">
        <v>321</v>
      </c>
      <c r="D357" s="66">
        <f t="shared" si="39"/>
        <v>322.70472000000001</v>
      </c>
      <c r="E357" s="66">
        <f t="shared" si="40"/>
        <v>37.943100000000001</v>
      </c>
      <c r="F357" s="57">
        <f t="shared" si="41"/>
        <v>360.64782000000002</v>
      </c>
      <c r="G357" s="65">
        <v>0</v>
      </c>
      <c r="H357" s="57">
        <f t="shared" si="42"/>
        <v>540.97172999999998</v>
      </c>
      <c r="I357" s="35"/>
      <c r="L357" s="88"/>
      <c r="M357" s="88"/>
      <c r="N357" s="35"/>
    </row>
    <row r="358" spans="1:14" s="36" customFormat="1" ht="15.75" customHeight="1" x14ac:dyDescent="0.3">
      <c r="A358" s="86">
        <f t="shared" si="43"/>
        <v>15</v>
      </c>
      <c r="B358" s="87"/>
      <c r="C358" s="57" t="s">
        <v>321</v>
      </c>
      <c r="D358" s="66">
        <f t="shared" si="39"/>
        <v>322.70472000000001</v>
      </c>
      <c r="E358" s="66">
        <f t="shared" si="40"/>
        <v>37.943100000000001</v>
      </c>
      <c r="F358" s="57">
        <f t="shared" si="41"/>
        <v>360.64782000000002</v>
      </c>
      <c r="G358" s="65">
        <v>0</v>
      </c>
      <c r="H358" s="57">
        <f t="shared" si="42"/>
        <v>540.97172999999998</v>
      </c>
      <c r="I358" s="35"/>
      <c r="L358" s="88"/>
      <c r="M358" s="88"/>
      <c r="N358" s="35"/>
    </row>
    <row r="359" spans="1:14" s="36" customFormat="1" ht="15.75" customHeight="1" x14ac:dyDescent="0.3">
      <c r="A359" s="86">
        <f t="shared" si="43"/>
        <v>16</v>
      </c>
      <c r="B359" s="87"/>
      <c r="C359" s="57" t="s">
        <v>321</v>
      </c>
      <c r="D359" s="66">
        <f t="shared" si="39"/>
        <v>322.70472000000001</v>
      </c>
      <c r="E359" s="66">
        <f t="shared" si="40"/>
        <v>37.943100000000001</v>
      </c>
      <c r="F359" s="57">
        <f t="shared" si="41"/>
        <v>360.64782000000002</v>
      </c>
      <c r="G359" s="65">
        <v>0</v>
      </c>
      <c r="H359" s="57">
        <f t="shared" si="42"/>
        <v>540.97172999999998</v>
      </c>
      <c r="I359" s="35"/>
      <c r="L359" s="88"/>
      <c r="M359" s="88"/>
      <c r="N359" s="35"/>
    </row>
    <row r="360" spans="1:14" s="36" customFormat="1" ht="15.75" customHeight="1" x14ac:dyDescent="0.3">
      <c r="A360" s="86">
        <f t="shared" si="43"/>
        <v>17</v>
      </c>
      <c r="B360" s="87"/>
      <c r="C360" s="57" t="s">
        <v>321</v>
      </c>
      <c r="D360" s="66">
        <f t="shared" si="39"/>
        <v>322.70472000000001</v>
      </c>
      <c r="E360" s="66">
        <f t="shared" si="40"/>
        <v>37.943100000000001</v>
      </c>
      <c r="F360" s="57">
        <f t="shared" si="41"/>
        <v>360.64782000000002</v>
      </c>
      <c r="G360" s="65">
        <v>0</v>
      </c>
      <c r="H360" s="57">
        <f t="shared" si="42"/>
        <v>540.97172999999998</v>
      </c>
      <c r="I360" s="35"/>
      <c r="L360" s="88"/>
      <c r="M360" s="88"/>
      <c r="N360" s="35"/>
    </row>
    <row r="361" spans="1:14" s="36" customFormat="1" ht="15.75" customHeight="1" x14ac:dyDescent="0.3">
      <c r="A361" s="86">
        <f t="shared" si="43"/>
        <v>18</v>
      </c>
      <c r="B361" s="87"/>
      <c r="C361" s="57" t="s">
        <v>321</v>
      </c>
      <c r="D361" s="66">
        <f t="shared" si="39"/>
        <v>322.70472000000001</v>
      </c>
      <c r="E361" s="66">
        <f t="shared" si="40"/>
        <v>37.943100000000001</v>
      </c>
      <c r="F361" s="57">
        <f t="shared" si="41"/>
        <v>360.64782000000002</v>
      </c>
      <c r="G361" s="65">
        <v>0</v>
      </c>
      <c r="H361" s="57">
        <f t="shared" si="42"/>
        <v>540.97172999999998</v>
      </c>
      <c r="I361" s="35"/>
      <c r="L361" s="88"/>
      <c r="M361" s="88"/>
      <c r="N361" s="35"/>
    </row>
    <row r="362" spans="1:14" s="36" customFormat="1" ht="15.75" customHeight="1" x14ac:dyDescent="0.3">
      <c r="A362" s="86">
        <f t="shared" si="43"/>
        <v>19</v>
      </c>
      <c r="B362" s="87"/>
      <c r="C362" s="57" t="s">
        <v>321</v>
      </c>
      <c r="D362" s="66">
        <f t="shared" si="39"/>
        <v>322.70472000000001</v>
      </c>
      <c r="E362" s="66">
        <f t="shared" si="40"/>
        <v>37.943100000000001</v>
      </c>
      <c r="F362" s="57">
        <f t="shared" si="41"/>
        <v>360.64782000000002</v>
      </c>
      <c r="G362" s="65">
        <v>0</v>
      </c>
      <c r="H362" s="57">
        <f t="shared" si="42"/>
        <v>540.97172999999998</v>
      </c>
      <c r="I362" s="35"/>
      <c r="L362" s="88"/>
      <c r="M362" s="88"/>
      <c r="N362" s="35"/>
    </row>
    <row r="363" spans="1:14" s="36" customFormat="1" ht="15.75" customHeight="1" x14ac:dyDescent="0.3">
      <c r="A363" s="86">
        <f t="shared" si="43"/>
        <v>20</v>
      </c>
      <c r="B363" s="87"/>
      <c r="C363" s="57" t="s">
        <v>321</v>
      </c>
      <c r="D363" s="66">
        <f t="shared" si="39"/>
        <v>322.70472000000001</v>
      </c>
      <c r="E363" s="66">
        <f t="shared" si="40"/>
        <v>37.943100000000001</v>
      </c>
      <c r="F363" s="57">
        <f t="shared" si="41"/>
        <v>360.64782000000002</v>
      </c>
      <c r="G363" s="65">
        <v>0</v>
      </c>
      <c r="H363" s="57">
        <f t="shared" si="42"/>
        <v>540.97172999999998</v>
      </c>
      <c r="I363" s="35"/>
      <c r="L363" s="88"/>
      <c r="M363" s="88"/>
      <c r="N363" s="35"/>
    </row>
    <row r="364" spans="1:14" s="36" customFormat="1" ht="15.75" customHeight="1" x14ac:dyDescent="0.3">
      <c r="A364" s="86">
        <f t="shared" si="43"/>
        <v>21</v>
      </c>
      <c r="B364" s="87"/>
      <c r="C364" s="57" t="s">
        <v>321</v>
      </c>
      <c r="D364" s="66">
        <f t="shared" si="39"/>
        <v>322.70472000000001</v>
      </c>
      <c r="E364" s="66">
        <f t="shared" si="40"/>
        <v>37.943100000000001</v>
      </c>
      <c r="F364" s="57">
        <f t="shared" si="41"/>
        <v>360.64782000000002</v>
      </c>
      <c r="G364" s="65">
        <v>0</v>
      </c>
      <c r="H364" s="57">
        <f t="shared" si="42"/>
        <v>540.97172999999998</v>
      </c>
      <c r="I364" s="35"/>
      <c r="L364" s="88"/>
      <c r="M364" s="88"/>
      <c r="N364" s="35"/>
    </row>
    <row r="365" spans="1:14" s="36" customFormat="1" ht="15.75" customHeight="1" x14ac:dyDescent="0.3">
      <c r="A365" s="86">
        <f t="shared" si="43"/>
        <v>22</v>
      </c>
      <c r="B365" s="87"/>
      <c r="C365" s="57" t="s">
        <v>321</v>
      </c>
      <c r="D365" s="66">
        <f t="shared" si="39"/>
        <v>322.70472000000001</v>
      </c>
      <c r="E365" s="66">
        <f t="shared" si="40"/>
        <v>37.943100000000001</v>
      </c>
      <c r="F365" s="57">
        <f t="shared" si="41"/>
        <v>360.64782000000002</v>
      </c>
      <c r="G365" s="65">
        <v>0</v>
      </c>
      <c r="H365" s="57">
        <f t="shared" si="42"/>
        <v>540.97172999999998</v>
      </c>
      <c r="I365" s="35"/>
      <c r="L365" s="88"/>
      <c r="M365" s="88"/>
      <c r="N365" s="35"/>
    </row>
    <row r="366" spans="1:14" s="36" customFormat="1" ht="15.75" customHeight="1" x14ac:dyDescent="0.3">
      <c r="A366" s="86">
        <f t="shared" si="43"/>
        <v>23</v>
      </c>
      <c r="B366" s="87"/>
      <c r="C366" s="57" t="s">
        <v>321</v>
      </c>
      <c r="D366" s="66">
        <f t="shared" si="39"/>
        <v>322.70472000000001</v>
      </c>
      <c r="E366" s="66">
        <f t="shared" si="40"/>
        <v>37.943100000000001</v>
      </c>
      <c r="F366" s="57">
        <f t="shared" si="41"/>
        <v>360.64782000000002</v>
      </c>
      <c r="G366" s="65">
        <v>0</v>
      </c>
      <c r="H366" s="57">
        <f t="shared" si="42"/>
        <v>540.97172999999998</v>
      </c>
      <c r="I366" s="35"/>
      <c r="L366" s="88"/>
      <c r="M366" s="88"/>
      <c r="N366" s="35"/>
    </row>
    <row r="367" spans="1:14" s="36" customFormat="1" ht="15.75" customHeight="1" x14ac:dyDescent="0.3">
      <c r="A367" s="86">
        <f t="shared" si="43"/>
        <v>24</v>
      </c>
      <c r="B367" s="87"/>
      <c r="C367" s="57" t="s">
        <v>321</v>
      </c>
      <c r="D367" s="66">
        <f t="shared" si="39"/>
        <v>322.70472000000001</v>
      </c>
      <c r="E367" s="66">
        <f t="shared" si="40"/>
        <v>37.943100000000001</v>
      </c>
      <c r="F367" s="57">
        <f t="shared" si="41"/>
        <v>360.64782000000002</v>
      </c>
      <c r="G367" s="65">
        <v>0</v>
      </c>
      <c r="H367" s="57">
        <f t="shared" si="42"/>
        <v>540.97172999999998</v>
      </c>
      <c r="I367" s="35"/>
      <c r="L367" s="88"/>
      <c r="M367" s="88"/>
      <c r="N367" s="35"/>
    </row>
    <row r="368" spans="1:14" s="36" customFormat="1" ht="15.75" customHeight="1" x14ac:dyDescent="0.3">
      <c r="A368" s="86">
        <f t="shared" si="43"/>
        <v>25</v>
      </c>
      <c r="B368" s="87"/>
      <c r="C368" s="89" t="s">
        <v>325</v>
      </c>
      <c r="D368" s="90"/>
      <c r="E368" s="90"/>
      <c r="F368" s="90"/>
      <c r="G368" s="90"/>
      <c r="H368" s="91"/>
      <c r="I368" s="35"/>
      <c r="L368" s="88"/>
      <c r="M368" s="88"/>
      <c r="N368" s="35"/>
    </row>
    <row r="369" spans="1:20" s="36" customFormat="1" ht="15.75" customHeight="1" x14ac:dyDescent="0.3">
      <c r="A369" s="86">
        <f t="shared" si="43"/>
        <v>26</v>
      </c>
      <c r="B369" s="87"/>
      <c r="C369" s="92"/>
      <c r="D369" s="93"/>
      <c r="E369" s="93"/>
      <c r="F369" s="93"/>
      <c r="G369" s="93"/>
      <c r="H369" s="94"/>
      <c r="I369" s="35"/>
      <c r="L369" s="88"/>
      <c r="M369" s="88"/>
      <c r="N369" s="35"/>
    </row>
    <row r="370" spans="1:20" s="36" customFormat="1" x14ac:dyDescent="0.3">
      <c r="A370" s="83" t="s">
        <v>327</v>
      </c>
      <c r="B370" s="84"/>
      <c r="C370" s="84"/>
      <c r="D370" s="84"/>
      <c r="E370" s="84"/>
      <c r="F370" s="84"/>
      <c r="G370" s="84"/>
      <c r="H370" s="85"/>
      <c r="J370" s="35"/>
    </row>
    <row r="371" spans="1:20" s="36" customFormat="1" x14ac:dyDescent="0.3">
      <c r="A371" s="97" t="s">
        <v>336</v>
      </c>
      <c r="B371" s="98"/>
      <c r="C371" s="98"/>
      <c r="D371" s="98"/>
      <c r="E371" s="98"/>
      <c r="F371" s="98"/>
      <c r="G371" s="98"/>
      <c r="H371" s="99"/>
      <c r="J371" s="35"/>
    </row>
    <row r="372" spans="1:20" s="36" customFormat="1" x14ac:dyDescent="0.3">
      <c r="A372" s="65">
        <v>1</v>
      </c>
      <c r="B372" s="65" t="s">
        <v>345</v>
      </c>
      <c r="C372" s="65" t="s">
        <v>321</v>
      </c>
      <c r="D372" s="66">
        <f>(29.98)*10.764</f>
        <v>322.70472000000001</v>
      </c>
      <c r="E372" s="66">
        <v>0</v>
      </c>
      <c r="F372" s="65">
        <f t="shared" ref="F372" si="44">D372+E372</f>
        <v>322.70472000000001</v>
      </c>
      <c r="G372" s="65">
        <v>0</v>
      </c>
      <c r="H372" s="65">
        <f>F372*(($H$204)+1)+(IF(G372&lt;101,G372,IF(G372&lt;201,G372/2,IF(G372&lt;=301,G372/3,G372/4))))</f>
        <v>484.05708000000004</v>
      </c>
      <c r="I372" s="35"/>
      <c r="L372" s="88"/>
      <c r="M372" s="88"/>
      <c r="N372" s="35"/>
    </row>
    <row r="373" spans="1:20" s="36" customFormat="1" ht="30.9" customHeight="1" x14ac:dyDescent="0.3">
      <c r="A373" s="97" t="s">
        <v>332</v>
      </c>
      <c r="B373" s="98"/>
      <c r="C373" s="98"/>
      <c r="D373" s="98"/>
      <c r="E373" s="98"/>
      <c r="F373" s="98"/>
      <c r="G373" s="98"/>
      <c r="H373" s="99"/>
      <c r="J373" s="35"/>
    </row>
    <row r="374" spans="1:20" s="36" customFormat="1" ht="15.75" customHeight="1" x14ac:dyDescent="0.3">
      <c r="A374" s="65">
        <v>1</v>
      </c>
      <c r="B374" s="65" t="s">
        <v>345</v>
      </c>
      <c r="C374" s="65" t="s">
        <v>321</v>
      </c>
      <c r="D374" s="66">
        <f t="shared" ref="D374:D393" si="45">(29.98)*10.764</f>
        <v>322.70472000000001</v>
      </c>
      <c r="E374" s="66">
        <f>(0.75*2.7+1.2*1.25)*10.764</f>
        <v>37.943100000000001</v>
      </c>
      <c r="F374" s="65">
        <f t="shared" ref="F374:F393" si="46">D374+E374</f>
        <v>360.64782000000002</v>
      </c>
      <c r="G374" s="65">
        <v>0</v>
      </c>
      <c r="H374" s="65">
        <f t="shared" ref="H374:H393" si="47">F374*(($H$204)+1)+(IF(G374&lt;101,G374,IF(G374&lt;201,G374/2,IF(G374&lt;=301,G374/3,G374/4))))</f>
        <v>540.97172999999998</v>
      </c>
      <c r="I374" s="35"/>
      <c r="L374" s="88"/>
      <c r="M374" s="88"/>
      <c r="N374" s="35"/>
    </row>
    <row r="375" spans="1:20" s="36" customFormat="1" ht="15.75" customHeight="1" x14ac:dyDescent="0.3">
      <c r="A375" s="65">
        <f t="shared" ref="A375:A393" si="48">A374+1</f>
        <v>2</v>
      </c>
      <c r="B375" s="65" t="s">
        <v>345</v>
      </c>
      <c r="C375" s="65" t="s">
        <v>321</v>
      </c>
      <c r="D375" s="66">
        <f t="shared" si="45"/>
        <v>322.70472000000001</v>
      </c>
      <c r="E375" s="66">
        <f t="shared" ref="E375:E393" si="49">(0.75*2.7+1.2*1.25)*10.764</f>
        <v>37.943100000000001</v>
      </c>
      <c r="F375" s="65">
        <f t="shared" si="46"/>
        <v>360.64782000000002</v>
      </c>
      <c r="G375" s="65">
        <v>0</v>
      </c>
      <c r="H375" s="65">
        <f t="shared" si="47"/>
        <v>540.97172999999998</v>
      </c>
      <c r="I375" s="35"/>
      <c r="L375" s="88"/>
      <c r="M375" s="88"/>
      <c r="N375" s="35"/>
      <c r="T375" s="20"/>
    </row>
    <row r="376" spans="1:20" s="36" customFormat="1" ht="15.75" customHeight="1" x14ac:dyDescent="0.3">
      <c r="A376" s="57">
        <f t="shared" si="48"/>
        <v>3</v>
      </c>
      <c r="B376" s="65" t="s">
        <v>345</v>
      </c>
      <c r="C376" s="57" t="s">
        <v>321</v>
      </c>
      <c r="D376" s="66">
        <f t="shared" si="45"/>
        <v>322.70472000000001</v>
      </c>
      <c r="E376" s="66">
        <f t="shared" si="49"/>
        <v>37.943100000000001</v>
      </c>
      <c r="F376" s="57">
        <f t="shared" si="46"/>
        <v>360.64782000000002</v>
      </c>
      <c r="G376" s="65">
        <v>0</v>
      </c>
      <c r="H376" s="57">
        <f t="shared" si="47"/>
        <v>540.97172999999998</v>
      </c>
      <c r="I376" s="35"/>
      <c r="L376" s="88"/>
      <c r="M376" s="88"/>
      <c r="N376" s="35"/>
    </row>
    <row r="377" spans="1:20" s="36" customFormat="1" ht="15.75" customHeight="1" x14ac:dyDescent="0.3">
      <c r="A377" s="57">
        <f t="shared" si="48"/>
        <v>4</v>
      </c>
      <c r="B377" s="65" t="s">
        <v>345</v>
      </c>
      <c r="C377" s="57" t="s">
        <v>321</v>
      </c>
      <c r="D377" s="66">
        <f t="shared" si="45"/>
        <v>322.70472000000001</v>
      </c>
      <c r="E377" s="66">
        <f t="shared" si="49"/>
        <v>37.943100000000001</v>
      </c>
      <c r="F377" s="57">
        <f t="shared" si="46"/>
        <v>360.64782000000002</v>
      </c>
      <c r="G377" s="65">
        <v>0</v>
      </c>
      <c r="H377" s="57">
        <f t="shared" si="47"/>
        <v>540.97172999999998</v>
      </c>
      <c r="I377" s="35"/>
      <c r="L377" s="88"/>
      <c r="M377" s="88"/>
      <c r="N377" s="35"/>
      <c r="T377" s="20"/>
    </row>
    <row r="378" spans="1:20" s="36" customFormat="1" ht="15.75" customHeight="1" x14ac:dyDescent="0.3">
      <c r="A378" s="57">
        <f t="shared" si="48"/>
        <v>5</v>
      </c>
      <c r="B378" s="65" t="s">
        <v>345</v>
      </c>
      <c r="C378" s="57" t="s">
        <v>321</v>
      </c>
      <c r="D378" s="66">
        <f t="shared" si="45"/>
        <v>322.70472000000001</v>
      </c>
      <c r="E378" s="66">
        <f t="shared" si="49"/>
        <v>37.943100000000001</v>
      </c>
      <c r="F378" s="57">
        <f t="shared" si="46"/>
        <v>360.64782000000002</v>
      </c>
      <c r="G378" s="65">
        <v>0</v>
      </c>
      <c r="H378" s="57">
        <f t="shared" si="47"/>
        <v>540.97172999999998</v>
      </c>
      <c r="I378" s="35"/>
      <c r="L378" s="88"/>
      <c r="M378" s="88"/>
      <c r="N378" s="35"/>
    </row>
    <row r="379" spans="1:20" s="36" customFormat="1" ht="15.75" customHeight="1" x14ac:dyDescent="0.3">
      <c r="A379" s="57">
        <f t="shared" si="48"/>
        <v>6</v>
      </c>
      <c r="B379" s="65" t="s">
        <v>345</v>
      </c>
      <c r="C379" s="57" t="s">
        <v>321</v>
      </c>
      <c r="D379" s="66">
        <f t="shared" si="45"/>
        <v>322.70472000000001</v>
      </c>
      <c r="E379" s="66">
        <f t="shared" si="49"/>
        <v>37.943100000000001</v>
      </c>
      <c r="F379" s="57">
        <f t="shared" si="46"/>
        <v>360.64782000000002</v>
      </c>
      <c r="G379" s="65">
        <v>0</v>
      </c>
      <c r="H379" s="57">
        <f t="shared" si="47"/>
        <v>540.97172999999998</v>
      </c>
      <c r="I379" s="35"/>
      <c r="L379" s="88"/>
      <c r="M379" s="88"/>
      <c r="N379" s="35"/>
    </row>
    <row r="380" spans="1:20" s="36" customFormat="1" ht="15.75" customHeight="1" x14ac:dyDescent="0.3">
      <c r="A380" s="57">
        <f t="shared" si="48"/>
        <v>7</v>
      </c>
      <c r="B380" s="65" t="s">
        <v>345</v>
      </c>
      <c r="C380" s="57" t="s">
        <v>321</v>
      </c>
      <c r="D380" s="66">
        <f t="shared" si="45"/>
        <v>322.70472000000001</v>
      </c>
      <c r="E380" s="66">
        <f t="shared" si="49"/>
        <v>37.943100000000001</v>
      </c>
      <c r="F380" s="57">
        <f t="shared" si="46"/>
        <v>360.64782000000002</v>
      </c>
      <c r="G380" s="65">
        <v>0</v>
      </c>
      <c r="H380" s="57">
        <f t="shared" si="47"/>
        <v>540.97172999999998</v>
      </c>
      <c r="I380" s="35"/>
      <c r="L380" s="88"/>
      <c r="M380" s="88"/>
      <c r="N380" s="35"/>
    </row>
    <row r="381" spans="1:20" s="36" customFormat="1" ht="15.75" customHeight="1" x14ac:dyDescent="0.3">
      <c r="A381" s="57">
        <f t="shared" si="48"/>
        <v>8</v>
      </c>
      <c r="B381" s="65" t="s">
        <v>345</v>
      </c>
      <c r="C381" s="57" t="s">
        <v>321</v>
      </c>
      <c r="D381" s="66">
        <f t="shared" si="45"/>
        <v>322.70472000000001</v>
      </c>
      <c r="E381" s="66">
        <f t="shared" si="49"/>
        <v>37.943100000000001</v>
      </c>
      <c r="F381" s="57">
        <f>D381+E381</f>
        <v>360.64782000000002</v>
      </c>
      <c r="G381" s="65">
        <v>0</v>
      </c>
      <c r="H381" s="57">
        <f t="shared" si="47"/>
        <v>540.97172999999998</v>
      </c>
      <c r="I381" s="35"/>
      <c r="L381" s="88"/>
      <c r="M381" s="88"/>
      <c r="N381" s="35"/>
    </row>
    <row r="382" spans="1:20" s="36" customFormat="1" ht="15.75" customHeight="1" x14ac:dyDescent="0.3">
      <c r="A382" s="57">
        <f t="shared" si="48"/>
        <v>9</v>
      </c>
      <c r="B382" s="65" t="s">
        <v>345</v>
      </c>
      <c r="C382" s="57" t="s">
        <v>321</v>
      </c>
      <c r="D382" s="66">
        <f t="shared" si="45"/>
        <v>322.70472000000001</v>
      </c>
      <c r="E382" s="66">
        <f t="shared" si="49"/>
        <v>37.943100000000001</v>
      </c>
      <c r="F382" s="57">
        <f t="shared" si="46"/>
        <v>360.64782000000002</v>
      </c>
      <c r="G382" s="65">
        <v>0</v>
      </c>
      <c r="H382" s="57">
        <f t="shared" si="47"/>
        <v>540.97172999999998</v>
      </c>
      <c r="I382" s="35"/>
      <c r="L382" s="88"/>
      <c r="M382" s="88"/>
      <c r="N382" s="35"/>
    </row>
    <row r="383" spans="1:20" s="36" customFormat="1" ht="15.75" customHeight="1" x14ac:dyDescent="0.3">
      <c r="A383" s="57">
        <f t="shared" si="48"/>
        <v>10</v>
      </c>
      <c r="B383" s="65" t="s">
        <v>345</v>
      </c>
      <c r="C383" s="57" t="s">
        <v>321</v>
      </c>
      <c r="D383" s="66">
        <f t="shared" si="45"/>
        <v>322.70472000000001</v>
      </c>
      <c r="E383" s="66">
        <f t="shared" si="49"/>
        <v>37.943100000000001</v>
      </c>
      <c r="F383" s="57">
        <f t="shared" si="46"/>
        <v>360.64782000000002</v>
      </c>
      <c r="G383" s="65">
        <v>0</v>
      </c>
      <c r="H383" s="57">
        <f t="shared" si="47"/>
        <v>540.97172999999998</v>
      </c>
      <c r="I383" s="35"/>
      <c r="L383" s="88"/>
      <c r="M383" s="88"/>
      <c r="N383" s="35"/>
    </row>
    <row r="384" spans="1:20" s="36" customFormat="1" ht="15.75" customHeight="1" x14ac:dyDescent="0.3">
      <c r="A384" s="57">
        <f t="shared" si="48"/>
        <v>11</v>
      </c>
      <c r="B384" s="65" t="s">
        <v>345</v>
      </c>
      <c r="C384" s="57" t="s">
        <v>321</v>
      </c>
      <c r="D384" s="66">
        <f t="shared" si="45"/>
        <v>322.70472000000001</v>
      </c>
      <c r="E384" s="66">
        <f t="shared" si="49"/>
        <v>37.943100000000001</v>
      </c>
      <c r="F384" s="57">
        <f t="shared" si="46"/>
        <v>360.64782000000002</v>
      </c>
      <c r="G384" s="65">
        <v>0</v>
      </c>
      <c r="H384" s="57">
        <f t="shared" si="47"/>
        <v>540.97172999999998</v>
      </c>
      <c r="I384" s="35"/>
      <c r="L384" s="88"/>
      <c r="M384" s="88"/>
      <c r="N384" s="35"/>
    </row>
    <row r="385" spans="1:20" s="36" customFormat="1" ht="15.75" customHeight="1" x14ac:dyDescent="0.3">
      <c r="A385" s="57">
        <f t="shared" si="48"/>
        <v>12</v>
      </c>
      <c r="B385" s="65" t="s">
        <v>345</v>
      </c>
      <c r="C385" s="57" t="s">
        <v>321</v>
      </c>
      <c r="D385" s="66">
        <f t="shared" si="45"/>
        <v>322.70472000000001</v>
      </c>
      <c r="E385" s="66">
        <f t="shared" si="49"/>
        <v>37.943100000000001</v>
      </c>
      <c r="F385" s="57">
        <f t="shared" si="46"/>
        <v>360.64782000000002</v>
      </c>
      <c r="G385" s="65">
        <v>0</v>
      </c>
      <c r="H385" s="57">
        <f t="shared" si="47"/>
        <v>540.97172999999998</v>
      </c>
      <c r="I385" s="35"/>
      <c r="L385" s="88"/>
      <c r="M385" s="88"/>
      <c r="N385" s="35"/>
    </row>
    <row r="386" spans="1:20" s="36" customFormat="1" ht="15.75" customHeight="1" x14ac:dyDescent="0.3">
      <c r="A386" s="57">
        <f t="shared" si="48"/>
        <v>13</v>
      </c>
      <c r="B386" s="65" t="s">
        <v>345</v>
      </c>
      <c r="C386" s="57" t="s">
        <v>321</v>
      </c>
      <c r="D386" s="66">
        <f t="shared" si="45"/>
        <v>322.70472000000001</v>
      </c>
      <c r="E386" s="66">
        <f t="shared" si="49"/>
        <v>37.943100000000001</v>
      </c>
      <c r="F386" s="57">
        <f>D386+E386</f>
        <v>360.64782000000002</v>
      </c>
      <c r="G386" s="65">
        <v>0</v>
      </c>
      <c r="H386" s="57">
        <f t="shared" si="47"/>
        <v>540.97172999999998</v>
      </c>
      <c r="I386" s="35"/>
      <c r="L386" s="88"/>
      <c r="M386" s="88"/>
      <c r="N386" s="35"/>
    </row>
    <row r="387" spans="1:20" s="36" customFormat="1" ht="15.75" customHeight="1" x14ac:dyDescent="0.3">
      <c r="A387" s="57">
        <f t="shared" si="48"/>
        <v>14</v>
      </c>
      <c r="B387" s="65" t="s">
        <v>345</v>
      </c>
      <c r="C387" s="57" t="s">
        <v>321</v>
      </c>
      <c r="D387" s="66">
        <f t="shared" si="45"/>
        <v>322.70472000000001</v>
      </c>
      <c r="E387" s="66">
        <f t="shared" si="49"/>
        <v>37.943100000000001</v>
      </c>
      <c r="F387" s="57">
        <f t="shared" si="46"/>
        <v>360.64782000000002</v>
      </c>
      <c r="G387" s="65">
        <v>0</v>
      </c>
      <c r="H387" s="57">
        <f t="shared" si="47"/>
        <v>540.97172999999998</v>
      </c>
      <c r="I387" s="35"/>
      <c r="L387" s="88"/>
      <c r="M387" s="88"/>
      <c r="N387" s="35"/>
    </row>
    <row r="388" spans="1:20" s="36" customFormat="1" ht="15.75" customHeight="1" x14ac:dyDescent="0.3">
      <c r="A388" s="57">
        <f t="shared" si="48"/>
        <v>15</v>
      </c>
      <c r="B388" s="65" t="s">
        <v>345</v>
      </c>
      <c r="C388" s="57" t="s">
        <v>321</v>
      </c>
      <c r="D388" s="66">
        <f t="shared" si="45"/>
        <v>322.70472000000001</v>
      </c>
      <c r="E388" s="66">
        <f t="shared" si="49"/>
        <v>37.943100000000001</v>
      </c>
      <c r="F388" s="57">
        <f t="shared" si="46"/>
        <v>360.64782000000002</v>
      </c>
      <c r="G388" s="65">
        <v>0</v>
      </c>
      <c r="H388" s="57">
        <f t="shared" si="47"/>
        <v>540.97172999999998</v>
      </c>
      <c r="I388" s="35"/>
      <c r="L388" s="88"/>
      <c r="M388" s="88"/>
      <c r="N388" s="35"/>
    </row>
    <row r="389" spans="1:20" s="36" customFormat="1" ht="15.75" customHeight="1" x14ac:dyDescent="0.3">
      <c r="A389" s="57">
        <f t="shared" si="48"/>
        <v>16</v>
      </c>
      <c r="B389" s="65" t="s">
        <v>345</v>
      </c>
      <c r="C389" s="57" t="s">
        <v>321</v>
      </c>
      <c r="D389" s="66">
        <f t="shared" si="45"/>
        <v>322.70472000000001</v>
      </c>
      <c r="E389" s="66">
        <f t="shared" si="49"/>
        <v>37.943100000000001</v>
      </c>
      <c r="F389" s="57">
        <f t="shared" si="46"/>
        <v>360.64782000000002</v>
      </c>
      <c r="G389" s="65">
        <v>0</v>
      </c>
      <c r="H389" s="57">
        <f t="shared" si="47"/>
        <v>540.97172999999998</v>
      </c>
      <c r="I389" s="35"/>
      <c r="L389" s="88"/>
      <c r="M389" s="88"/>
      <c r="N389" s="35"/>
    </row>
    <row r="390" spans="1:20" s="36" customFormat="1" ht="15.75" customHeight="1" x14ac:dyDescent="0.3">
      <c r="A390" s="57">
        <f t="shared" si="48"/>
        <v>17</v>
      </c>
      <c r="B390" s="65" t="s">
        <v>345</v>
      </c>
      <c r="C390" s="57" t="s">
        <v>321</v>
      </c>
      <c r="D390" s="66">
        <f t="shared" si="45"/>
        <v>322.70472000000001</v>
      </c>
      <c r="E390" s="66">
        <f t="shared" si="49"/>
        <v>37.943100000000001</v>
      </c>
      <c r="F390" s="57">
        <f t="shared" si="46"/>
        <v>360.64782000000002</v>
      </c>
      <c r="G390" s="65">
        <v>0</v>
      </c>
      <c r="H390" s="57">
        <f t="shared" si="47"/>
        <v>540.97172999999998</v>
      </c>
      <c r="I390" s="35"/>
      <c r="L390" s="88"/>
      <c r="M390" s="88"/>
      <c r="N390" s="35"/>
    </row>
    <row r="391" spans="1:20" s="36" customFormat="1" ht="15.75" customHeight="1" x14ac:dyDescent="0.3">
      <c r="A391" s="57">
        <f t="shared" si="48"/>
        <v>18</v>
      </c>
      <c r="B391" s="65" t="s">
        <v>345</v>
      </c>
      <c r="C391" s="57" t="s">
        <v>321</v>
      </c>
      <c r="D391" s="66">
        <f t="shared" si="45"/>
        <v>322.70472000000001</v>
      </c>
      <c r="E391" s="66">
        <f t="shared" si="49"/>
        <v>37.943100000000001</v>
      </c>
      <c r="F391" s="57">
        <f t="shared" si="46"/>
        <v>360.64782000000002</v>
      </c>
      <c r="G391" s="65">
        <v>0</v>
      </c>
      <c r="H391" s="57">
        <f t="shared" si="47"/>
        <v>540.97172999999998</v>
      </c>
      <c r="I391" s="35"/>
      <c r="L391" s="88"/>
      <c r="M391" s="88"/>
      <c r="N391" s="35"/>
    </row>
    <row r="392" spans="1:20" s="36" customFormat="1" ht="15.75" customHeight="1" x14ac:dyDescent="0.3">
      <c r="A392" s="57">
        <f t="shared" si="48"/>
        <v>19</v>
      </c>
      <c r="B392" s="65" t="s">
        <v>345</v>
      </c>
      <c r="C392" s="57" t="s">
        <v>321</v>
      </c>
      <c r="D392" s="66">
        <f t="shared" si="45"/>
        <v>322.70472000000001</v>
      </c>
      <c r="E392" s="66">
        <f t="shared" si="49"/>
        <v>37.943100000000001</v>
      </c>
      <c r="F392" s="57">
        <f t="shared" si="46"/>
        <v>360.64782000000002</v>
      </c>
      <c r="G392" s="65">
        <v>0</v>
      </c>
      <c r="H392" s="57">
        <f t="shared" si="47"/>
        <v>540.97172999999998</v>
      </c>
      <c r="I392" s="35"/>
      <c r="L392" s="88"/>
      <c r="M392" s="88"/>
      <c r="N392" s="35"/>
    </row>
    <row r="393" spans="1:20" s="36" customFormat="1" ht="15.75" customHeight="1" x14ac:dyDescent="0.3">
      <c r="A393" s="57">
        <f t="shared" si="48"/>
        <v>20</v>
      </c>
      <c r="B393" s="65" t="s">
        <v>345</v>
      </c>
      <c r="C393" s="57" t="s">
        <v>321</v>
      </c>
      <c r="D393" s="66">
        <f t="shared" si="45"/>
        <v>322.70472000000001</v>
      </c>
      <c r="E393" s="66">
        <f t="shared" si="49"/>
        <v>37.943100000000001</v>
      </c>
      <c r="F393" s="57">
        <f t="shared" si="46"/>
        <v>360.64782000000002</v>
      </c>
      <c r="G393" s="65">
        <v>0</v>
      </c>
      <c r="H393" s="57">
        <f t="shared" si="47"/>
        <v>540.97172999999998</v>
      </c>
      <c r="I393" s="35"/>
      <c r="L393" s="88"/>
      <c r="M393" s="88"/>
      <c r="N393" s="35"/>
    </row>
    <row r="394" spans="1:20" s="36" customFormat="1" x14ac:dyDescent="0.3">
      <c r="A394" s="97" t="s">
        <v>333</v>
      </c>
      <c r="B394" s="98"/>
      <c r="C394" s="98"/>
      <c r="D394" s="98"/>
      <c r="E394" s="98"/>
      <c r="F394" s="98"/>
      <c r="G394" s="98"/>
      <c r="H394" s="99"/>
      <c r="J394" s="35"/>
    </row>
    <row r="395" spans="1:20" s="36" customFormat="1" ht="15.75" customHeight="1" x14ac:dyDescent="0.3">
      <c r="A395" s="95">
        <v>1</v>
      </c>
      <c r="B395" s="96"/>
      <c r="C395" s="65" t="s">
        <v>321</v>
      </c>
      <c r="D395" s="66">
        <f t="shared" ref="D395:D414" si="50">(29.98)*10.764</f>
        <v>322.70472000000001</v>
      </c>
      <c r="E395" s="66">
        <f t="shared" ref="E395:E414" si="51">(0.75*2.7+1.2*1.25)*10.764</f>
        <v>37.943100000000001</v>
      </c>
      <c r="F395" s="65">
        <f t="shared" ref="F395:F401" si="52">D395+E395</f>
        <v>360.64782000000002</v>
      </c>
      <c r="G395" s="65">
        <v>0</v>
      </c>
      <c r="H395" s="65">
        <f t="shared" ref="H395:H414" si="53">F395*(($H$204)+1)+(IF(G395&lt;101,G395,IF(G395&lt;201,G395/2,IF(G395&lt;=301,G395/3,G395/4))))</f>
        <v>540.97172999999998</v>
      </c>
      <c r="I395" s="35"/>
      <c r="L395" s="88"/>
      <c r="M395" s="88"/>
      <c r="N395" s="35"/>
    </row>
    <row r="396" spans="1:20" s="36" customFormat="1" ht="15.75" customHeight="1" x14ac:dyDescent="0.3">
      <c r="A396" s="95">
        <f t="shared" ref="A396:A414" si="54">A395+1</f>
        <v>2</v>
      </c>
      <c r="B396" s="96"/>
      <c r="C396" s="65" t="s">
        <v>321</v>
      </c>
      <c r="D396" s="66">
        <f t="shared" si="50"/>
        <v>322.70472000000001</v>
      </c>
      <c r="E396" s="66">
        <f t="shared" si="51"/>
        <v>37.943100000000001</v>
      </c>
      <c r="F396" s="65">
        <f t="shared" si="52"/>
        <v>360.64782000000002</v>
      </c>
      <c r="G396" s="65">
        <v>0</v>
      </c>
      <c r="H396" s="65">
        <f t="shared" si="53"/>
        <v>540.97172999999998</v>
      </c>
      <c r="I396" s="35"/>
      <c r="L396" s="88"/>
      <c r="M396" s="88"/>
      <c r="N396" s="35"/>
    </row>
    <row r="397" spans="1:20" s="36" customFormat="1" ht="15.75" customHeight="1" x14ac:dyDescent="0.3">
      <c r="A397" s="86">
        <f t="shared" si="54"/>
        <v>3</v>
      </c>
      <c r="B397" s="87"/>
      <c r="C397" s="57" t="s">
        <v>321</v>
      </c>
      <c r="D397" s="66">
        <f t="shared" si="50"/>
        <v>322.70472000000001</v>
      </c>
      <c r="E397" s="66">
        <f t="shared" si="51"/>
        <v>37.943100000000001</v>
      </c>
      <c r="F397" s="57">
        <f t="shared" si="52"/>
        <v>360.64782000000002</v>
      </c>
      <c r="G397" s="65">
        <v>0</v>
      </c>
      <c r="H397" s="57">
        <f t="shared" si="53"/>
        <v>540.97172999999998</v>
      </c>
      <c r="I397" s="35"/>
      <c r="L397" s="88"/>
      <c r="M397" s="88"/>
      <c r="N397" s="35"/>
    </row>
    <row r="398" spans="1:20" s="36" customFormat="1" ht="15.75" customHeight="1" x14ac:dyDescent="0.3">
      <c r="A398" s="86">
        <f t="shared" si="54"/>
        <v>4</v>
      </c>
      <c r="B398" s="87"/>
      <c r="C398" s="57" t="s">
        <v>321</v>
      </c>
      <c r="D398" s="66">
        <f t="shared" si="50"/>
        <v>322.70472000000001</v>
      </c>
      <c r="E398" s="66">
        <f t="shared" si="51"/>
        <v>37.943100000000001</v>
      </c>
      <c r="F398" s="57">
        <f t="shared" si="52"/>
        <v>360.64782000000002</v>
      </c>
      <c r="G398" s="65">
        <v>0</v>
      </c>
      <c r="H398" s="57">
        <f t="shared" si="53"/>
        <v>540.97172999999998</v>
      </c>
      <c r="I398" s="35"/>
      <c r="L398" s="88"/>
      <c r="M398" s="88"/>
      <c r="N398" s="35"/>
      <c r="T398" s="20"/>
    </row>
    <row r="399" spans="1:20" s="36" customFormat="1" ht="15.75" customHeight="1" x14ac:dyDescent="0.3">
      <c r="A399" s="86">
        <f t="shared" si="54"/>
        <v>5</v>
      </c>
      <c r="B399" s="87"/>
      <c r="C399" s="57" t="s">
        <v>321</v>
      </c>
      <c r="D399" s="66">
        <f t="shared" si="50"/>
        <v>322.70472000000001</v>
      </c>
      <c r="E399" s="66">
        <f t="shared" si="51"/>
        <v>37.943100000000001</v>
      </c>
      <c r="F399" s="57">
        <f t="shared" si="52"/>
        <v>360.64782000000002</v>
      </c>
      <c r="G399" s="65">
        <v>0</v>
      </c>
      <c r="H399" s="57">
        <f t="shared" si="53"/>
        <v>540.97172999999998</v>
      </c>
      <c r="I399" s="35"/>
      <c r="L399" s="88"/>
      <c r="M399" s="88"/>
      <c r="N399" s="35"/>
    </row>
    <row r="400" spans="1:20" s="36" customFormat="1" ht="15.75" customHeight="1" x14ac:dyDescent="0.3">
      <c r="A400" s="86">
        <f t="shared" si="54"/>
        <v>6</v>
      </c>
      <c r="B400" s="87"/>
      <c r="C400" s="57" t="s">
        <v>321</v>
      </c>
      <c r="D400" s="66">
        <f t="shared" si="50"/>
        <v>322.70472000000001</v>
      </c>
      <c r="E400" s="66">
        <f t="shared" si="51"/>
        <v>37.943100000000001</v>
      </c>
      <c r="F400" s="57">
        <f t="shared" si="52"/>
        <v>360.64782000000002</v>
      </c>
      <c r="G400" s="65">
        <v>0</v>
      </c>
      <c r="H400" s="57">
        <f t="shared" si="53"/>
        <v>540.97172999999998</v>
      </c>
      <c r="I400" s="35"/>
      <c r="L400" s="88"/>
      <c r="M400" s="88"/>
      <c r="N400" s="35"/>
    </row>
    <row r="401" spans="1:14" s="36" customFormat="1" ht="15.75" customHeight="1" x14ac:dyDescent="0.3">
      <c r="A401" s="86">
        <f t="shared" si="54"/>
        <v>7</v>
      </c>
      <c r="B401" s="87"/>
      <c r="C401" s="57" t="s">
        <v>321</v>
      </c>
      <c r="D401" s="66">
        <f t="shared" si="50"/>
        <v>322.70472000000001</v>
      </c>
      <c r="E401" s="66">
        <f t="shared" si="51"/>
        <v>37.943100000000001</v>
      </c>
      <c r="F401" s="57">
        <f t="shared" si="52"/>
        <v>360.64782000000002</v>
      </c>
      <c r="G401" s="65">
        <v>0</v>
      </c>
      <c r="H401" s="57">
        <f t="shared" si="53"/>
        <v>540.97172999999998</v>
      </c>
      <c r="I401" s="35"/>
      <c r="L401" s="88"/>
      <c r="M401" s="88"/>
      <c r="N401" s="35"/>
    </row>
    <row r="402" spans="1:14" s="36" customFormat="1" ht="15.75" customHeight="1" x14ac:dyDescent="0.3">
      <c r="A402" s="86">
        <f t="shared" si="54"/>
        <v>8</v>
      </c>
      <c r="B402" s="87"/>
      <c r="C402" s="57" t="s">
        <v>321</v>
      </c>
      <c r="D402" s="66">
        <f t="shared" si="50"/>
        <v>322.70472000000001</v>
      </c>
      <c r="E402" s="66">
        <f t="shared" si="51"/>
        <v>37.943100000000001</v>
      </c>
      <c r="F402" s="57">
        <f>D402+E402</f>
        <v>360.64782000000002</v>
      </c>
      <c r="G402" s="65">
        <v>0</v>
      </c>
      <c r="H402" s="57">
        <f t="shared" si="53"/>
        <v>540.97172999999998</v>
      </c>
      <c r="I402" s="35"/>
      <c r="L402" s="88"/>
      <c r="M402" s="88"/>
      <c r="N402" s="35"/>
    </row>
    <row r="403" spans="1:14" s="36" customFormat="1" ht="15.75" customHeight="1" x14ac:dyDescent="0.3">
      <c r="A403" s="86">
        <f t="shared" si="54"/>
        <v>9</v>
      </c>
      <c r="B403" s="87"/>
      <c r="C403" s="57" t="s">
        <v>321</v>
      </c>
      <c r="D403" s="66">
        <f t="shared" si="50"/>
        <v>322.70472000000001</v>
      </c>
      <c r="E403" s="66">
        <f t="shared" si="51"/>
        <v>37.943100000000001</v>
      </c>
      <c r="F403" s="57">
        <f t="shared" ref="F403:F406" si="55">D403+E403</f>
        <v>360.64782000000002</v>
      </c>
      <c r="G403" s="65">
        <v>0</v>
      </c>
      <c r="H403" s="57">
        <f t="shared" si="53"/>
        <v>540.97172999999998</v>
      </c>
      <c r="I403" s="35"/>
      <c r="L403" s="88"/>
      <c r="M403" s="88"/>
      <c r="N403" s="35"/>
    </row>
    <row r="404" spans="1:14" s="36" customFormat="1" ht="15.75" customHeight="1" x14ac:dyDescent="0.3">
      <c r="A404" s="86">
        <f t="shared" si="54"/>
        <v>10</v>
      </c>
      <c r="B404" s="87"/>
      <c r="C404" s="57" t="s">
        <v>321</v>
      </c>
      <c r="D404" s="66">
        <f t="shared" si="50"/>
        <v>322.70472000000001</v>
      </c>
      <c r="E404" s="66">
        <f t="shared" si="51"/>
        <v>37.943100000000001</v>
      </c>
      <c r="F404" s="57">
        <f t="shared" si="55"/>
        <v>360.64782000000002</v>
      </c>
      <c r="G404" s="65">
        <v>0</v>
      </c>
      <c r="H404" s="57">
        <f t="shared" si="53"/>
        <v>540.97172999999998</v>
      </c>
      <c r="I404" s="35"/>
      <c r="L404" s="88"/>
      <c r="M404" s="88"/>
      <c r="N404" s="35"/>
    </row>
    <row r="405" spans="1:14" s="36" customFormat="1" x14ac:dyDescent="0.3">
      <c r="A405" s="86">
        <f t="shared" si="54"/>
        <v>11</v>
      </c>
      <c r="B405" s="87"/>
      <c r="C405" s="57" t="s">
        <v>321</v>
      </c>
      <c r="D405" s="66">
        <f t="shared" si="50"/>
        <v>322.70472000000001</v>
      </c>
      <c r="E405" s="66">
        <f t="shared" si="51"/>
        <v>37.943100000000001</v>
      </c>
      <c r="F405" s="57">
        <f t="shared" si="55"/>
        <v>360.64782000000002</v>
      </c>
      <c r="G405" s="65">
        <v>0</v>
      </c>
      <c r="H405" s="57">
        <f t="shared" si="53"/>
        <v>540.97172999999998</v>
      </c>
      <c r="I405" s="35"/>
      <c r="L405" s="88"/>
      <c r="M405" s="88"/>
      <c r="N405" s="35"/>
    </row>
    <row r="406" spans="1:14" s="36" customFormat="1" ht="15.75" customHeight="1" x14ac:dyDescent="0.3">
      <c r="A406" s="86">
        <f t="shared" si="54"/>
        <v>12</v>
      </c>
      <c r="B406" s="87"/>
      <c r="C406" s="57" t="s">
        <v>321</v>
      </c>
      <c r="D406" s="66">
        <f t="shared" si="50"/>
        <v>322.70472000000001</v>
      </c>
      <c r="E406" s="66">
        <f t="shared" si="51"/>
        <v>37.943100000000001</v>
      </c>
      <c r="F406" s="57">
        <f t="shared" si="55"/>
        <v>360.64782000000002</v>
      </c>
      <c r="G406" s="65">
        <v>0</v>
      </c>
      <c r="H406" s="57">
        <f t="shared" si="53"/>
        <v>540.97172999999998</v>
      </c>
      <c r="I406" s="35"/>
      <c r="L406" s="88"/>
      <c r="M406" s="88"/>
      <c r="N406" s="35"/>
    </row>
    <row r="407" spans="1:14" s="36" customFormat="1" ht="15.75" customHeight="1" x14ac:dyDescent="0.3">
      <c r="A407" s="86">
        <f t="shared" si="54"/>
        <v>13</v>
      </c>
      <c r="B407" s="87"/>
      <c r="C407" s="57" t="s">
        <v>321</v>
      </c>
      <c r="D407" s="66">
        <f t="shared" si="50"/>
        <v>322.70472000000001</v>
      </c>
      <c r="E407" s="66">
        <f t="shared" si="51"/>
        <v>37.943100000000001</v>
      </c>
      <c r="F407" s="57">
        <f>D407+E407</f>
        <v>360.64782000000002</v>
      </c>
      <c r="G407" s="65">
        <v>0</v>
      </c>
      <c r="H407" s="57">
        <f t="shared" si="53"/>
        <v>540.97172999999998</v>
      </c>
      <c r="I407" s="35"/>
      <c r="L407" s="88"/>
      <c r="M407" s="88"/>
      <c r="N407" s="35"/>
    </row>
    <row r="408" spans="1:14" s="36" customFormat="1" ht="15.75" customHeight="1" x14ac:dyDescent="0.3">
      <c r="A408" s="86">
        <f t="shared" si="54"/>
        <v>14</v>
      </c>
      <c r="B408" s="87"/>
      <c r="C408" s="57" t="s">
        <v>321</v>
      </c>
      <c r="D408" s="66">
        <f t="shared" si="50"/>
        <v>322.70472000000001</v>
      </c>
      <c r="E408" s="66">
        <f t="shared" si="51"/>
        <v>37.943100000000001</v>
      </c>
      <c r="F408" s="57">
        <f t="shared" ref="F408:F414" si="56">D408+E408</f>
        <v>360.64782000000002</v>
      </c>
      <c r="G408" s="65">
        <v>0</v>
      </c>
      <c r="H408" s="57">
        <f t="shared" si="53"/>
        <v>540.97172999999998</v>
      </c>
      <c r="I408" s="35"/>
      <c r="L408" s="88"/>
      <c r="M408" s="88"/>
      <c r="N408" s="35"/>
    </row>
    <row r="409" spans="1:14" s="36" customFormat="1" ht="15.75" customHeight="1" x14ac:dyDescent="0.3">
      <c r="A409" s="86">
        <f t="shared" si="54"/>
        <v>15</v>
      </c>
      <c r="B409" s="87"/>
      <c r="C409" s="57" t="s">
        <v>321</v>
      </c>
      <c r="D409" s="66">
        <f t="shared" si="50"/>
        <v>322.70472000000001</v>
      </c>
      <c r="E409" s="66">
        <f t="shared" si="51"/>
        <v>37.943100000000001</v>
      </c>
      <c r="F409" s="57">
        <f t="shared" si="56"/>
        <v>360.64782000000002</v>
      </c>
      <c r="G409" s="65">
        <v>0</v>
      </c>
      <c r="H409" s="57">
        <f t="shared" si="53"/>
        <v>540.97172999999998</v>
      </c>
      <c r="I409" s="35"/>
      <c r="L409" s="88"/>
      <c r="M409" s="88"/>
      <c r="N409" s="35"/>
    </row>
    <row r="410" spans="1:14" s="36" customFormat="1" ht="15.75" customHeight="1" x14ac:dyDescent="0.3">
      <c r="A410" s="86">
        <f t="shared" si="54"/>
        <v>16</v>
      </c>
      <c r="B410" s="87"/>
      <c r="C410" s="57" t="s">
        <v>321</v>
      </c>
      <c r="D410" s="66">
        <f t="shared" si="50"/>
        <v>322.70472000000001</v>
      </c>
      <c r="E410" s="66">
        <f t="shared" si="51"/>
        <v>37.943100000000001</v>
      </c>
      <c r="F410" s="57">
        <f t="shared" si="56"/>
        <v>360.64782000000002</v>
      </c>
      <c r="G410" s="65">
        <v>0</v>
      </c>
      <c r="H410" s="57">
        <f t="shared" si="53"/>
        <v>540.97172999999998</v>
      </c>
      <c r="I410" s="35"/>
      <c r="L410" s="88"/>
      <c r="M410" s="88"/>
      <c r="N410" s="35"/>
    </row>
    <row r="411" spans="1:14" s="36" customFormat="1" ht="15.75" customHeight="1" x14ac:dyDescent="0.3">
      <c r="A411" s="86">
        <f t="shared" si="54"/>
        <v>17</v>
      </c>
      <c r="B411" s="87"/>
      <c r="C411" s="57" t="s">
        <v>321</v>
      </c>
      <c r="D411" s="66">
        <f t="shared" si="50"/>
        <v>322.70472000000001</v>
      </c>
      <c r="E411" s="66">
        <f t="shared" si="51"/>
        <v>37.943100000000001</v>
      </c>
      <c r="F411" s="57">
        <f t="shared" si="56"/>
        <v>360.64782000000002</v>
      </c>
      <c r="G411" s="65">
        <v>0</v>
      </c>
      <c r="H411" s="57">
        <f t="shared" si="53"/>
        <v>540.97172999999998</v>
      </c>
      <c r="I411" s="35"/>
      <c r="L411" s="88"/>
      <c r="M411" s="88"/>
      <c r="N411" s="35"/>
    </row>
    <row r="412" spans="1:14" s="36" customFormat="1" ht="15.75" customHeight="1" x14ac:dyDescent="0.3">
      <c r="A412" s="86">
        <f t="shared" si="54"/>
        <v>18</v>
      </c>
      <c r="B412" s="87"/>
      <c r="C412" s="57" t="s">
        <v>321</v>
      </c>
      <c r="D412" s="66">
        <f t="shared" si="50"/>
        <v>322.70472000000001</v>
      </c>
      <c r="E412" s="66">
        <f t="shared" si="51"/>
        <v>37.943100000000001</v>
      </c>
      <c r="F412" s="57">
        <f t="shared" si="56"/>
        <v>360.64782000000002</v>
      </c>
      <c r="G412" s="65">
        <v>0</v>
      </c>
      <c r="H412" s="57">
        <f t="shared" si="53"/>
        <v>540.97172999999998</v>
      </c>
      <c r="I412" s="35"/>
      <c r="L412" s="88"/>
      <c r="M412" s="88"/>
      <c r="N412" s="35"/>
    </row>
    <row r="413" spans="1:14" s="36" customFormat="1" ht="15.75" customHeight="1" x14ac:dyDescent="0.3">
      <c r="A413" s="86">
        <f t="shared" si="54"/>
        <v>19</v>
      </c>
      <c r="B413" s="87"/>
      <c r="C413" s="57" t="s">
        <v>321</v>
      </c>
      <c r="D413" s="66">
        <f t="shared" si="50"/>
        <v>322.70472000000001</v>
      </c>
      <c r="E413" s="66">
        <f t="shared" si="51"/>
        <v>37.943100000000001</v>
      </c>
      <c r="F413" s="57">
        <f t="shared" si="56"/>
        <v>360.64782000000002</v>
      </c>
      <c r="G413" s="65">
        <v>0</v>
      </c>
      <c r="H413" s="57">
        <f t="shared" si="53"/>
        <v>540.97172999999998</v>
      </c>
      <c r="I413" s="35"/>
      <c r="L413" s="88"/>
      <c r="M413" s="88"/>
      <c r="N413" s="35"/>
    </row>
    <row r="414" spans="1:14" s="36" customFormat="1" ht="15.75" customHeight="1" x14ac:dyDescent="0.3">
      <c r="A414" s="86">
        <f t="shared" si="54"/>
        <v>20</v>
      </c>
      <c r="B414" s="87"/>
      <c r="C414" s="57" t="s">
        <v>321</v>
      </c>
      <c r="D414" s="66">
        <f t="shared" si="50"/>
        <v>322.70472000000001</v>
      </c>
      <c r="E414" s="66">
        <f t="shared" si="51"/>
        <v>37.943100000000001</v>
      </c>
      <c r="F414" s="57">
        <f t="shared" si="56"/>
        <v>360.64782000000002</v>
      </c>
      <c r="G414" s="65">
        <v>0</v>
      </c>
      <c r="H414" s="57">
        <f t="shared" si="53"/>
        <v>540.97172999999998</v>
      </c>
      <c r="I414" s="35"/>
      <c r="L414" s="88"/>
      <c r="M414" s="88"/>
      <c r="N414" s="35"/>
    </row>
    <row r="415" spans="1:14" s="36" customFormat="1" x14ac:dyDescent="0.3">
      <c r="A415" s="97" t="s">
        <v>334</v>
      </c>
      <c r="B415" s="98"/>
      <c r="C415" s="98"/>
      <c r="D415" s="98"/>
      <c r="E415" s="98"/>
      <c r="F415" s="98"/>
      <c r="G415" s="98"/>
      <c r="H415" s="99"/>
      <c r="J415" s="35"/>
    </row>
    <row r="416" spans="1:14" s="36" customFormat="1" ht="15.75" customHeight="1" x14ac:dyDescent="0.3">
      <c r="A416" s="95">
        <v>1</v>
      </c>
      <c r="B416" s="96"/>
      <c r="C416" s="65" t="s">
        <v>321</v>
      </c>
      <c r="D416" s="66">
        <f t="shared" ref="D416:D435" si="57">(29.98)*10.764</f>
        <v>322.70472000000001</v>
      </c>
      <c r="E416" s="66">
        <f t="shared" ref="E416:E435" si="58">(0.75*2.7+1.2*1.25)*10.764</f>
        <v>37.943100000000001</v>
      </c>
      <c r="F416" s="65">
        <f t="shared" ref="F416:F422" si="59">D416+E416</f>
        <v>360.64782000000002</v>
      </c>
      <c r="G416" s="65">
        <v>0</v>
      </c>
      <c r="H416" s="65">
        <f t="shared" ref="H416:H435" si="60">F416*(($H$204)+1)+(IF(G416&lt;101,G416,IF(G416&lt;201,G416/2,IF(G416&lt;=301,G416/3,G416/4))))</f>
        <v>540.97172999999998</v>
      </c>
      <c r="I416" s="35"/>
      <c r="L416" s="88"/>
      <c r="M416" s="88"/>
      <c r="N416" s="35"/>
    </row>
    <row r="417" spans="1:20" s="36" customFormat="1" ht="15.75" customHeight="1" x14ac:dyDescent="0.3">
      <c r="A417" s="95">
        <f t="shared" ref="A417:A435" si="61">A416+1</f>
        <v>2</v>
      </c>
      <c r="B417" s="96"/>
      <c r="C417" s="65" t="s">
        <v>321</v>
      </c>
      <c r="D417" s="66">
        <f t="shared" si="57"/>
        <v>322.70472000000001</v>
      </c>
      <c r="E417" s="66">
        <f t="shared" si="58"/>
        <v>37.943100000000001</v>
      </c>
      <c r="F417" s="65">
        <f t="shared" si="59"/>
        <v>360.64782000000002</v>
      </c>
      <c r="G417" s="65">
        <v>0</v>
      </c>
      <c r="H417" s="65">
        <f t="shared" si="60"/>
        <v>540.97172999999998</v>
      </c>
      <c r="I417" s="35"/>
      <c r="L417" s="88"/>
      <c r="M417" s="88"/>
      <c r="N417" s="35"/>
    </row>
    <row r="418" spans="1:20" s="36" customFormat="1" ht="15.75" customHeight="1" x14ac:dyDescent="0.3">
      <c r="A418" s="86">
        <f t="shared" si="61"/>
        <v>3</v>
      </c>
      <c r="B418" s="87"/>
      <c r="C418" s="57" t="s">
        <v>321</v>
      </c>
      <c r="D418" s="66">
        <f t="shared" si="57"/>
        <v>322.70472000000001</v>
      </c>
      <c r="E418" s="66">
        <f t="shared" si="58"/>
        <v>37.943100000000001</v>
      </c>
      <c r="F418" s="57">
        <f t="shared" si="59"/>
        <v>360.64782000000002</v>
      </c>
      <c r="G418" s="65">
        <v>0</v>
      </c>
      <c r="H418" s="57">
        <f t="shared" si="60"/>
        <v>540.97172999999998</v>
      </c>
      <c r="I418" s="35"/>
      <c r="L418" s="88"/>
      <c r="M418" s="88"/>
      <c r="N418" s="35"/>
    </row>
    <row r="419" spans="1:20" s="36" customFormat="1" ht="15.75" customHeight="1" x14ac:dyDescent="0.3">
      <c r="A419" s="86">
        <f t="shared" si="61"/>
        <v>4</v>
      </c>
      <c r="B419" s="87"/>
      <c r="C419" s="57" t="s">
        <v>321</v>
      </c>
      <c r="D419" s="66">
        <f t="shared" si="57"/>
        <v>322.70472000000001</v>
      </c>
      <c r="E419" s="66">
        <f t="shared" si="58"/>
        <v>37.943100000000001</v>
      </c>
      <c r="F419" s="57">
        <f t="shared" si="59"/>
        <v>360.64782000000002</v>
      </c>
      <c r="G419" s="65">
        <v>0</v>
      </c>
      <c r="H419" s="57">
        <f t="shared" si="60"/>
        <v>540.97172999999998</v>
      </c>
      <c r="I419" s="35"/>
      <c r="L419" s="88"/>
      <c r="M419" s="88"/>
      <c r="N419" s="35"/>
      <c r="T419" s="20"/>
    </row>
    <row r="420" spans="1:20" s="36" customFormat="1" ht="15.75" customHeight="1" x14ac:dyDescent="0.3">
      <c r="A420" s="86">
        <f t="shared" si="61"/>
        <v>5</v>
      </c>
      <c r="B420" s="87"/>
      <c r="C420" s="57" t="s">
        <v>321</v>
      </c>
      <c r="D420" s="66">
        <f t="shared" si="57"/>
        <v>322.70472000000001</v>
      </c>
      <c r="E420" s="66">
        <f t="shared" si="58"/>
        <v>37.943100000000001</v>
      </c>
      <c r="F420" s="57">
        <f t="shared" si="59"/>
        <v>360.64782000000002</v>
      </c>
      <c r="G420" s="65">
        <v>0</v>
      </c>
      <c r="H420" s="57">
        <f t="shared" si="60"/>
        <v>540.97172999999998</v>
      </c>
      <c r="I420" s="35"/>
      <c r="L420" s="88"/>
      <c r="M420" s="88"/>
      <c r="N420" s="35"/>
    </row>
    <row r="421" spans="1:20" s="36" customFormat="1" ht="15.75" customHeight="1" x14ac:dyDescent="0.3">
      <c r="A421" s="86">
        <f t="shared" si="61"/>
        <v>6</v>
      </c>
      <c r="B421" s="87"/>
      <c r="C421" s="57" t="s">
        <v>321</v>
      </c>
      <c r="D421" s="66">
        <f t="shared" si="57"/>
        <v>322.70472000000001</v>
      </c>
      <c r="E421" s="66">
        <f t="shared" si="58"/>
        <v>37.943100000000001</v>
      </c>
      <c r="F421" s="57">
        <f t="shared" si="59"/>
        <v>360.64782000000002</v>
      </c>
      <c r="G421" s="65">
        <v>0</v>
      </c>
      <c r="H421" s="57">
        <f t="shared" si="60"/>
        <v>540.97172999999998</v>
      </c>
      <c r="I421" s="35"/>
      <c r="L421" s="88"/>
      <c r="M421" s="88"/>
      <c r="N421" s="35"/>
    </row>
    <row r="422" spans="1:20" s="36" customFormat="1" ht="15.75" customHeight="1" x14ac:dyDescent="0.3">
      <c r="A422" s="86">
        <f t="shared" si="61"/>
        <v>7</v>
      </c>
      <c r="B422" s="87"/>
      <c r="C422" s="57" t="s">
        <v>321</v>
      </c>
      <c r="D422" s="66">
        <f t="shared" si="57"/>
        <v>322.70472000000001</v>
      </c>
      <c r="E422" s="66">
        <f t="shared" si="58"/>
        <v>37.943100000000001</v>
      </c>
      <c r="F422" s="57">
        <f t="shared" si="59"/>
        <v>360.64782000000002</v>
      </c>
      <c r="G422" s="65">
        <v>0</v>
      </c>
      <c r="H422" s="57">
        <f t="shared" si="60"/>
        <v>540.97172999999998</v>
      </c>
      <c r="I422" s="35"/>
      <c r="L422" s="88"/>
      <c r="M422" s="88"/>
      <c r="N422" s="35"/>
    </row>
    <row r="423" spans="1:20" s="36" customFormat="1" ht="15.75" customHeight="1" x14ac:dyDescent="0.3">
      <c r="A423" s="86">
        <f t="shared" si="61"/>
        <v>8</v>
      </c>
      <c r="B423" s="87"/>
      <c r="C423" s="57" t="s">
        <v>321</v>
      </c>
      <c r="D423" s="66">
        <f t="shared" si="57"/>
        <v>322.70472000000001</v>
      </c>
      <c r="E423" s="66">
        <f t="shared" si="58"/>
        <v>37.943100000000001</v>
      </c>
      <c r="F423" s="57">
        <f>D423+E423</f>
        <v>360.64782000000002</v>
      </c>
      <c r="G423" s="65">
        <v>0</v>
      </c>
      <c r="H423" s="57">
        <f t="shared" si="60"/>
        <v>540.97172999999998</v>
      </c>
      <c r="I423" s="35"/>
      <c r="L423" s="88"/>
      <c r="M423" s="88"/>
      <c r="N423" s="35"/>
    </row>
    <row r="424" spans="1:20" s="36" customFormat="1" ht="15.75" customHeight="1" x14ac:dyDescent="0.3">
      <c r="A424" s="86">
        <f t="shared" si="61"/>
        <v>9</v>
      </c>
      <c r="B424" s="87"/>
      <c r="C424" s="57" t="s">
        <v>321</v>
      </c>
      <c r="D424" s="66">
        <f t="shared" si="57"/>
        <v>322.70472000000001</v>
      </c>
      <c r="E424" s="66">
        <f t="shared" si="58"/>
        <v>37.943100000000001</v>
      </c>
      <c r="F424" s="57">
        <f t="shared" ref="F424:F427" si="62">D424+E424</f>
        <v>360.64782000000002</v>
      </c>
      <c r="G424" s="65">
        <v>0</v>
      </c>
      <c r="H424" s="57">
        <f t="shared" si="60"/>
        <v>540.97172999999998</v>
      </c>
      <c r="I424" s="35"/>
      <c r="L424" s="88"/>
      <c r="M424" s="88"/>
      <c r="N424" s="35"/>
    </row>
    <row r="425" spans="1:20" s="36" customFormat="1" ht="15.75" customHeight="1" x14ac:dyDescent="0.3">
      <c r="A425" s="86">
        <f t="shared" si="61"/>
        <v>10</v>
      </c>
      <c r="B425" s="87"/>
      <c r="C425" s="57" t="s">
        <v>321</v>
      </c>
      <c r="D425" s="66">
        <f t="shared" si="57"/>
        <v>322.70472000000001</v>
      </c>
      <c r="E425" s="66">
        <f t="shared" si="58"/>
        <v>37.943100000000001</v>
      </c>
      <c r="F425" s="57">
        <f t="shared" si="62"/>
        <v>360.64782000000002</v>
      </c>
      <c r="G425" s="65">
        <v>0</v>
      </c>
      <c r="H425" s="57">
        <f t="shared" si="60"/>
        <v>540.97172999999998</v>
      </c>
      <c r="I425" s="35"/>
      <c r="L425" s="88"/>
      <c r="M425" s="88"/>
      <c r="N425" s="35"/>
    </row>
    <row r="426" spans="1:20" s="36" customFormat="1" ht="15.75" customHeight="1" x14ac:dyDescent="0.3">
      <c r="A426" s="86">
        <f t="shared" si="61"/>
        <v>11</v>
      </c>
      <c r="B426" s="87"/>
      <c r="C426" s="57" t="s">
        <v>321</v>
      </c>
      <c r="D426" s="66">
        <f t="shared" si="57"/>
        <v>322.70472000000001</v>
      </c>
      <c r="E426" s="66">
        <f t="shared" si="58"/>
        <v>37.943100000000001</v>
      </c>
      <c r="F426" s="57">
        <f t="shared" si="62"/>
        <v>360.64782000000002</v>
      </c>
      <c r="G426" s="65">
        <v>0</v>
      </c>
      <c r="H426" s="57">
        <f t="shared" si="60"/>
        <v>540.97172999999998</v>
      </c>
      <c r="I426" s="35"/>
      <c r="L426" s="88"/>
      <c r="M426" s="88"/>
      <c r="N426" s="35"/>
    </row>
    <row r="427" spans="1:20" s="36" customFormat="1" ht="15.75" customHeight="1" x14ac:dyDescent="0.3">
      <c r="A427" s="86">
        <f t="shared" si="61"/>
        <v>12</v>
      </c>
      <c r="B427" s="87"/>
      <c r="C427" s="57" t="s">
        <v>321</v>
      </c>
      <c r="D427" s="66">
        <f t="shared" si="57"/>
        <v>322.70472000000001</v>
      </c>
      <c r="E427" s="66">
        <f t="shared" si="58"/>
        <v>37.943100000000001</v>
      </c>
      <c r="F427" s="57">
        <f t="shared" si="62"/>
        <v>360.64782000000002</v>
      </c>
      <c r="G427" s="65">
        <v>0</v>
      </c>
      <c r="H427" s="57">
        <f t="shared" si="60"/>
        <v>540.97172999999998</v>
      </c>
      <c r="I427" s="35"/>
      <c r="L427" s="88"/>
      <c r="M427" s="88"/>
      <c r="N427" s="35"/>
    </row>
    <row r="428" spans="1:20" s="36" customFormat="1" ht="15.75" customHeight="1" x14ac:dyDescent="0.3">
      <c r="A428" s="86">
        <f t="shared" si="61"/>
        <v>13</v>
      </c>
      <c r="B428" s="87"/>
      <c r="C428" s="57" t="s">
        <v>321</v>
      </c>
      <c r="D428" s="66">
        <f t="shared" si="57"/>
        <v>322.70472000000001</v>
      </c>
      <c r="E428" s="66">
        <f t="shared" si="58"/>
        <v>37.943100000000001</v>
      </c>
      <c r="F428" s="57">
        <f>D428+E428</f>
        <v>360.64782000000002</v>
      </c>
      <c r="G428" s="65">
        <v>0</v>
      </c>
      <c r="H428" s="57">
        <f t="shared" si="60"/>
        <v>540.97172999999998</v>
      </c>
      <c r="I428" s="35"/>
      <c r="L428" s="88"/>
      <c r="M428" s="88"/>
      <c r="N428" s="35"/>
    </row>
    <row r="429" spans="1:20" s="36" customFormat="1" ht="15.75" customHeight="1" x14ac:dyDescent="0.3">
      <c r="A429" s="86">
        <f t="shared" si="61"/>
        <v>14</v>
      </c>
      <c r="B429" s="87"/>
      <c r="C429" s="57" t="s">
        <v>321</v>
      </c>
      <c r="D429" s="66">
        <f t="shared" si="57"/>
        <v>322.70472000000001</v>
      </c>
      <c r="E429" s="66">
        <f t="shared" si="58"/>
        <v>37.943100000000001</v>
      </c>
      <c r="F429" s="57">
        <f t="shared" ref="F429:F435" si="63">D429+E429</f>
        <v>360.64782000000002</v>
      </c>
      <c r="G429" s="65">
        <v>0</v>
      </c>
      <c r="H429" s="57">
        <f t="shared" si="60"/>
        <v>540.97172999999998</v>
      </c>
      <c r="I429" s="35"/>
      <c r="L429" s="88"/>
      <c r="M429" s="88"/>
      <c r="N429" s="35"/>
    </row>
    <row r="430" spans="1:20" s="36" customFormat="1" ht="15.75" customHeight="1" x14ac:dyDescent="0.3">
      <c r="A430" s="86">
        <f t="shared" si="61"/>
        <v>15</v>
      </c>
      <c r="B430" s="87"/>
      <c r="C430" s="57" t="s">
        <v>321</v>
      </c>
      <c r="D430" s="66">
        <f t="shared" si="57"/>
        <v>322.70472000000001</v>
      </c>
      <c r="E430" s="66">
        <f t="shared" si="58"/>
        <v>37.943100000000001</v>
      </c>
      <c r="F430" s="57">
        <f t="shared" si="63"/>
        <v>360.64782000000002</v>
      </c>
      <c r="G430" s="65">
        <v>0</v>
      </c>
      <c r="H430" s="57">
        <f t="shared" si="60"/>
        <v>540.97172999999998</v>
      </c>
      <c r="I430" s="35"/>
      <c r="L430" s="88"/>
      <c r="M430" s="88"/>
      <c r="N430" s="35"/>
    </row>
    <row r="431" spans="1:20" s="36" customFormat="1" ht="15.75" customHeight="1" x14ac:dyDescent="0.3">
      <c r="A431" s="86">
        <f t="shared" si="61"/>
        <v>16</v>
      </c>
      <c r="B431" s="87"/>
      <c r="C431" s="57" t="s">
        <v>321</v>
      </c>
      <c r="D431" s="66">
        <f t="shared" si="57"/>
        <v>322.70472000000001</v>
      </c>
      <c r="E431" s="66">
        <f t="shared" si="58"/>
        <v>37.943100000000001</v>
      </c>
      <c r="F431" s="57">
        <f t="shared" si="63"/>
        <v>360.64782000000002</v>
      </c>
      <c r="G431" s="65">
        <v>0</v>
      </c>
      <c r="H431" s="57">
        <f t="shared" si="60"/>
        <v>540.97172999999998</v>
      </c>
      <c r="I431" s="35"/>
      <c r="L431" s="88"/>
      <c r="M431" s="88"/>
      <c r="N431" s="35"/>
    </row>
    <row r="432" spans="1:20" s="36" customFormat="1" ht="15.75" customHeight="1" x14ac:dyDescent="0.3">
      <c r="A432" s="86">
        <f t="shared" si="61"/>
        <v>17</v>
      </c>
      <c r="B432" s="87"/>
      <c r="C432" s="57" t="s">
        <v>321</v>
      </c>
      <c r="D432" s="66">
        <f t="shared" si="57"/>
        <v>322.70472000000001</v>
      </c>
      <c r="E432" s="66">
        <f t="shared" si="58"/>
        <v>37.943100000000001</v>
      </c>
      <c r="F432" s="57">
        <f t="shared" si="63"/>
        <v>360.64782000000002</v>
      </c>
      <c r="G432" s="65">
        <v>0</v>
      </c>
      <c r="H432" s="57">
        <f t="shared" si="60"/>
        <v>540.97172999999998</v>
      </c>
      <c r="I432" s="35"/>
      <c r="L432" s="88"/>
      <c r="M432" s="88"/>
      <c r="N432" s="35"/>
    </row>
    <row r="433" spans="1:20" s="36" customFormat="1" ht="15.75" customHeight="1" x14ac:dyDescent="0.3">
      <c r="A433" s="86">
        <f t="shared" si="61"/>
        <v>18</v>
      </c>
      <c r="B433" s="87"/>
      <c r="C433" s="57" t="s">
        <v>321</v>
      </c>
      <c r="D433" s="66">
        <f t="shared" si="57"/>
        <v>322.70472000000001</v>
      </c>
      <c r="E433" s="66">
        <f t="shared" si="58"/>
        <v>37.943100000000001</v>
      </c>
      <c r="F433" s="57">
        <f t="shared" si="63"/>
        <v>360.64782000000002</v>
      </c>
      <c r="G433" s="65">
        <v>0</v>
      </c>
      <c r="H433" s="57">
        <f t="shared" si="60"/>
        <v>540.97172999999998</v>
      </c>
      <c r="I433" s="35"/>
      <c r="L433" s="88"/>
      <c r="M433" s="88"/>
      <c r="N433" s="35"/>
    </row>
    <row r="434" spans="1:20" s="36" customFormat="1" ht="15.75" customHeight="1" x14ac:dyDescent="0.3">
      <c r="A434" s="86">
        <f t="shared" si="61"/>
        <v>19</v>
      </c>
      <c r="B434" s="87"/>
      <c r="C434" s="57" t="s">
        <v>321</v>
      </c>
      <c r="D434" s="66">
        <f t="shared" si="57"/>
        <v>322.70472000000001</v>
      </c>
      <c r="E434" s="66">
        <f t="shared" si="58"/>
        <v>37.943100000000001</v>
      </c>
      <c r="F434" s="57">
        <f t="shared" si="63"/>
        <v>360.64782000000002</v>
      </c>
      <c r="G434" s="65">
        <v>0</v>
      </c>
      <c r="H434" s="57">
        <f t="shared" si="60"/>
        <v>540.97172999999998</v>
      </c>
      <c r="I434" s="35"/>
      <c r="L434" s="88"/>
      <c r="M434" s="88"/>
      <c r="N434" s="35"/>
    </row>
    <row r="435" spans="1:20" s="36" customFormat="1" ht="15.75" customHeight="1" x14ac:dyDescent="0.3">
      <c r="A435" s="86">
        <f t="shared" si="61"/>
        <v>20</v>
      </c>
      <c r="B435" s="87"/>
      <c r="C435" s="57" t="s">
        <v>321</v>
      </c>
      <c r="D435" s="66">
        <f t="shared" si="57"/>
        <v>322.70472000000001</v>
      </c>
      <c r="E435" s="66">
        <f t="shared" si="58"/>
        <v>37.943100000000001</v>
      </c>
      <c r="F435" s="57">
        <f t="shared" si="63"/>
        <v>360.64782000000002</v>
      </c>
      <c r="G435" s="65">
        <v>0</v>
      </c>
      <c r="H435" s="57">
        <f t="shared" si="60"/>
        <v>540.97172999999998</v>
      </c>
      <c r="I435" s="35"/>
      <c r="L435" s="88"/>
      <c r="M435" s="88"/>
      <c r="N435" s="35"/>
    </row>
    <row r="436" spans="1:20" s="36" customFormat="1" x14ac:dyDescent="0.3">
      <c r="A436" s="97" t="s">
        <v>324</v>
      </c>
      <c r="B436" s="98"/>
      <c r="C436" s="98"/>
      <c r="D436" s="98"/>
      <c r="E436" s="98"/>
      <c r="F436" s="98"/>
      <c r="G436" s="98"/>
      <c r="H436" s="99"/>
      <c r="J436" s="35"/>
    </row>
    <row r="437" spans="1:20" s="36" customFormat="1" ht="15.75" customHeight="1" x14ac:dyDescent="0.3">
      <c r="A437" s="95">
        <v>1</v>
      </c>
      <c r="B437" s="96"/>
      <c r="C437" s="65" t="s">
        <v>321</v>
      </c>
      <c r="D437" s="66">
        <f t="shared" ref="D437:D454" si="64">(29.98)*10.764</f>
        <v>322.70472000000001</v>
      </c>
      <c r="E437" s="66">
        <f t="shared" ref="E437:E454" si="65">(0.75*2.7+1.2*1.25)*10.764</f>
        <v>37.943100000000001</v>
      </c>
      <c r="F437" s="65">
        <f t="shared" ref="F437:F443" si="66">D437+E437</f>
        <v>360.64782000000002</v>
      </c>
      <c r="G437" s="65">
        <v>0</v>
      </c>
      <c r="H437" s="65">
        <f t="shared" ref="H437:H454" si="67">F437*(($H$204)+1)+(IF(G437&lt;101,G437,IF(G437&lt;201,G437/2,IF(G437&lt;=301,G437/3,G437/4))))</f>
        <v>540.97172999999998</v>
      </c>
      <c r="I437" s="35"/>
      <c r="L437" s="88"/>
      <c r="M437" s="88"/>
      <c r="N437" s="35"/>
    </row>
    <row r="438" spans="1:20" s="36" customFormat="1" ht="15.75" customHeight="1" x14ac:dyDescent="0.3">
      <c r="A438" s="95">
        <f t="shared" ref="A438:A456" si="68">A437+1</f>
        <v>2</v>
      </c>
      <c r="B438" s="96"/>
      <c r="C438" s="65" t="s">
        <v>321</v>
      </c>
      <c r="D438" s="66">
        <f t="shared" si="64"/>
        <v>322.70472000000001</v>
      </c>
      <c r="E438" s="66">
        <f t="shared" si="65"/>
        <v>37.943100000000001</v>
      </c>
      <c r="F438" s="65">
        <f t="shared" si="66"/>
        <v>360.64782000000002</v>
      </c>
      <c r="G438" s="65">
        <v>0</v>
      </c>
      <c r="H438" s="65">
        <f t="shared" si="67"/>
        <v>540.97172999999998</v>
      </c>
      <c r="I438" s="35"/>
      <c r="L438" s="88"/>
      <c r="M438" s="88"/>
      <c r="N438" s="35"/>
    </row>
    <row r="439" spans="1:20" s="36" customFormat="1" ht="15.75" customHeight="1" x14ac:dyDescent="0.3">
      <c r="A439" s="86">
        <f t="shared" si="68"/>
        <v>3</v>
      </c>
      <c r="B439" s="87"/>
      <c r="C439" s="57" t="s">
        <v>321</v>
      </c>
      <c r="D439" s="66">
        <f t="shared" si="64"/>
        <v>322.70472000000001</v>
      </c>
      <c r="E439" s="66">
        <f t="shared" si="65"/>
        <v>37.943100000000001</v>
      </c>
      <c r="F439" s="57">
        <f t="shared" si="66"/>
        <v>360.64782000000002</v>
      </c>
      <c r="G439" s="65">
        <v>0</v>
      </c>
      <c r="H439" s="57">
        <f t="shared" si="67"/>
        <v>540.97172999999998</v>
      </c>
      <c r="I439" s="35"/>
      <c r="L439" s="88"/>
      <c r="M439" s="88"/>
      <c r="N439" s="35"/>
    </row>
    <row r="440" spans="1:20" s="36" customFormat="1" ht="15.75" customHeight="1" x14ac:dyDescent="0.3">
      <c r="A440" s="86">
        <f t="shared" si="68"/>
        <v>4</v>
      </c>
      <c r="B440" s="87"/>
      <c r="C440" s="57" t="s">
        <v>321</v>
      </c>
      <c r="D440" s="66">
        <f t="shared" si="64"/>
        <v>322.70472000000001</v>
      </c>
      <c r="E440" s="66">
        <f t="shared" si="65"/>
        <v>37.943100000000001</v>
      </c>
      <c r="F440" s="57">
        <f t="shared" si="66"/>
        <v>360.64782000000002</v>
      </c>
      <c r="G440" s="65">
        <v>0</v>
      </c>
      <c r="H440" s="57">
        <f t="shared" si="67"/>
        <v>540.97172999999998</v>
      </c>
      <c r="I440" s="35"/>
      <c r="L440" s="88"/>
      <c r="M440" s="88"/>
      <c r="N440" s="35"/>
      <c r="T440" s="20"/>
    </row>
    <row r="441" spans="1:20" s="36" customFormat="1" ht="15.75" customHeight="1" x14ac:dyDescent="0.3">
      <c r="A441" s="86">
        <f t="shared" si="68"/>
        <v>5</v>
      </c>
      <c r="B441" s="87"/>
      <c r="C441" s="57" t="s">
        <v>321</v>
      </c>
      <c r="D441" s="66">
        <f t="shared" si="64"/>
        <v>322.70472000000001</v>
      </c>
      <c r="E441" s="66">
        <f t="shared" si="65"/>
        <v>37.943100000000001</v>
      </c>
      <c r="F441" s="57">
        <f t="shared" si="66"/>
        <v>360.64782000000002</v>
      </c>
      <c r="G441" s="65">
        <v>0</v>
      </c>
      <c r="H441" s="57">
        <f t="shared" si="67"/>
        <v>540.97172999999998</v>
      </c>
      <c r="I441" s="35"/>
      <c r="L441" s="88"/>
      <c r="M441" s="88"/>
      <c r="N441" s="35"/>
    </row>
    <row r="442" spans="1:20" s="36" customFormat="1" ht="15.75" customHeight="1" x14ac:dyDescent="0.3">
      <c r="A442" s="86">
        <f t="shared" si="68"/>
        <v>6</v>
      </c>
      <c r="B442" s="87"/>
      <c r="C442" s="57" t="s">
        <v>321</v>
      </c>
      <c r="D442" s="66">
        <f t="shared" si="64"/>
        <v>322.70472000000001</v>
      </c>
      <c r="E442" s="66">
        <f t="shared" si="65"/>
        <v>37.943100000000001</v>
      </c>
      <c r="F442" s="57">
        <f t="shared" si="66"/>
        <v>360.64782000000002</v>
      </c>
      <c r="G442" s="65">
        <v>0</v>
      </c>
      <c r="H442" s="57">
        <f t="shared" si="67"/>
        <v>540.97172999999998</v>
      </c>
      <c r="I442" s="35"/>
      <c r="L442" s="88"/>
      <c r="M442" s="88"/>
      <c r="N442" s="35"/>
    </row>
    <row r="443" spans="1:20" s="36" customFormat="1" ht="15.75" customHeight="1" x14ac:dyDescent="0.3">
      <c r="A443" s="86">
        <f t="shared" si="68"/>
        <v>7</v>
      </c>
      <c r="B443" s="87"/>
      <c r="C443" s="57" t="s">
        <v>321</v>
      </c>
      <c r="D443" s="66">
        <f t="shared" si="64"/>
        <v>322.70472000000001</v>
      </c>
      <c r="E443" s="66">
        <f t="shared" si="65"/>
        <v>37.943100000000001</v>
      </c>
      <c r="F443" s="57">
        <f t="shared" si="66"/>
        <v>360.64782000000002</v>
      </c>
      <c r="G443" s="65">
        <v>0</v>
      </c>
      <c r="H443" s="57">
        <f t="shared" si="67"/>
        <v>540.97172999999998</v>
      </c>
      <c r="I443" s="35"/>
      <c r="L443" s="88"/>
      <c r="M443" s="88"/>
      <c r="N443" s="35"/>
    </row>
    <row r="444" spans="1:20" s="36" customFormat="1" ht="15.75" customHeight="1" x14ac:dyDescent="0.3">
      <c r="A444" s="86">
        <f t="shared" si="68"/>
        <v>8</v>
      </c>
      <c r="B444" s="87"/>
      <c r="C444" s="57" t="s">
        <v>321</v>
      </c>
      <c r="D444" s="66">
        <f t="shared" si="64"/>
        <v>322.70472000000001</v>
      </c>
      <c r="E444" s="66">
        <f t="shared" si="65"/>
        <v>37.943100000000001</v>
      </c>
      <c r="F444" s="57">
        <f>D444+E444</f>
        <v>360.64782000000002</v>
      </c>
      <c r="G444" s="65">
        <v>0</v>
      </c>
      <c r="H444" s="57">
        <f t="shared" si="67"/>
        <v>540.97172999999998</v>
      </c>
      <c r="I444" s="35"/>
      <c r="L444" s="88"/>
      <c r="M444" s="88"/>
      <c r="N444" s="35"/>
    </row>
    <row r="445" spans="1:20" s="36" customFormat="1" ht="15.75" customHeight="1" x14ac:dyDescent="0.3">
      <c r="A445" s="86">
        <f t="shared" si="68"/>
        <v>9</v>
      </c>
      <c r="B445" s="87"/>
      <c r="C445" s="57" t="s">
        <v>321</v>
      </c>
      <c r="D445" s="66">
        <f t="shared" si="64"/>
        <v>322.70472000000001</v>
      </c>
      <c r="E445" s="66">
        <f t="shared" si="65"/>
        <v>37.943100000000001</v>
      </c>
      <c r="F445" s="57">
        <f t="shared" ref="F445:F448" si="69">D445+E445</f>
        <v>360.64782000000002</v>
      </c>
      <c r="G445" s="65">
        <v>0</v>
      </c>
      <c r="H445" s="57">
        <f t="shared" si="67"/>
        <v>540.97172999999998</v>
      </c>
      <c r="I445" s="35"/>
      <c r="L445" s="88"/>
      <c r="M445" s="88"/>
      <c r="N445" s="35"/>
    </row>
    <row r="446" spans="1:20" s="36" customFormat="1" ht="15.75" customHeight="1" x14ac:dyDescent="0.3">
      <c r="A446" s="86">
        <f t="shared" si="68"/>
        <v>10</v>
      </c>
      <c r="B446" s="87"/>
      <c r="C446" s="57" t="s">
        <v>321</v>
      </c>
      <c r="D446" s="66">
        <f t="shared" si="64"/>
        <v>322.70472000000001</v>
      </c>
      <c r="E446" s="66">
        <f t="shared" si="65"/>
        <v>37.943100000000001</v>
      </c>
      <c r="F446" s="57">
        <f t="shared" si="69"/>
        <v>360.64782000000002</v>
      </c>
      <c r="G446" s="65">
        <v>0</v>
      </c>
      <c r="H446" s="57">
        <f t="shared" si="67"/>
        <v>540.97172999999998</v>
      </c>
      <c r="I446" s="35"/>
      <c r="L446" s="88"/>
      <c r="M446" s="88"/>
      <c r="N446" s="35"/>
    </row>
    <row r="447" spans="1:20" s="36" customFormat="1" ht="15.75" customHeight="1" x14ac:dyDescent="0.3">
      <c r="A447" s="86">
        <f t="shared" si="68"/>
        <v>11</v>
      </c>
      <c r="B447" s="87"/>
      <c r="C447" s="57" t="s">
        <v>321</v>
      </c>
      <c r="D447" s="66">
        <f t="shared" si="64"/>
        <v>322.70472000000001</v>
      </c>
      <c r="E447" s="66">
        <f t="shared" si="65"/>
        <v>37.943100000000001</v>
      </c>
      <c r="F447" s="57">
        <f t="shared" si="69"/>
        <v>360.64782000000002</v>
      </c>
      <c r="G447" s="65">
        <v>0</v>
      </c>
      <c r="H447" s="57">
        <f t="shared" si="67"/>
        <v>540.97172999999998</v>
      </c>
      <c r="I447" s="35"/>
      <c r="L447" s="88"/>
      <c r="M447" s="88"/>
      <c r="N447" s="35"/>
    </row>
    <row r="448" spans="1:20" s="36" customFormat="1" ht="15.75" customHeight="1" x14ac:dyDescent="0.3">
      <c r="A448" s="86">
        <f t="shared" si="68"/>
        <v>12</v>
      </c>
      <c r="B448" s="87"/>
      <c r="C448" s="57" t="s">
        <v>321</v>
      </c>
      <c r="D448" s="66">
        <f t="shared" si="64"/>
        <v>322.70472000000001</v>
      </c>
      <c r="E448" s="66">
        <f t="shared" si="65"/>
        <v>37.943100000000001</v>
      </c>
      <c r="F448" s="57">
        <f t="shared" si="69"/>
        <v>360.64782000000002</v>
      </c>
      <c r="G448" s="65">
        <v>0</v>
      </c>
      <c r="H448" s="57">
        <f t="shared" si="67"/>
        <v>540.97172999999998</v>
      </c>
      <c r="I448" s="35"/>
      <c r="L448" s="88"/>
      <c r="M448" s="88"/>
      <c r="N448" s="35"/>
    </row>
    <row r="449" spans="1:20" s="36" customFormat="1" ht="15.75" customHeight="1" x14ac:dyDescent="0.3">
      <c r="A449" s="86">
        <f t="shared" si="68"/>
        <v>13</v>
      </c>
      <c r="B449" s="87"/>
      <c r="C449" s="57" t="s">
        <v>321</v>
      </c>
      <c r="D449" s="66">
        <f t="shared" si="64"/>
        <v>322.70472000000001</v>
      </c>
      <c r="E449" s="66">
        <f t="shared" si="65"/>
        <v>37.943100000000001</v>
      </c>
      <c r="F449" s="57">
        <f>D449+E449</f>
        <v>360.64782000000002</v>
      </c>
      <c r="G449" s="65">
        <v>0</v>
      </c>
      <c r="H449" s="57">
        <f t="shared" si="67"/>
        <v>540.97172999999998</v>
      </c>
      <c r="I449" s="35"/>
      <c r="L449" s="88"/>
      <c r="M449" s="88"/>
      <c r="N449" s="35"/>
    </row>
    <row r="450" spans="1:20" s="36" customFormat="1" ht="15.75" customHeight="1" x14ac:dyDescent="0.3">
      <c r="A450" s="86">
        <f t="shared" si="68"/>
        <v>14</v>
      </c>
      <c r="B450" s="87"/>
      <c r="C450" s="57" t="s">
        <v>321</v>
      </c>
      <c r="D450" s="66">
        <f t="shared" si="64"/>
        <v>322.70472000000001</v>
      </c>
      <c r="E450" s="66">
        <f t="shared" si="65"/>
        <v>37.943100000000001</v>
      </c>
      <c r="F450" s="57">
        <f t="shared" ref="F450:F454" si="70">D450+E450</f>
        <v>360.64782000000002</v>
      </c>
      <c r="G450" s="65">
        <v>0</v>
      </c>
      <c r="H450" s="57">
        <f t="shared" si="67"/>
        <v>540.97172999999998</v>
      </c>
      <c r="I450" s="35"/>
      <c r="L450" s="88"/>
      <c r="M450" s="88"/>
      <c r="N450" s="35"/>
    </row>
    <row r="451" spans="1:20" s="36" customFormat="1" ht="15.75" customHeight="1" x14ac:dyDescent="0.3">
      <c r="A451" s="86">
        <f t="shared" si="68"/>
        <v>15</v>
      </c>
      <c r="B451" s="87"/>
      <c r="C451" s="57" t="s">
        <v>321</v>
      </c>
      <c r="D451" s="66">
        <f t="shared" si="64"/>
        <v>322.70472000000001</v>
      </c>
      <c r="E451" s="66">
        <f t="shared" si="65"/>
        <v>37.943100000000001</v>
      </c>
      <c r="F451" s="57">
        <f t="shared" si="70"/>
        <v>360.64782000000002</v>
      </c>
      <c r="G451" s="65">
        <v>0</v>
      </c>
      <c r="H451" s="57">
        <f t="shared" si="67"/>
        <v>540.97172999999998</v>
      </c>
      <c r="I451" s="35"/>
      <c r="L451" s="88"/>
      <c r="M451" s="88"/>
      <c r="N451" s="35"/>
    </row>
    <row r="452" spans="1:20" s="36" customFormat="1" ht="15.75" customHeight="1" x14ac:dyDescent="0.3">
      <c r="A452" s="86">
        <f t="shared" si="68"/>
        <v>16</v>
      </c>
      <c r="B452" s="87"/>
      <c r="C452" s="57" t="s">
        <v>321</v>
      </c>
      <c r="D452" s="66">
        <f t="shared" si="64"/>
        <v>322.70472000000001</v>
      </c>
      <c r="E452" s="66">
        <f t="shared" si="65"/>
        <v>37.943100000000001</v>
      </c>
      <c r="F452" s="57">
        <f t="shared" si="70"/>
        <v>360.64782000000002</v>
      </c>
      <c r="G452" s="65">
        <v>0</v>
      </c>
      <c r="H452" s="57">
        <f t="shared" si="67"/>
        <v>540.97172999999998</v>
      </c>
      <c r="I452" s="35"/>
      <c r="L452" s="88"/>
      <c r="M452" s="88"/>
      <c r="N452" s="35"/>
    </row>
    <row r="453" spans="1:20" s="36" customFormat="1" ht="15.75" customHeight="1" x14ac:dyDescent="0.3">
      <c r="A453" s="86">
        <f t="shared" si="68"/>
        <v>17</v>
      </c>
      <c r="B453" s="87"/>
      <c r="C453" s="57" t="s">
        <v>321</v>
      </c>
      <c r="D453" s="66">
        <f t="shared" si="64"/>
        <v>322.70472000000001</v>
      </c>
      <c r="E453" s="66">
        <f t="shared" si="65"/>
        <v>37.943100000000001</v>
      </c>
      <c r="F453" s="57">
        <f t="shared" si="70"/>
        <v>360.64782000000002</v>
      </c>
      <c r="G453" s="65">
        <v>0</v>
      </c>
      <c r="H453" s="57">
        <f t="shared" si="67"/>
        <v>540.97172999999998</v>
      </c>
      <c r="I453" s="35"/>
      <c r="L453" s="88"/>
      <c r="M453" s="88"/>
      <c r="N453" s="35"/>
    </row>
    <row r="454" spans="1:20" s="36" customFormat="1" ht="15.75" customHeight="1" x14ac:dyDescent="0.3">
      <c r="A454" s="86">
        <f t="shared" si="68"/>
        <v>18</v>
      </c>
      <c r="B454" s="87"/>
      <c r="C454" s="57" t="s">
        <v>321</v>
      </c>
      <c r="D454" s="66">
        <f t="shared" si="64"/>
        <v>322.70472000000001</v>
      </c>
      <c r="E454" s="66">
        <f t="shared" si="65"/>
        <v>37.943100000000001</v>
      </c>
      <c r="F454" s="57">
        <f t="shared" si="70"/>
        <v>360.64782000000002</v>
      </c>
      <c r="G454" s="65">
        <v>0</v>
      </c>
      <c r="H454" s="57">
        <f t="shared" si="67"/>
        <v>540.97172999999998</v>
      </c>
      <c r="I454" s="35"/>
      <c r="L454" s="88"/>
      <c r="M454" s="88"/>
      <c r="N454" s="35"/>
    </row>
    <row r="455" spans="1:20" s="36" customFormat="1" ht="15.75" customHeight="1" x14ac:dyDescent="0.3">
      <c r="A455" s="86">
        <f t="shared" si="68"/>
        <v>19</v>
      </c>
      <c r="B455" s="87"/>
      <c r="C455" s="89" t="s">
        <v>325</v>
      </c>
      <c r="D455" s="90"/>
      <c r="E455" s="90"/>
      <c r="F455" s="90"/>
      <c r="G455" s="90"/>
      <c r="H455" s="91"/>
      <c r="I455" s="35"/>
      <c r="L455" s="88"/>
      <c r="M455" s="88"/>
      <c r="N455" s="35"/>
    </row>
    <row r="456" spans="1:20" s="36" customFormat="1" ht="15.75" customHeight="1" x14ac:dyDescent="0.3">
      <c r="A456" s="86">
        <f t="shared" si="68"/>
        <v>20</v>
      </c>
      <c r="B456" s="87"/>
      <c r="C456" s="92"/>
      <c r="D456" s="93"/>
      <c r="E456" s="93"/>
      <c r="F456" s="93"/>
      <c r="G456" s="93"/>
      <c r="H456" s="94"/>
      <c r="I456" s="35"/>
      <c r="L456" s="88"/>
      <c r="M456" s="88"/>
      <c r="N456" s="35"/>
    </row>
    <row r="457" spans="1:20" s="34" customFormat="1" x14ac:dyDescent="0.3">
      <c r="A457" s="184" t="s">
        <v>65</v>
      </c>
      <c r="B457" s="184"/>
      <c r="C457" s="184"/>
      <c r="D457" s="184"/>
      <c r="E457" s="184"/>
      <c r="F457" s="184"/>
      <c r="G457" s="184"/>
      <c r="H457" s="184"/>
      <c r="T457" s="36"/>
    </row>
    <row r="458" spans="1:20" s="34" customFormat="1" x14ac:dyDescent="0.3">
      <c r="A458" s="44" t="s">
        <v>149</v>
      </c>
      <c r="B458" s="181" t="s">
        <v>365</v>
      </c>
      <c r="C458" s="182"/>
      <c r="D458" s="182"/>
      <c r="E458" s="182"/>
      <c r="F458" s="182"/>
      <c r="G458" s="182"/>
      <c r="H458" s="183"/>
      <c r="T458" s="36"/>
    </row>
    <row r="459" spans="1:20" s="34" customFormat="1" x14ac:dyDescent="0.3">
      <c r="A459" s="44" t="s">
        <v>149</v>
      </c>
      <c r="B459" s="181" t="str">
        <f>(IF(H203="Saleable area Loading :","We have considered Saleable area of Flats as per our Calculation.","We considered Saleable area of Flat as per Builder area Sheet."))</f>
        <v>We have considered Saleable area of Flats as per our Calculation.</v>
      </c>
      <c r="C459" s="182"/>
      <c r="D459" s="182"/>
      <c r="E459" s="182"/>
      <c r="F459" s="182"/>
      <c r="G459" s="182"/>
      <c r="H459" s="183"/>
      <c r="T459" s="36"/>
    </row>
    <row r="460" spans="1:20" s="34" customFormat="1" x14ac:dyDescent="0.3">
      <c r="A460" s="44" t="s">
        <v>149</v>
      </c>
      <c r="B460" s="181" t="str">
        <f>(IF(H175="Saleable area Loading :","We have considered Saleable area of Commercial as per our Calculation.","We considered Saleable area of Commercial as per Builder area Sheet."))</f>
        <v>We have considered Saleable area of Commercial as per our Calculation.</v>
      </c>
      <c r="C460" s="182"/>
      <c r="D460" s="182"/>
      <c r="E460" s="182"/>
      <c r="F460" s="182"/>
      <c r="G460" s="182"/>
      <c r="H460" s="183"/>
      <c r="T460" s="36"/>
    </row>
    <row r="461" spans="1:20" s="34" customFormat="1" x14ac:dyDescent="0.3">
      <c r="A461" s="44" t="s">
        <v>149</v>
      </c>
      <c r="B461" s="181" t="s">
        <v>119</v>
      </c>
      <c r="C461" s="182"/>
      <c r="D461" s="182"/>
      <c r="E461" s="182"/>
      <c r="F461" s="182"/>
      <c r="G461" s="182"/>
      <c r="H461" s="183"/>
      <c r="T461" s="36"/>
    </row>
    <row r="462" spans="1:20" s="34" customFormat="1" x14ac:dyDescent="0.3">
      <c r="A462" s="44" t="s">
        <v>149</v>
      </c>
      <c r="B462" s="181" t="s">
        <v>335</v>
      </c>
      <c r="C462" s="182"/>
      <c r="D462" s="182"/>
      <c r="E462" s="182"/>
      <c r="F462" s="182"/>
      <c r="G462" s="182"/>
      <c r="H462" s="183"/>
      <c r="T462" s="36"/>
    </row>
    <row r="463" spans="1:20" s="34" customFormat="1" x14ac:dyDescent="0.3">
      <c r="A463" s="44" t="s">
        <v>149</v>
      </c>
      <c r="B463" s="181" t="s">
        <v>148</v>
      </c>
      <c r="C463" s="182"/>
      <c r="D463" s="182"/>
      <c r="E463" s="182"/>
      <c r="F463" s="182"/>
      <c r="G463" s="182"/>
      <c r="H463" s="183"/>
    </row>
    <row r="464" spans="1:20" s="34" customFormat="1" x14ac:dyDescent="0.3">
      <c r="A464" s="44" t="s">
        <v>149</v>
      </c>
      <c r="B464" s="181" t="s">
        <v>120</v>
      </c>
      <c r="C464" s="182"/>
      <c r="D464" s="182"/>
      <c r="E464" s="182"/>
      <c r="F464" s="182"/>
      <c r="G464" s="182"/>
      <c r="H464" s="183"/>
    </row>
    <row r="465" spans="1:20" s="34" customFormat="1" ht="34.5" customHeight="1" x14ac:dyDescent="0.3">
      <c r="A465" s="44" t="s">
        <v>149</v>
      </c>
      <c r="B465" s="181" t="s">
        <v>150</v>
      </c>
      <c r="C465" s="182"/>
      <c r="D465" s="182"/>
      <c r="E465" s="182"/>
      <c r="F465" s="182"/>
      <c r="G465" s="182"/>
      <c r="H465" s="183"/>
    </row>
    <row r="466" spans="1:20" s="34" customFormat="1" x14ac:dyDescent="0.3">
      <c r="A466" s="44" t="s">
        <v>149</v>
      </c>
      <c r="B466" s="189" t="s">
        <v>121</v>
      </c>
      <c r="C466" s="190"/>
      <c r="D466" s="190"/>
      <c r="E466" s="190"/>
      <c r="F466" s="190"/>
      <c r="G466" s="190"/>
      <c r="H466" s="191"/>
      <c r="I466" s="264" t="s">
        <v>353</v>
      </c>
      <c r="J466" s="265"/>
    </row>
    <row r="467" spans="1:20" s="34" customFormat="1" x14ac:dyDescent="0.3">
      <c r="A467" s="44" t="s">
        <v>149</v>
      </c>
      <c r="B467" s="186" t="s">
        <v>356</v>
      </c>
      <c r="C467" s="187"/>
      <c r="D467" s="187"/>
      <c r="E467" s="187"/>
      <c r="F467" s="187"/>
      <c r="G467" s="187"/>
      <c r="H467" s="188"/>
      <c r="I467" s="264"/>
      <c r="J467" s="265"/>
    </row>
    <row r="468" spans="1:20" s="34" customFormat="1" hidden="1" x14ac:dyDescent="0.3">
      <c r="A468" s="44" t="s">
        <v>149</v>
      </c>
      <c r="B468" s="181" t="s">
        <v>229</v>
      </c>
      <c r="C468" s="182"/>
      <c r="D468" s="182"/>
      <c r="E468" s="182"/>
      <c r="F468" s="182"/>
      <c r="G468" s="182"/>
      <c r="H468" s="183"/>
    </row>
    <row r="469" spans="1:20" x14ac:dyDescent="0.3">
      <c r="A469" s="139" t="s">
        <v>58</v>
      </c>
      <c r="B469" s="139"/>
      <c r="C469" s="139"/>
      <c r="D469" s="139"/>
      <c r="E469" s="139"/>
      <c r="F469" s="139"/>
      <c r="G469" s="139"/>
      <c r="H469" s="139"/>
      <c r="T469" s="34"/>
    </row>
    <row r="470" spans="1:20" x14ac:dyDescent="0.3">
      <c r="A470" s="124" t="s">
        <v>59</v>
      </c>
      <c r="B470" s="124"/>
      <c r="C470" s="124"/>
      <c r="D470" s="124"/>
      <c r="E470" s="124"/>
      <c r="F470" s="124"/>
      <c r="G470" s="124"/>
      <c r="H470" s="124"/>
      <c r="T470" s="34"/>
    </row>
    <row r="471" spans="1:20" ht="15.75" customHeight="1" x14ac:dyDescent="0.3">
      <c r="A471" s="185" t="s">
        <v>60</v>
      </c>
      <c r="B471" s="185"/>
      <c r="C471" s="185"/>
      <c r="D471" s="185"/>
      <c r="E471" s="185"/>
      <c r="F471" s="185"/>
      <c r="G471" s="185"/>
      <c r="H471" s="185"/>
      <c r="T471" s="34"/>
    </row>
    <row r="472" spans="1:20" x14ac:dyDescent="0.3">
      <c r="A472" s="124" t="s">
        <v>61</v>
      </c>
      <c r="B472" s="124"/>
      <c r="C472" s="124"/>
      <c r="D472" s="124"/>
      <c r="E472" s="124"/>
      <c r="F472" s="124"/>
      <c r="G472" s="124"/>
      <c r="H472" s="124"/>
      <c r="T472" s="34"/>
    </row>
    <row r="473" spans="1:20" x14ac:dyDescent="0.3">
      <c r="A473" s="124" t="s">
        <v>62</v>
      </c>
      <c r="B473" s="124"/>
      <c r="C473" s="124"/>
      <c r="D473" s="124"/>
      <c r="E473" s="124"/>
      <c r="F473" s="124"/>
      <c r="G473" s="124"/>
      <c r="H473" s="124"/>
      <c r="T473" s="34"/>
    </row>
    <row r="474" spans="1:20" x14ac:dyDescent="0.3">
      <c r="A474" s="124" t="s">
        <v>122</v>
      </c>
      <c r="B474" s="124"/>
      <c r="C474" s="124"/>
      <c r="D474" s="124"/>
      <c r="E474" s="124"/>
      <c r="F474" s="124"/>
      <c r="G474" s="124"/>
      <c r="H474" s="124"/>
      <c r="T474" s="34"/>
    </row>
    <row r="475" spans="1:20" ht="33.9" customHeight="1" x14ac:dyDescent="0.3">
      <c r="A475" s="129" t="s">
        <v>123</v>
      </c>
      <c r="B475" s="129"/>
      <c r="C475" s="129"/>
      <c r="D475" s="129"/>
      <c r="E475" s="129"/>
      <c r="F475" s="129"/>
      <c r="G475" s="129"/>
      <c r="H475" s="129"/>
    </row>
    <row r="476" spans="1:20" x14ac:dyDescent="0.3">
      <c r="A476" s="221" t="s">
        <v>74</v>
      </c>
      <c r="B476" s="221"/>
      <c r="C476" s="221" t="s">
        <v>357</v>
      </c>
      <c r="D476" s="221"/>
      <c r="E476" s="221" t="s">
        <v>104</v>
      </c>
      <c r="F476" s="221"/>
      <c r="G476" s="221" t="s">
        <v>367</v>
      </c>
      <c r="H476" s="221"/>
    </row>
    <row r="477" spans="1:20" x14ac:dyDescent="0.3">
      <c r="A477" s="220" t="s">
        <v>76</v>
      </c>
      <c r="B477" s="220"/>
      <c r="C477" s="220"/>
      <c r="D477" s="220"/>
      <c r="E477" s="220"/>
      <c r="F477" s="220"/>
      <c r="G477" s="220"/>
      <c r="H477" s="220"/>
    </row>
    <row r="478" spans="1:20" x14ac:dyDescent="0.3">
      <c r="A478" s="220"/>
      <c r="B478" s="220"/>
      <c r="C478" s="220"/>
      <c r="D478" s="220"/>
      <c r="E478" s="220"/>
      <c r="F478" s="220"/>
      <c r="G478" s="220"/>
      <c r="H478" s="220"/>
    </row>
    <row r="479" spans="1:20" x14ac:dyDescent="0.3">
      <c r="A479" s="220"/>
      <c r="B479" s="220"/>
      <c r="C479" s="220"/>
      <c r="D479" s="220"/>
      <c r="E479" s="220"/>
      <c r="F479" s="220"/>
      <c r="G479" s="220"/>
      <c r="H479" s="220"/>
    </row>
    <row r="480" spans="1:20" x14ac:dyDescent="0.3">
      <c r="A480" s="220"/>
      <c r="B480" s="220"/>
      <c r="C480" s="220"/>
      <c r="D480" s="220"/>
      <c r="E480" s="220"/>
      <c r="F480" s="220"/>
      <c r="G480" s="220"/>
      <c r="H480" s="220"/>
    </row>
    <row r="481" spans="1:8" x14ac:dyDescent="0.3">
      <c r="A481" s="37" t="s">
        <v>63</v>
      </c>
      <c r="B481" s="38"/>
      <c r="C481" s="38"/>
      <c r="D481" s="37" t="str">
        <f>E9</f>
        <v>Usha Residency</v>
      </c>
      <c r="F481" s="38"/>
      <c r="G481" s="38"/>
      <c r="H481" s="38"/>
    </row>
    <row r="482" spans="1:8" x14ac:dyDescent="0.3">
      <c r="A482" s="38"/>
      <c r="B482" s="38"/>
      <c r="C482" s="38"/>
      <c r="D482" s="38"/>
      <c r="E482" s="38"/>
      <c r="F482" s="38"/>
      <c r="G482" s="38"/>
      <c r="H482" s="38"/>
    </row>
    <row r="483" spans="1:8" x14ac:dyDescent="0.3">
      <c r="A483" s="38"/>
      <c r="B483" s="38"/>
      <c r="C483" s="38"/>
      <c r="D483" s="38"/>
      <c r="E483" s="38"/>
      <c r="F483" s="38"/>
      <c r="G483" s="38"/>
      <c r="H483" s="38"/>
    </row>
    <row r="484" spans="1:8" ht="15" customHeight="1" x14ac:dyDescent="0.3"/>
    <row r="523" spans="1:1" x14ac:dyDescent="0.3">
      <c r="A523" s="40" t="s">
        <v>160</v>
      </c>
    </row>
    <row r="556" hidden="1" x14ac:dyDescent="0.3"/>
    <row r="557" hidden="1" x14ac:dyDescent="0.3"/>
    <row r="558" hidden="1" x14ac:dyDescent="0.3"/>
    <row r="559" hidden="1" x14ac:dyDescent="0.3"/>
    <row r="560" hidden="1" x14ac:dyDescent="0.3"/>
    <row r="561" spans="1:1" hidden="1" x14ac:dyDescent="0.3"/>
    <row r="562" spans="1:1" hidden="1" x14ac:dyDescent="0.3"/>
    <row r="563" spans="1:1" hidden="1" x14ac:dyDescent="0.3"/>
    <row r="564" spans="1:1" hidden="1" x14ac:dyDescent="0.3"/>
    <row r="565" spans="1:1" hidden="1" x14ac:dyDescent="0.3"/>
    <row r="566" spans="1:1" x14ac:dyDescent="0.3">
      <c r="A566" s="40" t="s">
        <v>64</v>
      </c>
    </row>
  </sheetData>
  <mergeCells count="888">
    <mergeCell ref="A145:B145"/>
    <mergeCell ref="A122:B122"/>
    <mergeCell ref="C120:H120"/>
    <mergeCell ref="A121:B121"/>
    <mergeCell ref="A112:B112"/>
    <mergeCell ref="A113:B113"/>
    <mergeCell ref="A114:B114"/>
    <mergeCell ref="A128:B128"/>
    <mergeCell ref="A103:B103"/>
    <mergeCell ref="C103:D103"/>
    <mergeCell ref="E103:F103"/>
    <mergeCell ref="G103:H103"/>
    <mergeCell ref="A89:B89"/>
    <mergeCell ref="C89:H89"/>
    <mergeCell ref="A91:B91"/>
    <mergeCell ref="C91:H91"/>
    <mergeCell ref="A92:B92"/>
    <mergeCell ref="E92:F92"/>
    <mergeCell ref="G92:H92"/>
    <mergeCell ref="A93:B93"/>
    <mergeCell ref="E93:F102"/>
    <mergeCell ref="G93:H102"/>
    <mergeCell ref="A94:B94"/>
    <mergeCell ref="A95:B95"/>
    <mergeCell ref="A96:B96"/>
    <mergeCell ref="A97:B97"/>
    <mergeCell ref="A98:B98"/>
    <mergeCell ref="A99:B99"/>
    <mergeCell ref="A100:B100"/>
    <mergeCell ref="A101:B101"/>
    <mergeCell ref="A102:B102"/>
    <mergeCell ref="I466:J466"/>
    <mergeCell ref="I467:J467"/>
    <mergeCell ref="A455:B455"/>
    <mergeCell ref="L455:M455"/>
    <mergeCell ref="A456:B456"/>
    <mergeCell ref="L456:M456"/>
    <mergeCell ref="C455:H456"/>
    <mergeCell ref="C169:D169"/>
    <mergeCell ref="E169:F169"/>
    <mergeCell ref="G169:H169"/>
    <mergeCell ref="A371:H371"/>
    <mergeCell ref="L372:M372"/>
    <mergeCell ref="A450:B450"/>
    <mergeCell ref="L450:M450"/>
    <mergeCell ref="A451:B451"/>
    <mergeCell ref="L451:M451"/>
    <mergeCell ref="A452:B452"/>
    <mergeCell ref="L452:M452"/>
    <mergeCell ref="A453:B453"/>
    <mergeCell ref="L453:M453"/>
    <mergeCell ref="A454:B454"/>
    <mergeCell ref="L454:M454"/>
    <mergeCell ref="A445:B445"/>
    <mergeCell ref="L445:M445"/>
    <mergeCell ref="A446:B446"/>
    <mergeCell ref="L446:M446"/>
    <mergeCell ref="A447:B447"/>
    <mergeCell ref="L447:M447"/>
    <mergeCell ref="A448:B448"/>
    <mergeCell ref="L448:M448"/>
    <mergeCell ref="A449:B449"/>
    <mergeCell ref="L449:M449"/>
    <mergeCell ref="A440:B440"/>
    <mergeCell ref="L440:M440"/>
    <mergeCell ref="A441:B441"/>
    <mergeCell ref="L441:M441"/>
    <mergeCell ref="A442:B442"/>
    <mergeCell ref="L442:M442"/>
    <mergeCell ref="A443:B443"/>
    <mergeCell ref="L443:M443"/>
    <mergeCell ref="A444:B444"/>
    <mergeCell ref="L444:M444"/>
    <mergeCell ref="A435:B435"/>
    <mergeCell ref="L435:M435"/>
    <mergeCell ref="A436:H436"/>
    <mergeCell ref="A437:B437"/>
    <mergeCell ref="L437:M437"/>
    <mergeCell ref="A438:B438"/>
    <mergeCell ref="L438:M438"/>
    <mergeCell ref="A439:B439"/>
    <mergeCell ref="L439:M439"/>
    <mergeCell ref="A430:B430"/>
    <mergeCell ref="L430:M430"/>
    <mergeCell ref="A431:B431"/>
    <mergeCell ref="L431:M431"/>
    <mergeCell ref="A432:B432"/>
    <mergeCell ref="L432:M432"/>
    <mergeCell ref="A433:B433"/>
    <mergeCell ref="L433:M433"/>
    <mergeCell ref="A434:B434"/>
    <mergeCell ref="L434:M434"/>
    <mergeCell ref="L425:M425"/>
    <mergeCell ref="A426:B426"/>
    <mergeCell ref="L426:M426"/>
    <mergeCell ref="A427:B427"/>
    <mergeCell ref="L427:M427"/>
    <mergeCell ref="A428:B428"/>
    <mergeCell ref="L428:M428"/>
    <mergeCell ref="A429:B429"/>
    <mergeCell ref="L429:M429"/>
    <mergeCell ref="A425:B425"/>
    <mergeCell ref="L420:M420"/>
    <mergeCell ref="A421:B421"/>
    <mergeCell ref="L421:M421"/>
    <mergeCell ref="A422:B422"/>
    <mergeCell ref="L422:M422"/>
    <mergeCell ref="A423:B423"/>
    <mergeCell ref="L423:M423"/>
    <mergeCell ref="A424:B424"/>
    <mergeCell ref="L424:M424"/>
    <mergeCell ref="A420:B420"/>
    <mergeCell ref="L414:M414"/>
    <mergeCell ref="A415:H415"/>
    <mergeCell ref="A416:B416"/>
    <mergeCell ref="L416:M416"/>
    <mergeCell ref="A417:B417"/>
    <mergeCell ref="L417:M417"/>
    <mergeCell ref="A418:B418"/>
    <mergeCell ref="L418:M418"/>
    <mergeCell ref="A419:B419"/>
    <mergeCell ref="L419:M419"/>
    <mergeCell ref="A414:B414"/>
    <mergeCell ref="L409:M409"/>
    <mergeCell ref="A410:B410"/>
    <mergeCell ref="L410:M410"/>
    <mergeCell ref="A411:B411"/>
    <mergeCell ref="L411:M411"/>
    <mergeCell ref="A412:B412"/>
    <mergeCell ref="L412:M412"/>
    <mergeCell ref="A413:B413"/>
    <mergeCell ref="L413:M413"/>
    <mergeCell ref="A409:B409"/>
    <mergeCell ref="L404:M404"/>
    <mergeCell ref="A405:B405"/>
    <mergeCell ref="L405:M405"/>
    <mergeCell ref="A406:B406"/>
    <mergeCell ref="L406:M406"/>
    <mergeCell ref="A407:B407"/>
    <mergeCell ref="L407:M407"/>
    <mergeCell ref="A408:B408"/>
    <mergeCell ref="L408:M408"/>
    <mergeCell ref="A404:B404"/>
    <mergeCell ref="A402:B402"/>
    <mergeCell ref="L402:M402"/>
    <mergeCell ref="A403:B403"/>
    <mergeCell ref="L403:M403"/>
    <mergeCell ref="A395:B395"/>
    <mergeCell ref="L395:M395"/>
    <mergeCell ref="A396:B396"/>
    <mergeCell ref="L396:M396"/>
    <mergeCell ref="A397:B397"/>
    <mergeCell ref="L397:M397"/>
    <mergeCell ref="A398:B398"/>
    <mergeCell ref="L398:M398"/>
    <mergeCell ref="A399:B399"/>
    <mergeCell ref="L390:M390"/>
    <mergeCell ref="L391:M391"/>
    <mergeCell ref="L392:M392"/>
    <mergeCell ref="L393:M393"/>
    <mergeCell ref="L399:M399"/>
    <mergeCell ref="A394:H394"/>
    <mergeCell ref="A400:B400"/>
    <mergeCell ref="L400:M400"/>
    <mergeCell ref="A401:B401"/>
    <mergeCell ref="L401:M401"/>
    <mergeCell ref="L381:M381"/>
    <mergeCell ref="L382:M382"/>
    <mergeCell ref="L383:M383"/>
    <mergeCell ref="L384:M384"/>
    <mergeCell ref="L385:M385"/>
    <mergeCell ref="L386:M386"/>
    <mergeCell ref="L387:M387"/>
    <mergeCell ref="L388:M388"/>
    <mergeCell ref="L389:M389"/>
    <mergeCell ref="A373:H373"/>
    <mergeCell ref="B203:B204"/>
    <mergeCell ref="L374:M374"/>
    <mergeCell ref="L375:M375"/>
    <mergeCell ref="L376:M376"/>
    <mergeCell ref="L377:M377"/>
    <mergeCell ref="L378:M378"/>
    <mergeCell ref="L379:M379"/>
    <mergeCell ref="L380:M380"/>
    <mergeCell ref="A203:A204"/>
    <mergeCell ref="F203:F204"/>
    <mergeCell ref="D203:D204"/>
    <mergeCell ref="E203:E204"/>
    <mergeCell ref="A211:B211"/>
    <mergeCell ref="L211:M211"/>
    <mergeCell ref="A212:B212"/>
    <mergeCell ref="L212:M212"/>
    <mergeCell ref="A213:B213"/>
    <mergeCell ref="L213:M213"/>
    <mergeCell ref="A214:B214"/>
    <mergeCell ref="L214:M214"/>
    <mergeCell ref="A215:B215"/>
    <mergeCell ref="L215:M215"/>
    <mergeCell ref="A216:B216"/>
    <mergeCell ref="A158:E158"/>
    <mergeCell ref="G171:H171"/>
    <mergeCell ref="A164:B164"/>
    <mergeCell ref="C164:D164"/>
    <mergeCell ref="E164:F164"/>
    <mergeCell ref="G164:H164"/>
    <mergeCell ref="A168:B168"/>
    <mergeCell ref="C168:D168"/>
    <mergeCell ref="E168:F168"/>
    <mergeCell ref="G168:H168"/>
    <mergeCell ref="G166:H166"/>
    <mergeCell ref="A166:B166"/>
    <mergeCell ref="G163:H163"/>
    <mergeCell ref="E166:F166"/>
    <mergeCell ref="A49:B49"/>
    <mergeCell ref="C49:H49"/>
    <mergeCell ref="B463:H463"/>
    <mergeCell ref="A123:B123"/>
    <mergeCell ref="A124:B124"/>
    <mergeCell ref="G108:H117"/>
    <mergeCell ref="A109:B109"/>
    <mergeCell ref="A110:B110"/>
    <mergeCell ref="A111:B111"/>
    <mergeCell ref="F150:H150"/>
    <mergeCell ref="A150:E150"/>
    <mergeCell ref="D175:D176"/>
    <mergeCell ref="A152:E152"/>
    <mergeCell ref="A127:B127"/>
    <mergeCell ref="A129:B129"/>
    <mergeCell ref="A130:B130"/>
    <mergeCell ref="A151:E151"/>
    <mergeCell ref="A148:E148"/>
    <mergeCell ref="F152:H152"/>
    <mergeCell ref="G121:H121"/>
    <mergeCell ref="A120:B120"/>
    <mergeCell ref="G175:G176"/>
    <mergeCell ref="A81:B81"/>
    <mergeCell ref="A74:C74"/>
    <mergeCell ref="A40:B40"/>
    <mergeCell ref="C40:H40"/>
    <mergeCell ref="F175:F176"/>
    <mergeCell ref="C163:D163"/>
    <mergeCell ref="E163:F163"/>
    <mergeCell ref="B175:B176"/>
    <mergeCell ref="A175:A176"/>
    <mergeCell ref="C203:C204"/>
    <mergeCell ref="G203:G204"/>
    <mergeCell ref="G172:H172"/>
    <mergeCell ref="C55:H55"/>
    <mergeCell ref="A78:B78"/>
    <mergeCell ref="A77:B77"/>
    <mergeCell ref="A75:B75"/>
    <mergeCell ref="C75:H75"/>
    <mergeCell ref="A83:B83"/>
    <mergeCell ref="A70:C70"/>
    <mergeCell ref="D70:H70"/>
    <mergeCell ref="C77:H77"/>
    <mergeCell ref="A80:B80"/>
    <mergeCell ref="A82:B82"/>
    <mergeCell ref="E78:F78"/>
    <mergeCell ref="A71:C71"/>
    <mergeCell ref="D71:H71"/>
    <mergeCell ref="A39:B39"/>
    <mergeCell ref="C39:H39"/>
    <mergeCell ref="A46:D46"/>
    <mergeCell ref="L182:M182"/>
    <mergeCell ref="L181:M181"/>
    <mergeCell ref="L180:M180"/>
    <mergeCell ref="L179:M179"/>
    <mergeCell ref="A86:B86"/>
    <mergeCell ref="C167:D167"/>
    <mergeCell ref="E167:F167"/>
    <mergeCell ref="G167:H167"/>
    <mergeCell ref="A149:E149"/>
    <mergeCell ref="A118:B118"/>
    <mergeCell ref="C118:H118"/>
    <mergeCell ref="A178:H178"/>
    <mergeCell ref="E175:E176"/>
    <mergeCell ref="A108:B108"/>
    <mergeCell ref="A47:D47"/>
    <mergeCell ref="A48:H48"/>
    <mergeCell ref="D64:H64"/>
    <mergeCell ref="A64:C64"/>
    <mergeCell ref="A85:B85"/>
    <mergeCell ref="C106:H106"/>
    <mergeCell ref="A45:D45"/>
    <mergeCell ref="A38:H38"/>
    <mergeCell ref="A37:B37"/>
    <mergeCell ref="C37:E37"/>
    <mergeCell ref="G122:H131"/>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107:B107"/>
    <mergeCell ref="E47:H47"/>
    <mergeCell ref="C57:H57"/>
    <mergeCell ref="A106:B106"/>
    <mergeCell ref="F37:H3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E12:H12"/>
    <mergeCell ref="A17:B17"/>
    <mergeCell ref="A14:D14"/>
    <mergeCell ref="A19:B19"/>
    <mergeCell ref="C19:D19"/>
    <mergeCell ref="E19:F19"/>
    <mergeCell ref="G19:H19"/>
    <mergeCell ref="A20:B20"/>
    <mergeCell ref="C20:D20"/>
    <mergeCell ref="E20:F20"/>
    <mergeCell ref="G20:H20"/>
    <mergeCell ref="E14:H14"/>
    <mergeCell ref="A15:D15"/>
    <mergeCell ref="A11:D11"/>
    <mergeCell ref="E11:H11"/>
    <mergeCell ref="D74:H74"/>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A72:C72"/>
    <mergeCell ref="D73:H7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79:B79"/>
    <mergeCell ref="G78:H78"/>
    <mergeCell ref="A477:H480"/>
    <mergeCell ref="A476:B476"/>
    <mergeCell ref="E476:F476"/>
    <mergeCell ref="C476:D476"/>
    <mergeCell ref="G476:H476"/>
    <mergeCell ref="A161:H161"/>
    <mergeCell ref="A159:E159"/>
    <mergeCell ref="F159:H159"/>
    <mergeCell ref="A160:E160"/>
    <mergeCell ref="F160:H160"/>
    <mergeCell ref="A167:B167"/>
    <mergeCell ref="A163:B163"/>
    <mergeCell ref="A472:H472"/>
    <mergeCell ref="A165:H165"/>
    <mergeCell ref="A475:H475"/>
    <mergeCell ref="A473:H473"/>
    <mergeCell ref="A469:H469"/>
    <mergeCell ref="E107:F107"/>
    <mergeCell ref="G107:H107"/>
    <mergeCell ref="A154:E154"/>
    <mergeCell ref="F154:H154"/>
    <mergeCell ref="A156:E156"/>
    <mergeCell ref="F149:H149"/>
    <mergeCell ref="A131:B131"/>
    <mergeCell ref="A132:B132"/>
    <mergeCell ref="C132:H132"/>
    <mergeCell ref="A134:B134"/>
    <mergeCell ref="C134:H134"/>
    <mergeCell ref="A135:B135"/>
    <mergeCell ref="E135:F135"/>
    <mergeCell ref="G135:H135"/>
    <mergeCell ref="A136:B136"/>
    <mergeCell ref="E136:F145"/>
    <mergeCell ref="G136:H145"/>
    <mergeCell ref="A137:B137"/>
    <mergeCell ref="A138:B138"/>
    <mergeCell ref="A139:B139"/>
    <mergeCell ref="A140:B140"/>
    <mergeCell ref="A141:B141"/>
    <mergeCell ref="A146:B147"/>
    <mergeCell ref="C146:D147"/>
    <mergeCell ref="E146:F147"/>
    <mergeCell ref="G146:H147"/>
    <mergeCell ref="A142:B142"/>
    <mergeCell ref="A143:B143"/>
    <mergeCell ref="A144:B144"/>
    <mergeCell ref="B464:H464"/>
    <mergeCell ref="B460:H460"/>
    <mergeCell ref="B458:H458"/>
    <mergeCell ref="B459:H459"/>
    <mergeCell ref="B461:H461"/>
    <mergeCell ref="B462:H462"/>
    <mergeCell ref="A457:H457"/>
    <mergeCell ref="A474:H474"/>
    <mergeCell ref="A471:H471"/>
    <mergeCell ref="B467:H467"/>
    <mergeCell ref="A470:H470"/>
    <mergeCell ref="B468:H468"/>
    <mergeCell ref="B465:H465"/>
    <mergeCell ref="B466:H466"/>
    <mergeCell ref="G59:H59"/>
    <mergeCell ref="D67:H67"/>
    <mergeCell ref="C52:E52"/>
    <mergeCell ref="A65:C67"/>
    <mergeCell ref="D65:H65"/>
    <mergeCell ref="D66:H66"/>
    <mergeCell ref="C170:D170"/>
    <mergeCell ref="E170:F170"/>
    <mergeCell ref="G170:H170"/>
    <mergeCell ref="F155:H155"/>
    <mergeCell ref="C162:D162"/>
    <mergeCell ref="F151:H151"/>
    <mergeCell ref="A155:E155"/>
    <mergeCell ref="A125:B125"/>
    <mergeCell ref="A126:B126"/>
    <mergeCell ref="E108:F117"/>
    <mergeCell ref="A115:B115"/>
    <mergeCell ref="A116:B116"/>
    <mergeCell ref="E121:F121"/>
    <mergeCell ref="E122:F131"/>
    <mergeCell ref="F148:H148"/>
    <mergeCell ref="F153:H153"/>
    <mergeCell ref="A153:E153"/>
    <mergeCell ref="A117:B117"/>
    <mergeCell ref="C51:E51"/>
    <mergeCell ref="C104:H104"/>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A52:B53"/>
    <mergeCell ref="C59:E59"/>
    <mergeCell ref="G51:H51"/>
    <mergeCell ref="L200:M200"/>
    <mergeCell ref="A201:B201"/>
    <mergeCell ref="L201:M201"/>
    <mergeCell ref="I15:P15"/>
    <mergeCell ref="F158:H158"/>
    <mergeCell ref="F156:H156"/>
    <mergeCell ref="A174:H174"/>
    <mergeCell ref="G162:H162"/>
    <mergeCell ref="A157:E157"/>
    <mergeCell ref="A180:B180"/>
    <mergeCell ref="A60:B60"/>
    <mergeCell ref="C60:E60"/>
    <mergeCell ref="D62:H62"/>
    <mergeCell ref="F157:H157"/>
    <mergeCell ref="E162:F162"/>
    <mergeCell ref="A162:B162"/>
    <mergeCell ref="C166:D166"/>
    <mergeCell ref="D72:H72"/>
    <mergeCell ref="A73:C73"/>
    <mergeCell ref="E43:H43"/>
    <mergeCell ref="A43:D43"/>
    <mergeCell ref="A104:B104"/>
    <mergeCell ref="A195:B195"/>
    <mergeCell ref="L195:M195"/>
    <mergeCell ref="A206:H206"/>
    <mergeCell ref="A205:H205"/>
    <mergeCell ref="A207:H207"/>
    <mergeCell ref="A208:B208"/>
    <mergeCell ref="L208:M208"/>
    <mergeCell ref="A209:B209"/>
    <mergeCell ref="L209:M209"/>
    <mergeCell ref="A210:B210"/>
    <mergeCell ref="L210:M210"/>
    <mergeCell ref="L196:M196"/>
    <mergeCell ref="A197:B197"/>
    <mergeCell ref="L197:M197"/>
    <mergeCell ref="A198:B198"/>
    <mergeCell ref="L198:M198"/>
    <mergeCell ref="A199:B199"/>
    <mergeCell ref="L199:M199"/>
    <mergeCell ref="A202:H202"/>
    <mergeCell ref="A200:B200"/>
    <mergeCell ref="A196:B196"/>
    <mergeCell ref="L216:M216"/>
    <mergeCell ref="A217:B217"/>
    <mergeCell ref="L217:M217"/>
    <mergeCell ref="A218:B218"/>
    <mergeCell ref="L218:M218"/>
    <mergeCell ref="A219:B219"/>
    <mergeCell ref="L219:M219"/>
    <mergeCell ref="A220:B220"/>
    <mergeCell ref="L220:M220"/>
    <mergeCell ref="A221:B221"/>
    <mergeCell ref="L221:M221"/>
    <mergeCell ref="A222:B222"/>
    <mergeCell ref="L222:M222"/>
    <mergeCell ref="A223:B223"/>
    <mergeCell ref="L223:M223"/>
    <mergeCell ref="A224:B224"/>
    <mergeCell ref="L224:M224"/>
    <mergeCell ref="A225:B225"/>
    <mergeCell ref="L225:M225"/>
    <mergeCell ref="A226:B226"/>
    <mergeCell ref="L226:M226"/>
    <mergeCell ref="A227:B227"/>
    <mergeCell ref="L227:M227"/>
    <mergeCell ref="A228:B228"/>
    <mergeCell ref="L228:M228"/>
    <mergeCell ref="A229:B229"/>
    <mergeCell ref="L229:M229"/>
    <mergeCell ref="A230:B230"/>
    <mergeCell ref="L230:M230"/>
    <mergeCell ref="A231:B231"/>
    <mergeCell ref="L231:M231"/>
    <mergeCell ref="A232:B232"/>
    <mergeCell ref="L232:M232"/>
    <mergeCell ref="A233:B233"/>
    <mergeCell ref="L233:M233"/>
    <mergeCell ref="A234:H234"/>
    <mergeCell ref="A235:B235"/>
    <mergeCell ref="L235:M235"/>
    <mergeCell ref="A236:B236"/>
    <mergeCell ref="L236:M236"/>
    <mergeCell ref="A237:B237"/>
    <mergeCell ref="L237:M237"/>
    <mergeCell ref="A238:B238"/>
    <mergeCell ref="L238:M238"/>
    <mergeCell ref="A239:B239"/>
    <mergeCell ref="L239:M239"/>
    <mergeCell ref="A240:B240"/>
    <mergeCell ref="L240:M240"/>
    <mergeCell ref="A241:B241"/>
    <mergeCell ref="L241:M241"/>
    <mergeCell ref="A242:B242"/>
    <mergeCell ref="L242:M242"/>
    <mergeCell ref="A243:B243"/>
    <mergeCell ref="L243:M243"/>
    <mergeCell ref="A244:B244"/>
    <mergeCell ref="L244:M244"/>
    <mergeCell ref="A245:B245"/>
    <mergeCell ref="L245:M245"/>
    <mergeCell ref="A246:B246"/>
    <mergeCell ref="L246:M246"/>
    <mergeCell ref="A247:B247"/>
    <mergeCell ref="L247:M247"/>
    <mergeCell ref="A248:B248"/>
    <mergeCell ref="L248:M248"/>
    <mergeCell ref="A249:B249"/>
    <mergeCell ref="L249:M249"/>
    <mergeCell ref="A250:B250"/>
    <mergeCell ref="L250:M250"/>
    <mergeCell ref="A251:B251"/>
    <mergeCell ref="L251:M251"/>
    <mergeCell ref="A252:B252"/>
    <mergeCell ref="L252:M252"/>
    <mergeCell ref="A253:B253"/>
    <mergeCell ref="L253:M253"/>
    <mergeCell ref="A254:B254"/>
    <mergeCell ref="L254:M254"/>
    <mergeCell ref="A255:B255"/>
    <mergeCell ref="L255:M255"/>
    <mergeCell ref="A256:B256"/>
    <mergeCell ref="L256:M256"/>
    <mergeCell ref="A257:B257"/>
    <mergeCell ref="L257:M257"/>
    <mergeCell ref="A258:B258"/>
    <mergeCell ref="L258:M258"/>
    <mergeCell ref="A259:B259"/>
    <mergeCell ref="L259:M259"/>
    <mergeCell ref="A260:B260"/>
    <mergeCell ref="L260:M260"/>
    <mergeCell ref="A261:H261"/>
    <mergeCell ref="A262:B262"/>
    <mergeCell ref="L262:M262"/>
    <mergeCell ref="A263:B263"/>
    <mergeCell ref="L263:M263"/>
    <mergeCell ref="A264:B264"/>
    <mergeCell ref="L264:M264"/>
    <mergeCell ref="A265:B265"/>
    <mergeCell ref="L265:M265"/>
    <mergeCell ref="A266:B266"/>
    <mergeCell ref="L266:M266"/>
    <mergeCell ref="A267:B267"/>
    <mergeCell ref="L267:M267"/>
    <mergeCell ref="A268:B268"/>
    <mergeCell ref="L268:M268"/>
    <mergeCell ref="A269:B269"/>
    <mergeCell ref="L269:M269"/>
    <mergeCell ref="A270:B270"/>
    <mergeCell ref="L270:M270"/>
    <mergeCell ref="A271:B271"/>
    <mergeCell ref="L271:M271"/>
    <mergeCell ref="A272:B272"/>
    <mergeCell ref="L272:M272"/>
    <mergeCell ref="A273:B273"/>
    <mergeCell ref="L273:M273"/>
    <mergeCell ref="A274:B274"/>
    <mergeCell ref="L274:M274"/>
    <mergeCell ref="A275:B275"/>
    <mergeCell ref="L275:M275"/>
    <mergeCell ref="A276:B276"/>
    <mergeCell ref="L276:M276"/>
    <mergeCell ref="A277:B277"/>
    <mergeCell ref="L277:M277"/>
    <mergeCell ref="A278:B278"/>
    <mergeCell ref="L278:M278"/>
    <mergeCell ref="A279:B279"/>
    <mergeCell ref="L279:M279"/>
    <mergeCell ref="A280:B280"/>
    <mergeCell ref="L280:M280"/>
    <mergeCell ref="A281:B281"/>
    <mergeCell ref="L281:M281"/>
    <mergeCell ref="A282:B282"/>
    <mergeCell ref="L282:M282"/>
    <mergeCell ref="A283:B283"/>
    <mergeCell ref="L283:M283"/>
    <mergeCell ref="A284:B284"/>
    <mergeCell ref="L284:M284"/>
    <mergeCell ref="A285:B285"/>
    <mergeCell ref="L285:M285"/>
    <mergeCell ref="L192:M192"/>
    <mergeCell ref="A193:B193"/>
    <mergeCell ref="L193:M193"/>
    <mergeCell ref="A194:B194"/>
    <mergeCell ref="L194:M194"/>
    <mergeCell ref="L191:M191"/>
    <mergeCell ref="A169:A170"/>
    <mergeCell ref="A171:B171"/>
    <mergeCell ref="E171:F171"/>
    <mergeCell ref="A192:B192"/>
    <mergeCell ref="C171:D171"/>
    <mergeCell ref="A179:B179"/>
    <mergeCell ref="A172:B172"/>
    <mergeCell ref="C172:D172"/>
    <mergeCell ref="E172:F172"/>
    <mergeCell ref="A182:B182"/>
    <mergeCell ref="A181:B181"/>
    <mergeCell ref="C175:C176"/>
    <mergeCell ref="A173:H173"/>
    <mergeCell ref="A191:B191"/>
    <mergeCell ref="A288:H288"/>
    <mergeCell ref="A289:H289"/>
    <mergeCell ref="A290:B290"/>
    <mergeCell ref="L290:M290"/>
    <mergeCell ref="A291:B291"/>
    <mergeCell ref="L291:M291"/>
    <mergeCell ref="A292:B292"/>
    <mergeCell ref="L292:M292"/>
    <mergeCell ref="A286:B286"/>
    <mergeCell ref="L286:M286"/>
    <mergeCell ref="A287:B287"/>
    <mergeCell ref="L287:M287"/>
    <mergeCell ref="C286:H287"/>
    <mergeCell ref="A293:B293"/>
    <mergeCell ref="L293:M293"/>
    <mergeCell ref="A294:B294"/>
    <mergeCell ref="L294:M294"/>
    <mergeCell ref="A295:B295"/>
    <mergeCell ref="L295:M295"/>
    <mergeCell ref="A296:B296"/>
    <mergeCell ref="L296:M296"/>
    <mergeCell ref="A297:B297"/>
    <mergeCell ref="L297:M297"/>
    <mergeCell ref="A298:B298"/>
    <mergeCell ref="L298:M298"/>
    <mergeCell ref="A299:B299"/>
    <mergeCell ref="L299:M299"/>
    <mergeCell ref="A300:B300"/>
    <mergeCell ref="L300:M300"/>
    <mergeCell ref="A301:B301"/>
    <mergeCell ref="L301:M301"/>
    <mergeCell ref="A302:B302"/>
    <mergeCell ref="L302:M302"/>
    <mergeCell ref="A303:B303"/>
    <mergeCell ref="L303:M303"/>
    <mergeCell ref="A304:B304"/>
    <mergeCell ref="L304:M304"/>
    <mergeCell ref="A305:B305"/>
    <mergeCell ref="L305:M305"/>
    <mergeCell ref="A306:B306"/>
    <mergeCell ref="L306:M306"/>
    <mergeCell ref="A307:B307"/>
    <mergeCell ref="L307:M307"/>
    <mergeCell ref="A308:B308"/>
    <mergeCell ref="L308:M308"/>
    <mergeCell ref="A309:B309"/>
    <mergeCell ref="L309:M309"/>
    <mergeCell ref="A310:B310"/>
    <mergeCell ref="L310:M310"/>
    <mergeCell ref="A311:B311"/>
    <mergeCell ref="L311:M311"/>
    <mergeCell ref="A312:B312"/>
    <mergeCell ref="L312:M312"/>
    <mergeCell ref="A313:B313"/>
    <mergeCell ref="L313:M313"/>
    <mergeCell ref="A314:B314"/>
    <mergeCell ref="L314:M314"/>
    <mergeCell ref="A315:B315"/>
    <mergeCell ref="L315:M315"/>
    <mergeCell ref="A316:H316"/>
    <mergeCell ref="A317:B317"/>
    <mergeCell ref="L317:M317"/>
    <mergeCell ref="A318:B318"/>
    <mergeCell ref="L318:M318"/>
    <mergeCell ref="A319:B319"/>
    <mergeCell ref="L319:M319"/>
    <mergeCell ref="A320:B320"/>
    <mergeCell ref="L320:M320"/>
    <mergeCell ref="A321:B321"/>
    <mergeCell ref="L321:M321"/>
    <mergeCell ref="A322:B322"/>
    <mergeCell ref="L322:M322"/>
    <mergeCell ref="A323:B323"/>
    <mergeCell ref="L323:M323"/>
    <mergeCell ref="A324:B324"/>
    <mergeCell ref="L324:M324"/>
    <mergeCell ref="A325:B325"/>
    <mergeCell ref="L325:M325"/>
    <mergeCell ref="A326:B326"/>
    <mergeCell ref="L326:M326"/>
    <mergeCell ref="A327:B327"/>
    <mergeCell ref="L327:M327"/>
    <mergeCell ref="A328:B328"/>
    <mergeCell ref="L328:M328"/>
    <mergeCell ref="A329:B329"/>
    <mergeCell ref="L329:M329"/>
    <mergeCell ref="A330:B330"/>
    <mergeCell ref="L330:M330"/>
    <mergeCell ref="A331:B331"/>
    <mergeCell ref="L331:M331"/>
    <mergeCell ref="A332:B332"/>
    <mergeCell ref="L332:M332"/>
    <mergeCell ref="A333:B333"/>
    <mergeCell ref="L333:M333"/>
    <mergeCell ref="A334:B334"/>
    <mergeCell ref="L334:M334"/>
    <mergeCell ref="A335:B335"/>
    <mergeCell ref="L335:M335"/>
    <mergeCell ref="A336:B336"/>
    <mergeCell ref="L336:M336"/>
    <mergeCell ref="A337:B337"/>
    <mergeCell ref="L337:M337"/>
    <mergeCell ref="L348:M348"/>
    <mergeCell ref="A349:B349"/>
    <mergeCell ref="L349:M349"/>
    <mergeCell ref="A350:B350"/>
    <mergeCell ref="A338:B338"/>
    <mergeCell ref="L338:M338"/>
    <mergeCell ref="A339:B339"/>
    <mergeCell ref="L339:M339"/>
    <mergeCell ref="A340:B340"/>
    <mergeCell ref="L340:M340"/>
    <mergeCell ref="A341:B341"/>
    <mergeCell ref="L341:M341"/>
    <mergeCell ref="A342:B342"/>
    <mergeCell ref="L342:M342"/>
    <mergeCell ref="A343:H343"/>
    <mergeCell ref="A344:B344"/>
    <mergeCell ref="L344:M344"/>
    <mergeCell ref="A345:B345"/>
    <mergeCell ref="L345:M345"/>
    <mergeCell ref="A346:B346"/>
    <mergeCell ref="L346:M346"/>
    <mergeCell ref="A347:B347"/>
    <mergeCell ref="L347:M347"/>
    <mergeCell ref="A348:B348"/>
    <mergeCell ref="A357:B357"/>
    <mergeCell ref="L357:M357"/>
    <mergeCell ref="A367:B367"/>
    <mergeCell ref="L367:M367"/>
    <mergeCell ref="A358:B358"/>
    <mergeCell ref="L358:M358"/>
    <mergeCell ref="A359:B359"/>
    <mergeCell ref="L359:M359"/>
    <mergeCell ref="A360:B360"/>
    <mergeCell ref="L360:M360"/>
    <mergeCell ref="A361:B361"/>
    <mergeCell ref="L361:M361"/>
    <mergeCell ref="A362:B362"/>
    <mergeCell ref="L362:M362"/>
    <mergeCell ref="A363:B363"/>
    <mergeCell ref="L363:M363"/>
    <mergeCell ref="A364:B364"/>
    <mergeCell ref="L364:M364"/>
    <mergeCell ref="A365:B365"/>
    <mergeCell ref="L365:M365"/>
    <mergeCell ref="A366:B366"/>
    <mergeCell ref="L366:M366"/>
    <mergeCell ref="A353:B353"/>
    <mergeCell ref="L353:M353"/>
    <mergeCell ref="A354:B354"/>
    <mergeCell ref="L354:M354"/>
    <mergeCell ref="A355:B355"/>
    <mergeCell ref="L355:M355"/>
    <mergeCell ref="A356:B356"/>
    <mergeCell ref="L356:M356"/>
    <mergeCell ref="L350:M350"/>
    <mergeCell ref="A351:B351"/>
    <mergeCell ref="L351:M351"/>
    <mergeCell ref="A352:B352"/>
    <mergeCell ref="L352:M352"/>
    <mergeCell ref="C53:H53"/>
    <mergeCell ref="A370:H370"/>
    <mergeCell ref="A368:B368"/>
    <mergeCell ref="L368:M368"/>
    <mergeCell ref="A369:B369"/>
    <mergeCell ref="L369:M369"/>
    <mergeCell ref="C368:H369"/>
    <mergeCell ref="A177:H177"/>
    <mergeCell ref="A183:B183"/>
    <mergeCell ref="L183:M183"/>
    <mergeCell ref="A184:B184"/>
    <mergeCell ref="L184:M184"/>
    <mergeCell ref="A185:B185"/>
    <mergeCell ref="L185:M185"/>
    <mergeCell ref="A186:B186"/>
    <mergeCell ref="L186:M186"/>
    <mergeCell ref="A187:B187"/>
    <mergeCell ref="L187:M187"/>
    <mergeCell ref="A188:B188"/>
    <mergeCell ref="L188:M188"/>
    <mergeCell ref="A189:B189"/>
    <mergeCell ref="L189:M189"/>
    <mergeCell ref="A190:B190"/>
    <mergeCell ref="L190:M190"/>
  </mergeCells>
  <dataValidations count="14">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75:E176" xr:uid="{00000000-0002-0000-0000-000003000000}">
      <formula1>"Attached Loft area,Attached Otla area,Attached Mezzanine area"</formula1>
    </dataValidation>
    <dataValidation type="list" allowBlank="1" showInputMessage="1" showErrorMessage="1" sqref="F148:H148" xr:uid="{00000000-0002-0000-0000-000004000000}">
      <formula1>"On Saleable Area,On Builtup Area,On Carpet Area,On Plot Area"</formula1>
    </dataValidation>
    <dataValidation type="list" allowBlank="1" showInputMessage="1" showErrorMessage="1" sqref="B175:B176" xr:uid="{00000000-0002-0000-0000-000005000000}">
      <formula1>"Shop No. (Sale Plan),Sale / Rehab,Sale / Mhada"</formula1>
    </dataValidation>
    <dataValidation type="list" allowBlank="1" showInputMessage="1" showErrorMessage="1" sqref="B203:B204" xr:uid="{00000000-0002-0000-0000-000006000000}">
      <formula1>"Flat No. (Sale Plan),Sale / Rehab,Sale / Mhada"</formula1>
    </dataValidation>
    <dataValidation type="list" allowBlank="1" showInputMessage="1" showErrorMessage="1" sqref="C21:D21" xr:uid="{00000000-0002-0000-0000-000007000000}">
      <formula1>OFFSET($S$13,1,MATCH($G20,$S$13:$W$13,0)-1,15,1)</formula1>
    </dataValidation>
    <dataValidation type="list" allowBlank="1" showInputMessage="1" showErrorMessage="1" sqref="Y13" xr:uid="{00000000-0002-0000-0000-000008000000}">
      <formula1>$D$5:$H$5</formula1>
    </dataValidation>
    <dataValidation type="list" allowBlank="1" showInputMessage="1" showErrorMessage="1" sqref="E203:E204" xr:uid="{00000000-0002-0000-0000-000009000000}">
      <formula1>"Fungible area,Balcony Area,Chajja Area,Cornice Area,AP Area,WS Area"</formula1>
    </dataValidation>
    <dataValidation type="list" allowBlank="1" showInputMessage="1" showErrorMessage="1" sqref="H204 H176" xr:uid="{00000000-0002-0000-0000-00000A000000}">
      <formula1>".45,.50,.55,.60"</formula1>
    </dataValidation>
    <dataValidation type="list" allowBlank="1" showInputMessage="1" showErrorMessage="1" sqref="E4:H4" xr:uid="{00000000-0002-0000-0000-00000B000000}">
      <formula1>$L$3:$P$3</formula1>
    </dataValidation>
    <dataValidation type="whole" allowBlank="1" showInputMessage="1" showErrorMessage="1" sqref="C84 C98" xr:uid="{00000000-0002-0000-0000-00000C000000}">
      <formula1>0</formula1>
      <formula2>H76</formula2>
    </dataValidation>
    <dataValidation type="list" allowBlank="1" showInputMessage="1" showErrorMessage="1" sqref="F159:H159" xr:uid="{00000000-0002-0000-0000-00000D000000}">
      <formula1>OFFSET($S$148,1,MATCH($G20,$S$148:$W$148,0)-1,15,1)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103" max="16383" man="1"/>
    <brk id="202" max="16383" man="1"/>
    <brk id="480" max="16383" man="1"/>
    <brk id="522" max="16383" man="1"/>
    <brk id="565"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8" sqref="C8"/>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75" t="s">
        <v>105</v>
      </c>
      <c r="C3" s="275"/>
      <c r="D3" s="275"/>
      <c r="E3" s="275"/>
      <c r="F3" s="275"/>
      <c r="G3" s="275"/>
      <c r="H3" s="275"/>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1"/>
      <c r="C4" s="51" t="s">
        <v>11</v>
      </c>
      <c r="D4" s="52" t="s">
        <v>175</v>
      </c>
      <c r="E4" s="52" t="s">
        <v>185</v>
      </c>
      <c r="F4" s="52" t="s">
        <v>169</v>
      </c>
      <c r="G4" s="52" t="s">
        <v>190</v>
      </c>
      <c r="H4" s="52" t="s">
        <v>208</v>
      </c>
      <c r="J4" t="s">
        <v>190</v>
      </c>
      <c r="K4" t="s">
        <v>206</v>
      </c>
    </row>
    <row r="5" spans="2:11" x14ac:dyDescent="0.3">
      <c r="B5" s="51"/>
      <c r="C5" s="51"/>
      <c r="D5" s="52" t="s">
        <v>176</v>
      </c>
      <c r="E5" s="52" t="s">
        <v>183</v>
      </c>
      <c r="F5" s="52" t="s">
        <v>205</v>
      </c>
      <c r="G5" s="52" t="s">
        <v>191</v>
      </c>
      <c r="H5" s="52" t="s">
        <v>209</v>
      </c>
    </row>
    <row r="6" spans="2:11" x14ac:dyDescent="0.3">
      <c r="B6" s="51"/>
      <c r="C6" s="51"/>
      <c r="D6" s="52" t="s">
        <v>177</v>
      </c>
      <c r="E6" s="52" t="s">
        <v>184</v>
      </c>
      <c r="F6" s="52" t="s">
        <v>206</v>
      </c>
      <c r="G6" s="52" t="s">
        <v>192</v>
      </c>
      <c r="H6" s="52" t="s">
        <v>222</v>
      </c>
    </row>
    <row r="7" spans="2:11" x14ac:dyDescent="0.3">
      <c r="B7" s="51"/>
      <c r="C7" s="51"/>
      <c r="D7" s="52" t="s">
        <v>178</v>
      </c>
      <c r="E7" s="52" t="s">
        <v>186</v>
      </c>
      <c r="F7" s="52" t="s">
        <v>207</v>
      </c>
      <c r="G7" s="52" t="s">
        <v>193</v>
      </c>
      <c r="H7" s="52" t="s">
        <v>210</v>
      </c>
    </row>
    <row r="8" spans="2:11" x14ac:dyDescent="0.3">
      <c r="B8" s="51"/>
      <c r="C8" s="51"/>
      <c r="D8" s="52" t="s">
        <v>179</v>
      </c>
      <c r="E8" s="52" t="s">
        <v>187</v>
      </c>
      <c r="F8" s="52"/>
      <c r="G8" s="52" t="s">
        <v>194</v>
      </c>
      <c r="H8" s="52" t="s">
        <v>211</v>
      </c>
    </row>
    <row r="9" spans="2:11" x14ac:dyDescent="0.3">
      <c r="B9" s="51"/>
      <c r="C9" s="51"/>
      <c r="D9" s="52" t="s">
        <v>180</v>
      </c>
      <c r="E9" s="52" t="s">
        <v>185</v>
      </c>
      <c r="F9" s="52"/>
      <c r="G9" s="52" t="s">
        <v>195</v>
      </c>
      <c r="H9" s="52" t="s">
        <v>212</v>
      </c>
    </row>
    <row r="10" spans="2:11" x14ac:dyDescent="0.3">
      <c r="B10" s="51"/>
      <c r="C10" s="51"/>
      <c r="D10" s="52" t="s">
        <v>181</v>
      </c>
      <c r="E10" s="52" t="s">
        <v>188</v>
      </c>
      <c r="F10" s="52"/>
      <c r="G10" s="52" t="s">
        <v>196</v>
      </c>
      <c r="H10" s="52" t="s">
        <v>213</v>
      </c>
    </row>
    <row r="11" spans="2:11" x14ac:dyDescent="0.3">
      <c r="B11" s="51"/>
      <c r="C11" s="51"/>
      <c r="D11" s="52" t="s">
        <v>182</v>
      </c>
      <c r="E11" s="52" t="s">
        <v>189</v>
      </c>
      <c r="F11" s="52"/>
      <c r="G11" s="52" t="s">
        <v>197</v>
      </c>
      <c r="H11" s="52" t="s">
        <v>214</v>
      </c>
    </row>
    <row r="12" spans="2:11" x14ac:dyDescent="0.3">
      <c r="B12" s="51"/>
      <c r="C12" s="51"/>
      <c r="D12" s="52"/>
      <c r="E12" s="52"/>
      <c r="F12" s="52"/>
      <c r="G12" s="52" t="s">
        <v>198</v>
      </c>
      <c r="H12" s="52" t="s">
        <v>215</v>
      </c>
    </row>
    <row r="13" spans="2:11" x14ac:dyDescent="0.3">
      <c r="B13" s="51"/>
      <c r="C13" s="51"/>
      <c r="D13" s="52"/>
      <c r="E13" s="52"/>
      <c r="F13" s="52"/>
      <c r="G13" s="52" t="s">
        <v>199</v>
      </c>
      <c r="H13" s="52" t="s">
        <v>216</v>
      </c>
    </row>
    <row r="14" spans="2:11" x14ac:dyDescent="0.3">
      <c r="B14" s="51"/>
      <c r="C14" s="51"/>
      <c r="D14" s="52"/>
      <c r="E14" s="52"/>
      <c r="F14" s="52"/>
      <c r="G14" s="52" t="s">
        <v>200</v>
      </c>
      <c r="H14" s="52" t="s">
        <v>217</v>
      </c>
    </row>
    <row r="15" spans="2:11" x14ac:dyDescent="0.3">
      <c r="B15" s="51"/>
      <c r="C15" s="51"/>
      <c r="D15" s="52"/>
      <c r="E15" s="52"/>
      <c r="F15" s="52"/>
      <c r="G15" s="52" t="s">
        <v>201</v>
      </c>
      <c r="H15" s="52" t="s">
        <v>218</v>
      </c>
    </row>
    <row r="16" spans="2:11" x14ac:dyDescent="0.3">
      <c r="B16" s="51"/>
      <c r="C16" s="51"/>
      <c r="D16" s="52"/>
      <c r="E16" s="52"/>
      <c r="F16" s="52"/>
      <c r="G16" s="52" t="s">
        <v>202</v>
      </c>
      <c r="H16" s="52" t="s">
        <v>219</v>
      </c>
    </row>
    <row r="17" spans="2:8" x14ac:dyDescent="0.3">
      <c r="B17" s="51"/>
      <c r="C17" s="51"/>
      <c r="D17" s="52"/>
      <c r="E17" s="52"/>
      <c r="F17" s="52"/>
      <c r="G17" s="52" t="s">
        <v>203</v>
      </c>
      <c r="H17" s="52" t="s">
        <v>220</v>
      </c>
    </row>
    <row r="18" spans="2:8" x14ac:dyDescent="0.3">
      <c r="B18" s="51"/>
      <c r="C18" s="51"/>
      <c r="D18" s="52"/>
      <c r="E18" s="52"/>
      <c r="F18" s="52"/>
      <c r="G18" s="52" t="s">
        <v>204</v>
      </c>
      <c r="H18" s="52" t="s">
        <v>221</v>
      </c>
    </row>
    <row r="24" spans="2:8" x14ac:dyDescent="0.3">
      <c r="C24" t="s">
        <v>166</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166</v>
      </c>
    </row>
    <row r="33" spans="3:11" x14ac:dyDescent="0.3">
      <c r="J33">
        <v>1</v>
      </c>
      <c r="K33">
        <v>2</v>
      </c>
    </row>
    <row r="34" spans="3:11" x14ac:dyDescent="0.3">
      <c r="C34" s="53" t="s">
        <v>233</v>
      </c>
      <c r="D34" s="52" t="s">
        <v>231</v>
      </c>
      <c r="E34" s="52" t="s">
        <v>236</v>
      </c>
      <c r="F34" s="52" t="s">
        <v>234</v>
      </c>
      <c r="G34" s="52" t="s">
        <v>235</v>
      </c>
      <c r="H34" s="52" t="s">
        <v>237</v>
      </c>
      <c r="J34" t="s">
        <v>190</v>
      </c>
      <c r="K34" t="s">
        <v>206</v>
      </c>
    </row>
    <row r="35" spans="3:11" x14ac:dyDescent="0.3">
      <c r="C35" s="51" t="s">
        <v>232</v>
      </c>
      <c r="D35" s="52" t="s">
        <v>167</v>
      </c>
      <c r="E35" s="52" t="s">
        <v>241</v>
      </c>
      <c r="F35" s="52" t="s">
        <v>243</v>
      </c>
      <c r="G35" s="52" t="s">
        <v>245</v>
      </c>
      <c r="H35" s="52"/>
    </row>
    <row r="36" spans="3:11" x14ac:dyDescent="0.3">
      <c r="C36" s="51"/>
      <c r="D36" s="52" t="s">
        <v>238</v>
      </c>
      <c r="E36" s="52" t="s">
        <v>242</v>
      </c>
      <c r="F36" s="52" t="s">
        <v>244</v>
      </c>
      <c r="G36" s="52" t="s">
        <v>246</v>
      </c>
      <c r="H36" s="52"/>
    </row>
    <row r="37" spans="3:11" x14ac:dyDescent="0.3">
      <c r="C37" s="51"/>
      <c r="D37" s="52" t="s">
        <v>239</v>
      </c>
      <c r="E37" s="52"/>
      <c r="F37" s="52"/>
      <c r="G37" s="52" t="s">
        <v>247</v>
      </c>
      <c r="H37" s="52"/>
    </row>
    <row r="38" spans="3:11" x14ac:dyDescent="0.3">
      <c r="C38" s="51"/>
      <c r="D38" s="52" t="s">
        <v>240</v>
      </c>
      <c r="E38" s="52"/>
      <c r="F38" s="52"/>
      <c r="G38" s="52" t="s">
        <v>247</v>
      </c>
      <c r="H38" s="52"/>
    </row>
    <row r="39" spans="3:11" x14ac:dyDescent="0.3">
      <c r="C39" s="51"/>
      <c r="D39" s="52"/>
      <c r="E39" s="52"/>
      <c r="F39" s="52"/>
      <c r="G39" s="52" t="s">
        <v>248</v>
      </c>
      <c r="H39" s="52"/>
    </row>
    <row r="40" spans="3:11" x14ac:dyDescent="0.3">
      <c r="C40" s="51"/>
      <c r="D40" s="52"/>
      <c r="E40" s="52"/>
      <c r="F40" s="52"/>
      <c r="G40" s="52" t="s">
        <v>249</v>
      </c>
      <c r="H40" s="52"/>
    </row>
    <row r="41" spans="3:11" x14ac:dyDescent="0.3">
      <c r="C41" s="51"/>
      <c r="D41" s="52"/>
      <c r="E41" s="52"/>
      <c r="F41" s="52"/>
      <c r="G41" s="52"/>
      <c r="H41" s="52"/>
    </row>
    <row r="43" spans="3:11" x14ac:dyDescent="0.3">
      <c r="C43" t="s">
        <v>250</v>
      </c>
    </row>
    <row r="44" spans="3:11" x14ac:dyDescent="0.3">
      <c r="C44" t="s">
        <v>169</v>
      </c>
      <c r="D44" t="s">
        <v>251</v>
      </c>
    </row>
    <row r="45" spans="3:11" x14ac:dyDescent="0.3">
      <c r="D45" t="s">
        <v>252</v>
      </c>
    </row>
    <row r="46" spans="3:11" x14ac:dyDescent="0.3">
      <c r="D46" t="s">
        <v>253</v>
      </c>
    </row>
    <row r="47" spans="3:11" x14ac:dyDescent="0.3">
      <c r="D47" t="s">
        <v>254</v>
      </c>
    </row>
    <row r="48" spans="3:11" x14ac:dyDescent="0.3">
      <c r="D48" t="s">
        <v>255</v>
      </c>
    </row>
    <row r="49" spans="3:4" x14ac:dyDescent="0.3">
      <c r="C49" t="s">
        <v>175</v>
      </c>
      <c r="D49" t="s">
        <v>256</v>
      </c>
    </row>
    <row r="50" spans="3:4" x14ac:dyDescent="0.3">
      <c r="D50" t="s">
        <v>257</v>
      </c>
    </row>
    <row r="51" spans="3:4" x14ac:dyDescent="0.3">
      <c r="D51" t="s">
        <v>258</v>
      </c>
    </row>
    <row r="52" spans="3:4" x14ac:dyDescent="0.3">
      <c r="D52" t="s">
        <v>261</v>
      </c>
    </row>
    <row r="53" spans="3:4" x14ac:dyDescent="0.3">
      <c r="D53" t="s">
        <v>259</v>
      </c>
    </row>
    <row r="54" spans="3:4" x14ac:dyDescent="0.3">
      <c r="D54" t="s">
        <v>260</v>
      </c>
    </row>
    <row r="55" spans="3:4" x14ac:dyDescent="0.3">
      <c r="D55" t="s">
        <v>262</v>
      </c>
    </row>
    <row r="56" spans="3:4" x14ac:dyDescent="0.3">
      <c r="D56" t="s">
        <v>263</v>
      </c>
    </row>
    <row r="57" spans="3:4" x14ac:dyDescent="0.3">
      <c r="D57" t="s">
        <v>264</v>
      </c>
    </row>
    <row r="58" spans="3:4" x14ac:dyDescent="0.3">
      <c r="D58" t="s">
        <v>266</v>
      </c>
    </row>
    <row r="59" spans="3:4" x14ac:dyDescent="0.3">
      <c r="D59" t="s">
        <v>275</v>
      </c>
    </row>
    <row r="60" spans="3:4" x14ac:dyDescent="0.3">
      <c r="C60" t="s">
        <v>190</v>
      </c>
      <c r="D60" t="s">
        <v>267</v>
      </c>
    </row>
    <row r="61" spans="3:4" x14ac:dyDescent="0.3">
      <c r="D61" t="s">
        <v>265</v>
      </c>
    </row>
    <row r="62" spans="3:4" x14ac:dyDescent="0.3">
      <c r="D62" t="s">
        <v>255</v>
      </c>
    </row>
    <row r="63" spans="3:4" x14ac:dyDescent="0.3">
      <c r="D63" t="s">
        <v>268</v>
      </c>
    </row>
    <row r="64" spans="3:4" x14ac:dyDescent="0.3">
      <c r="D64" t="s">
        <v>269</v>
      </c>
    </row>
    <row r="65" spans="3:4" x14ac:dyDescent="0.3">
      <c r="D65" t="s">
        <v>270</v>
      </c>
    </row>
    <row r="66" spans="3:4" x14ac:dyDescent="0.3">
      <c r="D66" t="s">
        <v>271</v>
      </c>
    </row>
    <row r="67" spans="3:4" x14ac:dyDescent="0.3">
      <c r="C67" t="s">
        <v>185</v>
      </c>
      <c r="D67" t="s">
        <v>272</v>
      </c>
    </row>
    <row r="68" spans="3:4" x14ac:dyDescent="0.3">
      <c r="D68" t="s">
        <v>273</v>
      </c>
    </row>
    <row r="69" spans="3:4" x14ac:dyDescent="0.3">
      <c r="D69" t="s">
        <v>274</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4.4" x14ac:dyDescent="0.3"/>
  <cols>
    <col min="2" max="2" width="3" bestFit="1" customWidth="1"/>
    <col min="3" max="3" width="130" customWidth="1"/>
  </cols>
  <sheetData>
    <row r="2" spans="2:3" ht="15" customHeight="1" x14ac:dyDescent="0.3">
      <c r="B2" s="54">
        <v>1</v>
      </c>
      <c r="C2" s="56" t="s">
        <v>281</v>
      </c>
    </row>
    <row r="3" spans="2:3" x14ac:dyDescent="0.3">
      <c r="B3" s="54">
        <v>2</v>
      </c>
      <c r="C3" s="55" t="s">
        <v>282</v>
      </c>
    </row>
    <row r="4" spans="2:3" x14ac:dyDescent="0.3">
      <c r="B4" s="54">
        <v>3</v>
      </c>
      <c r="C4" s="54" t="s">
        <v>283</v>
      </c>
    </row>
    <row r="5" spans="2:3" x14ac:dyDescent="0.3">
      <c r="B5" s="54">
        <v>4</v>
      </c>
      <c r="C5" s="55" t="s">
        <v>284</v>
      </c>
    </row>
    <row r="6" spans="2:3" x14ac:dyDescent="0.3">
      <c r="B6" s="54">
        <v>5</v>
      </c>
      <c r="C6" s="54" t="s">
        <v>285</v>
      </c>
    </row>
    <row r="7" spans="2:3" ht="28.8" x14ac:dyDescent="0.3">
      <c r="B7" s="54">
        <v>6</v>
      </c>
      <c r="C7" s="55" t="s">
        <v>286</v>
      </c>
    </row>
    <row r="8" spans="2:3" ht="72" x14ac:dyDescent="0.3">
      <c r="B8" s="54">
        <v>7</v>
      </c>
      <c r="C8" s="55" t="s">
        <v>287</v>
      </c>
    </row>
    <row r="9" spans="2:3" x14ac:dyDescent="0.3">
      <c r="B9" s="54">
        <v>8</v>
      </c>
      <c r="C9" s="54" t="s">
        <v>288</v>
      </c>
    </row>
    <row r="10" spans="2:3" x14ac:dyDescent="0.3">
      <c r="B10" s="54">
        <v>9</v>
      </c>
      <c r="C10" s="54" t="s">
        <v>289</v>
      </c>
    </row>
    <row r="11" spans="2:3" x14ac:dyDescent="0.3">
      <c r="B11" s="54">
        <v>10</v>
      </c>
      <c r="C11" s="54" t="s">
        <v>290</v>
      </c>
    </row>
    <row r="12" spans="2:3" x14ac:dyDescent="0.3">
      <c r="B12" s="54">
        <v>11</v>
      </c>
      <c r="C12" s="54" t="s">
        <v>291</v>
      </c>
    </row>
    <row r="13" spans="2:3" x14ac:dyDescent="0.3">
      <c r="B13" s="54">
        <v>12</v>
      </c>
      <c r="C13" s="54" t="s">
        <v>292</v>
      </c>
    </row>
    <row r="14" spans="2:3" x14ac:dyDescent="0.3">
      <c r="B14" s="54">
        <v>13</v>
      </c>
      <c r="C14" s="54" t="s">
        <v>293</v>
      </c>
    </row>
    <row r="15" spans="2:3" x14ac:dyDescent="0.3">
      <c r="B15" s="54">
        <v>14</v>
      </c>
      <c r="C15" s="54"/>
    </row>
    <row r="16" spans="2:3" x14ac:dyDescent="0.3">
      <c r="B16" s="54">
        <v>15</v>
      </c>
      <c r="C16" s="54"/>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2025-06-10T13:48:24Z</cp:lastPrinted>
  <dcterms:created xsi:type="dcterms:W3CDTF">2019-07-16T09:29:46Z</dcterms:created>
  <dcterms:modified xsi:type="dcterms:W3CDTF">2025-09-08T15:40:31Z</dcterms:modified>
</cp:coreProperties>
</file>