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D:\Kunal\Sept 25\Axis\Dump\"/>
    </mc:Choice>
  </mc:AlternateContent>
  <xr:revisionPtr revIDLastSave="0" documentId="13_ncr:1_{84F179A6-BDA0-4DB1-BEF5-2B2606504E63}" xr6:coauthVersionLast="47" xr6:coauthVersionMax="47" xr10:uidLastSave="{00000000-0000-0000-0000-000000000000}"/>
  <bookViews>
    <workbookView xWindow="-108" yWindow="-108" windowWidth="23256" windowHeight="12456" tabRatio="753" xr2:uid="{00000000-000D-0000-FFFF-FFFF00000000}"/>
  </bookViews>
  <sheets>
    <sheet name="Report" sheetId="17" r:id="rId1"/>
    <sheet name="C%" sheetId="18" r:id="rId2"/>
    <sheet name="Note" sheetId="19" r:id="rId3"/>
    <sheet name="." sheetId="20" r:id="rId4"/>
    <sheet name="Wing A" sheetId="11" r:id="rId5"/>
    <sheet name="VALUATION" sheetId="21" r:id="rId6"/>
  </sheets>
  <definedNames>
    <definedName name="_xlnm.Print_Area" localSheetId="0">Report!$A$1:$J$234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7" l="1"/>
  <c r="L66" i="17" l="1"/>
  <c r="L65" i="17"/>
  <c r="L64" i="17"/>
  <c r="L63" i="17"/>
  <c r="I56" i="17"/>
  <c r="D61" i="17" l="1"/>
  <c r="L59" i="17"/>
  <c r="D68" i="17"/>
  <c r="D66" i="17"/>
  <c r="D64" i="17"/>
  <c r="D62" i="17"/>
  <c r="L60" i="17"/>
  <c r="C59" i="17" s="1"/>
  <c r="D59" i="17" s="1"/>
  <c r="L58" i="17"/>
  <c r="L61" i="17"/>
  <c r="L62" i="17" s="1"/>
  <c r="L67" i="17" s="1"/>
  <c r="L68" i="17" s="1"/>
  <c r="C60" i="17" s="1"/>
  <c r="D65" i="17"/>
  <c r="D67" i="17"/>
  <c r="D63" i="17"/>
  <c r="D134" i="17"/>
  <c r="G134" i="17" s="1"/>
  <c r="D133" i="17"/>
  <c r="G133" i="17" s="1"/>
  <c r="D132" i="17"/>
  <c r="G132" i="17" s="1"/>
  <c r="D131" i="17"/>
  <c r="G131" i="17" s="1"/>
  <c r="D130" i="17"/>
  <c r="G130" i="17" s="1"/>
  <c r="D129" i="17"/>
  <c r="G129" i="17" s="1"/>
  <c r="D128" i="17"/>
  <c r="G128" i="17" s="1"/>
  <c r="D127" i="17"/>
  <c r="G127" i="17" s="1"/>
  <c r="I125" i="17"/>
  <c r="D125" i="17"/>
  <c r="G125" i="17" s="1"/>
  <c r="D120" i="17"/>
  <c r="G120" i="17" s="1"/>
  <c r="D123" i="17"/>
  <c r="G123" i="17" s="1"/>
  <c r="F8" i="21"/>
  <c r="G8" i="21" s="1"/>
  <c r="F7" i="21"/>
  <c r="G7" i="21" s="1"/>
  <c r="F6" i="21"/>
  <c r="G6" i="21"/>
  <c r="F5" i="21"/>
  <c r="G5" i="21" s="1"/>
  <c r="G9" i="21" s="1"/>
  <c r="A85" i="17"/>
  <c r="D122" i="17"/>
  <c r="G122" i="17" s="1"/>
  <c r="D121" i="17"/>
  <c r="G121" i="17" s="1"/>
  <c r="D119" i="17"/>
  <c r="G119" i="17" s="1"/>
  <c r="D118" i="17"/>
  <c r="G118" i="17" s="1"/>
  <c r="D117" i="17"/>
  <c r="G117" i="17" s="1"/>
  <c r="D116" i="17"/>
  <c r="G116" i="17" s="1"/>
  <c r="D115" i="17"/>
  <c r="G115" i="17" s="1"/>
  <c r="I114" i="17"/>
  <c r="D114" i="17"/>
  <c r="G114" i="17" s="1"/>
  <c r="D112" i="17"/>
  <c r="G112" i="17" s="1"/>
  <c r="D111" i="17"/>
  <c r="G111" i="17" s="1"/>
  <c r="D110" i="17"/>
  <c r="G110" i="17" s="1"/>
  <c r="D109" i="17"/>
  <c r="G109" i="17" s="1"/>
  <c r="D108" i="17"/>
  <c r="G108" i="17" s="1"/>
  <c r="D107" i="17"/>
  <c r="G107" i="17" s="1"/>
  <c r="D106" i="17"/>
  <c r="G106" i="17" s="1"/>
  <c r="D105" i="17"/>
  <c r="G105" i="17" s="1"/>
  <c r="K105" i="17" s="1"/>
  <c r="D104" i="17"/>
  <c r="G104" i="17" s="1"/>
  <c r="I103" i="17"/>
  <c r="D103" i="17"/>
  <c r="G103" i="17" s="1"/>
  <c r="D100" i="17"/>
  <c r="G100" i="17" s="1"/>
  <c r="D99" i="17"/>
  <c r="G99" i="17" s="1"/>
  <c r="D98" i="17"/>
  <c r="G98" i="17" s="1"/>
  <c r="D96" i="17"/>
  <c r="G96" i="17" s="1"/>
  <c r="D95" i="17"/>
  <c r="G95" i="17" s="1"/>
  <c r="D94" i="17"/>
  <c r="G94" i="17" s="1"/>
  <c r="I92" i="17"/>
  <c r="D93" i="17"/>
  <c r="G93" i="17" s="1"/>
  <c r="D150" i="17"/>
  <c r="G15" i="18"/>
  <c r="G16" i="18"/>
  <c r="C15" i="18"/>
  <c r="B7" i="18"/>
  <c r="H15" i="18" s="1"/>
  <c r="B16" i="18" s="1"/>
  <c r="H16" i="18"/>
  <c r="C16" i="18"/>
  <c r="D6" i="18"/>
  <c r="C5" i="18"/>
  <c r="B10" i="18" s="1"/>
  <c r="F41" i="17"/>
  <c r="F42" i="17" s="1"/>
  <c r="D51" i="17" s="1"/>
  <c r="H47" i="17"/>
  <c r="D49" i="17" s="1"/>
  <c r="H46" i="17"/>
  <c r="C46" i="17"/>
  <c r="G82" i="17"/>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34" i="11" s="1"/>
  <c r="L34" i="11" s="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9" i="11"/>
  <c r="F10" i="11"/>
  <c r="F11" i="11"/>
  <c r="F12" i="11"/>
  <c r="F13" i="11"/>
  <c r="F14" i="11"/>
  <c r="F15" i="11"/>
  <c r="F16" i="11"/>
  <c r="F17" i="11"/>
  <c r="F18" i="11"/>
  <c r="F19" i="11"/>
  <c r="F20" i="11"/>
  <c r="M33" i="11"/>
  <c r="J33" i="11"/>
  <c r="M32" i="11"/>
  <c r="J32" i="11"/>
  <c r="M31" i="11"/>
  <c r="J31" i="11"/>
  <c r="M30" i="11"/>
  <c r="J30" i="11"/>
  <c r="M6" i="11"/>
  <c r="J6" i="11"/>
  <c r="F6" i="11"/>
  <c r="D7" i="18"/>
  <c r="B12" i="18"/>
  <c r="M15" i="18" s="1"/>
  <c r="B21" i="18" s="1"/>
  <c r="B15" i="18"/>
  <c r="B11" i="18"/>
  <c r="D11" i="18" s="1"/>
  <c r="B8" i="18"/>
  <c r="D8" i="18" s="1"/>
  <c r="B9" i="18"/>
  <c r="J16" i="18" s="1"/>
  <c r="C18" i="18" s="1"/>
  <c r="J15" i="18"/>
  <c r="B18" i="18" s="1"/>
  <c r="I15" i="18"/>
  <c r="B17" i="18"/>
  <c r="I16" i="18"/>
  <c r="C17" i="18" s="1"/>
  <c r="K15" i="18" l="1"/>
  <c r="B19" i="18" s="1"/>
  <c r="K16" i="18"/>
  <c r="C19" i="18" s="1"/>
  <c r="D10" i="18"/>
  <c r="J34" i="11"/>
  <c r="I34" i="11" s="1"/>
  <c r="D12" i="18"/>
  <c r="M16" i="18"/>
  <c r="C21" i="18" s="1"/>
  <c r="F34" i="11"/>
  <c r="E34" i="11" s="1"/>
  <c r="D9" i="18"/>
  <c r="L15" i="18"/>
  <c r="B20" i="18" s="1"/>
  <c r="B22" i="18" s="1"/>
  <c r="L16" i="18"/>
  <c r="C20" i="18" s="1"/>
  <c r="D85" i="17"/>
  <c r="G85" i="17"/>
  <c r="C85" i="17"/>
  <c r="I51" i="17" s="1"/>
  <c r="F59" i="17"/>
  <c r="K55" i="17" s="1"/>
  <c r="C57" i="17" s="1"/>
  <c r="D60" i="17"/>
  <c r="H59" i="17"/>
  <c r="C22" i="18" l="1"/>
</calcChain>
</file>

<file path=xl/sharedStrings.xml><?xml version="1.0" encoding="utf-8"?>
<sst xmlns="http://schemas.openxmlformats.org/spreadsheetml/2006/main" count="414" uniqueCount="280">
  <si>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</si>
  <si>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</si>
  <si>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</si>
  <si>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</si>
  <si>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</si>
  <si>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</si>
  <si>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</si>
  <si>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</si>
  <si>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</si>
  <si>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</si>
  <si>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</si>
  <si>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</si>
  <si>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</si>
  <si>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</si>
  <si>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</si>
  <si>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</si>
  <si>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</si>
  <si>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</si>
  <si>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</si>
  <si>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</si>
  <si>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</si>
  <si>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</si>
  <si>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</si>
  <si>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</si>
  <si>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</si>
  <si>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</si>
  <si>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Building details floor wise</t>
  </si>
  <si>
    <t>Undertaking :</t>
  </si>
  <si>
    <t>Authorized Signatory
                                                                                                                                                                                                                                                                                     Name &amp; Seal of the agency</t>
  </si>
  <si>
    <t>2) I/We have no direct or Indirect Interest in the property being valued</t>
  </si>
  <si>
    <t>Quality of infrastructure in vicinity</t>
  </si>
  <si>
    <t>Description</t>
  </si>
  <si>
    <t>Attached Terrace area</t>
  </si>
  <si>
    <t>PLC Y/N</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</si>
  <si>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</si>
  <si>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</si>
  <si>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</si>
  <si>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</si>
  <si>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</si>
  <si>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</si>
  <si>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</si>
  <si>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</si>
  <si>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</si>
  <si>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Gross Carpet area</t>
  </si>
  <si>
    <t xml:space="preserve">Latitude &amp; Longitude </t>
  </si>
  <si>
    <t>Flooring</t>
  </si>
  <si>
    <t>Finishing</t>
  </si>
  <si>
    <t xml:space="preserve">Valuation Report </t>
  </si>
  <si>
    <t xml:space="preserve">Details of Flats in Building   </t>
  </si>
  <si>
    <t>Yes</t>
  </si>
  <si>
    <t xml:space="preserve">Residential </t>
  </si>
  <si>
    <t>Type of Structure : RCC Framed Structure</t>
  </si>
  <si>
    <t>Approved usage of the Property: Residential                                                                                                                                                      (Restrictive convenants in regards to land use , if any)</t>
  </si>
  <si>
    <t>Expiry date: One year from date of issue</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</si>
  <si>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</si>
  <si>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</si>
  <si>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</si>
  <si>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</si>
  <si>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</si>
  <si>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</si>
  <si>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</si>
  <si>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Expiry date: NA</t>
  </si>
  <si>
    <t>Projected life of the structure: 60 Years After Completion</t>
  </si>
  <si>
    <t>Material laying at Site: :Bricks, Cement &amp; Steel etc.</t>
  </si>
  <si>
    <t>Wheather the construction is as per approved Building plan : Under Construction</t>
  </si>
  <si>
    <t xml:space="preserve">4)  The saleable area is as per Our Calculation.  </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</si>
  <si>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</si>
  <si>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</si>
  <si>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</si>
  <si>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</si>
  <si>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</si>
  <si>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</si>
  <si>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</si>
  <si>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</si>
  <si>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</si>
  <si>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</si>
  <si>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</si>
  <si>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</si>
  <si>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 xml:space="preserve">C.certificate No  </t>
  </si>
  <si>
    <t>Expected Completion</t>
  </si>
  <si>
    <t>Approved no of Floors</t>
  </si>
  <si>
    <t>Floor rise rate  Per Sq. Ft.</t>
  </si>
  <si>
    <t>Distress valuation of the property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</si>
  <si>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</si>
  <si>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</si>
  <si>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</si>
  <si>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</si>
  <si>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</si>
  <si>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</si>
  <si>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</si>
  <si>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</si>
  <si>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</si>
  <si>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</si>
  <si>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</si>
  <si>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</si>
  <si>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</si>
  <si>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</si>
  <si>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</si>
  <si>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</si>
  <si>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</si>
  <si>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</si>
  <si>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</si>
  <si>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</si>
  <si>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</si>
  <si>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</si>
  <si>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</si>
  <si>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</si>
  <si>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</si>
  <si>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</si>
  <si>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</si>
  <si>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</si>
  <si>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Middle class</t>
  </si>
  <si>
    <t xml:space="preserve">O. Certificate No.: </t>
  </si>
  <si>
    <t xml:space="preserve">Date of approval: </t>
  </si>
  <si>
    <t>1. Copy of Plans. 2. Copy of CC.</t>
  </si>
  <si>
    <t>Plot No.</t>
  </si>
  <si>
    <t>Axis Sanpada</t>
  </si>
  <si>
    <t>M/s. The Wadhwa Group</t>
  </si>
  <si>
    <t>M/s. Wadhwa Construction &amp; Infrastructure Pvt. Ltd.</t>
  </si>
  <si>
    <t>Miss.Preeti (08291920124)</t>
  </si>
  <si>
    <t>S No</t>
  </si>
  <si>
    <t>40 &amp; Other</t>
  </si>
  <si>
    <t>Wardoli</t>
  </si>
  <si>
    <t>Raigad</t>
  </si>
  <si>
    <t>Village-Wardoli Road</t>
  </si>
  <si>
    <t>410 206.</t>
  </si>
  <si>
    <t>Navi Mumbai</t>
  </si>
  <si>
    <t>Village-Wardoli</t>
  </si>
  <si>
    <t>About 7.6 Km from Chikhale Railway Station</t>
  </si>
  <si>
    <t>all available at 2 to 3 km.</t>
  </si>
  <si>
    <t>Open Land</t>
  </si>
  <si>
    <t>Particulars</t>
  </si>
  <si>
    <t>plinth</t>
  </si>
  <si>
    <t>slab</t>
  </si>
  <si>
    <t>rcc</t>
  </si>
  <si>
    <t>Bricks</t>
  </si>
  <si>
    <t>Wood &amp; painting</t>
  </si>
  <si>
    <t>Progress</t>
  </si>
  <si>
    <t xml:space="preserve">Bricks </t>
  </si>
  <si>
    <t xml:space="preserve">Recommended </t>
  </si>
  <si>
    <t>plaster</t>
  </si>
  <si>
    <t>Recommended</t>
  </si>
  <si>
    <t>total</t>
  </si>
  <si>
    <t>Google Map :</t>
  </si>
  <si>
    <t>Saleable area</t>
  </si>
  <si>
    <t>Club Membership Charges</t>
  </si>
  <si>
    <t>Recommended rate of the flat Per Sq. Ft. (on Saleable area)</t>
  </si>
  <si>
    <t>3.1 Psft/ month</t>
  </si>
  <si>
    <t>Cluster &amp; Building Maintenance charges for 12 months (on Saleable area)</t>
  </si>
  <si>
    <t>Name/no. Of building</t>
  </si>
  <si>
    <t>Flat/Shop No.</t>
  </si>
  <si>
    <t>Floor</t>
  </si>
  <si>
    <t>1 BHK</t>
  </si>
  <si>
    <t>2 BHK</t>
  </si>
  <si>
    <t>N</t>
  </si>
  <si>
    <t>3rd Floor</t>
  </si>
  <si>
    <t>Building &amp; Wing</t>
  </si>
  <si>
    <t>No. of Units</t>
  </si>
  <si>
    <t>Total Carpet Area</t>
  </si>
  <si>
    <t>Total Saleable Area</t>
  </si>
  <si>
    <t>Inspected By :</t>
  </si>
  <si>
    <t>Report Prepared By :</t>
  </si>
  <si>
    <t>As per RERA = 31/12/2025.</t>
  </si>
  <si>
    <t>RZ8</t>
  </si>
  <si>
    <t>Name of Wing &amp; RERA Number</t>
  </si>
  <si>
    <t>Building Name as per RERA</t>
  </si>
  <si>
    <t>Name as per Builder</t>
  </si>
  <si>
    <t>RERA Registration No.</t>
  </si>
  <si>
    <t>01 Building (01 Wing)</t>
  </si>
  <si>
    <t>Basement</t>
  </si>
  <si>
    <t>Podium</t>
  </si>
  <si>
    <t>Ground</t>
  </si>
  <si>
    <t>Upper Floor</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</si>
  <si>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</si>
  <si>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</si>
  <si>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</si>
  <si>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</si>
  <si>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</si>
  <si>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</si>
  <si>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</si>
  <si>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</si>
  <si>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</si>
  <si>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</si>
  <si>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</si>
  <si>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</si>
  <si>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</si>
  <si>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</si>
  <si>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</si>
  <si>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</si>
  <si>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</si>
  <si>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</si>
  <si>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Excavation in process</t>
  </si>
  <si>
    <t>Thane - G + 25</t>
  </si>
  <si>
    <t>600000/-</t>
  </si>
  <si>
    <t>Excavation Completed</t>
  </si>
  <si>
    <t>Footing in Process</t>
  </si>
  <si>
    <t>Footing Completed</t>
  </si>
  <si>
    <t>Plinth in process</t>
  </si>
  <si>
    <t>Plinth completed</t>
  </si>
  <si>
    <t>Approved no of units</t>
  </si>
  <si>
    <t>Lobby</t>
  </si>
  <si>
    <t>PHOTOGRAPHS OF PROPERTY:</t>
  </si>
  <si>
    <t>Wing A3 (Type C)</t>
  </si>
  <si>
    <t>Building No.1 - Wing A3 (Type C)</t>
  </si>
  <si>
    <t>Wise City, South Block Phase I, Plot RZ8 : Building 1 Wing A3</t>
  </si>
  <si>
    <t>Tulip A3</t>
  </si>
  <si>
    <t>Society Office</t>
  </si>
  <si>
    <t>P52000021082</t>
  </si>
  <si>
    <t>Upper Ground Floor</t>
  </si>
  <si>
    <t>Meter Room</t>
  </si>
  <si>
    <t>Tulip A3-Wise City, South Block Phase I, Plot RZ8 : Building 1 Wing A3, Survey No.40 &amp; Other, Village-Wardoli, Tal-Panvel, Dist-Raigad.</t>
  </si>
  <si>
    <t>Plot No.RZ-8</t>
  </si>
  <si>
    <t>Building No.1 (Tulip A3)</t>
  </si>
  <si>
    <t>26/05/2020.</t>
  </si>
  <si>
    <t>Pratiksha</t>
  </si>
  <si>
    <t>Tulip A3 - Wise City (Plot RZ8 : Building 1 Wing A3)</t>
  </si>
  <si>
    <t>Market Research Data</t>
  </si>
  <si>
    <t>Source</t>
  </si>
  <si>
    <t>Distance from proposed property</t>
  </si>
  <si>
    <t>Net Carpet</t>
  </si>
  <si>
    <t>Saleable Area</t>
  </si>
  <si>
    <t>Rate on Saleable</t>
  </si>
  <si>
    <t>Market Value</t>
  </si>
  <si>
    <t>Magic Brick</t>
  </si>
  <si>
    <t>Wise City</t>
  </si>
  <si>
    <t>2BHK</t>
  </si>
  <si>
    <t>1BHK</t>
  </si>
  <si>
    <t>Average</t>
  </si>
  <si>
    <t xml:space="preserve">Valuation Adopted </t>
  </si>
  <si>
    <t>1st, 2nd, 4th, 5th, 6th, 7th, 9th, 10th, 11th, 12th, 14th, 15th, 16th, 17th, 19th, 20th, 21st, 22nd, 24th, 25th Floor</t>
  </si>
  <si>
    <t>8th, 13th, 18th, 23rd Floor</t>
  </si>
  <si>
    <t>Refuge Area</t>
  </si>
  <si>
    <t>CIDCO/NAINA/PANVEL/WARDOLI/TP/BP-00236/ACC/2021/0072</t>
  </si>
  <si>
    <t>13/01/2021.</t>
  </si>
  <si>
    <t>CIDCO/NAINA/Panvel/Wardoli/BP-00236/ACC/2021/0072
Validity : Building No.1(Type C)-Wing A3 = G + 25th Floor</t>
  </si>
  <si>
    <t>3,00,000/-</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</si>
  <si>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</si>
  <si>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</si>
  <si>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</si>
  <si>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</si>
  <si>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</si>
  <si>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</si>
  <si>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</si>
  <si>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</si>
  <si>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</si>
  <si>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</si>
  <si>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</si>
  <si>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</si>
  <si>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</si>
  <si>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</si>
  <si>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</si>
  <si>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</si>
  <si>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</si>
  <si>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</si>
  <si>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</si>
  <si>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</si>
  <si>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</si>
  <si>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</si>
  <si>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</si>
  <si>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</si>
  <si>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Township Maintenance charges for 12 months,
Cluster &amp; Building Maintenance charges for 12 months &amp;
Development charges</t>
  </si>
  <si>
    <t>2,50,000/-</t>
  </si>
  <si>
    <t>Recommended Car Parking</t>
  </si>
  <si>
    <t>1,00,000/-</t>
  </si>
  <si>
    <t>50,000/-</t>
  </si>
  <si>
    <t>5000/-</t>
  </si>
  <si>
    <t>Building No.1 (Type C)-Wing A3 = G + 1st to 25th Floor</t>
  </si>
  <si>
    <t>Office No. 1031, Wing J, Akshar Business Park, Plot No. 03 Sector 25, Near APMC Market, 
Vashi, Navi Mumbai, Maharashtra 400703 TEL: 022-46090378/79/8
E mail : vsjcapf@gmail.com. Web site : www.vsjadon.com</t>
  </si>
  <si>
    <t>18.96542,73.1928313</t>
  </si>
  <si>
    <t>Location Link</t>
  </si>
  <si>
    <t>https://goo.gl/maps/2yWFWmw5MPCjqoGQ7</t>
  </si>
  <si>
    <t>Contact Details ( Name &amp; Contect No.)</t>
  </si>
  <si>
    <t>Site Meet Person Contact Details ( Name &amp; Contect No.)</t>
  </si>
  <si>
    <t>Does the boundaries at site match, as mentioned in the Documentation: NA</t>
  </si>
  <si>
    <t>Mr. Rohan 8108147059</t>
  </si>
  <si>
    <t>MSEB/MJP/Electric Meter Charges</t>
  </si>
  <si>
    <t>Nitesh</t>
  </si>
  <si>
    <t xml:space="preserve">Remarks:  
1. Finishing work was in process at the time of visit. (Internal photo was not allowed)
2. We considered Saleable area as per our calculation.
3. We considered Carpet area as per Approved Plan.
4. We considered Gross carpet area = Net carpet + Enclose balcony + C.B Area + F.B Area.
5. We have considered rate by verifying it from market inquire.
6. Recommended rate should be considered as all inclusive rate if other charges are not mentioned. (Excluding GST &amp; other government Taxes)
7. We have considered Other charges from cost sheet.
8. We update revised approved Plans &amp; CC (15/04/2021)
</t>
  </si>
  <si>
    <t>Kunal Kadam</t>
  </si>
  <si>
    <t xml:space="preserve">Wise City Tulip A3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</si>
</sst>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6"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Calibri"/>
      <family val="2"/>
    </font>
    <font>
      <b/>
      <sz val="12"/>
      <color indexed="8"/>
      <name val="Times New Roman"/>
      <family val="1"/>
    </font>
    <font>
      <b/>
      <sz val="11"/>
      <name val="Times New Roman"/>
      <family val="1"/>
    </font>
    <font>
      <sz val="11"/>
      <name val="Times New Roman"/>
      <family val="1"/>
    </font>
    <font>
      <sz val="12"/>
      <color indexed="8"/>
      <name val="Times New Roman"/>
      <family val="1"/>
    </font>
    <font>
      <sz val="11"/>
      <color theme="1"/>
      <name val="Calibri"/>
      <family val="2"/>
      <scheme val="minor"/>
    </font>
    <font>
      <sz val="11"/>
      <color rgb="FF000000"/>
      <name val="Calibri"/>
      <family val="2"/>
    </font>
    <font>
      <b/>
      <sz val="11"/>
      <color theme="1"/>
      <name val="Calibri"/>
      <family val="2"/>
      <scheme val="minor"/>
    </font>
    <font>
      <sz val="11"/>
      <color rgb="FFFF0000"/>
      <name val="Calibri"/>
      <family val="2"/>
      <scheme val="minor"/>
    </font>
    <font>
      <b/>
      <sz val="11"/>
      <color theme="1"/>
      <name val="Times New Roman"/>
      <family val="1"/>
    </font>
    <font>
      <sz val="11"/>
      <color rgb="FF000000"/>
      <name val="Times New Roman"/>
      <family val="1"/>
    </font>
    <font>
      <b/>
      <sz val="11"/>
      <color rgb="FF000000"/>
      <name val="Times New Roman"/>
      <family val="1"/>
    </font>
    <font>
      <sz val="11"/>
      <color theme="1"/>
      <name val="Times New Roman"/>
      <family val="1"/>
    </font>
    <font>
      <sz val="11"/>
      <color rgb="FFFF0000"/>
      <name val="Times New Roman"/>
      <family val="1"/>
    </font>
    <font>
      <sz val="12"/>
      <color theme="1"/>
      <name val="Calibri"/>
      <family val="2"/>
      <scheme val="minor"/>
    </font>
    <font>
      <b/>
      <sz val="12"/>
      <color theme="1"/>
      <name val="Calibri"/>
      <family val="2"/>
      <scheme val="minor"/>
    </font>
    <font>
      <sz val="11"/>
      <color rgb="FFFF0000"/>
      <name val="Calibri"/>
      <family val="2"/>
    </font>
    <font>
      <sz val="12"/>
      <color theme="1"/>
      <name val="Times New Roman"/>
      <family val="1"/>
    </font>
    <font>
      <sz val="12"/>
      <name val="Times New Roman"/>
      <family val="1"/>
    </font>
    <font>
      <b/>
      <sz val="12"/>
      <name val="Times New Roman"/>
      <family val="1"/>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164" fontId="1" fillId="0" borderId="0" applyFont="0" applyFill="0" applyBorder="0" applyAlignment="0" applyProtection="0"/>
    <xf numFmtId="0" fontId="2" fillId="0" borderId="0"/>
    <xf numFmtId="0" fontId="1" fillId="0" borderId="0"/>
    <xf numFmtId="0" fontId="10" fillId="0" borderId="0"/>
    <xf numFmtId="0" fontId="11" fillId="0" borderId="0"/>
    <xf numFmtId="9" fontId="5" fillId="0" borderId="0" applyFont="0" applyFill="0" applyBorder="0" applyAlignment="0" applyProtection="0"/>
    <xf numFmtId="0" fontId="10" fillId="0" borderId="0"/>
    <xf numFmtId="0" fontId="25" fillId="0" borderId="0" applyNumberFormat="0" applyFill="0" applyBorder="0" applyAlignment="0" applyProtection="0"/>
  </cellStyleXfs>
  <cellXfs count="252">
    <xf numFmtId="0" fontId="0" fillId="0" borderId="0" xfId="0"/>
    <xf numFmtId="0" fontId="4" fillId="0" borderId="2" xfId="0" applyFont="1" applyBorder="1" applyAlignment="1">
      <alignment vertical="top"/>
    </xf>
    <xf numFmtId="0" fontId="4" fillId="0" borderId="2" xfId="0" applyFont="1" applyBorder="1" applyAlignment="1">
      <alignment vertical="top" wrapText="1"/>
    </xf>
    <xf numFmtId="0" fontId="0" fillId="0" borderId="2" xfId="0" applyBorder="1"/>
    <xf numFmtId="0" fontId="12" fillId="0" borderId="2" xfId="0" applyFont="1" applyBorder="1"/>
    <xf numFmtId="0" fontId="0" fillId="0" borderId="3" xfId="0" applyBorder="1"/>
    <xf numFmtId="0" fontId="0" fillId="2" borderId="2" xfId="0" applyFill="1" applyBorder="1"/>
    <xf numFmtId="0" fontId="12" fillId="0" borderId="2" xfId="0" applyFont="1" applyBorder="1" applyAlignment="1">
      <alignment horizontal="center"/>
    </xf>
    <xf numFmtId="0" fontId="3" fillId="0" borderId="2" xfId="0" applyFont="1" applyBorder="1" applyAlignment="1">
      <alignment horizontal="center" vertical="top" wrapText="1"/>
    </xf>
    <xf numFmtId="0" fontId="15" fillId="0" borderId="2" xfId="0" applyFont="1" applyBorder="1"/>
    <xf numFmtId="0" fontId="15" fillId="0" borderId="0" xfId="0" applyFont="1"/>
    <xf numFmtId="0" fontId="15" fillId="2" borderId="2" xfId="0" applyFont="1" applyFill="1" applyBorder="1"/>
    <xf numFmtId="0" fontId="14" fillId="0" borderId="2" xfId="0" applyFont="1" applyBorder="1" applyAlignment="1">
      <alignment horizontal="center"/>
    </xf>
    <xf numFmtId="0" fontId="14" fillId="0" borderId="0" xfId="0" applyFont="1" applyAlignment="1">
      <alignment horizontal="center"/>
    </xf>
    <xf numFmtId="0" fontId="15" fillId="0" borderId="2" xfId="0" applyFont="1" applyBorder="1" applyAlignment="1">
      <alignment horizontal="center"/>
    </xf>
    <xf numFmtId="0" fontId="15" fillId="2" borderId="2" xfId="0" applyFont="1" applyFill="1" applyBorder="1" applyAlignment="1">
      <alignment horizontal="center"/>
    </xf>
    <xf numFmtId="9" fontId="15" fillId="0" borderId="0" xfId="6" applyFont="1" applyBorder="1"/>
    <xf numFmtId="0" fontId="16" fillId="0" borderId="2" xfId="0" applyFont="1" applyBorder="1" applyAlignment="1">
      <alignment horizontal="center"/>
    </xf>
    <xf numFmtId="0" fontId="15" fillId="0" borderId="0" xfId="0" applyFont="1" applyAlignment="1">
      <alignment horizontal="right"/>
    </xf>
    <xf numFmtId="0" fontId="15" fillId="0" borderId="0" xfId="0" applyFont="1" applyAlignment="1">
      <alignment wrapText="1"/>
    </xf>
    <xf numFmtId="0" fontId="15" fillId="0" borderId="4" xfId="0" applyFont="1" applyBorder="1"/>
    <xf numFmtId="0" fontId="15" fillId="0" borderId="2" xfId="0" applyFont="1" applyBorder="1" applyAlignment="1">
      <alignment wrapText="1"/>
    </xf>
    <xf numFmtId="9" fontId="15" fillId="0" borderId="2" xfId="6" applyFont="1" applyBorder="1"/>
    <xf numFmtId="9" fontId="15" fillId="0" borderId="0" xfId="0" applyNumberFormat="1" applyFont="1"/>
    <xf numFmtId="0" fontId="17" fillId="0" borderId="0" xfId="0" applyFont="1"/>
    <xf numFmtId="0" fontId="17" fillId="0" borderId="0" xfId="0" applyFont="1" applyAlignment="1">
      <alignment horizontal="left" vertical="center"/>
    </xf>
    <xf numFmtId="0" fontId="18" fillId="0" borderId="0" xfId="0" applyFont="1"/>
    <xf numFmtId="0" fontId="4" fillId="0" borderId="0" xfId="2" applyFont="1"/>
    <xf numFmtId="0" fontId="17" fillId="0" borderId="0" xfId="0" applyFont="1" applyAlignment="1">
      <alignment vertical="center"/>
    </xf>
    <xf numFmtId="0" fontId="9" fillId="0" borderId="2" xfId="0" applyFont="1" applyBorder="1" applyAlignment="1">
      <alignment horizontal="center" vertical="center" wrapText="1"/>
    </xf>
    <xf numFmtId="0" fontId="8" fillId="0" borderId="0" xfId="0" applyFont="1"/>
    <xf numFmtId="2" fontId="8" fillId="0" borderId="0" xfId="0" applyNumberFormat="1" applyFont="1"/>
    <xf numFmtId="0" fontId="8" fillId="0" borderId="0" xfId="2" applyFont="1"/>
    <xf numFmtId="0" fontId="2" fillId="0" borderId="0" xfId="2"/>
    <xf numFmtId="0" fontId="19" fillId="0" borderId="0" xfId="0" applyFont="1"/>
    <xf numFmtId="0" fontId="19" fillId="0" borderId="0" xfId="0" applyFont="1" applyAlignment="1">
      <alignment vertical="center"/>
    </xf>
    <xf numFmtId="0" fontId="20" fillId="0" borderId="0" xfId="0" applyFont="1"/>
    <xf numFmtId="14" fontId="0" fillId="0" borderId="0" xfId="0" applyNumberFormat="1"/>
    <xf numFmtId="0" fontId="1" fillId="0" borderId="0" xfId="3"/>
    <xf numFmtId="0" fontId="11" fillId="0" borderId="0" xfId="5"/>
    <xf numFmtId="0" fontId="10" fillId="0" borderId="0" xfId="4"/>
    <xf numFmtId="0" fontId="12" fillId="0" borderId="2" xfId="4" applyFont="1" applyBorder="1" applyAlignment="1">
      <alignment horizontal="center" vertical="top" wrapText="1"/>
    </xf>
    <xf numFmtId="0" fontId="10" fillId="0" borderId="2" xfId="4" applyBorder="1" applyAlignment="1">
      <alignment horizontal="center" vertical="center"/>
    </xf>
    <xf numFmtId="0" fontId="10" fillId="0" borderId="2" xfId="4" applyBorder="1" applyAlignment="1">
      <alignment horizontal="left" vertical="center"/>
    </xf>
    <xf numFmtId="1" fontId="10" fillId="0" borderId="2" xfId="4" applyNumberFormat="1" applyBorder="1" applyAlignment="1">
      <alignment horizontal="center" vertical="center"/>
    </xf>
    <xf numFmtId="165" fontId="10" fillId="0" borderId="2" xfId="1" applyNumberFormat="1" applyFont="1" applyBorder="1" applyAlignment="1">
      <alignment horizontal="right" vertical="center"/>
    </xf>
    <xf numFmtId="0" fontId="12" fillId="0" borderId="2" xfId="4" applyFont="1" applyBorder="1" applyAlignment="1">
      <alignment horizontal="center" vertical="center"/>
    </xf>
    <xf numFmtId="1" fontId="13" fillId="0" borderId="2" xfId="4" applyNumberFormat="1" applyFont="1" applyBorder="1" applyAlignment="1">
      <alignment horizontal="center" vertical="center"/>
    </xf>
    <xf numFmtId="0" fontId="1" fillId="0" borderId="2" xfId="3" applyBorder="1" applyAlignment="1">
      <alignment horizontal="center" vertical="center"/>
    </xf>
    <xf numFmtId="0" fontId="21" fillId="0" borderId="0" xfId="3" applyFont="1"/>
    <xf numFmtId="0" fontId="22" fillId="0" borderId="19" xfId="7" applyFont="1" applyBorder="1" applyProtection="1">
      <protection hidden="1"/>
    </xf>
    <xf numFmtId="0" fontId="22" fillId="0" borderId="20" xfId="7" applyFont="1" applyBorder="1" applyProtection="1">
      <protection hidden="1"/>
    </xf>
    <xf numFmtId="0" fontId="23" fillId="0" borderId="21" xfId="7" applyFont="1" applyBorder="1" applyAlignment="1" applyProtection="1">
      <alignment horizontal="center" vertical="top"/>
      <protection locked="0"/>
    </xf>
    <xf numFmtId="0" fontId="23" fillId="0" borderId="2" xfId="7" applyFont="1" applyBorder="1" applyAlignment="1" applyProtection="1">
      <alignment horizontal="center" vertical="top"/>
      <protection locked="0"/>
    </xf>
    <xf numFmtId="0" fontId="22" fillId="0" borderId="0" xfId="7" applyFont="1" applyProtection="1">
      <protection hidden="1"/>
    </xf>
    <xf numFmtId="0" fontId="22" fillId="0" borderId="23" xfId="7" applyFont="1" applyBorder="1" applyProtection="1">
      <protection hidden="1"/>
    </xf>
    <xf numFmtId="0" fontId="15" fillId="0" borderId="0" xfId="0" applyFont="1" applyProtection="1">
      <protection hidden="1"/>
    </xf>
    <xf numFmtId="0" fontId="22" fillId="0" borderId="23" xfId="7" applyFont="1" applyBorder="1"/>
    <xf numFmtId="0" fontId="15"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15" fillId="0" borderId="32" xfId="0" applyFont="1" applyBorder="1" applyProtection="1">
      <protection hidden="1"/>
    </xf>
    <xf numFmtId="1" fontId="0" fillId="0" borderId="33" xfId="0" applyNumberFormat="1" applyBorder="1"/>
    <xf numFmtId="0" fontId="4" fillId="0" borderId="1" xfId="0" applyFont="1" applyBorder="1" applyAlignment="1">
      <alignment vertical="top"/>
    </xf>
    <xf numFmtId="0" fontId="4" fillId="0" borderId="2" xfId="0" applyFont="1" applyBorder="1" applyAlignment="1">
      <alignment horizontal="center" vertical="top"/>
    </xf>
    <xf numFmtId="0" fontId="6" fillId="0" borderId="2" xfId="0" applyFont="1" applyBorder="1" applyAlignment="1">
      <alignment horizontal="center" vertical="top"/>
    </xf>
    <xf numFmtId="0" fontId="3" fillId="0" borderId="2" xfId="0" applyFont="1" applyBorder="1" applyAlignment="1">
      <alignment horizontal="center" vertical="top"/>
    </xf>
    <xf numFmtId="0" fontId="6" fillId="0" borderId="2" xfId="0" applyFont="1" applyBorder="1" applyAlignment="1">
      <alignment horizontal="center" vertical="top" wrapText="1"/>
    </xf>
    <xf numFmtId="1" fontId="9" fillId="0" borderId="2" xfId="0" applyNumberFormat="1" applyFont="1" applyBorder="1" applyAlignment="1">
      <alignment horizontal="center" vertical="center" wrapText="1"/>
    </xf>
    <xf numFmtId="0" fontId="9" fillId="0" borderId="2" xfId="0" applyFont="1" applyBorder="1" applyAlignment="1">
      <alignment horizontal="center" vertical="center"/>
    </xf>
    <xf numFmtId="0" fontId="23" fillId="0" borderId="2" xfId="7" applyFont="1" applyBorder="1" applyAlignment="1" applyProtection="1">
      <alignment horizontal="center" vertical="top" wrapText="1"/>
      <protection locked="0"/>
    </xf>
    <xf numFmtId="0" fontId="23" fillId="0" borderId="2" xfId="7" applyFont="1" applyBorder="1" applyAlignment="1" applyProtection="1">
      <alignment horizontal="center" wrapText="1"/>
      <protection locked="0"/>
    </xf>
    <xf numFmtId="1" fontId="23" fillId="0" borderId="2" xfId="7" applyNumberFormat="1" applyFont="1" applyBorder="1" applyAlignment="1" applyProtection="1">
      <alignment horizontal="center" wrapText="1"/>
      <protection locked="0"/>
    </xf>
    <xf numFmtId="0" fontId="23" fillId="0" borderId="28" xfId="7" applyFont="1" applyBorder="1" applyAlignment="1" applyProtection="1">
      <alignment horizontal="center" wrapText="1"/>
      <protection locked="0"/>
    </xf>
    <xf numFmtId="0" fontId="14" fillId="0" borderId="0" xfId="0" applyFont="1"/>
    <xf numFmtId="0" fontId="4" fillId="0" borderId="1"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8" fillId="0" borderId="2" xfId="0" applyFont="1" applyBorder="1" applyAlignment="1">
      <alignment horizontal="center"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0" xfId="0" applyFont="1" applyAlignment="1">
      <alignment horizontal="left"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1" xfId="0" applyFont="1" applyBorder="1" applyAlignment="1">
      <alignment horizontal="center" vertical="top"/>
    </xf>
    <xf numFmtId="0" fontId="3" fillId="0" borderId="6" xfId="0" applyFont="1" applyBorder="1" applyAlignment="1">
      <alignment horizontal="center" vertical="top"/>
    </xf>
    <xf numFmtId="0" fontId="3" fillId="0" borderId="5" xfId="0" applyFont="1" applyBorder="1" applyAlignment="1">
      <alignment horizontal="center" vertical="top"/>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left" vertical="top"/>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2"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3" xfId="0" applyFont="1" applyBorder="1" applyAlignment="1">
      <alignment horizontal="left" vertical="top" wrapText="1"/>
    </xf>
    <xf numFmtId="0" fontId="4" fillId="0" borderId="12" xfId="0" applyFont="1" applyBorder="1" applyAlignment="1">
      <alignment horizontal="left" vertical="top" wrapText="1"/>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3" xfId="0" applyFont="1" applyBorder="1" applyAlignment="1">
      <alignment horizontal="left" vertical="top"/>
    </xf>
    <xf numFmtId="0" fontId="4" fillId="0" borderId="12" xfId="0" applyFont="1" applyBorder="1" applyAlignment="1">
      <alignment horizontal="left" vertical="top"/>
    </xf>
    <xf numFmtId="0" fontId="4" fillId="0" borderId="1" xfId="0" applyFont="1" applyBorder="1" applyAlignment="1">
      <alignment vertical="top"/>
    </xf>
    <xf numFmtId="0" fontId="4" fillId="0" borderId="5" xfId="0" applyFont="1" applyBorder="1" applyAlignment="1">
      <alignment vertical="top"/>
    </xf>
    <xf numFmtId="0" fontId="4" fillId="0" borderId="6" xfId="0" applyFont="1" applyBorder="1" applyAlignment="1">
      <alignment vertical="top"/>
    </xf>
    <xf numFmtId="14" fontId="4" fillId="0" borderId="1" xfId="0" applyNumberFormat="1" applyFont="1" applyBorder="1" applyAlignment="1">
      <alignment horizontal="left" vertical="top"/>
    </xf>
    <xf numFmtId="14" fontId="4" fillId="0" borderId="5" xfId="0" applyNumberFormat="1" applyFont="1" applyBorder="1" applyAlignment="1">
      <alignment horizontal="left" vertical="top"/>
    </xf>
    <xf numFmtId="14" fontId="4" fillId="0" borderId="6" xfId="0" applyNumberFormat="1" applyFont="1" applyBorder="1" applyAlignment="1">
      <alignment horizontal="left" vertical="top"/>
    </xf>
    <xf numFmtId="0" fontId="4" fillId="0" borderId="1" xfId="0" applyFont="1" applyBorder="1" applyAlignment="1">
      <alignment horizontal="center" vertical="top"/>
    </xf>
    <xf numFmtId="0" fontId="4" fillId="0" borderId="6" xfId="0" applyFont="1" applyBorder="1" applyAlignment="1">
      <alignment horizontal="center" vertical="top"/>
    </xf>
    <xf numFmtId="0" fontId="3" fillId="0" borderId="1"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25" fillId="0" borderId="1" xfId="8" applyFill="1" applyBorder="1" applyAlignment="1">
      <alignment horizontal="left" vertical="top"/>
    </xf>
    <xf numFmtId="0" fontId="8" fillId="0" borderId="1"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1"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1" xfId="0" applyFont="1" applyBorder="1" applyAlignment="1">
      <alignment horizontal="left" vertical="top"/>
    </xf>
    <xf numFmtId="0" fontId="8" fillId="0" borderId="5" xfId="0" applyFont="1" applyBorder="1" applyAlignment="1">
      <alignment horizontal="left" vertical="top"/>
    </xf>
    <xf numFmtId="0" fontId="8" fillId="0" borderId="6" xfId="0" applyFont="1" applyBorder="1" applyAlignment="1">
      <alignment horizontal="left" vertical="top"/>
    </xf>
    <xf numFmtId="0" fontId="4" fillId="0" borderId="2" xfId="0" applyFont="1" applyBorder="1" applyAlignment="1">
      <alignment horizontal="center" vertical="top" wrapText="1"/>
    </xf>
    <xf numFmtId="9" fontId="23" fillId="0" borderId="29" xfId="7" applyNumberFormat="1" applyFont="1" applyBorder="1" applyAlignment="1" applyProtection="1">
      <alignment horizontal="center" vertical="center" wrapText="1"/>
      <protection hidden="1"/>
    </xf>
    <xf numFmtId="9" fontId="23" fillId="0" borderId="27" xfId="7" applyNumberFormat="1" applyFont="1" applyBorder="1" applyAlignment="1" applyProtection="1">
      <alignment horizontal="center" vertical="center" wrapText="1"/>
      <protection hidden="1"/>
    </xf>
    <xf numFmtId="0" fontId="23" fillId="0" borderId="26" xfId="7" applyFont="1" applyBorder="1" applyAlignment="1" applyProtection="1">
      <alignment horizontal="center" vertical="top" wrapText="1"/>
      <protection locked="0"/>
    </xf>
    <xf numFmtId="0" fontId="23" fillId="0" borderId="27" xfId="7" applyFont="1" applyBorder="1" applyAlignment="1" applyProtection="1">
      <alignment horizontal="center" vertical="top" wrapText="1"/>
      <protection locked="0"/>
    </xf>
    <xf numFmtId="0" fontId="4" fillId="0" borderId="1"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23" fillId="0" borderId="1" xfId="7" applyFont="1" applyBorder="1" applyAlignment="1" applyProtection="1">
      <alignment horizontal="center" vertical="top" wrapText="1"/>
      <protection locked="0"/>
    </xf>
    <xf numFmtId="0" fontId="23" fillId="0" borderId="6" xfId="7" applyFont="1" applyBorder="1" applyAlignment="1" applyProtection="1">
      <alignment horizontal="center" vertical="top" wrapText="1"/>
      <protection locked="0"/>
    </xf>
    <xf numFmtId="0" fontId="24" fillId="0" borderId="14" xfId="7" applyFont="1" applyBorder="1" applyAlignment="1" applyProtection="1">
      <alignment horizontal="center" vertical="top" wrapText="1"/>
      <protection locked="0"/>
    </xf>
    <xf numFmtId="0" fontId="24" fillId="0" borderId="15" xfId="7" applyFont="1" applyBorder="1" applyAlignment="1" applyProtection="1">
      <alignment horizontal="center" vertical="top" wrapText="1"/>
      <protection locked="0"/>
    </xf>
    <xf numFmtId="0" fontId="24" fillId="0" borderId="16" xfId="7" applyFont="1" applyBorder="1" applyAlignment="1" applyProtection="1">
      <alignment horizontal="left" vertical="top" wrapText="1"/>
      <protection locked="0"/>
    </xf>
    <xf numFmtId="0" fontId="24" fillId="0" borderId="17" xfId="7" applyFont="1" applyBorder="1" applyAlignment="1" applyProtection="1">
      <alignment horizontal="left" vertical="top" wrapText="1"/>
      <protection locked="0"/>
    </xf>
    <xf numFmtId="0" fontId="24" fillId="0" borderId="18" xfId="7" applyFont="1" applyBorder="1" applyAlignment="1" applyProtection="1">
      <alignment horizontal="left" vertical="top" wrapText="1"/>
      <protection locked="0"/>
    </xf>
    <xf numFmtId="0" fontId="23" fillId="0" borderId="1" xfId="7" applyFont="1" applyBorder="1" applyAlignment="1" applyProtection="1">
      <alignment horizontal="center" vertical="top"/>
      <protection locked="0"/>
    </xf>
    <xf numFmtId="0" fontId="23" fillId="0" borderId="6" xfId="7" applyFont="1" applyBorder="1" applyAlignment="1" applyProtection="1">
      <alignment horizontal="center" vertical="top"/>
      <protection locked="0"/>
    </xf>
    <xf numFmtId="0" fontId="23" fillId="0" borderId="22" xfId="7" applyFont="1" applyBorder="1" applyAlignment="1" applyProtection="1">
      <alignment horizontal="center" vertical="top"/>
      <protection locked="0"/>
    </xf>
    <xf numFmtId="0" fontId="24" fillId="0" borderId="24" xfId="7" applyFont="1" applyBorder="1" applyAlignment="1" applyProtection="1">
      <alignment horizontal="left" vertical="top"/>
      <protection locked="0"/>
    </xf>
    <xf numFmtId="0" fontId="24" fillId="0" borderId="6" xfId="7" applyFont="1" applyBorder="1" applyAlignment="1" applyProtection="1">
      <alignment horizontal="left" vertical="top"/>
      <protection locked="0"/>
    </xf>
    <xf numFmtId="0" fontId="24" fillId="0" borderId="1" xfId="7" applyFont="1" applyBorder="1" applyAlignment="1" applyProtection="1">
      <alignment horizontal="left" vertical="top" wrapText="1"/>
      <protection locked="0"/>
    </xf>
    <xf numFmtId="0" fontId="24" fillId="0" borderId="5" xfId="7" applyFont="1" applyBorder="1" applyAlignment="1" applyProtection="1">
      <alignment horizontal="left" vertical="top" wrapText="1"/>
      <protection locked="0"/>
    </xf>
    <xf numFmtId="0" fontId="24" fillId="0" borderId="22" xfId="7" applyFont="1" applyBorder="1" applyAlignment="1" applyProtection="1">
      <alignment horizontal="left" vertical="top" wrapText="1"/>
      <protection locked="0"/>
    </xf>
    <xf numFmtId="0" fontId="23" fillId="0" borderId="24" xfId="7" applyFont="1" applyBorder="1" applyAlignment="1" applyProtection="1">
      <alignment horizontal="center" vertical="top" wrapText="1"/>
      <protection locked="0"/>
    </xf>
    <xf numFmtId="0" fontId="23" fillId="0" borderId="5" xfId="7" applyFont="1" applyBorder="1" applyAlignment="1" applyProtection="1">
      <alignment horizontal="center" vertical="top" wrapText="1"/>
      <protection locked="0"/>
    </xf>
    <xf numFmtId="0" fontId="23" fillId="0" borderId="22" xfId="7" applyFont="1" applyBorder="1" applyAlignment="1" applyProtection="1">
      <alignment horizontal="center" vertical="top" wrapText="1"/>
      <protection locked="0"/>
    </xf>
    <xf numFmtId="9" fontId="23" fillId="0" borderId="1" xfId="7" applyNumberFormat="1" applyFont="1" applyBorder="1" applyAlignment="1" applyProtection="1">
      <alignment horizontal="center" vertical="center" wrapText="1"/>
      <protection hidden="1"/>
    </xf>
    <xf numFmtId="9" fontId="23" fillId="0" borderId="6" xfId="7" applyNumberFormat="1" applyFont="1" applyBorder="1" applyAlignment="1" applyProtection="1">
      <alignment horizontal="center" vertical="center" wrapText="1"/>
      <protection hidden="1"/>
    </xf>
    <xf numFmtId="9" fontId="23" fillId="0" borderId="7" xfId="7" applyNumberFormat="1" applyFont="1" applyBorder="1" applyAlignment="1" applyProtection="1">
      <alignment horizontal="center" vertical="center" wrapText="1"/>
      <protection hidden="1"/>
    </xf>
    <xf numFmtId="9" fontId="23" fillId="0" borderId="10" xfId="7" applyNumberFormat="1" applyFont="1" applyBorder="1" applyAlignment="1" applyProtection="1">
      <alignment horizontal="center" vertical="center" wrapText="1"/>
      <protection hidden="1"/>
    </xf>
    <xf numFmtId="9" fontId="23" fillId="0" borderId="9" xfId="7" applyNumberFormat="1" applyFont="1" applyBorder="1" applyAlignment="1" applyProtection="1">
      <alignment horizontal="center" vertical="center" wrapText="1"/>
      <protection hidden="1"/>
    </xf>
    <xf numFmtId="9" fontId="23" fillId="0" borderId="13" xfId="7" applyNumberFormat="1" applyFont="1" applyBorder="1" applyAlignment="1" applyProtection="1">
      <alignment horizontal="center" vertical="center" wrapText="1"/>
      <protection hidden="1"/>
    </xf>
    <xf numFmtId="9" fontId="23" fillId="0" borderId="30" xfId="7" applyNumberFormat="1" applyFont="1" applyBorder="1" applyAlignment="1" applyProtection="1">
      <alignment horizontal="center" vertical="center" wrapText="1"/>
      <protection hidden="1"/>
    </xf>
    <xf numFmtId="9" fontId="23" fillId="0" borderId="31" xfId="7" applyNumberFormat="1" applyFont="1" applyBorder="1" applyAlignment="1" applyProtection="1">
      <alignment horizontal="center" vertical="center" wrapText="1"/>
      <protection hidden="1"/>
    </xf>
    <xf numFmtId="9" fontId="23" fillId="0" borderId="8" xfId="7" applyNumberFormat="1" applyFont="1" applyBorder="1" applyAlignment="1" applyProtection="1">
      <alignment horizontal="center" vertical="center" wrapText="1"/>
      <protection hidden="1"/>
    </xf>
    <xf numFmtId="9" fontId="23" fillId="0" borderId="25" xfId="7" applyNumberFormat="1" applyFont="1" applyBorder="1" applyAlignment="1" applyProtection="1">
      <alignment horizontal="center" vertical="center" wrapText="1"/>
      <protection hidden="1"/>
    </xf>
    <xf numFmtId="9" fontId="23" fillId="0" borderId="0" xfId="7" applyNumberFormat="1" applyFont="1" applyAlignment="1" applyProtection="1">
      <alignment horizontal="center" vertical="center" wrapText="1"/>
      <protection hidden="1"/>
    </xf>
    <xf numFmtId="9" fontId="23" fillId="0" borderId="23" xfId="7" applyNumberFormat="1" applyFont="1" applyBorder="1" applyAlignment="1" applyProtection="1">
      <alignment horizontal="center" vertical="center" wrapText="1"/>
      <protection hidden="1"/>
    </xf>
    <xf numFmtId="9" fontId="23" fillId="0" borderId="32" xfId="7" applyNumberFormat="1" applyFont="1" applyBorder="1" applyAlignment="1" applyProtection="1">
      <alignment horizontal="center" vertical="center" wrapText="1"/>
      <protection hidden="1"/>
    </xf>
    <xf numFmtId="9" fontId="23" fillId="0" borderId="33" xfId="7" applyNumberFormat="1" applyFont="1" applyBorder="1" applyAlignment="1" applyProtection="1">
      <alignment horizontal="center" vertical="center" wrapText="1"/>
      <protection hidden="1"/>
    </xf>
    <xf numFmtId="0" fontId="23" fillId="0" borderId="24" xfId="7" applyFont="1" applyBorder="1" applyAlignment="1" applyProtection="1">
      <alignment horizontal="center" vertical="top"/>
      <protection locked="0"/>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10" xfId="0" applyFont="1" applyBorder="1" applyAlignment="1">
      <alignment vertical="top" wrapText="1"/>
    </xf>
    <xf numFmtId="0" fontId="7" fillId="0" borderId="9" xfId="0" applyFont="1" applyBorder="1" applyAlignment="1">
      <alignment vertical="top" wrapText="1"/>
    </xf>
    <xf numFmtId="0" fontId="7" fillId="0" borderId="0" xfId="0" applyFont="1" applyAlignment="1">
      <alignment vertical="top" wrapText="1"/>
    </xf>
    <xf numFmtId="0" fontId="7" fillId="0" borderId="13" xfId="0" applyFont="1" applyBorder="1" applyAlignment="1">
      <alignment vertical="top" wrapText="1"/>
    </xf>
    <xf numFmtId="3" fontId="14" fillId="0" borderId="1" xfId="0" applyNumberFormat="1" applyFont="1" applyBorder="1" applyAlignment="1">
      <alignment horizontal="left" vertical="top"/>
    </xf>
    <xf numFmtId="0" fontId="14" fillId="0" borderId="5" xfId="0" applyFont="1" applyBorder="1" applyAlignment="1">
      <alignment horizontal="left" vertical="top"/>
    </xf>
    <xf numFmtId="0" fontId="14" fillId="0" borderId="6" xfId="0" applyFont="1" applyBorder="1" applyAlignment="1">
      <alignment horizontal="left" vertical="top"/>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10" xfId="0" applyFont="1" applyBorder="1" applyAlignment="1">
      <alignment horizontal="center" vertical="top" wrapText="1"/>
    </xf>
    <xf numFmtId="0" fontId="3" fillId="0" borderId="9" xfId="0" applyFont="1" applyBorder="1" applyAlignment="1">
      <alignment horizontal="center" vertical="top" wrapText="1"/>
    </xf>
    <xf numFmtId="0" fontId="3" fillId="0" borderId="0" xfId="0" applyFont="1" applyAlignment="1">
      <alignment horizontal="center" vertical="top" wrapText="1"/>
    </xf>
    <xf numFmtId="0" fontId="3" fillId="0" borderId="13" xfId="0" applyFont="1" applyBorder="1" applyAlignment="1">
      <alignment horizontal="center" vertical="top" wrapText="1"/>
    </xf>
    <xf numFmtId="0" fontId="3" fillId="0" borderId="11" xfId="0" applyFont="1" applyBorder="1" applyAlignment="1">
      <alignment horizontal="center" vertical="top" wrapText="1"/>
    </xf>
    <xf numFmtId="0" fontId="3" fillId="0" borderId="3" xfId="0" applyFont="1" applyBorder="1" applyAlignment="1">
      <alignment horizontal="center" vertical="top" wrapText="1"/>
    </xf>
    <xf numFmtId="0" fontId="3" fillId="0" borderId="12" xfId="0" applyFont="1" applyBorder="1" applyAlignment="1">
      <alignment horizontal="center" vertical="top" wrapText="1"/>
    </xf>
    <xf numFmtId="0" fontId="7" fillId="0" borderId="1"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3" fontId="8" fillId="0" borderId="1" xfId="0" applyNumberFormat="1" applyFont="1" applyBorder="1" applyAlignment="1">
      <alignment horizontal="left" vertical="top"/>
    </xf>
    <xf numFmtId="0" fontId="7" fillId="0" borderId="7" xfId="2" applyFont="1" applyBorder="1" applyAlignment="1">
      <alignment horizontal="left" vertical="top" wrapText="1"/>
    </xf>
    <xf numFmtId="0" fontId="7" fillId="0" borderId="8" xfId="2" applyFont="1" applyBorder="1" applyAlignment="1">
      <alignment horizontal="left" vertical="top" wrapText="1"/>
    </xf>
    <xf numFmtId="0" fontId="7" fillId="0" borderId="10" xfId="2" applyFont="1" applyBorder="1" applyAlignment="1">
      <alignment horizontal="left" vertical="top" wrapText="1"/>
    </xf>
    <xf numFmtId="0" fontId="7" fillId="0" borderId="11" xfId="2" applyFont="1" applyBorder="1" applyAlignment="1">
      <alignment horizontal="left" vertical="top" wrapText="1"/>
    </xf>
    <xf numFmtId="0" fontId="7" fillId="0" borderId="3" xfId="2" applyFont="1" applyBorder="1" applyAlignment="1">
      <alignment horizontal="left" vertical="top" wrapText="1"/>
    </xf>
    <xf numFmtId="0" fontId="7" fillId="0" borderId="12" xfId="2" applyFont="1" applyBorder="1" applyAlignment="1">
      <alignment horizontal="left" vertical="top" wrapText="1"/>
    </xf>
    <xf numFmtId="0" fontId="6" fillId="0" borderId="2" xfId="0" applyFont="1" applyBorder="1" applyAlignment="1">
      <alignment horizontal="center" vertical="top"/>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3" fillId="0" borderId="2" xfId="0" applyFont="1" applyBorder="1" applyAlignment="1">
      <alignment horizontal="center" vertical="top"/>
    </xf>
    <xf numFmtId="0" fontId="4" fillId="0" borderId="2" xfId="0" applyFont="1" applyBorder="1" applyAlignment="1">
      <alignment horizontal="center" vertical="top"/>
    </xf>
    <xf numFmtId="1" fontId="4" fillId="0" borderId="2" xfId="0" applyNumberFormat="1" applyFont="1" applyBorder="1" applyAlignment="1">
      <alignment horizontal="center" vertical="top"/>
    </xf>
    <xf numFmtId="1" fontId="4" fillId="0" borderId="1" xfId="0" applyNumberFormat="1" applyFont="1" applyBorder="1" applyAlignment="1">
      <alignment horizontal="center" vertical="top"/>
    </xf>
    <xf numFmtId="1" fontId="4" fillId="0" borderId="5" xfId="0" applyNumberFormat="1" applyFont="1" applyBorder="1" applyAlignment="1">
      <alignment horizontal="center" vertical="top"/>
    </xf>
    <xf numFmtId="1" fontId="4" fillId="0" borderId="6" xfId="0" applyNumberFormat="1" applyFont="1" applyBorder="1" applyAlignment="1">
      <alignment horizontal="center" vertical="top"/>
    </xf>
    <xf numFmtId="0" fontId="6" fillId="0" borderId="2" xfId="0" applyFont="1" applyBorder="1" applyAlignment="1">
      <alignment horizontal="center" vertical="top" wrapText="1"/>
    </xf>
    <xf numFmtId="0" fontId="6" fillId="0" borderId="1" xfId="0" applyFont="1" applyBorder="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horizontal="center" vertical="top"/>
    </xf>
    <xf numFmtId="0" fontId="9" fillId="0" borderId="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1" fontId="9" fillId="0" borderId="2" xfId="0" applyNumberFormat="1" applyFont="1" applyBorder="1" applyAlignment="1">
      <alignment horizontal="center" vertical="center" wrapText="1"/>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1" fontId="6" fillId="0" borderId="7"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1" fontId="6" fillId="0" borderId="10" xfId="0" applyNumberFormat="1" applyFont="1" applyBorder="1" applyAlignment="1">
      <alignment horizontal="center" vertical="center" wrapText="1"/>
    </xf>
    <xf numFmtId="0" fontId="17" fillId="0" borderId="6" xfId="0" applyFont="1" applyBorder="1" applyAlignment="1">
      <alignment horizontal="left"/>
    </xf>
    <xf numFmtId="0" fontId="3" fillId="0" borderId="1"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8" fillId="0" borderId="2" xfId="0" applyFont="1" applyBorder="1" applyAlignment="1">
      <alignment horizontal="left" vertical="top" wrapText="1"/>
    </xf>
    <xf numFmtId="0" fontId="15" fillId="0" borderId="2" xfId="0" applyFont="1" applyBorder="1" applyAlignment="1">
      <alignment horizontal="left"/>
    </xf>
    <xf numFmtId="0" fontId="15" fillId="0" borderId="2" xfId="0" applyFont="1" applyBorder="1" applyAlignment="1">
      <alignment horizontal="center"/>
    </xf>
    <xf numFmtId="0" fontId="15" fillId="2" borderId="2" xfId="0" applyFont="1" applyFill="1" applyBorder="1" applyAlignment="1">
      <alignment horizontal="center"/>
    </xf>
    <xf numFmtId="0" fontId="16" fillId="0" borderId="2" xfId="0" applyFont="1" applyBorder="1" applyAlignment="1">
      <alignment horizontal="center"/>
    </xf>
    <xf numFmtId="0" fontId="0" fillId="2" borderId="2" xfId="0" applyFill="1" applyBorder="1" applyAlignment="1">
      <alignment horizontal="center" wrapText="1"/>
    </xf>
    <xf numFmtId="0" fontId="12" fillId="0" borderId="2" xfId="0" applyFont="1" applyBorder="1" applyAlignment="1">
      <alignment horizontal="center"/>
    </xf>
    <xf numFmtId="0" fontId="12" fillId="0" borderId="2" xfId="4" applyFont="1" applyBorder="1" applyAlignment="1">
      <alignment horizontal="left"/>
    </xf>
  </cellXfs>
  <cellStyles count="9">
    <cellStyle name="Comma 2" xfId="1" xr:uid="{00000000-0005-0000-0000-000000000000}"/>
    <cellStyle name="Excel Built-in Normal" xfId="2" xr:uid="{00000000-0005-0000-0000-000001000000}"/>
    <cellStyle name="Excel Built-in Normal 2" xfId="3" xr:uid="{00000000-0005-0000-0000-000002000000}"/>
    <cellStyle name="Hyperlink" xfId="8" builtinId="8"/>
    <cellStyle name="Normal" xfId="0" builtinId="0"/>
    <cellStyle name="Normal 3" xfId="7" xr:uid="{00000000-0005-0000-0000-000005000000}"/>
    <cellStyle name="Normal 4" xfId="4" xr:uid="{00000000-0005-0000-0000-000006000000}"/>
    <cellStyle name="Normal 5" xfId="5" xr:uid="{00000000-0005-0000-0000-00000700000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jpg"/></Relationships>
</file>

<file path=xl/drawings/_rels/drawing2.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jpeg"/><Relationship Id="rId1" Type="http://schemas.openxmlformats.org/officeDocument/2006/relationships/image" Target="../media/image1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4.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372034</xdr:colOff>
      <xdr:row>193</xdr:row>
      <xdr:rowOff>145676</xdr:rowOff>
    </xdr:from>
    <xdr:to>
      <xdr:col>8</xdr:col>
      <xdr:colOff>11652</xdr:colOff>
      <xdr:row>211</xdr:row>
      <xdr:rowOff>3278</xdr:rowOff>
    </xdr:to>
    <xdr:pic>
      <xdr:nvPicPr>
        <xdr:cNvPr id="10538" name="Picture 44">
          <a:extLst>
            <a:ext uri="{FF2B5EF4-FFF2-40B4-BE49-F238E27FC236}">
              <a16:creationId xmlns:a16="http://schemas.microsoft.com/office/drawing/2014/main" id="{00000000-0008-0000-0000-00002A29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999563" y="42324617"/>
          <a:ext cx="4805530" cy="3276000"/>
        </a:xfrm>
        <a:prstGeom prst="rect">
          <a:avLst/>
        </a:prstGeom>
        <a:noFill/>
        <a:ln w="12700">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372032</xdr:colOff>
      <xdr:row>211</xdr:row>
      <xdr:rowOff>58274</xdr:rowOff>
    </xdr:from>
    <xdr:to>
      <xdr:col>8</xdr:col>
      <xdr:colOff>11098</xdr:colOff>
      <xdr:row>228</xdr:row>
      <xdr:rowOff>59774</xdr:rowOff>
    </xdr:to>
    <xdr:pic>
      <xdr:nvPicPr>
        <xdr:cNvPr id="10539" name="Picture 45">
          <a:extLst>
            <a:ext uri="{FF2B5EF4-FFF2-40B4-BE49-F238E27FC236}">
              <a16:creationId xmlns:a16="http://schemas.microsoft.com/office/drawing/2014/main" id="{00000000-0008-0000-0000-00002B29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999561" y="45666215"/>
          <a:ext cx="4804978" cy="3240000"/>
        </a:xfrm>
        <a:prstGeom prst="rect">
          <a:avLst/>
        </a:prstGeom>
        <a:noFill/>
        <a:ln w="12700">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480060</xdr:colOff>
      <xdr:row>149</xdr:row>
      <xdr:rowOff>167640</xdr:rowOff>
    </xdr:from>
    <xdr:to>
      <xdr:col>21</xdr:col>
      <xdr:colOff>506730</xdr:colOff>
      <xdr:row>171</xdr:row>
      <xdr:rowOff>69028</xdr:rowOff>
    </xdr:to>
    <xdr:grpSp>
      <xdr:nvGrpSpPr>
        <xdr:cNvPr id="12" name="Group 11">
          <a:extLst>
            <a:ext uri="{FF2B5EF4-FFF2-40B4-BE49-F238E27FC236}">
              <a16:creationId xmlns:a16="http://schemas.microsoft.com/office/drawing/2014/main" id="{F7A51639-464F-4F44-B32A-BBE4DBF15936}"/>
            </a:ext>
          </a:extLst>
        </xdr:cNvPr>
        <xdr:cNvGrpSpPr/>
      </xdr:nvGrpSpPr>
      <xdr:grpSpPr>
        <a:xfrm>
          <a:off x="7559040" y="32407860"/>
          <a:ext cx="6275070" cy="3757108"/>
          <a:chOff x="417138" y="681317"/>
          <a:chExt cx="5968444" cy="3592236"/>
        </a:xfrm>
      </xdr:grpSpPr>
      <xdr:pic>
        <xdr:nvPicPr>
          <xdr:cNvPr id="13" name="Picture 12">
            <a:extLst>
              <a:ext uri="{FF2B5EF4-FFF2-40B4-BE49-F238E27FC236}">
                <a16:creationId xmlns:a16="http://schemas.microsoft.com/office/drawing/2014/main" id="{1B9FA478-1F23-4B62-98AD-32E001C2DE84}"/>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17138" y="681317"/>
            <a:ext cx="3235500" cy="3592236"/>
          </a:xfrm>
          <a:prstGeom prst="rect">
            <a:avLst/>
          </a:prstGeom>
          <a:ln>
            <a:solidFill>
              <a:schemeClr val="tx1"/>
            </a:solidFill>
          </a:ln>
        </xdr:spPr>
      </xdr:pic>
      <xdr:pic>
        <xdr:nvPicPr>
          <xdr:cNvPr id="18" name="Picture 17">
            <a:extLst>
              <a:ext uri="{FF2B5EF4-FFF2-40B4-BE49-F238E27FC236}">
                <a16:creationId xmlns:a16="http://schemas.microsoft.com/office/drawing/2014/main" id="{1A27AEB7-BD07-4AB0-8A70-DAEF3E8C375A}"/>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3820776" y="681317"/>
            <a:ext cx="2564806" cy="1800000"/>
          </a:xfrm>
          <a:prstGeom prst="rect">
            <a:avLst/>
          </a:prstGeom>
          <a:ln>
            <a:solidFill>
              <a:schemeClr val="tx1"/>
            </a:solidFill>
          </a:ln>
        </xdr:spPr>
      </xdr:pic>
      <xdr:pic>
        <xdr:nvPicPr>
          <xdr:cNvPr id="19" name="Picture 18">
            <a:extLst>
              <a:ext uri="{FF2B5EF4-FFF2-40B4-BE49-F238E27FC236}">
                <a16:creationId xmlns:a16="http://schemas.microsoft.com/office/drawing/2014/main" id="{CCF7E0C7-A993-429B-8C30-ED74019F9ECE}"/>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3805797" y="2653553"/>
            <a:ext cx="1213313" cy="1620000"/>
          </a:xfrm>
          <a:prstGeom prst="rect">
            <a:avLst/>
          </a:prstGeom>
          <a:ln>
            <a:solidFill>
              <a:schemeClr val="tx1"/>
            </a:solidFill>
          </a:ln>
        </xdr:spPr>
      </xdr:pic>
      <xdr:pic>
        <xdr:nvPicPr>
          <xdr:cNvPr id="20" name="Picture 19">
            <a:extLst>
              <a:ext uri="{FF2B5EF4-FFF2-40B4-BE49-F238E27FC236}">
                <a16:creationId xmlns:a16="http://schemas.microsoft.com/office/drawing/2014/main" id="{ABE65955-5D9E-48A9-9BCC-0596C4963938}"/>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5172269" y="2653553"/>
            <a:ext cx="1213313" cy="1620000"/>
          </a:xfrm>
          <a:prstGeom prst="rect">
            <a:avLst/>
          </a:prstGeom>
          <a:ln>
            <a:solidFill>
              <a:schemeClr val="tx1"/>
            </a:solidFill>
          </a:ln>
        </xdr:spPr>
      </xdr:pic>
    </xdr:grpSp>
    <xdr:clientData/>
  </xdr:twoCellAnchor>
  <xdr:twoCellAnchor>
    <xdr:from>
      <xdr:col>0</xdr:col>
      <xdr:colOff>495300</xdr:colOff>
      <xdr:row>151</xdr:row>
      <xdr:rowOff>30480</xdr:rowOff>
    </xdr:from>
    <xdr:to>
      <xdr:col>8</xdr:col>
      <xdr:colOff>248784</xdr:colOff>
      <xdr:row>189</xdr:row>
      <xdr:rowOff>120040</xdr:rowOff>
    </xdr:to>
    <xdr:grpSp>
      <xdr:nvGrpSpPr>
        <xdr:cNvPr id="5" name="Group 4">
          <a:extLst>
            <a:ext uri="{FF2B5EF4-FFF2-40B4-BE49-F238E27FC236}">
              <a16:creationId xmlns:a16="http://schemas.microsoft.com/office/drawing/2014/main" id="{D9446DE8-B1C1-3041-BF3F-FF33E02E33AE}"/>
            </a:ext>
          </a:extLst>
        </xdr:cNvPr>
        <xdr:cNvGrpSpPr/>
      </xdr:nvGrpSpPr>
      <xdr:grpSpPr>
        <a:xfrm>
          <a:off x="495300" y="32621220"/>
          <a:ext cx="5277984" cy="6749440"/>
          <a:chOff x="149867" y="132080"/>
          <a:chExt cx="5277984" cy="6749440"/>
        </a:xfrm>
      </xdr:grpSpPr>
      <xdr:grpSp>
        <xdr:nvGrpSpPr>
          <xdr:cNvPr id="6" name="Group 5">
            <a:extLst>
              <a:ext uri="{FF2B5EF4-FFF2-40B4-BE49-F238E27FC236}">
                <a16:creationId xmlns:a16="http://schemas.microsoft.com/office/drawing/2014/main" id="{237E902F-89CA-3761-53B6-A1259FA45779}"/>
              </a:ext>
            </a:extLst>
          </xdr:cNvPr>
          <xdr:cNvGrpSpPr/>
        </xdr:nvGrpSpPr>
        <xdr:grpSpPr>
          <a:xfrm>
            <a:off x="149867" y="5080000"/>
            <a:ext cx="5277984" cy="1801520"/>
            <a:chOff x="149867" y="5080000"/>
            <a:chExt cx="5277984" cy="1801520"/>
          </a:xfrm>
        </xdr:grpSpPr>
        <xdr:pic>
          <xdr:nvPicPr>
            <xdr:cNvPr id="8" name="Picture 7">
              <a:extLst>
                <a:ext uri="{FF2B5EF4-FFF2-40B4-BE49-F238E27FC236}">
                  <a16:creationId xmlns:a16="http://schemas.microsoft.com/office/drawing/2014/main" id="{B499091B-9C8E-1ECA-97C0-A8126106966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079726" y="5081520"/>
              <a:ext cx="1348125" cy="1800000"/>
            </a:xfrm>
            <a:prstGeom prst="rect">
              <a:avLst/>
            </a:prstGeom>
            <a:ln>
              <a:solidFill>
                <a:schemeClr val="tx1"/>
              </a:solidFill>
            </a:ln>
          </xdr:spPr>
        </xdr:pic>
        <xdr:pic>
          <xdr:nvPicPr>
            <xdr:cNvPr id="9" name="Picture 8">
              <a:extLst>
                <a:ext uri="{FF2B5EF4-FFF2-40B4-BE49-F238E27FC236}">
                  <a16:creationId xmlns:a16="http://schemas.microsoft.com/office/drawing/2014/main" id="{23D31C19-CE57-5C0B-D39B-84EEBEAC171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639067" y="5080000"/>
              <a:ext cx="1348125" cy="1800000"/>
            </a:xfrm>
            <a:prstGeom prst="rect">
              <a:avLst/>
            </a:prstGeom>
            <a:ln>
              <a:solidFill>
                <a:schemeClr val="tx1"/>
              </a:solidFill>
            </a:ln>
          </xdr:spPr>
        </xdr:pic>
        <xdr:pic>
          <xdr:nvPicPr>
            <xdr:cNvPr id="11" name="Picture 10">
              <a:extLst>
                <a:ext uri="{FF2B5EF4-FFF2-40B4-BE49-F238E27FC236}">
                  <a16:creationId xmlns:a16="http://schemas.microsoft.com/office/drawing/2014/main" id="{3D238F92-4751-8905-6708-BA4B25A374B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49867" y="5080000"/>
              <a:ext cx="2396666" cy="1800000"/>
            </a:xfrm>
            <a:prstGeom prst="rect">
              <a:avLst/>
            </a:prstGeom>
            <a:ln>
              <a:solidFill>
                <a:schemeClr val="tx1"/>
              </a:solidFill>
            </a:ln>
          </xdr:spPr>
        </xdr:pic>
      </xdr:grpSp>
      <xdr:pic>
        <xdr:nvPicPr>
          <xdr:cNvPr id="7" name="Picture 6">
            <a:extLst>
              <a:ext uri="{FF2B5EF4-FFF2-40B4-BE49-F238E27FC236}">
                <a16:creationId xmlns:a16="http://schemas.microsoft.com/office/drawing/2014/main" id="{5DF2A65C-E90E-626C-CF10-97F5C365D1F6}"/>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988859" y="132080"/>
            <a:ext cx="3600000" cy="4806676"/>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38100</xdr:colOff>
      <xdr:row>3</xdr:row>
      <xdr:rowOff>28575</xdr:rowOff>
    </xdr:from>
    <xdr:to>
      <xdr:col>11</xdr:col>
      <xdr:colOff>295275</xdr:colOff>
      <xdr:row>22</xdr:row>
      <xdr:rowOff>161925</xdr:rowOff>
    </xdr:to>
    <xdr:pic>
      <xdr:nvPicPr>
        <xdr:cNvPr id="8385" name="Picture 2">
          <a:extLst>
            <a:ext uri="{FF2B5EF4-FFF2-40B4-BE49-F238E27FC236}">
              <a16:creationId xmlns:a16="http://schemas.microsoft.com/office/drawing/2014/main" id="{00000000-0008-0000-0200-0000C12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467225" y="600075"/>
          <a:ext cx="2695575" cy="3752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381000</xdr:colOff>
      <xdr:row>3</xdr:row>
      <xdr:rowOff>0</xdr:rowOff>
    </xdr:from>
    <xdr:to>
      <xdr:col>16</xdr:col>
      <xdr:colOff>209550</xdr:colOff>
      <xdr:row>23</xdr:row>
      <xdr:rowOff>180975</xdr:rowOff>
    </xdr:to>
    <xdr:pic>
      <xdr:nvPicPr>
        <xdr:cNvPr id="8386" name="Picture 3">
          <a:extLst>
            <a:ext uri="{FF2B5EF4-FFF2-40B4-BE49-F238E27FC236}">
              <a16:creationId xmlns:a16="http://schemas.microsoft.com/office/drawing/2014/main" id="{00000000-0008-0000-0200-0000C22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7248525" y="571500"/>
          <a:ext cx="2876550" cy="39909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200025</xdr:colOff>
      <xdr:row>3</xdr:row>
      <xdr:rowOff>28575</xdr:rowOff>
    </xdr:from>
    <xdr:to>
      <xdr:col>6</xdr:col>
      <xdr:colOff>466725</xdr:colOff>
      <xdr:row>22</xdr:row>
      <xdr:rowOff>161925</xdr:rowOff>
    </xdr:to>
    <xdr:pic>
      <xdr:nvPicPr>
        <xdr:cNvPr id="8387" name="Picture 4">
          <a:extLst>
            <a:ext uri="{FF2B5EF4-FFF2-40B4-BE49-F238E27FC236}">
              <a16:creationId xmlns:a16="http://schemas.microsoft.com/office/drawing/2014/main" id="{00000000-0008-0000-0200-0000C32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1581150" y="600075"/>
          <a:ext cx="2705100" cy="3752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0</xdr:row>
      <xdr:rowOff>0</xdr:rowOff>
    </xdr:from>
    <xdr:to>
      <xdr:col>21</xdr:col>
      <xdr:colOff>333375</xdr:colOff>
      <xdr:row>38</xdr:row>
      <xdr:rowOff>76200</xdr:rowOff>
    </xdr:to>
    <xdr:pic>
      <xdr:nvPicPr>
        <xdr:cNvPr id="1181" name="Picture 1">
          <a:extLst>
            <a:ext uri="{FF2B5EF4-FFF2-40B4-BE49-F238E27FC236}">
              <a16:creationId xmlns:a16="http://schemas.microsoft.com/office/drawing/2014/main" id="{00000000-0008-0000-0400-00009D04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23825" y="0"/>
          <a:ext cx="1301115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6</xdr:col>
      <xdr:colOff>714375</xdr:colOff>
      <xdr:row>30</xdr:row>
      <xdr:rowOff>171450</xdr:rowOff>
    </xdr:to>
    <xdr:pic>
      <xdr:nvPicPr>
        <xdr:cNvPr id="9339" name="Picture 1">
          <a:extLst>
            <a:ext uri="{FF2B5EF4-FFF2-40B4-BE49-F238E27FC236}">
              <a16:creationId xmlns:a16="http://schemas.microsoft.com/office/drawing/2014/main" id="{00000000-0008-0000-0500-00007B24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609600" y="22860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31</xdr:row>
      <xdr:rowOff>76200</xdr:rowOff>
    </xdr:from>
    <xdr:to>
      <xdr:col>6</xdr:col>
      <xdr:colOff>733425</xdr:colOff>
      <xdr:row>50</xdr:row>
      <xdr:rowOff>57150</xdr:rowOff>
    </xdr:to>
    <xdr:pic>
      <xdr:nvPicPr>
        <xdr:cNvPr id="9340" name="Picture 2">
          <a:extLst>
            <a:ext uri="{FF2B5EF4-FFF2-40B4-BE49-F238E27FC236}">
              <a16:creationId xmlns:a16="http://schemas.microsoft.com/office/drawing/2014/main" id="{00000000-0008-0000-0500-00007C24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628650" y="59817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2yWFWmw5MPCjqoGQ7"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93"/>
  <sheetViews>
    <sheetView tabSelected="1" view="pageBreakPreview" zoomScaleNormal="100" zoomScaleSheetLayoutView="100" workbookViewId="0">
      <selection activeCell="M1" sqref="M1"/>
    </sheetView>
  </sheetViews>
  <sheetFormatPr defaultColWidth="9.109375" defaultRowHeight="13.8" x14ac:dyDescent="0.25"/>
  <cols>
    <col min="1" max="1" width="8.6640625" style="24" customWidth="1"/>
    <col min="2" max="3" width="14.44140625" style="24" customWidth="1"/>
    <col min="4" max="4" width="7.33203125" style="24" customWidth="1"/>
    <col min="5" max="5" width="6.88671875" style="24" customWidth="1"/>
    <col min="6" max="6" width="9" style="24" customWidth="1"/>
    <col min="7" max="8" width="9.88671875" style="24" customWidth="1"/>
    <col min="9" max="9" width="10.6640625" style="24" customWidth="1"/>
    <col min="10" max="10" width="2.88671875" style="24" customWidth="1"/>
    <col min="11" max="16384" width="9.109375" style="24"/>
  </cols>
  <sheetData>
    <row r="1" spans="1:15" ht="43.95" customHeight="1" x14ac:dyDescent="0.25">
      <c r="A1" s="86" t="s">
        <v>267</v>
      </c>
      <c r="B1" s="87"/>
      <c r="C1" s="87"/>
      <c r="D1" s="87"/>
      <c r="E1" s="87"/>
      <c r="F1" s="87"/>
      <c r="G1" s="87"/>
      <c r="H1" s="87"/>
      <c r="I1" s="87"/>
      <c r="J1" s="88"/>
    </row>
    <row r="2" spans="1:15" x14ac:dyDescent="0.25">
      <c r="A2" s="89" t="s">
        <v>47</v>
      </c>
      <c r="B2" s="91"/>
      <c r="C2" s="91"/>
      <c r="D2" s="91"/>
      <c r="E2" s="91"/>
      <c r="F2" s="91"/>
      <c r="G2" s="91"/>
      <c r="H2" s="91"/>
      <c r="I2" s="91"/>
      <c r="J2" s="90"/>
    </row>
    <row r="3" spans="1:15" x14ac:dyDescent="0.25">
      <c r="A3" s="75" t="s">
        <v>0</v>
      </c>
      <c r="B3" s="76"/>
      <c r="C3" s="76"/>
      <c r="D3" s="76"/>
      <c r="E3" s="77"/>
      <c r="F3" s="116" t="str">
        <f ca="1">TEXT(TODAY(),"DD/MM/YYYY")</f>
        <v>09/09/2025</v>
      </c>
      <c r="G3" s="117"/>
      <c r="H3" s="117"/>
      <c r="I3" s="117"/>
      <c r="J3" s="118"/>
    </row>
    <row r="4" spans="1:15" x14ac:dyDescent="0.25">
      <c r="A4" s="75" t="s">
        <v>1</v>
      </c>
      <c r="B4" s="76"/>
      <c r="C4" s="76"/>
      <c r="D4" s="76"/>
      <c r="E4" s="77"/>
      <c r="F4" s="75" t="s">
        <v>116</v>
      </c>
      <c r="G4" s="76"/>
      <c r="H4" s="76"/>
      <c r="I4" s="76"/>
      <c r="J4" s="77"/>
    </row>
    <row r="5" spans="1:15" x14ac:dyDescent="0.25">
      <c r="A5" s="75" t="s">
        <v>2</v>
      </c>
      <c r="B5" s="76"/>
      <c r="C5" s="76"/>
      <c r="D5" s="76"/>
      <c r="E5" s="77"/>
      <c r="F5" s="116">
        <v>45907</v>
      </c>
      <c r="G5" s="117"/>
      <c r="H5" s="117"/>
      <c r="I5" s="117"/>
      <c r="J5" s="118"/>
    </row>
    <row r="6" spans="1:15" ht="16.5" customHeight="1" x14ac:dyDescent="0.25">
      <c r="A6" s="75" t="s">
        <v>3</v>
      </c>
      <c r="B6" s="76"/>
      <c r="C6" s="76"/>
      <c r="D6" s="76"/>
      <c r="E6" s="77"/>
      <c r="F6" s="99" t="s">
        <v>117</v>
      </c>
      <c r="G6" s="100"/>
      <c r="H6" s="100"/>
      <c r="I6" s="100"/>
      <c r="J6" s="101"/>
    </row>
    <row r="7" spans="1:15" x14ac:dyDescent="0.25">
      <c r="A7" s="75" t="s">
        <v>4</v>
      </c>
      <c r="B7" s="76"/>
      <c r="C7" s="76"/>
      <c r="D7" s="76"/>
      <c r="E7" s="77"/>
      <c r="F7" s="99" t="s">
        <v>118</v>
      </c>
      <c r="G7" s="100"/>
      <c r="H7" s="100"/>
      <c r="I7" s="100"/>
      <c r="J7" s="101"/>
      <c r="M7" s="24" t="s">
        <v>279</v>
      </c>
    </row>
    <row r="8" spans="1:15" ht="31.5" customHeight="1" x14ac:dyDescent="0.25">
      <c r="A8" s="75" t="s">
        <v>5</v>
      </c>
      <c r="B8" s="76"/>
      <c r="C8" s="76"/>
      <c r="D8" s="76"/>
      <c r="E8" s="77"/>
      <c r="F8" s="78" t="s">
        <v>215</v>
      </c>
      <c r="G8" s="79"/>
      <c r="H8" s="79"/>
      <c r="I8" s="79"/>
      <c r="J8" s="80"/>
    </row>
    <row r="9" spans="1:15" x14ac:dyDescent="0.25">
      <c r="A9" s="75" t="s">
        <v>271</v>
      </c>
      <c r="B9" s="76"/>
      <c r="C9" s="76"/>
      <c r="D9" s="76"/>
      <c r="E9" s="77"/>
      <c r="F9" s="75" t="s">
        <v>119</v>
      </c>
      <c r="G9" s="76"/>
      <c r="H9" s="76"/>
      <c r="I9" s="76"/>
      <c r="J9" s="77"/>
    </row>
    <row r="10" spans="1:15" x14ac:dyDescent="0.25">
      <c r="A10" s="75" t="s">
        <v>272</v>
      </c>
      <c r="B10" s="76"/>
      <c r="C10" s="76"/>
      <c r="D10" s="76"/>
      <c r="E10" s="77"/>
      <c r="F10" s="75" t="s">
        <v>56</v>
      </c>
      <c r="G10" s="76"/>
      <c r="H10" s="76"/>
      <c r="I10" s="76"/>
      <c r="J10" s="77"/>
      <c r="K10" s="75" t="s">
        <v>274</v>
      </c>
      <c r="L10" s="76"/>
      <c r="M10" s="76"/>
      <c r="N10" s="76"/>
      <c r="O10" s="77"/>
    </row>
    <row r="11" spans="1:15" x14ac:dyDescent="0.25">
      <c r="A11" s="75" t="s">
        <v>149</v>
      </c>
      <c r="B11" s="76"/>
      <c r="C11" s="76"/>
      <c r="D11" s="76"/>
      <c r="E11" s="77"/>
      <c r="F11" s="75" t="s">
        <v>203</v>
      </c>
      <c r="G11" s="76"/>
      <c r="H11" s="76"/>
      <c r="I11" s="76"/>
      <c r="J11" s="77"/>
    </row>
    <row r="12" spans="1:15" x14ac:dyDescent="0.25">
      <c r="A12" s="75" t="s">
        <v>6</v>
      </c>
      <c r="B12" s="76"/>
      <c r="C12" s="76"/>
      <c r="D12" s="76"/>
      <c r="E12" s="77"/>
      <c r="F12" s="75" t="s">
        <v>114</v>
      </c>
      <c r="G12" s="76"/>
      <c r="H12" s="76"/>
      <c r="I12" s="76"/>
      <c r="J12" s="77"/>
    </row>
    <row r="13" spans="1:15" ht="16.2" customHeight="1" x14ac:dyDescent="0.25">
      <c r="A13" s="82" t="s">
        <v>164</v>
      </c>
      <c r="B13" s="83"/>
      <c r="C13" s="86" t="s">
        <v>165</v>
      </c>
      <c r="D13" s="87"/>
      <c r="E13" s="88"/>
      <c r="F13" s="89" t="s">
        <v>166</v>
      </c>
      <c r="G13" s="90"/>
      <c r="H13" s="89" t="s">
        <v>167</v>
      </c>
      <c r="I13" s="91"/>
      <c r="J13" s="90"/>
    </row>
    <row r="14" spans="1:15" ht="33" customHeight="1" x14ac:dyDescent="0.25">
      <c r="A14" s="84"/>
      <c r="B14" s="85"/>
      <c r="C14" s="92" t="s">
        <v>204</v>
      </c>
      <c r="D14" s="93"/>
      <c r="E14" s="94"/>
      <c r="F14" s="95" t="s">
        <v>205</v>
      </c>
      <c r="G14" s="96"/>
      <c r="H14" s="95" t="s">
        <v>207</v>
      </c>
      <c r="I14" s="97"/>
      <c r="J14" s="96"/>
    </row>
    <row r="15" spans="1:15" ht="34.200000000000003" customHeight="1" x14ac:dyDescent="0.25">
      <c r="A15" s="98" t="s">
        <v>67</v>
      </c>
      <c r="B15" s="98"/>
      <c r="C15" s="99" t="s">
        <v>210</v>
      </c>
      <c r="D15" s="100"/>
      <c r="E15" s="100"/>
      <c r="F15" s="100"/>
      <c r="G15" s="100"/>
      <c r="H15" s="100"/>
      <c r="I15" s="100"/>
      <c r="J15" s="101"/>
    </row>
    <row r="16" spans="1:15" x14ac:dyDescent="0.25">
      <c r="A16" s="63" t="s">
        <v>120</v>
      </c>
      <c r="B16" s="75" t="s">
        <v>121</v>
      </c>
      <c r="C16" s="76"/>
      <c r="D16" s="77"/>
      <c r="E16" s="63" t="s">
        <v>115</v>
      </c>
      <c r="F16" s="64" t="s">
        <v>163</v>
      </c>
      <c r="G16" s="2" t="s">
        <v>68</v>
      </c>
      <c r="H16" s="99" t="s">
        <v>122</v>
      </c>
      <c r="I16" s="100"/>
      <c r="J16" s="101"/>
    </row>
    <row r="17" spans="1:10" x14ac:dyDescent="0.25">
      <c r="A17" s="63" t="s">
        <v>7</v>
      </c>
      <c r="B17" s="75" t="s">
        <v>124</v>
      </c>
      <c r="C17" s="76"/>
      <c r="D17" s="76"/>
      <c r="E17" s="77"/>
      <c r="F17" s="1" t="s">
        <v>69</v>
      </c>
      <c r="G17" s="75" t="s">
        <v>123</v>
      </c>
      <c r="H17" s="76"/>
      <c r="I17" s="76"/>
      <c r="J17" s="77"/>
    </row>
    <row r="18" spans="1:10" x14ac:dyDescent="0.25">
      <c r="A18" s="63" t="s">
        <v>8</v>
      </c>
      <c r="B18" s="75" t="s">
        <v>126</v>
      </c>
      <c r="C18" s="76"/>
      <c r="D18" s="76"/>
      <c r="E18" s="77"/>
      <c r="F18" s="1" t="s">
        <v>70</v>
      </c>
      <c r="G18" s="75" t="s">
        <v>125</v>
      </c>
      <c r="H18" s="76"/>
      <c r="I18" s="76"/>
      <c r="J18" s="77"/>
    </row>
    <row r="19" spans="1:10" ht="32.25" customHeight="1" x14ac:dyDescent="0.25">
      <c r="A19" s="98" t="s">
        <v>71</v>
      </c>
      <c r="B19" s="98"/>
      <c r="C19" s="98" t="s">
        <v>127</v>
      </c>
      <c r="D19" s="98"/>
      <c r="E19" s="98"/>
      <c r="F19" s="102" t="s">
        <v>58</v>
      </c>
      <c r="G19" s="102"/>
      <c r="H19" s="100" t="s">
        <v>128</v>
      </c>
      <c r="I19" s="100"/>
      <c r="J19" s="101"/>
    </row>
    <row r="20" spans="1:10" ht="15" customHeight="1" x14ac:dyDescent="0.25">
      <c r="A20" s="82" t="s">
        <v>60</v>
      </c>
      <c r="B20" s="83"/>
      <c r="C20" s="83"/>
      <c r="D20" s="83"/>
      <c r="E20" s="103"/>
      <c r="F20" s="107" t="s">
        <v>129</v>
      </c>
      <c r="G20" s="108"/>
      <c r="H20" s="108"/>
      <c r="I20" s="108"/>
      <c r="J20" s="109"/>
    </row>
    <row r="21" spans="1:10" x14ac:dyDescent="0.25">
      <c r="A21" s="104"/>
      <c r="B21" s="105"/>
      <c r="C21" s="105"/>
      <c r="D21" s="105"/>
      <c r="E21" s="106"/>
      <c r="F21" s="110"/>
      <c r="G21" s="111"/>
      <c r="H21" s="111"/>
      <c r="I21" s="111"/>
      <c r="J21" s="112"/>
    </row>
    <row r="22" spans="1:10" ht="15" customHeight="1" x14ac:dyDescent="0.25">
      <c r="A22" s="82" t="s">
        <v>9</v>
      </c>
      <c r="B22" s="83"/>
      <c r="C22" s="83"/>
      <c r="D22" s="83"/>
      <c r="E22" s="103"/>
      <c r="F22" s="82" t="s">
        <v>49</v>
      </c>
      <c r="G22" s="83"/>
      <c r="H22" s="83"/>
      <c r="I22" s="83"/>
      <c r="J22" s="103"/>
    </row>
    <row r="23" spans="1:10" x14ac:dyDescent="0.25">
      <c r="A23" s="104"/>
      <c r="B23" s="105"/>
      <c r="C23" s="105"/>
      <c r="D23" s="105"/>
      <c r="E23" s="106"/>
      <c r="F23" s="104"/>
      <c r="G23" s="105"/>
      <c r="H23" s="105"/>
      <c r="I23" s="105"/>
      <c r="J23" s="106"/>
    </row>
    <row r="24" spans="1:10" x14ac:dyDescent="0.25">
      <c r="A24" s="75" t="s">
        <v>10</v>
      </c>
      <c r="B24" s="76"/>
      <c r="C24" s="76"/>
      <c r="D24" s="76"/>
      <c r="E24" s="77"/>
      <c r="F24" s="113" t="s">
        <v>111</v>
      </c>
      <c r="G24" s="114"/>
      <c r="H24" s="114"/>
      <c r="I24" s="114"/>
      <c r="J24" s="115"/>
    </row>
    <row r="25" spans="1:10" x14ac:dyDescent="0.25">
      <c r="A25" s="75" t="s">
        <v>11</v>
      </c>
      <c r="B25" s="76"/>
      <c r="C25" s="76"/>
      <c r="D25" s="76"/>
      <c r="E25" s="77"/>
      <c r="F25" s="113" t="s">
        <v>59</v>
      </c>
      <c r="G25" s="114"/>
      <c r="H25" s="114"/>
      <c r="I25" s="114"/>
      <c r="J25" s="115"/>
    </row>
    <row r="26" spans="1:10" x14ac:dyDescent="0.25">
      <c r="A26" s="75" t="s">
        <v>12</v>
      </c>
      <c r="B26" s="76"/>
      <c r="C26" s="76"/>
      <c r="D26" s="76"/>
      <c r="E26" s="77"/>
      <c r="F26" s="113" t="s">
        <v>50</v>
      </c>
      <c r="G26" s="114"/>
      <c r="H26" s="114"/>
      <c r="I26" s="114"/>
      <c r="J26" s="115"/>
    </row>
    <row r="27" spans="1:10" x14ac:dyDescent="0.25">
      <c r="A27" s="75" t="s">
        <v>30</v>
      </c>
      <c r="B27" s="76"/>
      <c r="C27" s="76"/>
      <c r="D27" s="76"/>
      <c r="E27" s="77"/>
      <c r="F27" s="113" t="s">
        <v>72</v>
      </c>
      <c r="G27" s="114"/>
      <c r="H27" s="114"/>
      <c r="I27" s="114"/>
      <c r="J27" s="115"/>
    </row>
    <row r="28" spans="1:10" x14ac:dyDescent="0.25">
      <c r="A28" s="119" t="s">
        <v>13</v>
      </c>
      <c r="B28" s="120"/>
      <c r="C28" s="119" t="s">
        <v>14</v>
      </c>
      <c r="D28" s="120"/>
      <c r="E28" s="119" t="s">
        <v>15</v>
      </c>
      <c r="F28" s="120"/>
      <c r="G28" s="119" t="s">
        <v>57</v>
      </c>
      <c r="H28" s="120"/>
      <c r="I28" s="119" t="s">
        <v>16</v>
      </c>
      <c r="J28" s="120"/>
    </row>
    <row r="29" spans="1:10" x14ac:dyDescent="0.25">
      <c r="A29" s="119" t="s">
        <v>17</v>
      </c>
      <c r="B29" s="120"/>
      <c r="C29" s="119" t="s">
        <v>56</v>
      </c>
      <c r="D29" s="120"/>
      <c r="E29" s="119" t="s">
        <v>56</v>
      </c>
      <c r="F29" s="120"/>
      <c r="G29" s="119" t="s">
        <v>56</v>
      </c>
      <c r="H29" s="120"/>
      <c r="I29" s="119" t="s">
        <v>56</v>
      </c>
      <c r="J29" s="120"/>
    </row>
    <row r="30" spans="1:10" x14ac:dyDescent="0.25">
      <c r="A30" s="119" t="s">
        <v>18</v>
      </c>
      <c r="B30" s="120"/>
      <c r="C30" s="119" t="s">
        <v>130</v>
      </c>
      <c r="D30" s="120"/>
      <c r="E30" s="119" t="s">
        <v>7</v>
      </c>
      <c r="F30" s="120"/>
      <c r="G30" s="119" t="s">
        <v>130</v>
      </c>
      <c r="H30" s="120"/>
      <c r="I30" s="119" t="s">
        <v>130</v>
      </c>
      <c r="J30" s="120"/>
    </row>
    <row r="31" spans="1:10" x14ac:dyDescent="0.25">
      <c r="A31" s="75" t="s">
        <v>273</v>
      </c>
      <c r="B31" s="76"/>
      <c r="C31" s="76"/>
      <c r="D31" s="76"/>
      <c r="E31" s="76"/>
      <c r="F31" s="76"/>
      <c r="G31" s="76"/>
      <c r="H31" s="76"/>
      <c r="I31" s="76"/>
      <c r="J31" s="77"/>
    </row>
    <row r="32" spans="1:10" x14ac:dyDescent="0.25">
      <c r="A32" s="75" t="s">
        <v>51</v>
      </c>
      <c r="B32" s="76"/>
      <c r="C32" s="76"/>
      <c r="D32" s="76"/>
      <c r="E32" s="76"/>
      <c r="F32" s="76"/>
      <c r="G32" s="76"/>
      <c r="H32" s="76"/>
      <c r="I32" s="76"/>
      <c r="J32" s="77"/>
    </row>
    <row r="33" spans="1:10" x14ac:dyDescent="0.25">
      <c r="A33" s="75" t="s">
        <v>44</v>
      </c>
      <c r="B33" s="77"/>
      <c r="C33" s="75" t="s">
        <v>268</v>
      </c>
      <c r="D33" s="76"/>
      <c r="E33" s="76"/>
      <c r="F33" s="76"/>
      <c r="G33" s="76"/>
      <c r="H33" s="76"/>
      <c r="I33" s="76"/>
      <c r="J33" s="77"/>
    </row>
    <row r="34" spans="1:10" ht="14.4" x14ac:dyDescent="0.25">
      <c r="A34" s="75" t="s">
        <v>269</v>
      </c>
      <c r="B34" s="77"/>
      <c r="C34" s="124" t="s">
        <v>270</v>
      </c>
      <c r="D34" s="76"/>
      <c r="E34" s="76"/>
      <c r="F34" s="76"/>
      <c r="G34" s="76"/>
      <c r="H34" s="76"/>
      <c r="I34" s="76"/>
      <c r="J34" s="77"/>
    </row>
    <row r="35" spans="1:10" x14ac:dyDescent="0.25">
      <c r="A35" s="121" t="s">
        <v>19</v>
      </c>
      <c r="B35" s="122"/>
      <c r="C35" s="122"/>
      <c r="D35" s="122"/>
      <c r="E35" s="122"/>
      <c r="F35" s="122"/>
      <c r="G35" s="122"/>
      <c r="H35" s="122"/>
      <c r="I35" s="122"/>
      <c r="J35" s="123"/>
    </row>
    <row r="36" spans="1:10" ht="15" customHeight="1" x14ac:dyDescent="0.25">
      <c r="A36" s="82" t="s">
        <v>52</v>
      </c>
      <c r="B36" s="83"/>
      <c r="C36" s="83"/>
      <c r="D36" s="83"/>
      <c r="E36" s="83"/>
      <c r="F36" s="83"/>
      <c r="G36" s="83"/>
      <c r="H36" s="83"/>
      <c r="I36" s="83"/>
      <c r="J36" s="103"/>
    </row>
    <row r="37" spans="1:10" x14ac:dyDescent="0.25">
      <c r="A37" s="104"/>
      <c r="B37" s="105"/>
      <c r="C37" s="105"/>
      <c r="D37" s="105"/>
      <c r="E37" s="105"/>
      <c r="F37" s="105"/>
      <c r="G37" s="105"/>
      <c r="H37" s="105"/>
      <c r="I37" s="105"/>
      <c r="J37" s="106"/>
    </row>
    <row r="38" spans="1:10" s="25" customFormat="1" ht="17.399999999999999" customHeight="1" x14ac:dyDescent="0.3">
      <c r="A38" s="125" t="s">
        <v>73</v>
      </c>
      <c r="B38" s="126"/>
      <c r="C38" s="126"/>
      <c r="D38" s="126"/>
      <c r="E38" s="127"/>
      <c r="F38" s="128">
        <v>556880.97</v>
      </c>
      <c r="G38" s="129"/>
      <c r="H38" s="129"/>
      <c r="I38" s="129"/>
      <c r="J38" s="130"/>
    </row>
    <row r="39" spans="1:10" ht="17.399999999999999" customHeight="1" x14ac:dyDescent="0.25">
      <c r="A39" s="75" t="s">
        <v>20</v>
      </c>
      <c r="B39" s="76"/>
      <c r="C39" s="76"/>
      <c r="D39" s="76"/>
      <c r="E39" s="77"/>
      <c r="F39" s="131">
        <v>1</v>
      </c>
      <c r="G39" s="132"/>
      <c r="H39" s="132"/>
      <c r="I39" s="132"/>
      <c r="J39" s="133"/>
    </row>
    <row r="40" spans="1:10" ht="17.399999999999999" customHeight="1" x14ac:dyDescent="0.25">
      <c r="A40" s="75" t="s">
        <v>21</v>
      </c>
      <c r="B40" s="76"/>
      <c r="C40" s="76"/>
      <c r="D40" s="76"/>
      <c r="E40" s="77"/>
      <c r="F40" s="131">
        <v>0.7</v>
      </c>
      <c r="G40" s="132"/>
      <c r="H40" s="132"/>
      <c r="I40" s="132"/>
      <c r="J40" s="133"/>
    </row>
    <row r="41" spans="1:10" ht="17.399999999999999" customHeight="1" x14ac:dyDescent="0.25">
      <c r="A41" s="75" t="s">
        <v>22</v>
      </c>
      <c r="B41" s="76"/>
      <c r="C41" s="76"/>
      <c r="D41" s="76"/>
      <c r="E41" s="77"/>
      <c r="F41" s="131">
        <f>F39+F40</f>
        <v>1.7</v>
      </c>
      <c r="G41" s="132"/>
      <c r="H41" s="132"/>
      <c r="I41" s="132"/>
      <c r="J41" s="133"/>
    </row>
    <row r="42" spans="1:10" ht="17.399999999999999" customHeight="1" x14ac:dyDescent="0.25">
      <c r="A42" s="75" t="s">
        <v>74</v>
      </c>
      <c r="B42" s="76"/>
      <c r="C42" s="76"/>
      <c r="D42" s="76"/>
      <c r="E42" s="77"/>
      <c r="F42" s="131">
        <f>F38*F41</f>
        <v>946697.64899999998</v>
      </c>
      <c r="G42" s="132"/>
      <c r="H42" s="132">
        <v>41635.328000000001</v>
      </c>
      <c r="I42" s="132"/>
      <c r="J42" s="133"/>
    </row>
    <row r="43" spans="1:10" ht="17.399999999999999" customHeight="1" x14ac:dyDescent="0.25">
      <c r="A43" s="134" t="s">
        <v>23</v>
      </c>
      <c r="B43" s="135"/>
      <c r="C43" s="135"/>
      <c r="D43" s="135"/>
      <c r="E43" s="136"/>
      <c r="F43" s="75" t="s">
        <v>168</v>
      </c>
      <c r="G43" s="76"/>
      <c r="H43" s="76"/>
      <c r="I43" s="76"/>
      <c r="J43" s="77"/>
    </row>
    <row r="44" spans="1:10" ht="17.399999999999999" customHeight="1" x14ac:dyDescent="0.25">
      <c r="A44" s="121" t="s">
        <v>76</v>
      </c>
      <c r="B44" s="122"/>
      <c r="C44" s="122"/>
      <c r="D44" s="122"/>
      <c r="E44" s="122"/>
      <c r="F44" s="122"/>
      <c r="G44" s="122"/>
      <c r="H44" s="122"/>
      <c r="I44" s="122"/>
      <c r="J44" s="123"/>
    </row>
    <row r="45" spans="1:10" ht="31.5" customHeight="1" x14ac:dyDescent="0.25">
      <c r="A45" s="137" t="s">
        <v>75</v>
      </c>
      <c r="B45" s="137"/>
      <c r="C45" s="99" t="s">
        <v>232</v>
      </c>
      <c r="D45" s="100"/>
      <c r="E45" s="100"/>
      <c r="F45" s="101"/>
      <c r="G45" s="1" t="s">
        <v>66</v>
      </c>
      <c r="H45" s="75" t="s">
        <v>233</v>
      </c>
      <c r="I45" s="76"/>
      <c r="J45" s="77"/>
    </row>
    <row r="46" spans="1:10" ht="31.5" customHeight="1" x14ac:dyDescent="0.25">
      <c r="A46" s="99" t="s">
        <v>77</v>
      </c>
      <c r="B46" s="101"/>
      <c r="C46" s="99" t="str">
        <f>C45</f>
        <v>CIDCO/NAINA/PANVEL/WARDOLI/TP/BP-00236/ACC/2021/0072</v>
      </c>
      <c r="D46" s="100"/>
      <c r="E46" s="100"/>
      <c r="F46" s="101"/>
      <c r="G46" s="1" t="s">
        <v>66</v>
      </c>
      <c r="H46" s="75" t="str">
        <f>H45</f>
        <v>13/01/2021.</v>
      </c>
      <c r="I46" s="76"/>
      <c r="J46" s="77"/>
    </row>
    <row r="47" spans="1:10" ht="61.5" customHeight="1" x14ac:dyDescent="0.25">
      <c r="A47" s="99" t="s">
        <v>78</v>
      </c>
      <c r="B47" s="101"/>
      <c r="C47" s="99" t="s">
        <v>234</v>
      </c>
      <c r="D47" s="100"/>
      <c r="E47" s="100"/>
      <c r="F47" s="101"/>
      <c r="G47" s="1" t="s">
        <v>66</v>
      </c>
      <c r="H47" s="75" t="str">
        <f>H45</f>
        <v>13/01/2021.</v>
      </c>
      <c r="I47" s="76" t="s">
        <v>53</v>
      </c>
      <c r="J47" s="77"/>
    </row>
    <row r="48" spans="1:10" x14ac:dyDescent="0.25">
      <c r="A48" s="99" t="s">
        <v>112</v>
      </c>
      <c r="B48" s="101"/>
      <c r="C48" s="99" t="s">
        <v>56</v>
      </c>
      <c r="D48" s="100"/>
      <c r="E48" s="100"/>
      <c r="F48" s="101" t="s">
        <v>113</v>
      </c>
      <c r="G48" s="1" t="s">
        <v>66</v>
      </c>
      <c r="H48" s="75" t="s">
        <v>56</v>
      </c>
      <c r="I48" s="76" t="s">
        <v>61</v>
      </c>
      <c r="J48" s="77"/>
    </row>
    <row r="49" spans="1:12" x14ac:dyDescent="0.25">
      <c r="A49" s="98" t="s">
        <v>84</v>
      </c>
      <c r="B49" s="98"/>
      <c r="C49" s="98"/>
      <c r="D49" s="214" t="str">
        <f>H47</f>
        <v>13/01/2021.</v>
      </c>
      <c r="E49" s="214"/>
      <c r="F49" s="75" t="s">
        <v>79</v>
      </c>
      <c r="G49" s="240"/>
      <c r="H49" s="75" t="s">
        <v>162</v>
      </c>
      <c r="I49" s="76"/>
      <c r="J49" s="77"/>
    </row>
    <row r="50" spans="1:12" x14ac:dyDescent="0.25">
      <c r="A50" s="241" t="s">
        <v>24</v>
      </c>
      <c r="B50" s="242"/>
      <c r="C50" s="242"/>
      <c r="D50" s="242"/>
      <c r="E50" s="242"/>
      <c r="F50" s="242"/>
      <c r="G50" s="242"/>
      <c r="H50" s="242"/>
      <c r="I50" s="242"/>
      <c r="J50" s="243"/>
    </row>
    <row r="51" spans="1:12" x14ac:dyDescent="0.25">
      <c r="A51" s="75" t="s">
        <v>110</v>
      </c>
      <c r="B51" s="76"/>
      <c r="C51" s="77"/>
      <c r="D51" s="119">
        <f>F42</f>
        <v>946697.64899999998</v>
      </c>
      <c r="E51" s="120"/>
      <c r="F51" s="244" t="s">
        <v>199</v>
      </c>
      <c r="G51" s="244"/>
      <c r="H51" s="244"/>
      <c r="I51" s="81">
        <f>C85</f>
        <v>253</v>
      </c>
      <c r="J51" s="81"/>
    </row>
    <row r="52" spans="1:12" s="28" customFormat="1" ht="16.5" customHeight="1" x14ac:dyDescent="0.3">
      <c r="A52" s="142" t="s">
        <v>80</v>
      </c>
      <c r="B52" s="143"/>
      <c r="C52" s="144"/>
      <c r="D52" s="145" t="s">
        <v>266</v>
      </c>
      <c r="E52" s="146"/>
      <c r="F52" s="146"/>
      <c r="G52" s="146"/>
      <c r="H52" s="146"/>
      <c r="I52" s="146"/>
      <c r="J52" s="147"/>
    </row>
    <row r="53" spans="1:12" x14ac:dyDescent="0.25">
      <c r="A53" s="75" t="s">
        <v>54</v>
      </c>
      <c r="B53" s="76"/>
      <c r="C53" s="76"/>
      <c r="D53" s="76"/>
      <c r="E53" s="77"/>
      <c r="F53" s="99" t="s">
        <v>62</v>
      </c>
      <c r="G53" s="100"/>
      <c r="H53" s="100"/>
      <c r="I53" s="100"/>
      <c r="J53" s="101"/>
    </row>
    <row r="54" spans="1:12" ht="14.4" thickBot="1" x14ac:dyDescent="0.3">
      <c r="A54" s="75" t="s">
        <v>63</v>
      </c>
      <c r="B54" s="76"/>
      <c r="C54" s="76"/>
      <c r="D54" s="76"/>
      <c r="E54" s="76"/>
      <c r="F54" s="76"/>
      <c r="G54" s="76"/>
      <c r="H54" s="76"/>
      <c r="I54" s="76"/>
      <c r="J54" s="77"/>
    </row>
    <row r="55" spans="1:12" ht="15" customHeight="1" x14ac:dyDescent="0.3">
      <c r="A55" s="150" t="s">
        <v>236</v>
      </c>
      <c r="B55" s="151"/>
      <c r="C55" s="152" t="s">
        <v>266</v>
      </c>
      <c r="D55" s="153"/>
      <c r="E55" s="153"/>
      <c r="F55" s="153"/>
      <c r="G55" s="153"/>
      <c r="H55" s="153"/>
      <c r="I55" s="153"/>
      <c r="J55" s="154"/>
      <c r="K55" s="50" t="str">
        <f ca="1">(IF(F59&gt;99%,"All work completed. Please provide OC.",IF(F59&gt;89.8%,"Plinth, RCC, Brick, Plaster, Flooring, Painting work Completed. Finishing work is in process.",IF(F59&lt;94%,(IF(C59=0,"Work not yet Started.",IF(D59=25%,"Piling work in process",IF(D59=50%,"Excavation work in process",IF(D59=100%,"Excavation work Completed. ","0")))&amp;(IF(C60=0%,"",IF(C60=L61,"Footing work is process",IF(C60=L62,"Footing work Completed",IF(C60=L63,"1st Basement Completed",IF(C60=L64,"1st &amp; 2nd Basement Completed",IF(C60=L65,"1st to 3rd Basement Completed",IF(C60=L66,"1st to 4th Basement Completed",IF(C60=L67,"Plinth work is process",IF(C60=L68,"Plinth work completed","0")))))))))))&amp;(IF(C61=(D56+G56+I56),", RCC Slab",IF(C61&gt;0,", RCC upto "&amp;C61&amp;" Slab",""))&amp;(IF(C62=I56,", Brickwork",IF(C62&gt;0,", Brickwork upto "&amp;C62&amp;" Floor",""))&amp;(IF(C63=I56,", Internal Plaster",IF(C63&gt;0,", Internal Plaster upto "&amp;C63&amp;" Floor",""))&amp;(IF(C64=I56,", External Plaster",IF(C64&gt;0,", External Plaster upto "&amp;C64&amp;" Floor",""))&amp;(IF(C65=I56,", Flooring",IF(C65&gt;0,", Flooring upto "&amp;C65&amp;" Floor",""))&amp;(IF(C66=I56,", Painting",IF(C66&gt;0,", Painting upto "&amp;C66&amp;" Floor",""))&amp;(IF(C67&gt;0,", Finishing upto "&amp;C67&amp;" Floor","")&amp;(IF(C61&gt;0.5," Completed",""))))))))))))))</f>
        <v>Plinth, RCC, Brick, Plaster, Flooring, Painting work Completed. Finishing work is in process.</v>
      </c>
      <c r="L55" s="51"/>
    </row>
    <row r="56" spans="1:12" s="26" customFormat="1" ht="15" customHeight="1" x14ac:dyDescent="0.3">
      <c r="A56" s="52" t="s">
        <v>169</v>
      </c>
      <c r="B56" s="53">
        <v>0</v>
      </c>
      <c r="C56" s="53" t="s">
        <v>171</v>
      </c>
      <c r="D56" s="53">
        <v>1</v>
      </c>
      <c r="E56" s="155" t="s">
        <v>170</v>
      </c>
      <c r="F56" s="156"/>
      <c r="G56" s="53">
        <v>0</v>
      </c>
      <c r="H56" s="53" t="s">
        <v>237</v>
      </c>
      <c r="I56" s="155">
        <f ca="1">--TRIM(RIGHT(SUBSTITUTE(LEFT(C55,_xlfn.AGGREGATE(16,6,FIND({0,1,2,3,4,5,6,7,8,9},C55,ROW(INDIRECT("1:"&amp;LEN(C55)))),1))," ",REPT(" ",LEN(C55))),LEN(C55)))</f>
        <v>25</v>
      </c>
      <c r="J56" s="157"/>
      <c r="K56" s="54"/>
      <c r="L56" s="55"/>
    </row>
    <row r="57" spans="1:12" s="26" customFormat="1" ht="30.75" customHeight="1" x14ac:dyDescent="0.3">
      <c r="A57" s="158" t="s">
        <v>238</v>
      </c>
      <c r="B57" s="159"/>
      <c r="C57" s="160" t="str">
        <f ca="1">K55</f>
        <v>Plinth, RCC, Brick, Plaster, Flooring, Painting work Completed. Finishing work is in process.</v>
      </c>
      <c r="D57" s="161"/>
      <c r="E57" s="161"/>
      <c r="F57" s="161"/>
      <c r="G57" s="161"/>
      <c r="H57" s="161"/>
      <c r="I57" s="161"/>
      <c r="J57" s="162"/>
      <c r="K57" s="54" t="s">
        <v>239</v>
      </c>
      <c r="L57" s="55"/>
    </row>
    <row r="58" spans="1:12" s="26" customFormat="1" ht="15.6" x14ac:dyDescent="0.3">
      <c r="A58" s="163" t="s">
        <v>35</v>
      </c>
      <c r="B58" s="149"/>
      <c r="C58" s="70" t="s">
        <v>240</v>
      </c>
      <c r="D58" s="148" t="s">
        <v>241</v>
      </c>
      <c r="E58" s="149"/>
      <c r="F58" s="148" t="s">
        <v>242</v>
      </c>
      <c r="G58" s="149"/>
      <c r="H58" s="148" t="s">
        <v>243</v>
      </c>
      <c r="I58" s="164"/>
      <c r="J58" s="165"/>
      <c r="K58" s="56" t="s">
        <v>244</v>
      </c>
      <c r="L58" s="57">
        <f ca="1">I56*25%</f>
        <v>6.25</v>
      </c>
    </row>
    <row r="59" spans="1:12" s="26" customFormat="1" ht="15.6" x14ac:dyDescent="0.3">
      <c r="A59" s="163" t="s">
        <v>245</v>
      </c>
      <c r="B59" s="149"/>
      <c r="C59" s="71">
        <f ca="1">L60</f>
        <v>25</v>
      </c>
      <c r="D59" s="166">
        <f ca="1">((100/I56)*C59)/100</f>
        <v>1</v>
      </c>
      <c r="E59" s="167"/>
      <c r="F59" s="168">
        <f ca="1">(((C60/I56*10)+(40/(D56+G56+I56)*C61)+(7.5/(I56)*C62)+(7.5/(I56)*C63)+(10/I56*C64)+(10/I56*C65)+(5/I56*C66)+(5/I56*C67)+(5/I56*C68))/100)</f>
        <v>0.94599999999999995</v>
      </c>
      <c r="G59" s="169"/>
      <c r="H59" s="168">
        <f ca="1">((((C59/I56)*20)+((C60/I56)*25)+(30/(I56+G56+D56)*C61)+(5/I56*C62)+(5/I56*C63)+(5/I56*C64)+(5/I56*C65)+(0/I56*C66)+(0/I56*C67)+(5/I56*C68))/100)</f>
        <v>0.95</v>
      </c>
      <c r="I59" s="174"/>
      <c r="J59" s="175"/>
      <c r="K59" s="56" t="s">
        <v>191</v>
      </c>
      <c r="L59" s="58">
        <f ca="1">I56*50%</f>
        <v>12.5</v>
      </c>
    </row>
    <row r="60" spans="1:12" s="26" customFormat="1" ht="15.6" x14ac:dyDescent="0.3">
      <c r="A60" s="163" t="s">
        <v>36</v>
      </c>
      <c r="B60" s="149"/>
      <c r="C60" s="72">
        <f ca="1">L68</f>
        <v>25</v>
      </c>
      <c r="D60" s="166">
        <f ca="1">((100/I56)*C60)/100</f>
        <v>1</v>
      </c>
      <c r="E60" s="167"/>
      <c r="F60" s="170"/>
      <c r="G60" s="171"/>
      <c r="H60" s="170"/>
      <c r="I60" s="176"/>
      <c r="J60" s="177"/>
      <c r="K60" s="56" t="s">
        <v>194</v>
      </c>
      <c r="L60" s="58">
        <f ca="1">I56</f>
        <v>25</v>
      </c>
    </row>
    <row r="61" spans="1:12" s="26" customFormat="1" ht="15.6" x14ac:dyDescent="0.3">
      <c r="A61" s="180" t="s">
        <v>246</v>
      </c>
      <c r="B61" s="156"/>
      <c r="C61" s="72">
        <v>26</v>
      </c>
      <c r="D61" s="166">
        <f ca="1">((100/(D56+G56+I56))*C61)/100</f>
        <v>1</v>
      </c>
      <c r="E61" s="167"/>
      <c r="F61" s="170"/>
      <c r="G61" s="171"/>
      <c r="H61" s="170"/>
      <c r="I61" s="176"/>
      <c r="J61" s="177"/>
      <c r="K61" s="56" t="s">
        <v>195</v>
      </c>
      <c r="L61" s="59">
        <f ca="1">(IF(B56&gt;1,(I56/(B56+2)),I56/4))</f>
        <v>6.25</v>
      </c>
    </row>
    <row r="62" spans="1:12" s="26" customFormat="1" ht="15.6" x14ac:dyDescent="0.3">
      <c r="A62" s="163" t="s">
        <v>247</v>
      </c>
      <c r="B62" s="149" t="s">
        <v>248</v>
      </c>
      <c r="C62" s="72">
        <v>25</v>
      </c>
      <c r="D62" s="166">
        <f ca="1">((100/I56)*C62)/100</f>
        <v>1</v>
      </c>
      <c r="E62" s="167"/>
      <c r="F62" s="170"/>
      <c r="G62" s="171"/>
      <c r="H62" s="170"/>
      <c r="I62" s="176"/>
      <c r="J62" s="177"/>
      <c r="K62" s="56" t="s">
        <v>196</v>
      </c>
      <c r="L62" s="59">
        <f ca="1">(IF(B56&gt;1,(I56/(B56+2)+L61),I56/4+L61))</f>
        <v>12.5</v>
      </c>
    </row>
    <row r="63" spans="1:12" s="26" customFormat="1" ht="15.6" x14ac:dyDescent="0.3">
      <c r="A63" s="163" t="s">
        <v>249</v>
      </c>
      <c r="B63" s="149" t="s">
        <v>248</v>
      </c>
      <c r="C63" s="72">
        <v>25</v>
      </c>
      <c r="D63" s="166">
        <f ca="1">((100/I56)*C63)/100</f>
        <v>1</v>
      </c>
      <c r="E63" s="167"/>
      <c r="F63" s="170"/>
      <c r="G63" s="171"/>
      <c r="H63" s="170"/>
      <c r="I63" s="176"/>
      <c r="J63" s="177"/>
      <c r="K63" s="56" t="s">
        <v>250</v>
      </c>
      <c r="L63" s="59">
        <f>(IF(B56&gt;1,(I56/(B56+2)+L62),0))</f>
        <v>0</v>
      </c>
    </row>
    <row r="64" spans="1:12" s="26" customFormat="1" ht="15.6" x14ac:dyDescent="0.3">
      <c r="A64" s="163" t="s">
        <v>251</v>
      </c>
      <c r="B64" s="149" t="s">
        <v>252</v>
      </c>
      <c r="C64" s="72">
        <v>25</v>
      </c>
      <c r="D64" s="166">
        <f ca="1">((100/(I56))*C64)/100</f>
        <v>1</v>
      </c>
      <c r="E64" s="167"/>
      <c r="F64" s="170"/>
      <c r="G64" s="171"/>
      <c r="H64" s="170"/>
      <c r="I64" s="176"/>
      <c r="J64" s="177"/>
      <c r="K64" s="56" t="s">
        <v>253</v>
      </c>
      <c r="L64" s="59">
        <f>(IF(B56&gt;2,(I56/(B56+2)+L63),0))</f>
        <v>0</v>
      </c>
    </row>
    <row r="65" spans="1:12" s="26" customFormat="1" ht="15.6" x14ac:dyDescent="0.3">
      <c r="A65" s="163" t="s">
        <v>254</v>
      </c>
      <c r="B65" s="149" t="s">
        <v>254</v>
      </c>
      <c r="C65" s="71">
        <v>25</v>
      </c>
      <c r="D65" s="166">
        <f ca="1">((100/I56)*C65)/100</f>
        <v>1</v>
      </c>
      <c r="E65" s="167"/>
      <c r="F65" s="170"/>
      <c r="G65" s="171"/>
      <c r="H65" s="170"/>
      <c r="I65" s="176"/>
      <c r="J65" s="177"/>
      <c r="K65" s="56" t="s">
        <v>255</v>
      </c>
      <c r="L65" s="60">
        <f>(IF(B56&gt;3,(I56/(B56+2)+L64),0))</f>
        <v>0</v>
      </c>
    </row>
    <row r="66" spans="1:12" s="26" customFormat="1" ht="15" customHeight="1" x14ac:dyDescent="0.3">
      <c r="A66" s="163" t="s">
        <v>256</v>
      </c>
      <c r="B66" s="149"/>
      <c r="C66" s="71">
        <v>25</v>
      </c>
      <c r="D66" s="166">
        <f ca="1">((100/I56)*C66)/100</f>
        <v>1</v>
      </c>
      <c r="E66" s="167"/>
      <c r="F66" s="170"/>
      <c r="G66" s="171"/>
      <c r="H66" s="170"/>
      <c r="I66" s="176"/>
      <c r="J66" s="177"/>
      <c r="K66" s="56" t="s">
        <v>257</v>
      </c>
      <c r="L66" s="59">
        <f>(IF(B56&gt;4,(I56/(B56+2)+L65),0))</f>
        <v>0</v>
      </c>
    </row>
    <row r="67" spans="1:12" s="26" customFormat="1" ht="15.6" x14ac:dyDescent="0.3">
      <c r="A67" s="163" t="s">
        <v>258</v>
      </c>
      <c r="B67" s="149" t="s">
        <v>258</v>
      </c>
      <c r="C67" s="71">
        <v>23</v>
      </c>
      <c r="D67" s="166">
        <f ca="1">((100/(I56))*C67)/100</f>
        <v>0.92</v>
      </c>
      <c r="E67" s="167"/>
      <c r="F67" s="170"/>
      <c r="G67" s="171"/>
      <c r="H67" s="170"/>
      <c r="I67" s="176"/>
      <c r="J67" s="177"/>
      <c r="K67" s="56" t="s">
        <v>197</v>
      </c>
      <c r="L67" s="59">
        <f ca="1">(IF(B56=1,(I56/(B56+3)+L62),IF(B56=0,(I56/4+L62),IF(B56&gt;1,0))))</f>
        <v>18.75</v>
      </c>
    </row>
    <row r="68" spans="1:12" s="26" customFormat="1" ht="16.2" thickBot="1" x14ac:dyDescent="0.35">
      <c r="A68" s="140" t="s">
        <v>259</v>
      </c>
      <c r="B68" s="141"/>
      <c r="C68" s="73">
        <v>0</v>
      </c>
      <c r="D68" s="138">
        <f ca="1">((100/(I56))*C68)/100</f>
        <v>0</v>
      </c>
      <c r="E68" s="139"/>
      <c r="F68" s="172"/>
      <c r="G68" s="173"/>
      <c r="H68" s="172"/>
      <c r="I68" s="178"/>
      <c r="J68" s="179"/>
      <c r="K68" s="61" t="s">
        <v>198</v>
      </c>
      <c r="L68" s="62">
        <f ca="1">(IF(B56&gt;1.5,(I56/(B56+2)+L62+MAX(0,L63-L62)+MAX(0,L64-L63)+MAX(0,L65-L64)+MAX(0,L66-L65)+MAX(0,L67-L66)),IF(B56=1,(I56/(B56+3)+L67),IF(B56=0,I56/4+L67))))</f>
        <v>25</v>
      </c>
    </row>
    <row r="69" spans="1:12" x14ac:dyDescent="0.25">
      <c r="A69" s="75" t="s">
        <v>64</v>
      </c>
      <c r="B69" s="76"/>
      <c r="C69" s="76"/>
      <c r="D69" s="76"/>
      <c r="E69" s="76"/>
      <c r="F69" s="76"/>
      <c r="G69" s="76"/>
      <c r="H69" s="76"/>
      <c r="I69" s="76"/>
      <c r="J69" s="77"/>
    </row>
    <row r="70" spans="1:12" x14ac:dyDescent="0.25">
      <c r="A70" s="75" t="s">
        <v>55</v>
      </c>
      <c r="B70" s="76"/>
      <c r="C70" s="76"/>
      <c r="D70" s="76"/>
      <c r="E70" s="76"/>
      <c r="F70" s="76"/>
      <c r="G70" s="76"/>
      <c r="H70" s="76"/>
      <c r="I70" s="76"/>
      <c r="J70" s="77"/>
    </row>
    <row r="71" spans="1:12" ht="15" customHeight="1" x14ac:dyDescent="0.25">
      <c r="A71" s="181" t="s">
        <v>83</v>
      </c>
      <c r="B71" s="182"/>
      <c r="C71" s="182"/>
      <c r="D71" s="182"/>
      <c r="E71" s="182"/>
      <c r="F71" s="182"/>
      <c r="G71" s="182"/>
      <c r="H71" s="182"/>
      <c r="I71" s="182"/>
      <c r="J71" s="183"/>
    </row>
    <row r="72" spans="1:12" x14ac:dyDescent="0.25">
      <c r="A72" s="184"/>
      <c r="B72" s="185"/>
      <c r="C72" s="185"/>
      <c r="D72" s="185"/>
      <c r="E72" s="185"/>
      <c r="F72" s="185"/>
      <c r="G72" s="185"/>
      <c r="H72" s="185"/>
      <c r="I72" s="185"/>
      <c r="J72" s="186"/>
    </row>
    <row r="73" spans="1:12" x14ac:dyDescent="0.25">
      <c r="A73" s="121" t="s">
        <v>25</v>
      </c>
      <c r="B73" s="122"/>
      <c r="C73" s="122"/>
      <c r="D73" s="122"/>
      <c r="E73" s="122"/>
      <c r="F73" s="122"/>
      <c r="G73" s="122"/>
      <c r="H73" s="122"/>
      <c r="I73" s="122"/>
      <c r="J73" s="123"/>
    </row>
    <row r="74" spans="1:12" s="26" customFormat="1" x14ac:dyDescent="0.25">
      <c r="A74" s="134" t="s">
        <v>146</v>
      </c>
      <c r="B74" s="135"/>
      <c r="C74" s="135"/>
      <c r="D74" s="135"/>
      <c r="E74" s="135"/>
      <c r="F74" s="136"/>
      <c r="G74" s="187">
        <v>6900</v>
      </c>
      <c r="H74" s="188"/>
      <c r="I74" s="188"/>
      <c r="J74" s="189"/>
    </row>
    <row r="75" spans="1:12" s="30" customFormat="1" hidden="1" x14ac:dyDescent="0.25">
      <c r="A75" s="134" t="s">
        <v>81</v>
      </c>
      <c r="B75" s="135"/>
      <c r="C75" s="135"/>
      <c r="D75" s="135"/>
      <c r="E75" s="135"/>
      <c r="F75" s="136"/>
      <c r="G75" s="131" t="s">
        <v>56</v>
      </c>
      <c r="H75" s="132"/>
      <c r="I75" s="132"/>
      <c r="J75" s="133"/>
    </row>
    <row r="76" spans="1:12" s="30" customFormat="1" ht="45.75" customHeight="1" x14ac:dyDescent="0.25">
      <c r="A76" s="131" t="s">
        <v>260</v>
      </c>
      <c r="B76" s="135"/>
      <c r="C76" s="135"/>
      <c r="D76" s="135"/>
      <c r="E76" s="135"/>
      <c r="F76" s="136"/>
      <c r="G76" s="131" t="s">
        <v>261</v>
      </c>
      <c r="H76" s="132"/>
      <c r="I76" s="132"/>
      <c r="J76" s="133"/>
      <c r="K76" s="31"/>
    </row>
    <row r="77" spans="1:12" s="30" customFormat="1" hidden="1" x14ac:dyDescent="0.25">
      <c r="A77" s="131" t="s">
        <v>148</v>
      </c>
      <c r="B77" s="132"/>
      <c r="C77" s="132"/>
      <c r="D77" s="132"/>
      <c r="E77" s="132"/>
      <c r="F77" s="133"/>
      <c r="G77" s="131" t="s">
        <v>147</v>
      </c>
      <c r="H77" s="132"/>
      <c r="I77" s="132"/>
      <c r="J77" s="133"/>
    </row>
    <row r="78" spans="1:12" s="30" customFormat="1" x14ac:dyDescent="0.25">
      <c r="A78" s="134" t="s">
        <v>275</v>
      </c>
      <c r="B78" s="135"/>
      <c r="C78" s="135"/>
      <c r="D78" s="135"/>
      <c r="E78" s="135"/>
      <c r="F78" s="136"/>
      <c r="G78" s="131" t="s">
        <v>263</v>
      </c>
      <c r="H78" s="132"/>
      <c r="I78" s="132"/>
      <c r="J78" s="133"/>
    </row>
    <row r="79" spans="1:12" s="30" customFormat="1" x14ac:dyDescent="0.25">
      <c r="A79" s="134" t="s">
        <v>145</v>
      </c>
      <c r="B79" s="135"/>
      <c r="C79" s="135"/>
      <c r="D79" s="135"/>
      <c r="E79" s="135"/>
      <c r="F79" s="136"/>
      <c r="G79" s="131" t="s">
        <v>264</v>
      </c>
      <c r="H79" s="132"/>
      <c r="I79" s="132"/>
      <c r="J79" s="133"/>
    </row>
    <row r="80" spans="1:12" s="30" customFormat="1" x14ac:dyDescent="0.25">
      <c r="A80" s="134" t="s">
        <v>85</v>
      </c>
      <c r="B80" s="135"/>
      <c r="C80" s="135"/>
      <c r="D80" s="135"/>
      <c r="E80" s="135"/>
      <c r="F80" s="136"/>
      <c r="G80" s="131" t="s">
        <v>265</v>
      </c>
      <c r="H80" s="132"/>
      <c r="I80" s="132"/>
      <c r="J80" s="133"/>
    </row>
    <row r="81" spans="1:10" s="30" customFormat="1" x14ac:dyDescent="0.25">
      <c r="A81" s="134" t="s">
        <v>262</v>
      </c>
      <c r="B81" s="135"/>
      <c r="C81" s="135"/>
      <c r="D81" s="135"/>
      <c r="E81" s="135"/>
      <c r="F81" s="136"/>
      <c r="G81" s="131" t="s">
        <v>235</v>
      </c>
      <c r="H81" s="132"/>
      <c r="I81" s="132"/>
      <c r="J81" s="133"/>
    </row>
    <row r="82" spans="1:10" s="32" customFormat="1" ht="14.4" customHeight="1" x14ac:dyDescent="0.25">
      <c r="A82" s="199" t="s">
        <v>82</v>
      </c>
      <c r="B82" s="200"/>
      <c r="C82" s="200"/>
      <c r="D82" s="200"/>
      <c r="E82" s="200"/>
      <c r="F82" s="201"/>
      <c r="G82" s="202">
        <f>G74*0.8</f>
        <v>5520</v>
      </c>
      <c r="H82" s="135"/>
      <c r="I82" s="135"/>
      <c r="J82" s="136"/>
    </row>
    <row r="83" spans="1:10" s="27" customFormat="1" x14ac:dyDescent="0.25">
      <c r="A83" s="121" t="s">
        <v>26</v>
      </c>
      <c r="B83" s="122"/>
      <c r="C83" s="122"/>
      <c r="D83" s="122"/>
      <c r="E83" s="122"/>
      <c r="F83" s="122"/>
      <c r="G83" s="122"/>
      <c r="H83" s="122"/>
      <c r="I83" s="122"/>
      <c r="J83" s="123"/>
    </row>
    <row r="84" spans="1:10" s="33" customFormat="1" ht="14.4" x14ac:dyDescent="0.3">
      <c r="A84" s="213" t="s">
        <v>156</v>
      </c>
      <c r="B84" s="213"/>
      <c r="C84" s="66" t="s">
        <v>157</v>
      </c>
      <c r="D84" s="213" t="s">
        <v>158</v>
      </c>
      <c r="E84" s="213"/>
      <c r="F84" s="213"/>
      <c r="G84" s="213" t="s">
        <v>159</v>
      </c>
      <c r="H84" s="213"/>
      <c r="I84" s="213"/>
      <c r="J84" s="213"/>
    </row>
    <row r="85" spans="1:10" s="33" customFormat="1" ht="14.4" x14ac:dyDescent="0.3">
      <c r="A85" s="214" t="str">
        <f>A90</f>
        <v>Wing A3 (Type C)</v>
      </c>
      <c r="B85" s="214"/>
      <c r="C85" s="64">
        <f>COUNT(D93:E100)+COUNT(D103:E112)*20+COUNT(D114:E123)+COUNT(D125:E134)*4</f>
        <v>253</v>
      </c>
      <c r="D85" s="215">
        <f>SUM(D93:E100)+SUM(D103:E112)*20+SUM(D114:E123)+SUM(D125:E134)*4</f>
        <v>110019.46831199998</v>
      </c>
      <c r="E85" s="215"/>
      <c r="F85" s="215"/>
      <c r="G85" s="216">
        <f>SUM(G93:H100)+SUM(G103:H112)*20+SUM(G114:H123)+SUM(G125:H134)*4</f>
        <v>165029.20246799997</v>
      </c>
      <c r="H85" s="217"/>
      <c r="I85" s="217"/>
      <c r="J85" s="218"/>
    </row>
    <row r="86" spans="1:10" customFormat="1" ht="14.4" x14ac:dyDescent="0.3">
      <c r="A86" s="89" t="s">
        <v>48</v>
      </c>
      <c r="B86" s="91"/>
      <c r="C86" s="91"/>
      <c r="D86" s="91"/>
      <c r="E86" s="91"/>
      <c r="F86" s="91"/>
      <c r="G86" s="91"/>
      <c r="H86" s="91"/>
      <c r="I86" s="91"/>
      <c r="J86" s="90"/>
    </row>
    <row r="87" spans="1:10" customFormat="1" ht="44.25" customHeight="1" x14ac:dyDescent="0.3">
      <c r="A87" s="209" t="s">
        <v>150</v>
      </c>
      <c r="B87" s="209"/>
      <c r="C87" s="65" t="s">
        <v>31</v>
      </c>
      <c r="D87" s="219" t="s">
        <v>43</v>
      </c>
      <c r="E87" s="219"/>
      <c r="F87" s="8" t="s">
        <v>32</v>
      </c>
      <c r="G87" s="67" t="s">
        <v>144</v>
      </c>
      <c r="H87" s="65" t="s">
        <v>33</v>
      </c>
      <c r="I87" s="209" t="s">
        <v>151</v>
      </c>
      <c r="J87" s="209"/>
    </row>
    <row r="88" spans="1:10" customFormat="1" ht="14.4" customHeight="1" x14ac:dyDescent="0.3">
      <c r="A88" s="237" t="s">
        <v>211</v>
      </c>
      <c r="B88" s="238"/>
      <c r="C88" s="238"/>
      <c r="D88" s="238"/>
      <c r="E88" s="238"/>
      <c r="F88" s="238"/>
      <c r="G88" s="238"/>
      <c r="H88" s="238"/>
      <c r="I88" s="238"/>
      <c r="J88" s="239"/>
    </row>
    <row r="89" spans="1:10" s="36" customFormat="1" ht="14.4" customHeight="1" x14ac:dyDescent="0.3">
      <c r="A89" s="220" t="s">
        <v>212</v>
      </c>
      <c r="B89" s="221"/>
      <c r="C89" s="221"/>
      <c r="D89" s="221"/>
      <c r="E89" s="221"/>
      <c r="F89" s="221"/>
      <c r="G89" s="221"/>
      <c r="H89" s="221"/>
      <c r="I89" s="221"/>
      <c r="J89" s="222"/>
    </row>
    <row r="90" spans="1:10" s="34" customFormat="1" ht="14.4" customHeight="1" x14ac:dyDescent="0.3">
      <c r="A90" s="220" t="s">
        <v>202</v>
      </c>
      <c r="B90" s="221"/>
      <c r="C90" s="221"/>
      <c r="D90" s="221"/>
      <c r="E90" s="221"/>
      <c r="F90" s="221"/>
      <c r="G90" s="221"/>
      <c r="H90" s="221"/>
      <c r="I90" s="221"/>
      <c r="J90" s="222"/>
    </row>
    <row r="91" spans="1:10" s="35" customFormat="1" ht="14.4" customHeight="1" x14ac:dyDescent="0.3">
      <c r="A91" s="210" t="s">
        <v>208</v>
      </c>
      <c r="B91" s="211"/>
      <c r="C91" s="211"/>
      <c r="D91" s="211"/>
      <c r="E91" s="211"/>
      <c r="F91" s="211"/>
      <c r="G91" s="211"/>
      <c r="H91" s="211"/>
      <c r="I91" s="211"/>
      <c r="J91" s="212"/>
    </row>
    <row r="92" spans="1:10" s="35" customFormat="1" ht="14.4" customHeight="1" x14ac:dyDescent="0.3">
      <c r="A92" s="230">
        <v>1</v>
      </c>
      <c r="B92" s="230"/>
      <c r="C92" s="231" t="s">
        <v>200</v>
      </c>
      <c r="D92" s="232"/>
      <c r="E92" s="232"/>
      <c r="F92" s="232"/>
      <c r="G92" s="232"/>
      <c r="H92" s="233"/>
      <c r="I92" s="223" t="str">
        <f>A91</f>
        <v>Upper Ground Floor</v>
      </c>
      <c r="J92" s="224"/>
    </row>
    <row r="93" spans="1:10" s="35" customFormat="1" ht="14.4" customHeight="1" x14ac:dyDescent="0.3">
      <c r="A93" s="230">
        <v>2</v>
      </c>
      <c r="B93" s="230"/>
      <c r="C93" s="69" t="s">
        <v>153</v>
      </c>
      <c r="D93" s="229">
        <f>(53.9+2.529)*10.764</f>
        <v>607.40175599999998</v>
      </c>
      <c r="E93" s="229"/>
      <c r="F93" s="29">
        <v>0</v>
      </c>
      <c r="G93" s="68">
        <f t="shared" ref="G93:G100" si="0">D93*1.5</f>
        <v>911.10263399999997</v>
      </c>
      <c r="H93" s="69" t="s">
        <v>154</v>
      </c>
      <c r="I93" s="225"/>
      <c r="J93" s="226"/>
    </row>
    <row r="94" spans="1:10" s="35" customFormat="1" ht="14.4" customHeight="1" x14ac:dyDescent="0.3">
      <c r="A94" s="230">
        <v>3</v>
      </c>
      <c r="B94" s="230"/>
      <c r="C94" s="69" t="s">
        <v>152</v>
      </c>
      <c r="D94" s="229">
        <f>34.36*10.764</f>
        <v>369.85103999999995</v>
      </c>
      <c r="E94" s="229"/>
      <c r="F94" s="29">
        <v>0</v>
      </c>
      <c r="G94" s="68">
        <f t="shared" si="0"/>
        <v>554.7765599999999</v>
      </c>
      <c r="H94" s="69" t="s">
        <v>154</v>
      </c>
      <c r="I94" s="225"/>
      <c r="J94" s="226"/>
    </row>
    <row r="95" spans="1:10" s="35" customFormat="1" ht="14.4" customHeight="1" x14ac:dyDescent="0.3">
      <c r="A95" s="230">
        <v>4</v>
      </c>
      <c r="B95" s="230"/>
      <c r="C95" s="69" t="s">
        <v>152</v>
      </c>
      <c r="D95" s="229">
        <f>34.36*10.764</f>
        <v>369.85103999999995</v>
      </c>
      <c r="E95" s="229"/>
      <c r="F95" s="29">
        <v>0</v>
      </c>
      <c r="G95" s="68">
        <f t="shared" si="0"/>
        <v>554.7765599999999</v>
      </c>
      <c r="H95" s="69" t="s">
        <v>154</v>
      </c>
      <c r="I95" s="225"/>
      <c r="J95" s="226"/>
    </row>
    <row r="96" spans="1:10" s="35" customFormat="1" ht="14.4" customHeight="1" x14ac:dyDescent="0.3">
      <c r="A96" s="230">
        <v>5</v>
      </c>
      <c r="B96" s="230"/>
      <c r="C96" s="69" t="s">
        <v>153</v>
      </c>
      <c r="D96" s="229">
        <f>(53.9+2.529)*10.764</f>
        <v>607.40175599999998</v>
      </c>
      <c r="E96" s="229"/>
      <c r="F96" s="29">
        <v>0</v>
      </c>
      <c r="G96" s="68">
        <f t="shared" si="0"/>
        <v>911.10263399999997</v>
      </c>
      <c r="H96" s="69" t="s">
        <v>154</v>
      </c>
      <c r="I96" s="225"/>
      <c r="J96" s="226"/>
    </row>
    <row r="97" spans="1:11" s="35" customFormat="1" ht="14.4" customHeight="1" x14ac:dyDescent="0.3">
      <c r="A97" s="230">
        <v>6</v>
      </c>
      <c r="B97" s="230"/>
      <c r="C97" s="231" t="s">
        <v>209</v>
      </c>
      <c r="D97" s="232"/>
      <c r="E97" s="232"/>
      <c r="F97" s="232"/>
      <c r="G97" s="232"/>
      <c r="H97" s="233"/>
      <c r="I97" s="225"/>
      <c r="J97" s="226"/>
    </row>
    <row r="98" spans="1:11" s="35" customFormat="1" ht="14.4" customHeight="1" x14ac:dyDescent="0.3">
      <c r="A98" s="230">
        <v>7</v>
      </c>
      <c r="B98" s="230"/>
      <c r="C98" s="69" t="s">
        <v>152</v>
      </c>
      <c r="D98" s="229">
        <f>(34.16)*10.764</f>
        <v>367.69823999999994</v>
      </c>
      <c r="E98" s="229"/>
      <c r="F98" s="29">
        <v>0</v>
      </c>
      <c r="G98" s="68">
        <f t="shared" si="0"/>
        <v>551.54735999999991</v>
      </c>
      <c r="H98" s="69" t="s">
        <v>154</v>
      </c>
      <c r="I98" s="225"/>
      <c r="J98" s="226"/>
    </row>
    <row r="99" spans="1:11" s="35" customFormat="1" ht="14.4" customHeight="1" x14ac:dyDescent="0.3">
      <c r="A99" s="230">
        <v>8</v>
      </c>
      <c r="B99" s="230"/>
      <c r="C99" s="69" t="s">
        <v>152</v>
      </c>
      <c r="D99" s="229">
        <f>(34.16)*10.764</f>
        <v>367.69823999999994</v>
      </c>
      <c r="E99" s="229"/>
      <c r="F99" s="29">
        <v>0</v>
      </c>
      <c r="G99" s="68">
        <f t="shared" si="0"/>
        <v>551.54735999999991</v>
      </c>
      <c r="H99" s="69" t="s">
        <v>154</v>
      </c>
      <c r="I99" s="225"/>
      <c r="J99" s="226"/>
    </row>
    <row r="100" spans="1:11" s="35" customFormat="1" ht="14.4" customHeight="1" x14ac:dyDescent="0.3">
      <c r="A100" s="230">
        <v>9</v>
      </c>
      <c r="B100" s="230"/>
      <c r="C100" s="69" t="s">
        <v>152</v>
      </c>
      <c r="D100" s="229">
        <f>(34.16)*10.764</f>
        <v>367.69823999999994</v>
      </c>
      <c r="E100" s="229"/>
      <c r="F100" s="29">
        <v>0</v>
      </c>
      <c r="G100" s="68">
        <f t="shared" si="0"/>
        <v>551.54735999999991</v>
      </c>
      <c r="H100" s="69" t="s">
        <v>154</v>
      </c>
      <c r="I100" s="225"/>
      <c r="J100" s="226"/>
    </row>
    <row r="101" spans="1:11" s="35" customFormat="1" ht="14.4" customHeight="1" x14ac:dyDescent="0.3">
      <c r="A101" s="230">
        <v>10</v>
      </c>
      <c r="B101" s="230"/>
      <c r="C101" s="231" t="s">
        <v>206</v>
      </c>
      <c r="D101" s="232"/>
      <c r="E101" s="232"/>
      <c r="F101" s="232"/>
      <c r="G101" s="232"/>
      <c r="H101" s="233"/>
      <c r="I101" s="227"/>
      <c r="J101" s="228"/>
    </row>
    <row r="102" spans="1:11" s="35" customFormat="1" ht="29.25" customHeight="1" x14ac:dyDescent="0.3">
      <c r="A102" s="234" t="s">
        <v>229</v>
      </c>
      <c r="B102" s="235"/>
      <c r="C102" s="235"/>
      <c r="D102" s="235"/>
      <c r="E102" s="235"/>
      <c r="F102" s="235"/>
      <c r="G102" s="235"/>
      <c r="H102" s="235"/>
      <c r="I102" s="235"/>
      <c r="J102" s="236"/>
    </row>
    <row r="103" spans="1:11" s="35" customFormat="1" ht="14.4" customHeight="1" x14ac:dyDescent="0.3">
      <c r="A103" s="230">
        <v>1</v>
      </c>
      <c r="B103" s="230"/>
      <c r="C103" s="69" t="s">
        <v>152</v>
      </c>
      <c r="D103" s="229">
        <f>(39.35*10.764)</f>
        <v>423.5634</v>
      </c>
      <c r="E103" s="229"/>
      <c r="F103" s="29">
        <v>0</v>
      </c>
      <c r="G103" s="68">
        <f>D103*1.5</f>
        <v>635.3451</v>
      </c>
      <c r="H103" s="69" t="s">
        <v>154</v>
      </c>
      <c r="I103" s="223" t="str">
        <f>A102</f>
        <v>1st, 2nd, 4th, 5th, 6th, 7th, 9th, 10th, 11th, 12th, 14th, 15th, 16th, 17th, 19th, 20th, 21st, 22nd, 24th, 25th Floor</v>
      </c>
      <c r="J103" s="224"/>
    </row>
    <row r="104" spans="1:11" s="35" customFormat="1" ht="14.4" customHeight="1" x14ac:dyDescent="0.3">
      <c r="A104" s="230">
        <v>2</v>
      </c>
      <c r="B104" s="230"/>
      <c r="C104" s="69" t="s">
        <v>153</v>
      </c>
      <c r="D104" s="229">
        <f>(53.9+2.529+1.539)*10.764</f>
        <v>623.96755199999996</v>
      </c>
      <c r="E104" s="229"/>
      <c r="F104" s="29">
        <v>0</v>
      </c>
      <c r="G104" s="68">
        <f t="shared" ref="G104:G112" si="1">D104*1.5</f>
        <v>935.95132799999988</v>
      </c>
      <c r="H104" s="69" t="s">
        <v>154</v>
      </c>
      <c r="I104" s="225"/>
      <c r="J104" s="226"/>
    </row>
    <row r="105" spans="1:11" s="35" customFormat="1" ht="14.4" customHeight="1" x14ac:dyDescent="0.3">
      <c r="A105" s="230">
        <v>3</v>
      </c>
      <c r="B105" s="230"/>
      <c r="C105" s="69" t="s">
        <v>152</v>
      </c>
      <c r="D105" s="229">
        <f>(34.36+0.799)*10.764</f>
        <v>378.45147599999996</v>
      </c>
      <c r="E105" s="229"/>
      <c r="F105" s="29">
        <v>0</v>
      </c>
      <c r="G105" s="68">
        <f t="shared" si="1"/>
        <v>567.67721399999994</v>
      </c>
      <c r="H105" s="69" t="s">
        <v>154</v>
      </c>
      <c r="I105" s="225"/>
      <c r="J105" s="226"/>
      <c r="K105" s="35">
        <f>3841500/G105</f>
        <v>6767.0498396999255</v>
      </c>
    </row>
    <row r="106" spans="1:11" s="35" customFormat="1" ht="14.4" customHeight="1" x14ac:dyDescent="0.3">
      <c r="A106" s="230">
        <v>4</v>
      </c>
      <c r="B106" s="230"/>
      <c r="C106" s="69" t="s">
        <v>152</v>
      </c>
      <c r="D106" s="229">
        <f>(34.36+0.799)*10.764</f>
        <v>378.45147599999996</v>
      </c>
      <c r="E106" s="229"/>
      <c r="F106" s="29">
        <v>0</v>
      </c>
      <c r="G106" s="68">
        <f t="shared" si="1"/>
        <v>567.67721399999994</v>
      </c>
      <c r="H106" s="69" t="s">
        <v>154</v>
      </c>
      <c r="I106" s="225"/>
      <c r="J106" s="226"/>
    </row>
    <row r="107" spans="1:11" s="35" customFormat="1" ht="14.4" customHeight="1" x14ac:dyDescent="0.3">
      <c r="A107" s="230">
        <v>5</v>
      </c>
      <c r="B107" s="230"/>
      <c r="C107" s="69" t="s">
        <v>153</v>
      </c>
      <c r="D107" s="229">
        <f>(53.9+2.529+1.539)*10.764</f>
        <v>623.96755199999996</v>
      </c>
      <c r="E107" s="229"/>
      <c r="F107" s="29">
        <v>0</v>
      </c>
      <c r="G107" s="68">
        <f t="shared" si="1"/>
        <v>935.95132799999988</v>
      </c>
      <c r="H107" s="69" t="s">
        <v>154</v>
      </c>
      <c r="I107" s="225"/>
      <c r="J107" s="226"/>
    </row>
    <row r="108" spans="1:11" s="35" customFormat="1" ht="14.4" customHeight="1" x14ac:dyDescent="0.3">
      <c r="A108" s="230">
        <v>6</v>
      </c>
      <c r="B108" s="230"/>
      <c r="C108" s="69" t="s">
        <v>152</v>
      </c>
      <c r="D108" s="229">
        <f>(39.35*10.764)</f>
        <v>423.5634</v>
      </c>
      <c r="E108" s="229"/>
      <c r="F108" s="29">
        <v>0</v>
      </c>
      <c r="G108" s="68">
        <f t="shared" si="1"/>
        <v>635.3451</v>
      </c>
      <c r="H108" s="69" t="s">
        <v>154</v>
      </c>
      <c r="I108" s="225"/>
      <c r="J108" s="226"/>
    </row>
    <row r="109" spans="1:11" s="35" customFormat="1" ht="14.4" customHeight="1" x14ac:dyDescent="0.3">
      <c r="A109" s="230">
        <v>7</v>
      </c>
      <c r="B109" s="230"/>
      <c r="C109" s="69" t="s">
        <v>152</v>
      </c>
      <c r="D109" s="229">
        <f>(34.16+0.781)*10.764</f>
        <v>376.10492399999993</v>
      </c>
      <c r="E109" s="229"/>
      <c r="F109" s="29">
        <v>0</v>
      </c>
      <c r="G109" s="68">
        <f t="shared" si="1"/>
        <v>564.15738599999986</v>
      </c>
      <c r="H109" s="69" t="s">
        <v>154</v>
      </c>
      <c r="I109" s="225"/>
      <c r="J109" s="226"/>
    </row>
    <row r="110" spans="1:11" s="35" customFormat="1" ht="14.4" customHeight="1" x14ac:dyDescent="0.3">
      <c r="A110" s="230">
        <v>8</v>
      </c>
      <c r="B110" s="230"/>
      <c r="C110" s="69" t="s">
        <v>152</v>
      </c>
      <c r="D110" s="229">
        <f>(34.16+0.781)*10.764</f>
        <v>376.10492399999993</v>
      </c>
      <c r="E110" s="229"/>
      <c r="F110" s="29">
        <v>0</v>
      </c>
      <c r="G110" s="68">
        <f t="shared" si="1"/>
        <v>564.15738599999986</v>
      </c>
      <c r="H110" s="69" t="s">
        <v>154</v>
      </c>
      <c r="I110" s="225"/>
      <c r="J110" s="226"/>
    </row>
    <row r="111" spans="1:11" s="35" customFormat="1" ht="14.4" customHeight="1" x14ac:dyDescent="0.3">
      <c r="A111" s="230">
        <v>9</v>
      </c>
      <c r="B111" s="230"/>
      <c r="C111" s="69" t="s">
        <v>152</v>
      </c>
      <c r="D111" s="229">
        <f>(34.16+0.781)*10.764</f>
        <v>376.10492399999993</v>
      </c>
      <c r="E111" s="229"/>
      <c r="F111" s="29">
        <v>0</v>
      </c>
      <c r="G111" s="68">
        <f t="shared" si="1"/>
        <v>564.15738599999986</v>
      </c>
      <c r="H111" s="69" t="s">
        <v>154</v>
      </c>
      <c r="I111" s="225"/>
      <c r="J111" s="226"/>
    </row>
    <row r="112" spans="1:11" s="35" customFormat="1" ht="14.4" customHeight="1" x14ac:dyDescent="0.3">
      <c r="A112" s="230">
        <v>10</v>
      </c>
      <c r="B112" s="230"/>
      <c r="C112" s="69" t="s">
        <v>152</v>
      </c>
      <c r="D112" s="229">
        <f>(34.16+0.781)*10.764</f>
        <v>376.10492399999993</v>
      </c>
      <c r="E112" s="229"/>
      <c r="F112" s="29">
        <v>0</v>
      </c>
      <c r="G112" s="68">
        <f t="shared" si="1"/>
        <v>564.15738599999986</v>
      </c>
      <c r="H112" s="69" t="s">
        <v>154</v>
      </c>
      <c r="I112" s="227"/>
      <c r="J112" s="228"/>
    </row>
    <row r="113" spans="1:10" s="35" customFormat="1" ht="14.4" customHeight="1" x14ac:dyDescent="0.3">
      <c r="A113" s="210" t="s">
        <v>155</v>
      </c>
      <c r="B113" s="211"/>
      <c r="C113" s="211"/>
      <c r="D113" s="211"/>
      <c r="E113" s="211"/>
      <c r="F113" s="211"/>
      <c r="G113" s="211"/>
      <c r="H113" s="211"/>
      <c r="I113" s="211"/>
      <c r="J113" s="212"/>
    </row>
    <row r="114" spans="1:10" s="35" customFormat="1" ht="14.4" customHeight="1" x14ac:dyDescent="0.3">
      <c r="A114" s="230">
        <v>1</v>
      </c>
      <c r="B114" s="230"/>
      <c r="C114" s="69" t="s">
        <v>152</v>
      </c>
      <c r="D114" s="229">
        <f>(39.35*10.764)</f>
        <v>423.5634</v>
      </c>
      <c r="E114" s="229"/>
      <c r="F114" s="29">
        <v>0</v>
      </c>
      <c r="G114" s="68">
        <f>D114*1.5</f>
        <v>635.3451</v>
      </c>
      <c r="H114" s="69" t="s">
        <v>154</v>
      </c>
      <c r="I114" s="223" t="str">
        <f>A113</f>
        <v>3rd Floor</v>
      </c>
      <c r="J114" s="224"/>
    </row>
    <row r="115" spans="1:10" s="35" customFormat="1" ht="14.4" customHeight="1" x14ac:dyDescent="0.3">
      <c r="A115" s="230">
        <v>2</v>
      </c>
      <c r="B115" s="230"/>
      <c r="C115" s="69" t="s">
        <v>153</v>
      </c>
      <c r="D115" s="229">
        <f>(53.9+6.066+1.539)*10.764</f>
        <v>662.03981999999996</v>
      </c>
      <c r="E115" s="229"/>
      <c r="F115" s="29">
        <v>0</v>
      </c>
      <c r="G115" s="68">
        <f t="shared" ref="G115:G123" si="2">D115*1.5</f>
        <v>993.05972999999994</v>
      </c>
      <c r="H115" s="69" t="s">
        <v>154</v>
      </c>
      <c r="I115" s="225"/>
      <c r="J115" s="226"/>
    </row>
    <row r="116" spans="1:10" s="35" customFormat="1" ht="14.4" customHeight="1" x14ac:dyDescent="0.3">
      <c r="A116" s="230">
        <v>3</v>
      </c>
      <c r="B116" s="230"/>
      <c r="C116" s="69" t="s">
        <v>152</v>
      </c>
      <c r="D116" s="229">
        <f>(34.36+0.799)*10.764</f>
        <v>378.45147599999996</v>
      </c>
      <c r="E116" s="229"/>
      <c r="F116" s="29">
        <v>0</v>
      </c>
      <c r="G116" s="68">
        <f t="shared" si="2"/>
        <v>567.67721399999994</v>
      </c>
      <c r="H116" s="69" t="s">
        <v>154</v>
      </c>
      <c r="I116" s="225"/>
      <c r="J116" s="226"/>
    </row>
    <row r="117" spans="1:10" s="35" customFormat="1" ht="14.4" customHeight="1" x14ac:dyDescent="0.3">
      <c r="A117" s="230">
        <v>4</v>
      </c>
      <c r="B117" s="230"/>
      <c r="C117" s="69" t="s">
        <v>152</v>
      </c>
      <c r="D117" s="229">
        <f>(34.36+0.799)*10.764</f>
        <v>378.45147599999996</v>
      </c>
      <c r="E117" s="229"/>
      <c r="F117" s="29">
        <v>0</v>
      </c>
      <c r="G117" s="68">
        <f t="shared" si="2"/>
        <v>567.67721399999994</v>
      </c>
      <c r="H117" s="69" t="s">
        <v>154</v>
      </c>
      <c r="I117" s="225"/>
      <c r="J117" s="226"/>
    </row>
    <row r="118" spans="1:10" s="35" customFormat="1" ht="14.4" customHeight="1" x14ac:dyDescent="0.3">
      <c r="A118" s="230">
        <v>5</v>
      </c>
      <c r="B118" s="230"/>
      <c r="C118" s="69" t="s">
        <v>153</v>
      </c>
      <c r="D118" s="229">
        <f>(53.9+6.066+1.539)*10.764</f>
        <v>662.03981999999996</v>
      </c>
      <c r="E118" s="229"/>
      <c r="F118" s="29">
        <v>0</v>
      </c>
      <c r="G118" s="68">
        <f t="shared" si="2"/>
        <v>993.05972999999994</v>
      </c>
      <c r="H118" s="69" t="s">
        <v>154</v>
      </c>
      <c r="I118" s="225"/>
      <c r="J118" s="226"/>
    </row>
    <row r="119" spans="1:10" s="35" customFormat="1" ht="14.4" customHeight="1" x14ac:dyDescent="0.3">
      <c r="A119" s="230">
        <v>6</v>
      </c>
      <c r="B119" s="230"/>
      <c r="C119" s="69" t="s">
        <v>152</v>
      </c>
      <c r="D119" s="229">
        <f>(39.35*10.764)</f>
        <v>423.5634</v>
      </c>
      <c r="E119" s="229"/>
      <c r="F119" s="29">
        <v>0</v>
      </c>
      <c r="G119" s="68">
        <f t="shared" si="2"/>
        <v>635.3451</v>
      </c>
      <c r="H119" s="69" t="s">
        <v>154</v>
      </c>
      <c r="I119" s="225"/>
      <c r="J119" s="226"/>
    </row>
    <row r="120" spans="1:10" s="35" customFormat="1" ht="14.4" customHeight="1" x14ac:dyDescent="0.3">
      <c r="A120" s="230">
        <v>7</v>
      </c>
      <c r="B120" s="230"/>
      <c r="C120" s="69" t="s">
        <v>152</v>
      </c>
      <c r="D120" s="229">
        <f>(34.16+0.781+2.2*1.35)*10.764</f>
        <v>408.07400399999989</v>
      </c>
      <c r="E120" s="229"/>
      <c r="F120" s="29">
        <v>0</v>
      </c>
      <c r="G120" s="68">
        <f t="shared" si="2"/>
        <v>612.11100599999986</v>
      </c>
      <c r="H120" s="69" t="s">
        <v>154</v>
      </c>
      <c r="I120" s="225"/>
      <c r="J120" s="226"/>
    </row>
    <row r="121" spans="1:10" s="35" customFormat="1" ht="14.4" customHeight="1" x14ac:dyDescent="0.3">
      <c r="A121" s="230">
        <v>8</v>
      </c>
      <c r="B121" s="230"/>
      <c r="C121" s="69" t="s">
        <v>152</v>
      </c>
      <c r="D121" s="229">
        <f>(34.16+0.781)*10.764</f>
        <v>376.10492399999993</v>
      </c>
      <c r="E121" s="229"/>
      <c r="F121" s="29">
        <v>0</v>
      </c>
      <c r="G121" s="68">
        <f t="shared" si="2"/>
        <v>564.15738599999986</v>
      </c>
      <c r="H121" s="69" t="s">
        <v>154</v>
      </c>
      <c r="I121" s="225"/>
      <c r="J121" s="226"/>
    </row>
    <row r="122" spans="1:10" s="35" customFormat="1" ht="14.4" customHeight="1" x14ac:dyDescent="0.3">
      <c r="A122" s="230">
        <v>9</v>
      </c>
      <c r="B122" s="230"/>
      <c r="C122" s="69" t="s">
        <v>152</v>
      </c>
      <c r="D122" s="229">
        <f>(34.16+0.781)*10.764</f>
        <v>376.10492399999993</v>
      </c>
      <c r="E122" s="229"/>
      <c r="F122" s="29">
        <v>0</v>
      </c>
      <c r="G122" s="68">
        <f t="shared" si="2"/>
        <v>564.15738599999986</v>
      </c>
      <c r="H122" s="69" t="s">
        <v>154</v>
      </c>
      <c r="I122" s="225"/>
      <c r="J122" s="226"/>
    </row>
    <row r="123" spans="1:10" s="35" customFormat="1" ht="14.4" customHeight="1" x14ac:dyDescent="0.3">
      <c r="A123" s="230">
        <v>10</v>
      </c>
      <c r="B123" s="230"/>
      <c r="C123" s="69" t="s">
        <v>152</v>
      </c>
      <c r="D123" s="229">
        <f>(34.16+0.781+2.2*1.35)*10.764</f>
        <v>408.07400399999989</v>
      </c>
      <c r="E123" s="229"/>
      <c r="F123" s="29">
        <v>0</v>
      </c>
      <c r="G123" s="68">
        <f t="shared" si="2"/>
        <v>612.11100599999986</v>
      </c>
      <c r="H123" s="69" t="s">
        <v>154</v>
      </c>
      <c r="I123" s="227"/>
      <c r="J123" s="228"/>
    </row>
    <row r="124" spans="1:10" s="35" customFormat="1" ht="14.4" customHeight="1" x14ac:dyDescent="0.3">
      <c r="A124" s="210" t="s">
        <v>230</v>
      </c>
      <c r="B124" s="211"/>
      <c r="C124" s="211"/>
      <c r="D124" s="211"/>
      <c r="E124" s="211"/>
      <c r="F124" s="211"/>
      <c r="G124" s="211"/>
      <c r="H124" s="211"/>
      <c r="I124" s="211"/>
      <c r="J124" s="212"/>
    </row>
    <row r="125" spans="1:10" s="35" customFormat="1" ht="14.4" customHeight="1" x14ac:dyDescent="0.3">
      <c r="A125" s="230">
        <v>1</v>
      </c>
      <c r="B125" s="230"/>
      <c r="C125" s="69" t="s">
        <v>152</v>
      </c>
      <c r="D125" s="229">
        <f>(39.35*10.764)</f>
        <v>423.5634</v>
      </c>
      <c r="E125" s="229"/>
      <c r="F125" s="29">
        <v>0</v>
      </c>
      <c r="G125" s="68">
        <f>D125*1.5</f>
        <v>635.3451</v>
      </c>
      <c r="H125" s="69" t="s">
        <v>154</v>
      </c>
      <c r="I125" s="223" t="str">
        <f>A124</f>
        <v>8th, 13th, 18th, 23rd Floor</v>
      </c>
      <c r="J125" s="224"/>
    </row>
    <row r="126" spans="1:10" s="35" customFormat="1" ht="14.4" customHeight="1" x14ac:dyDescent="0.3">
      <c r="A126" s="230">
        <v>2</v>
      </c>
      <c r="B126" s="230"/>
      <c r="C126" s="231" t="s">
        <v>231</v>
      </c>
      <c r="D126" s="232"/>
      <c r="E126" s="232"/>
      <c r="F126" s="232"/>
      <c r="G126" s="232"/>
      <c r="H126" s="233"/>
      <c r="I126" s="225"/>
      <c r="J126" s="226"/>
    </row>
    <row r="127" spans="1:10" s="35" customFormat="1" ht="14.4" customHeight="1" x14ac:dyDescent="0.3">
      <c r="A127" s="230">
        <v>3</v>
      </c>
      <c r="B127" s="230"/>
      <c r="C127" s="69" t="s">
        <v>152</v>
      </c>
      <c r="D127" s="229">
        <f>(34.36+0.799)*10.764</f>
        <v>378.45147599999996</v>
      </c>
      <c r="E127" s="229"/>
      <c r="F127" s="29">
        <v>0</v>
      </c>
      <c r="G127" s="68">
        <f t="shared" ref="G127:G134" si="3">D127*1.5</f>
        <v>567.67721399999994</v>
      </c>
      <c r="H127" s="69" t="s">
        <v>154</v>
      </c>
      <c r="I127" s="225"/>
      <c r="J127" s="226"/>
    </row>
    <row r="128" spans="1:10" s="35" customFormat="1" ht="14.4" customHeight="1" x14ac:dyDescent="0.3">
      <c r="A128" s="230">
        <v>4</v>
      </c>
      <c r="B128" s="230"/>
      <c r="C128" s="69" t="s">
        <v>152</v>
      </c>
      <c r="D128" s="229">
        <f>(34.36+0.799)*10.764</f>
        <v>378.45147599999996</v>
      </c>
      <c r="E128" s="229"/>
      <c r="F128" s="29">
        <v>0</v>
      </c>
      <c r="G128" s="68">
        <f t="shared" si="3"/>
        <v>567.67721399999994</v>
      </c>
      <c r="H128" s="69" t="s">
        <v>154</v>
      </c>
      <c r="I128" s="225"/>
      <c r="J128" s="226"/>
    </row>
    <row r="129" spans="1:10" s="35" customFormat="1" ht="14.4" customHeight="1" x14ac:dyDescent="0.3">
      <c r="A129" s="230">
        <v>5</v>
      </c>
      <c r="B129" s="230"/>
      <c r="C129" s="69" t="s">
        <v>153</v>
      </c>
      <c r="D129" s="229">
        <f>(53.9+6.066+1.539)*10.764</f>
        <v>662.03981999999996</v>
      </c>
      <c r="E129" s="229"/>
      <c r="F129" s="29">
        <v>0</v>
      </c>
      <c r="G129" s="68">
        <f t="shared" si="3"/>
        <v>993.05972999999994</v>
      </c>
      <c r="H129" s="69" t="s">
        <v>154</v>
      </c>
      <c r="I129" s="225"/>
      <c r="J129" s="226"/>
    </row>
    <row r="130" spans="1:10" s="35" customFormat="1" ht="14.4" customHeight="1" x14ac:dyDescent="0.3">
      <c r="A130" s="230">
        <v>6</v>
      </c>
      <c r="B130" s="230"/>
      <c r="C130" s="69" t="s">
        <v>152</v>
      </c>
      <c r="D130" s="229">
        <f>(39.35*10.764)</f>
        <v>423.5634</v>
      </c>
      <c r="E130" s="229"/>
      <c r="F130" s="29">
        <v>0</v>
      </c>
      <c r="G130" s="68">
        <f t="shared" si="3"/>
        <v>635.3451</v>
      </c>
      <c r="H130" s="69" t="s">
        <v>154</v>
      </c>
      <c r="I130" s="225"/>
      <c r="J130" s="226"/>
    </row>
    <row r="131" spans="1:10" s="35" customFormat="1" ht="14.4" customHeight="1" x14ac:dyDescent="0.3">
      <c r="A131" s="230">
        <v>7</v>
      </c>
      <c r="B131" s="230"/>
      <c r="C131" s="69" t="s">
        <v>152</v>
      </c>
      <c r="D131" s="229">
        <f>(34.16+0.781+2.2*1.35)*10.764</f>
        <v>408.07400399999989</v>
      </c>
      <c r="E131" s="229"/>
      <c r="F131" s="29">
        <v>0</v>
      </c>
      <c r="G131" s="68">
        <f t="shared" si="3"/>
        <v>612.11100599999986</v>
      </c>
      <c r="H131" s="69" t="s">
        <v>154</v>
      </c>
      <c r="I131" s="225"/>
      <c r="J131" s="226"/>
    </row>
    <row r="132" spans="1:10" s="35" customFormat="1" ht="14.4" customHeight="1" x14ac:dyDescent="0.3">
      <c r="A132" s="230">
        <v>8</v>
      </c>
      <c r="B132" s="230"/>
      <c r="C132" s="69" t="s">
        <v>152</v>
      </c>
      <c r="D132" s="229">
        <f>(34.16+0.781)*10.764</f>
        <v>376.10492399999993</v>
      </c>
      <c r="E132" s="229"/>
      <c r="F132" s="29">
        <v>0</v>
      </c>
      <c r="G132" s="68">
        <f t="shared" si="3"/>
        <v>564.15738599999986</v>
      </c>
      <c r="H132" s="69" t="s">
        <v>154</v>
      </c>
      <c r="I132" s="225"/>
      <c r="J132" s="226"/>
    </row>
    <row r="133" spans="1:10" s="35" customFormat="1" ht="14.4" customHeight="1" x14ac:dyDescent="0.3">
      <c r="A133" s="230">
        <v>9</v>
      </c>
      <c r="B133" s="230"/>
      <c r="C133" s="69" t="s">
        <v>152</v>
      </c>
      <c r="D133" s="229">
        <f>(34.16+0.781)*10.764</f>
        <v>376.10492399999993</v>
      </c>
      <c r="E133" s="229"/>
      <c r="F133" s="29">
        <v>0</v>
      </c>
      <c r="G133" s="68">
        <f t="shared" si="3"/>
        <v>564.15738599999986</v>
      </c>
      <c r="H133" s="69" t="s">
        <v>154</v>
      </c>
      <c r="I133" s="225"/>
      <c r="J133" s="226"/>
    </row>
    <row r="134" spans="1:10" s="35" customFormat="1" ht="14.4" customHeight="1" x14ac:dyDescent="0.3">
      <c r="A134" s="230">
        <v>10</v>
      </c>
      <c r="B134" s="230"/>
      <c r="C134" s="69" t="s">
        <v>152</v>
      </c>
      <c r="D134" s="229">
        <f>(34.16+0.781+2.2*1.35)*10.764</f>
        <v>408.07400399999989</v>
      </c>
      <c r="E134" s="229"/>
      <c r="F134" s="29">
        <v>0</v>
      </c>
      <c r="G134" s="68">
        <f t="shared" si="3"/>
        <v>612.11100599999986</v>
      </c>
      <c r="H134" s="69" t="s">
        <v>154</v>
      </c>
      <c r="I134" s="227"/>
      <c r="J134" s="228"/>
    </row>
    <row r="135" spans="1:10" ht="91.5" customHeight="1" x14ac:dyDescent="0.25">
      <c r="A135" s="203" t="s">
        <v>277</v>
      </c>
      <c r="B135" s="204"/>
      <c r="C135" s="204"/>
      <c r="D135" s="204"/>
      <c r="E135" s="204"/>
      <c r="F135" s="204"/>
      <c r="G135" s="204"/>
      <c r="H135" s="204"/>
      <c r="I135" s="204"/>
      <c r="J135" s="205"/>
    </row>
    <row r="136" spans="1:10" ht="54.75" customHeight="1" x14ac:dyDescent="0.25">
      <c r="A136" s="206"/>
      <c r="B136" s="207"/>
      <c r="C136" s="207"/>
      <c r="D136" s="207"/>
      <c r="E136" s="207"/>
      <c r="F136" s="207"/>
      <c r="G136" s="207"/>
      <c r="H136" s="207"/>
      <c r="I136" s="207"/>
      <c r="J136" s="208"/>
    </row>
    <row r="137" spans="1:10" x14ac:dyDescent="0.25">
      <c r="A137" s="113" t="s">
        <v>27</v>
      </c>
      <c r="B137" s="114"/>
      <c r="C137" s="114"/>
      <c r="D137" s="114"/>
      <c r="E137" s="114"/>
      <c r="F137" s="114"/>
      <c r="G137" s="114"/>
      <c r="H137" s="114"/>
      <c r="I137" s="114"/>
      <c r="J137" s="115"/>
    </row>
    <row r="138" spans="1:10" x14ac:dyDescent="0.25">
      <c r="A138" s="75" t="s">
        <v>34</v>
      </c>
      <c r="B138" s="76"/>
      <c r="C138" s="76"/>
      <c r="D138" s="76"/>
      <c r="E138" s="76"/>
      <c r="F138" s="76"/>
      <c r="G138" s="76"/>
      <c r="H138" s="76"/>
      <c r="I138" s="76"/>
      <c r="J138" s="77"/>
    </row>
    <row r="139" spans="1:10" x14ac:dyDescent="0.25">
      <c r="A139" s="113" t="s">
        <v>29</v>
      </c>
      <c r="B139" s="114"/>
      <c r="C139" s="114"/>
      <c r="D139" s="114"/>
      <c r="E139" s="114"/>
      <c r="F139" s="114"/>
      <c r="G139" s="114"/>
      <c r="H139" s="114"/>
      <c r="I139" s="114"/>
      <c r="J139" s="115"/>
    </row>
    <row r="140" spans="1:10" x14ac:dyDescent="0.25">
      <c r="A140" s="75" t="s">
        <v>39</v>
      </c>
      <c r="B140" s="76"/>
      <c r="C140" s="76"/>
      <c r="D140" s="76"/>
      <c r="E140" s="76"/>
      <c r="F140" s="76"/>
      <c r="G140" s="76"/>
      <c r="H140" s="76"/>
      <c r="I140" s="76"/>
      <c r="J140" s="77"/>
    </row>
    <row r="141" spans="1:10" ht="16.5" customHeight="1" x14ac:dyDescent="0.25">
      <c r="A141" s="131" t="s">
        <v>65</v>
      </c>
      <c r="B141" s="132"/>
      <c r="C141" s="132"/>
      <c r="D141" s="132"/>
      <c r="E141" s="132"/>
      <c r="F141" s="132"/>
      <c r="G141" s="132"/>
      <c r="H141" s="132"/>
      <c r="I141" s="132"/>
      <c r="J141" s="133"/>
    </row>
    <row r="142" spans="1:10" x14ac:dyDescent="0.25">
      <c r="A142" s="75" t="s">
        <v>40</v>
      </c>
      <c r="B142" s="76"/>
      <c r="C142" s="76"/>
      <c r="D142" s="76"/>
      <c r="E142" s="76"/>
      <c r="F142" s="76"/>
      <c r="G142" s="76"/>
      <c r="H142" s="76"/>
      <c r="I142" s="76"/>
      <c r="J142" s="77"/>
    </row>
    <row r="143" spans="1:10" x14ac:dyDescent="0.25">
      <c r="A143" s="75" t="s">
        <v>41</v>
      </c>
      <c r="B143" s="76"/>
      <c r="C143" s="76"/>
      <c r="D143" s="76"/>
      <c r="E143" s="76"/>
      <c r="F143" s="76"/>
      <c r="G143" s="76"/>
      <c r="H143" s="76"/>
      <c r="I143" s="76"/>
      <c r="J143" s="77"/>
    </row>
    <row r="144" spans="1:10" ht="30.75" customHeight="1" x14ac:dyDescent="0.25">
      <c r="A144" s="131" t="s">
        <v>42</v>
      </c>
      <c r="B144" s="132"/>
      <c r="C144" s="132"/>
      <c r="D144" s="132"/>
      <c r="E144" s="132"/>
      <c r="F144" s="132"/>
      <c r="G144" s="132"/>
      <c r="H144" s="132"/>
      <c r="I144" s="132"/>
      <c r="J144" s="133"/>
    </row>
    <row r="145" spans="1:10" x14ac:dyDescent="0.25">
      <c r="A145" s="81" t="s">
        <v>160</v>
      </c>
      <c r="B145" s="81"/>
      <c r="C145" s="81" t="s">
        <v>276</v>
      </c>
      <c r="D145" s="81"/>
      <c r="E145" s="81" t="s">
        <v>161</v>
      </c>
      <c r="F145" s="81"/>
      <c r="G145" s="81"/>
      <c r="H145" s="81" t="s">
        <v>278</v>
      </c>
      <c r="I145" s="81"/>
      <c r="J145" s="81"/>
    </row>
    <row r="146" spans="1:10" ht="15" customHeight="1" x14ac:dyDescent="0.25">
      <c r="A146" s="190" t="s">
        <v>28</v>
      </c>
      <c r="B146" s="191"/>
      <c r="C146" s="191"/>
      <c r="D146" s="191"/>
      <c r="E146" s="191"/>
      <c r="F146" s="191"/>
      <c r="G146" s="191"/>
      <c r="H146" s="191"/>
      <c r="I146" s="191"/>
      <c r="J146" s="192"/>
    </row>
    <row r="147" spans="1:10" x14ac:dyDescent="0.25">
      <c r="A147" s="193"/>
      <c r="B147" s="194"/>
      <c r="C147" s="194"/>
      <c r="D147" s="194"/>
      <c r="E147" s="194"/>
      <c r="F147" s="194"/>
      <c r="G147" s="194"/>
      <c r="H147" s="194"/>
      <c r="I147" s="194"/>
      <c r="J147" s="195"/>
    </row>
    <row r="148" spans="1:10" x14ac:dyDescent="0.25">
      <c r="A148" s="193"/>
      <c r="B148" s="194"/>
      <c r="C148" s="194"/>
      <c r="D148" s="194"/>
      <c r="E148" s="194"/>
      <c r="F148" s="194"/>
      <c r="G148" s="194"/>
      <c r="H148" s="194"/>
      <c r="I148" s="194"/>
      <c r="J148" s="195"/>
    </row>
    <row r="149" spans="1:10" x14ac:dyDescent="0.25">
      <c r="A149" s="196"/>
      <c r="B149" s="197"/>
      <c r="C149" s="197"/>
      <c r="D149" s="197"/>
      <c r="E149" s="197"/>
      <c r="F149" s="197"/>
      <c r="G149" s="197"/>
      <c r="H149" s="197"/>
      <c r="I149" s="197"/>
      <c r="J149" s="198"/>
    </row>
    <row r="150" spans="1:10" x14ac:dyDescent="0.25">
      <c r="A150" s="74" t="s">
        <v>201</v>
      </c>
      <c r="D150" s="74" t="str">
        <f>F8</f>
        <v>Tulip A3 - Wise City (Plot RZ8 : Building 1 Wing A3)</v>
      </c>
    </row>
    <row r="193" spans="1:2" x14ac:dyDescent="0.25">
      <c r="A193" s="74" t="s">
        <v>143</v>
      </c>
      <c r="B193" s="74"/>
    </row>
  </sheetData>
  <mergeCells count="286">
    <mergeCell ref="K10:O10"/>
    <mergeCell ref="A66:B66"/>
    <mergeCell ref="D66:E66"/>
    <mergeCell ref="A67:B67"/>
    <mergeCell ref="D67:E67"/>
    <mergeCell ref="D61:E61"/>
    <mergeCell ref="A62:B62"/>
    <mergeCell ref="D62:E62"/>
    <mergeCell ref="A63:B63"/>
    <mergeCell ref="D63:E63"/>
    <mergeCell ref="A64:B64"/>
    <mergeCell ref="D64:E64"/>
    <mergeCell ref="A65:B65"/>
    <mergeCell ref="D65:E65"/>
    <mergeCell ref="A49:C49"/>
    <mergeCell ref="D49:E49"/>
    <mergeCell ref="F49:G49"/>
    <mergeCell ref="H49:J49"/>
    <mergeCell ref="H47:J47"/>
    <mergeCell ref="A50:J50"/>
    <mergeCell ref="A51:C51"/>
    <mergeCell ref="D51:E51"/>
    <mergeCell ref="F51:H51"/>
    <mergeCell ref="I51:J51"/>
    <mergeCell ref="A132:B132"/>
    <mergeCell ref="D132:E132"/>
    <mergeCell ref="A125:B125"/>
    <mergeCell ref="D125:E125"/>
    <mergeCell ref="I125:J134"/>
    <mergeCell ref="A126:B126"/>
    <mergeCell ref="A127:B127"/>
    <mergeCell ref="D127:E127"/>
    <mergeCell ref="A128:B128"/>
    <mergeCell ref="D128:E128"/>
    <mergeCell ref="A133:B133"/>
    <mergeCell ref="D133:E133"/>
    <mergeCell ref="A134:B134"/>
    <mergeCell ref="D134:E134"/>
    <mergeCell ref="C126:H126"/>
    <mergeCell ref="D129:E129"/>
    <mergeCell ref="A130:B130"/>
    <mergeCell ref="D130:E130"/>
    <mergeCell ref="A131:B131"/>
    <mergeCell ref="D131:E131"/>
    <mergeCell ref="A129:B129"/>
    <mergeCell ref="A88:J88"/>
    <mergeCell ref="A89:J89"/>
    <mergeCell ref="A122:B122"/>
    <mergeCell ref="D122:E122"/>
    <mergeCell ref="A123:B123"/>
    <mergeCell ref="D123:E123"/>
    <mergeCell ref="C92:H92"/>
    <mergeCell ref="C101:H101"/>
    <mergeCell ref="A103:B103"/>
    <mergeCell ref="D114:E114"/>
    <mergeCell ref="A113:J113"/>
    <mergeCell ref="A114:B114"/>
    <mergeCell ref="A115:B115"/>
    <mergeCell ref="D115:E115"/>
    <mergeCell ref="A120:B120"/>
    <mergeCell ref="D120:E120"/>
    <mergeCell ref="A121:B121"/>
    <mergeCell ref="D121:E121"/>
    <mergeCell ref="I114:J123"/>
    <mergeCell ref="A119:B119"/>
    <mergeCell ref="D119:E119"/>
    <mergeCell ref="A116:B116"/>
    <mergeCell ref="D116:E116"/>
    <mergeCell ref="A117:B117"/>
    <mergeCell ref="D117:E117"/>
    <mergeCell ref="A118:B118"/>
    <mergeCell ref="D118:E118"/>
    <mergeCell ref="D103:E103"/>
    <mergeCell ref="I103:J112"/>
    <mergeCell ref="D104:E104"/>
    <mergeCell ref="D105:E105"/>
    <mergeCell ref="A100:B100"/>
    <mergeCell ref="A101:B101"/>
    <mergeCell ref="A105:B105"/>
    <mergeCell ref="A106:B106"/>
    <mergeCell ref="D106:E106"/>
    <mergeCell ref="D108:E108"/>
    <mergeCell ref="D109:E109"/>
    <mergeCell ref="D107:E107"/>
    <mergeCell ref="A112:B112"/>
    <mergeCell ref="D110:E110"/>
    <mergeCell ref="D111:E111"/>
    <mergeCell ref="D112:E112"/>
    <mergeCell ref="A107:B107"/>
    <mergeCell ref="A108:B108"/>
    <mergeCell ref="A109:B109"/>
    <mergeCell ref="A110:B110"/>
    <mergeCell ref="A111:B111"/>
    <mergeCell ref="C97:H97"/>
    <mergeCell ref="A92:B92"/>
    <mergeCell ref="A93:B93"/>
    <mergeCell ref="A94:B94"/>
    <mergeCell ref="A95:B95"/>
    <mergeCell ref="A96:B96"/>
    <mergeCell ref="A97:B97"/>
    <mergeCell ref="D100:E100"/>
    <mergeCell ref="A102:J102"/>
    <mergeCell ref="D96:E96"/>
    <mergeCell ref="A86:J86"/>
    <mergeCell ref="A87:B87"/>
    <mergeCell ref="A124:J124"/>
    <mergeCell ref="A81:F81"/>
    <mergeCell ref="G81:J81"/>
    <mergeCell ref="A84:B84"/>
    <mergeCell ref="D84:F84"/>
    <mergeCell ref="G84:J84"/>
    <mergeCell ref="A85:B85"/>
    <mergeCell ref="D85:F85"/>
    <mergeCell ref="G85:J85"/>
    <mergeCell ref="D87:E87"/>
    <mergeCell ref="I87:J87"/>
    <mergeCell ref="A90:J90"/>
    <mergeCell ref="I92:J101"/>
    <mergeCell ref="A91:J91"/>
    <mergeCell ref="D93:E93"/>
    <mergeCell ref="D94:E94"/>
    <mergeCell ref="A98:B98"/>
    <mergeCell ref="A99:B99"/>
    <mergeCell ref="D95:E95"/>
    <mergeCell ref="D98:E98"/>
    <mergeCell ref="D99:E99"/>
    <mergeCell ref="A104:B104"/>
    <mergeCell ref="A77:F77"/>
    <mergeCell ref="G77:J77"/>
    <mergeCell ref="A78:F78"/>
    <mergeCell ref="G78:J78"/>
    <mergeCell ref="A79:F79"/>
    <mergeCell ref="G79:J79"/>
    <mergeCell ref="A80:F80"/>
    <mergeCell ref="G80:J80"/>
    <mergeCell ref="A146:J149"/>
    <mergeCell ref="A137:J137"/>
    <mergeCell ref="A138:J138"/>
    <mergeCell ref="A139:J139"/>
    <mergeCell ref="A140:J140"/>
    <mergeCell ref="A141:J141"/>
    <mergeCell ref="A142:J142"/>
    <mergeCell ref="H145:J145"/>
    <mergeCell ref="A145:B145"/>
    <mergeCell ref="C145:D145"/>
    <mergeCell ref="A143:J143"/>
    <mergeCell ref="A144:J144"/>
    <mergeCell ref="A82:F82"/>
    <mergeCell ref="G82:J82"/>
    <mergeCell ref="A83:J83"/>
    <mergeCell ref="A135:J136"/>
    <mergeCell ref="A69:J69"/>
    <mergeCell ref="A70:J70"/>
    <mergeCell ref="A71:J72"/>
    <mergeCell ref="A73:J73"/>
    <mergeCell ref="A74:F74"/>
    <mergeCell ref="G74:J74"/>
    <mergeCell ref="A75:F75"/>
    <mergeCell ref="G75:J75"/>
    <mergeCell ref="A76:F76"/>
    <mergeCell ref="G76:J76"/>
    <mergeCell ref="D68:E68"/>
    <mergeCell ref="A68:B68"/>
    <mergeCell ref="A52:C52"/>
    <mergeCell ref="D52:J52"/>
    <mergeCell ref="A53:E53"/>
    <mergeCell ref="F53:J53"/>
    <mergeCell ref="A54:J54"/>
    <mergeCell ref="F58:G58"/>
    <mergeCell ref="A55:B55"/>
    <mergeCell ref="C55:J55"/>
    <mergeCell ref="E56:F56"/>
    <mergeCell ref="I56:J56"/>
    <mergeCell ref="A57:B57"/>
    <mergeCell ref="C57:J57"/>
    <mergeCell ref="A58:B58"/>
    <mergeCell ref="D58:E58"/>
    <mergeCell ref="H58:J58"/>
    <mergeCell ref="A59:B59"/>
    <mergeCell ref="D59:E59"/>
    <mergeCell ref="F59:G68"/>
    <mergeCell ref="H59:J68"/>
    <mergeCell ref="A60:B60"/>
    <mergeCell ref="D60:E60"/>
    <mergeCell ref="A61:B61"/>
    <mergeCell ref="A48:B48"/>
    <mergeCell ref="C48:F48"/>
    <mergeCell ref="H48:J48"/>
    <mergeCell ref="A39:E39"/>
    <mergeCell ref="F39:J39"/>
    <mergeCell ref="A40:E40"/>
    <mergeCell ref="F40:J40"/>
    <mergeCell ref="A41:E41"/>
    <mergeCell ref="F41:J41"/>
    <mergeCell ref="A42:E42"/>
    <mergeCell ref="A43:E43"/>
    <mergeCell ref="F43:J43"/>
    <mergeCell ref="A44:J44"/>
    <mergeCell ref="F42:J42"/>
    <mergeCell ref="A45:B45"/>
    <mergeCell ref="C45:F45"/>
    <mergeCell ref="A46:B46"/>
    <mergeCell ref="C46:F46"/>
    <mergeCell ref="H45:J45"/>
    <mergeCell ref="H46:J46"/>
    <mergeCell ref="A47:B47"/>
    <mergeCell ref="C47:F47"/>
    <mergeCell ref="A31:J31"/>
    <mergeCell ref="A32:J32"/>
    <mergeCell ref="A33:B33"/>
    <mergeCell ref="A35:J35"/>
    <mergeCell ref="A36:J37"/>
    <mergeCell ref="C33:J33"/>
    <mergeCell ref="A34:B34"/>
    <mergeCell ref="C34:J34"/>
    <mergeCell ref="A38:E38"/>
    <mergeCell ref="F38:J38"/>
    <mergeCell ref="A29:B29"/>
    <mergeCell ref="C29:D29"/>
    <mergeCell ref="E29:F29"/>
    <mergeCell ref="G29:H29"/>
    <mergeCell ref="I29:J29"/>
    <mergeCell ref="A30:B30"/>
    <mergeCell ref="C30:D30"/>
    <mergeCell ref="E30:F30"/>
    <mergeCell ref="G30:H30"/>
    <mergeCell ref="I30:J30"/>
    <mergeCell ref="A25:E25"/>
    <mergeCell ref="F25:J25"/>
    <mergeCell ref="A26:E26"/>
    <mergeCell ref="F26:J26"/>
    <mergeCell ref="A27:E27"/>
    <mergeCell ref="F27:J27"/>
    <mergeCell ref="A28:B28"/>
    <mergeCell ref="C28:D28"/>
    <mergeCell ref="E28:F28"/>
    <mergeCell ref="G28:H28"/>
    <mergeCell ref="I28:J28"/>
    <mergeCell ref="A1:J1"/>
    <mergeCell ref="A2:J2"/>
    <mergeCell ref="A3:E3"/>
    <mergeCell ref="F3:J3"/>
    <mergeCell ref="A4:E4"/>
    <mergeCell ref="F4:J4"/>
    <mergeCell ref="A6:E6"/>
    <mergeCell ref="F6:J6"/>
    <mergeCell ref="A7:E7"/>
    <mergeCell ref="F7:J7"/>
    <mergeCell ref="A5:E5"/>
    <mergeCell ref="F5:J5"/>
    <mergeCell ref="E145:G145"/>
    <mergeCell ref="A13:B14"/>
    <mergeCell ref="C13:E13"/>
    <mergeCell ref="F13:G13"/>
    <mergeCell ref="H13:J13"/>
    <mergeCell ref="C14:E14"/>
    <mergeCell ref="F14:G14"/>
    <mergeCell ref="H14:J14"/>
    <mergeCell ref="A15:B15"/>
    <mergeCell ref="C15:J15"/>
    <mergeCell ref="B16:D16"/>
    <mergeCell ref="H16:J16"/>
    <mergeCell ref="B18:E18"/>
    <mergeCell ref="G18:J18"/>
    <mergeCell ref="A19:B19"/>
    <mergeCell ref="C19:E19"/>
    <mergeCell ref="F19:G19"/>
    <mergeCell ref="H19:J19"/>
    <mergeCell ref="A20:E21"/>
    <mergeCell ref="F20:J21"/>
    <mergeCell ref="A22:E23"/>
    <mergeCell ref="F22:J23"/>
    <mergeCell ref="A24:E24"/>
    <mergeCell ref="F24:J24"/>
    <mergeCell ref="A8:E8"/>
    <mergeCell ref="F8:J8"/>
    <mergeCell ref="A9:E9"/>
    <mergeCell ref="F9:J9"/>
    <mergeCell ref="A12:E12"/>
    <mergeCell ref="F12:J12"/>
    <mergeCell ref="A11:E11"/>
    <mergeCell ref="F11:J11"/>
    <mergeCell ref="B17:E17"/>
    <mergeCell ref="G17:J17"/>
    <mergeCell ref="A10:E10"/>
    <mergeCell ref="F10:J10"/>
  </mergeCells>
  <hyperlinks>
    <hyperlink ref="C34" r:id="rId1" xr:uid="{00000000-0004-0000-0000-000000000000}"/>
  </hyperlinks>
  <pageMargins left="0.43307086614173229" right="0.43307086614173229" top="0.78740157480314965" bottom="1.1811023622047245" header="0.19685039370078741" footer="0.19685039370078741"/>
  <pageSetup paperSize="9" fitToHeight="0" orientation="portrait" r:id="rId2"/>
  <headerFooter>
    <oddHeader>&amp;C&amp;G</oddHeader>
    <oddFooter>&amp;L&amp;"Times New Roman,Bold"Ref No: &amp;F&amp;C&amp;G&amp;R&amp;P</oddFooter>
  </headerFooter>
  <rowBreaks count="2" manualBreakCount="2">
    <brk id="149" max="16383" man="1"/>
    <brk id="192"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29"/>
  <sheetViews>
    <sheetView workbookViewId="0">
      <selection activeCell="C7" sqref="C7"/>
    </sheetView>
  </sheetViews>
  <sheetFormatPr defaultColWidth="9.109375" defaultRowHeight="13.8" x14ac:dyDescent="0.25"/>
  <cols>
    <col min="1" max="1" width="20.5546875" style="10" customWidth="1"/>
    <col min="2" max="2" width="11.6640625" style="10" customWidth="1"/>
    <col min="3" max="4" width="9.109375" style="10"/>
    <col min="5" max="5" width="10.109375" style="10" customWidth="1"/>
    <col min="6" max="6" width="10.6640625" style="10" customWidth="1"/>
    <col min="7" max="7" width="9.109375" style="10"/>
    <col min="8" max="8" width="10.44140625" style="10" customWidth="1"/>
    <col min="9" max="9" width="15.44140625" style="10" customWidth="1"/>
    <col min="10" max="16384" width="9.109375" style="10"/>
  </cols>
  <sheetData>
    <row r="2" spans="1:13" x14ac:dyDescent="0.25">
      <c r="A2" s="9" t="s">
        <v>169</v>
      </c>
      <c r="B2" s="9" t="s">
        <v>170</v>
      </c>
      <c r="C2" s="9" t="s">
        <v>171</v>
      </c>
      <c r="D2" s="246" t="s">
        <v>172</v>
      </c>
      <c r="E2" s="246"/>
    </row>
    <row r="3" spans="1:13" x14ac:dyDescent="0.25">
      <c r="A3" s="11">
        <v>0</v>
      </c>
      <c r="B3" s="11">
        <v>0</v>
      </c>
      <c r="C3" s="11">
        <v>1</v>
      </c>
      <c r="D3" s="247">
        <v>25</v>
      </c>
      <c r="E3" s="247"/>
    </row>
    <row r="5" spans="1:13" hidden="1" x14ac:dyDescent="0.25">
      <c r="A5" s="10" t="s">
        <v>131</v>
      </c>
      <c r="B5" s="12" t="s">
        <v>173</v>
      </c>
      <c r="C5" s="12">
        <f>D3</f>
        <v>25</v>
      </c>
      <c r="D5" s="13"/>
    </row>
    <row r="6" spans="1:13" x14ac:dyDescent="0.25">
      <c r="A6" s="10" t="s">
        <v>132</v>
      </c>
      <c r="B6" s="14">
        <v>10</v>
      </c>
      <c r="C6" s="15">
        <v>10</v>
      </c>
      <c r="D6" s="16">
        <f>((100/B6)*C6)/100</f>
        <v>1</v>
      </c>
    </row>
    <row r="7" spans="1:13" x14ac:dyDescent="0.25">
      <c r="A7" s="10" t="s">
        <v>133</v>
      </c>
      <c r="B7" s="14">
        <f>A3+B3+C3+D3</f>
        <v>26</v>
      </c>
      <c r="C7" s="15">
        <v>0</v>
      </c>
      <c r="D7" s="16">
        <f t="shared" ref="D7:D12" si="0">((100/B7)*C7)/100</f>
        <v>0</v>
      </c>
      <c r="F7" s="248" t="s">
        <v>174</v>
      </c>
      <c r="G7" s="248"/>
      <c r="H7" s="17" t="s">
        <v>175</v>
      </c>
      <c r="J7" s="18"/>
    </row>
    <row r="8" spans="1:13" x14ac:dyDescent="0.25">
      <c r="A8" s="10" t="s">
        <v>138</v>
      </c>
      <c r="B8" s="14">
        <f>C5+1</f>
        <v>26</v>
      </c>
      <c r="C8" s="15">
        <v>0</v>
      </c>
      <c r="D8" s="16">
        <f t="shared" si="0"/>
        <v>0</v>
      </c>
      <c r="F8" s="245" t="s">
        <v>176</v>
      </c>
      <c r="G8" s="245"/>
      <c r="H8" s="14" t="s">
        <v>177</v>
      </c>
    </row>
    <row r="9" spans="1:13" x14ac:dyDescent="0.25">
      <c r="A9" s="10" t="s">
        <v>140</v>
      </c>
      <c r="B9" s="14">
        <f>C5+1</f>
        <v>26</v>
      </c>
      <c r="C9" s="15">
        <v>0</v>
      </c>
      <c r="D9" s="16">
        <f t="shared" si="0"/>
        <v>0</v>
      </c>
      <c r="F9" s="245" t="s">
        <v>178</v>
      </c>
      <c r="G9" s="245"/>
      <c r="H9" s="14" t="s">
        <v>179</v>
      </c>
    </row>
    <row r="10" spans="1:13" x14ac:dyDescent="0.25">
      <c r="A10" s="10" t="s">
        <v>45</v>
      </c>
      <c r="B10" s="14">
        <f>C5+1</f>
        <v>26</v>
      </c>
      <c r="C10" s="15">
        <v>0</v>
      </c>
      <c r="D10" s="16">
        <f t="shared" si="0"/>
        <v>0</v>
      </c>
      <c r="F10" s="245" t="s">
        <v>180</v>
      </c>
      <c r="G10" s="245"/>
      <c r="H10" s="14" t="s">
        <v>181</v>
      </c>
    </row>
    <row r="11" spans="1:13" x14ac:dyDescent="0.25">
      <c r="A11" s="19" t="s">
        <v>136</v>
      </c>
      <c r="B11" s="14">
        <f>C5+1</f>
        <v>26</v>
      </c>
      <c r="C11" s="15">
        <v>0</v>
      </c>
      <c r="D11" s="16">
        <f t="shared" si="0"/>
        <v>0</v>
      </c>
      <c r="F11" s="245" t="s">
        <v>182</v>
      </c>
      <c r="G11" s="245"/>
      <c r="H11" s="14" t="s">
        <v>183</v>
      </c>
    </row>
    <row r="12" spans="1:13" x14ac:dyDescent="0.25">
      <c r="A12" s="10" t="s">
        <v>46</v>
      </c>
      <c r="B12" s="14">
        <f>C5+1</f>
        <v>26</v>
      </c>
      <c r="C12" s="15">
        <v>0</v>
      </c>
      <c r="D12" s="16">
        <f t="shared" si="0"/>
        <v>0</v>
      </c>
      <c r="F12" s="245" t="s">
        <v>184</v>
      </c>
      <c r="G12" s="245"/>
      <c r="H12" s="14" t="s">
        <v>185</v>
      </c>
    </row>
    <row r="13" spans="1:13" x14ac:dyDescent="0.25">
      <c r="F13" s="245" t="s">
        <v>186</v>
      </c>
      <c r="G13" s="245"/>
      <c r="H13" s="14" t="s">
        <v>187</v>
      </c>
    </row>
    <row r="14" spans="1:13" hidden="1" x14ac:dyDescent="0.25">
      <c r="A14" s="9"/>
      <c r="B14" s="9" t="s">
        <v>137</v>
      </c>
      <c r="C14" s="9" t="s">
        <v>141</v>
      </c>
      <c r="G14" s="9" t="s">
        <v>132</v>
      </c>
      <c r="H14" s="9" t="s">
        <v>134</v>
      </c>
      <c r="I14" s="9" t="s">
        <v>135</v>
      </c>
      <c r="J14" s="9" t="s">
        <v>38</v>
      </c>
      <c r="K14" s="9" t="s">
        <v>45</v>
      </c>
      <c r="L14" s="9" t="s">
        <v>136</v>
      </c>
      <c r="M14" s="9" t="s">
        <v>46</v>
      </c>
    </row>
    <row r="15" spans="1:13" hidden="1" x14ac:dyDescent="0.25">
      <c r="A15" s="9" t="s">
        <v>36</v>
      </c>
      <c r="B15" s="9">
        <f>G15</f>
        <v>10</v>
      </c>
      <c r="C15" s="9">
        <f>G16</f>
        <v>30</v>
      </c>
      <c r="E15" s="246" t="s">
        <v>137</v>
      </c>
      <c r="F15" s="246"/>
      <c r="G15" s="20">
        <f>C6</f>
        <v>10</v>
      </c>
      <c r="H15" s="20">
        <f>40/B7*C7</f>
        <v>0</v>
      </c>
      <c r="I15" s="20">
        <f>15/B8*C8</f>
        <v>0</v>
      </c>
      <c r="J15" s="20">
        <f>10/B9*C9</f>
        <v>0</v>
      </c>
      <c r="K15" s="20">
        <f>10/B10*C10</f>
        <v>0</v>
      </c>
      <c r="L15" s="20">
        <f>5/B11*C11</f>
        <v>0</v>
      </c>
      <c r="M15" s="20">
        <f>5/B12*C12</f>
        <v>0</v>
      </c>
    </row>
    <row r="16" spans="1:13" hidden="1" x14ac:dyDescent="0.25">
      <c r="A16" s="9" t="s">
        <v>37</v>
      </c>
      <c r="B16" s="9">
        <f>H15</f>
        <v>0</v>
      </c>
      <c r="C16" s="9">
        <f>H16</f>
        <v>0</v>
      </c>
      <c r="E16" s="246" t="s">
        <v>139</v>
      </c>
      <c r="F16" s="246"/>
      <c r="G16" s="9">
        <f>G15+20</f>
        <v>30</v>
      </c>
      <c r="H16" s="9">
        <f>30/B7*C7</f>
        <v>0</v>
      </c>
      <c r="I16" s="9">
        <f>15/B8*C8</f>
        <v>0</v>
      </c>
      <c r="J16" s="9">
        <f>10/B9*C9</f>
        <v>0</v>
      </c>
      <c r="K16" s="9">
        <f>5/B10*C10</f>
        <v>0</v>
      </c>
      <c r="L16" s="9">
        <f>5/B11*C11</f>
        <v>0</v>
      </c>
      <c r="M16" s="9">
        <f>5/B12*C12</f>
        <v>0</v>
      </c>
    </row>
    <row r="17" spans="1:8" hidden="1" x14ac:dyDescent="0.25">
      <c r="A17" s="9" t="s">
        <v>135</v>
      </c>
      <c r="B17" s="9">
        <f>I15</f>
        <v>0</v>
      </c>
      <c r="C17" s="9">
        <f>I16</f>
        <v>0</v>
      </c>
    </row>
    <row r="18" spans="1:8" hidden="1" x14ac:dyDescent="0.25">
      <c r="A18" s="9" t="s">
        <v>38</v>
      </c>
      <c r="B18" s="9">
        <f>J15</f>
        <v>0</v>
      </c>
      <c r="C18" s="9">
        <f>J16</f>
        <v>0</v>
      </c>
    </row>
    <row r="19" spans="1:8" hidden="1" x14ac:dyDescent="0.25">
      <c r="A19" s="9" t="s">
        <v>45</v>
      </c>
      <c r="B19" s="9">
        <f>K15</f>
        <v>0</v>
      </c>
      <c r="C19" s="9">
        <f>K16</f>
        <v>0</v>
      </c>
    </row>
    <row r="20" spans="1:8" hidden="1" x14ac:dyDescent="0.25">
      <c r="A20" s="21" t="s">
        <v>136</v>
      </c>
      <c r="B20" s="9">
        <f>L15</f>
        <v>0</v>
      </c>
      <c r="C20" s="9">
        <f>L16</f>
        <v>0</v>
      </c>
    </row>
    <row r="21" spans="1:8" hidden="1" x14ac:dyDescent="0.25">
      <c r="A21" s="9" t="s">
        <v>46</v>
      </c>
      <c r="B21" s="9">
        <f>M15</f>
        <v>0</v>
      </c>
      <c r="C21" s="9">
        <f>M16</f>
        <v>0</v>
      </c>
    </row>
    <row r="22" spans="1:8" x14ac:dyDescent="0.25">
      <c r="A22" s="9" t="s">
        <v>142</v>
      </c>
      <c r="B22" s="22">
        <f>(B15+B16+B17+B18+B19+B20+B21)/100</f>
        <v>0.1</v>
      </c>
      <c r="C22" s="22">
        <f>(C15+C16+C17+C18+C19+C20+C21)/100</f>
        <v>0.3</v>
      </c>
      <c r="F22" s="245" t="s">
        <v>188</v>
      </c>
      <c r="G22" s="245"/>
      <c r="H22" s="14" t="s">
        <v>179</v>
      </c>
    </row>
    <row r="23" spans="1:8" x14ac:dyDescent="0.25">
      <c r="F23" s="245" t="s">
        <v>189</v>
      </c>
      <c r="G23" s="245"/>
      <c r="H23" s="14" t="s">
        <v>190</v>
      </c>
    </row>
    <row r="24" spans="1:8" x14ac:dyDescent="0.25">
      <c r="A24" s="10" t="s">
        <v>191</v>
      </c>
      <c r="B24" s="23">
        <v>0.01</v>
      </c>
      <c r="C24" s="23">
        <v>0.02</v>
      </c>
      <c r="F24" s="245" t="s">
        <v>192</v>
      </c>
      <c r="G24" s="245"/>
      <c r="H24" s="14" t="s">
        <v>193</v>
      </c>
    </row>
    <row r="25" spans="1:8" x14ac:dyDescent="0.25">
      <c r="A25" s="10" t="s">
        <v>194</v>
      </c>
      <c r="B25" s="23">
        <v>0.01</v>
      </c>
      <c r="C25" s="23">
        <v>0.03</v>
      </c>
    </row>
    <row r="26" spans="1:8" x14ac:dyDescent="0.25">
      <c r="A26" s="10" t="s">
        <v>195</v>
      </c>
      <c r="B26" s="23">
        <v>0.03</v>
      </c>
      <c r="C26" s="23">
        <v>0.08</v>
      </c>
    </row>
    <row r="27" spans="1:8" x14ac:dyDescent="0.25">
      <c r="A27" s="10" t="s">
        <v>196</v>
      </c>
      <c r="B27" s="23">
        <v>0.05</v>
      </c>
      <c r="C27" s="23">
        <v>0.15</v>
      </c>
    </row>
    <row r="28" spans="1:8" x14ac:dyDescent="0.25">
      <c r="A28" s="10" t="s">
        <v>197</v>
      </c>
      <c r="B28" s="23">
        <v>7.0000000000000007E-2</v>
      </c>
      <c r="C28" s="23">
        <v>0.2</v>
      </c>
    </row>
    <row r="29" spans="1:8" x14ac:dyDescent="0.25">
      <c r="A29" s="10" t="s">
        <v>198</v>
      </c>
      <c r="B29" s="23">
        <v>0.1</v>
      </c>
      <c r="C29" s="23">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4"/>
  <sheetViews>
    <sheetView topLeftCell="A7" workbookViewId="0">
      <selection activeCell="F26" sqref="F26"/>
    </sheetView>
  </sheetViews>
  <sheetFormatPr defaultRowHeight="14.4" x14ac:dyDescent="0.3"/>
  <cols>
    <col min="1" max="1" width="11.5546875" customWidth="1"/>
  </cols>
  <sheetData>
    <row r="2" spans="1:2" x14ac:dyDescent="0.3">
      <c r="A2" t="s">
        <v>213</v>
      </c>
      <c r="B2" t="s">
        <v>214</v>
      </c>
    </row>
    <row r="4" spans="1:2" x14ac:dyDescent="0.3">
      <c r="A4" s="37">
        <v>44189</v>
      </c>
      <c r="B4" t="s">
        <v>214</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L16" sqref="L16"/>
    </sheetView>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M34"/>
  <sheetViews>
    <sheetView zoomScale="55" zoomScaleNormal="55" workbookViewId="0">
      <selection activeCell="N4" sqref="N4"/>
    </sheetView>
  </sheetViews>
  <sheetFormatPr defaultRowHeight="14.4" x14ac:dyDescent="0.3"/>
  <sheetData>
    <row r="2" spans="2:13" x14ac:dyDescent="0.3">
      <c r="C2" s="6" t="s">
        <v>105</v>
      </c>
      <c r="D2" s="249"/>
      <c r="E2" s="249"/>
    </row>
    <row r="3" spans="2:13" x14ac:dyDescent="0.3">
      <c r="E3" s="5"/>
      <c r="F3" s="5"/>
      <c r="G3" s="5"/>
      <c r="H3" s="5"/>
      <c r="I3" s="5"/>
      <c r="J3" s="5"/>
    </row>
    <row r="4" spans="2:13" x14ac:dyDescent="0.3">
      <c r="B4" s="6" t="s">
        <v>106</v>
      </c>
      <c r="C4" s="4" t="s">
        <v>86</v>
      </c>
      <c r="D4" s="250" t="s">
        <v>87</v>
      </c>
      <c r="E4" s="250"/>
      <c r="F4" s="250"/>
      <c r="G4" s="7"/>
      <c r="H4" s="250" t="s">
        <v>88</v>
      </c>
      <c r="I4" s="250"/>
      <c r="J4" s="250"/>
      <c r="K4" s="250" t="s">
        <v>89</v>
      </c>
      <c r="L4" s="250"/>
      <c r="M4" s="250"/>
    </row>
    <row r="5" spans="2:13" x14ac:dyDescent="0.3">
      <c r="B5" s="6">
        <v>1</v>
      </c>
      <c r="C5" s="4"/>
      <c r="D5" s="4" t="s">
        <v>90</v>
      </c>
      <c r="E5" s="4" t="s">
        <v>91</v>
      </c>
      <c r="F5" s="4" t="s">
        <v>92</v>
      </c>
      <c r="G5" s="4"/>
      <c r="H5" s="4" t="s">
        <v>90</v>
      </c>
      <c r="I5" s="4" t="s">
        <v>91</v>
      </c>
      <c r="J5" s="4" t="s">
        <v>92</v>
      </c>
      <c r="K5" s="4" t="s">
        <v>90</v>
      </c>
      <c r="L5" s="4" t="s">
        <v>91</v>
      </c>
      <c r="M5" s="4" t="s">
        <v>92</v>
      </c>
    </row>
    <row r="6" spans="2:13" x14ac:dyDescent="0.3">
      <c r="C6" s="3" t="s">
        <v>93</v>
      </c>
      <c r="D6" s="3"/>
      <c r="E6" s="3"/>
      <c r="F6" s="3">
        <f>D6*E6</f>
        <v>0</v>
      </c>
      <c r="G6" s="3" t="s">
        <v>107</v>
      </c>
      <c r="H6" s="3"/>
      <c r="I6" s="3"/>
      <c r="J6" s="3">
        <f>H6*I6</f>
        <v>0</v>
      </c>
      <c r="K6" s="3"/>
      <c r="L6" s="3"/>
      <c r="M6" s="3">
        <f>K6*L6</f>
        <v>0</v>
      </c>
    </row>
    <row r="7" spans="2:13" x14ac:dyDescent="0.3">
      <c r="C7" s="3"/>
      <c r="D7" s="3"/>
      <c r="E7" s="3"/>
      <c r="F7" s="3">
        <f t="shared" ref="F7:F33" si="0">D7*E7</f>
        <v>0</v>
      </c>
      <c r="G7" s="3" t="s">
        <v>108</v>
      </c>
      <c r="H7" s="3"/>
      <c r="I7" s="3"/>
      <c r="J7" s="3">
        <f t="shared" ref="J7:J29" si="1">H7*I7</f>
        <v>0</v>
      </c>
      <c r="K7" s="3"/>
      <c r="L7" s="3"/>
      <c r="M7" s="3">
        <f t="shared" ref="M7:M29" si="2">K7*L7</f>
        <v>0</v>
      </c>
    </row>
    <row r="8" spans="2:13" x14ac:dyDescent="0.3">
      <c r="C8" s="3"/>
      <c r="D8" s="3"/>
      <c r="E8" s="3"/>
      <c r="F8" s="3">
        <f t="shared" si="0"/>
        <v>0</v>
      </c>
      <c r="G8" s="3"/>
      <c r="H8" s="3"/>
      <c r="I8" s="3"/>
      <c r="J8" s="3">
        <f t="shared" si="1"/>
        <v>0</v>
      </c>
      <c r="K8" s="3"/>
      <c r="L8" s="3"/>
      <c r="M8" s="3">
        <f t="shared" si="2"/>
        <v>0</v>
      </c>
    </row>
    <row r="9" spans="2:13" x14ac:dyDescent="0.3">
      <c r="C9" s="3" t="s">
        <v>96</v>
      </c>
      <c r="D9" s="3"/>
      <c r="E9" s="3"/>
      <c r="F9" s="3">
        <f t="shared" si="0"/>
        <v>0</v>
      </c>
      <c r="G9" s="3" t="s">
        <v>107</v>
      </c>
      <c r="H9" s="3"/>
      <c r="I9" s="3"/>
      <c r="J9" s="3">
        <f t="shared" si="1"/>
        <v>0</v>
      </c>
      <c r="K9" s="3"/>
      <c r="L9" s="3"/>
      <c r="M9" s="3">
        <f t="shared" si="2"/>
        <v>0</v>
      </c>
    </row>
    <row r="10" spans="2:13" x14ac:dyDescent="0.3">
      <c r="C10" s="3"/>
      <c r="D10" s="3"/>
      <c r="E10" s="3"/>
      <c r="F10" s="3">
        <f t="shared" si="0"/>
        <v>0</v>
      </c>
      <c r="G10" s="3" t="s">
        <v>108</v>
      </c>
      <c r="H10" s="3"/>
      <c r="I10" s="3"/>
      <c r="J10" s="3">
        <f t="shared" si="1"/>
        <v>0</v>
      </c>
      <c r="K10" s="3"/>
      <c r="L10" s="3"/>
      <c r="M10" s="3">
        <f t="shared" si="2"/>
        <v>0</v>
      </c>
    </row>
    <row r="11" spans="2:13" x14ac:dyDescent="0.3">
      <c r="C11" s="3"/>
      <c r="D11" s="3"/>
      <c r="E11" s="3"/>
      <c r="F11" s="3">
        <f t="shared" si="0"/>
        <v>0</v>
      </c>
      <c r="G11" s="3"/>
      <c r="H11" s="3"/>
      <c r="I11" s="3"/>
      <c r="J11" s="3">
        <f t="shared" si="1"/>
        <v>0</v>
      </c>
      <c r="K11" s="3"/>
      <c r="L11" s="3"/>
      <c r="M11" s="3">
        <f t="shared" si="2"/>
        <v>0</v>
      </c>
    </row>
    <row r="12" spans="2:13" x14ac:dyDescent="0.3">
      <c r="C12" s="3"/>
      <c r="D12" s="3"/>
      <c r="E12" s="3"/>
      <c r="F12" s="3">
        <f t="shared" si="0"/>
        <v>0</v>
      </c>
      <c r="G12" s="3"/>
      <c r="H12" s="3"/>
      <c r="I12" s="3"/>
      <c r="J12" s="3">
        <f t="shared" si="1"/>
        <v>0</v>
      </c>
      <c r="K12" s="3"/>
      <c r="L12" s="3"/>
      <c r="M12" s="3">
        <f t="shared" si="2"/>
        <v>0</v>
      </c>
    </row>
    <row r="13" spans="2:13" x14ac:dyDescent="0.3">
      <c r="C13" s="3" t="s">
        <v>94</v>
      </c>
      <c r="D13" s="3"/>
      <c r="E13" s="3"/>
      <c r="F13" s="3">
        <f t="shared" si="0"/>
        <v>0</v>
      </c>
      <c r="G13" s="3" t="s">
        <v>107</v>
      </c>
      <c r="H13" s="3"/>
      <c r="I13" s="3"/>
      <c r="J13" s="3">
        <f t="shared" si="1"/>
        <v>0</v>
      </c>
      <c r="K13" s="3"/>
      <c r="L13" s="3"/>
      <c r="M13" s="3">
        <f t="shared" si="2"/>
        <v>0</v>
      </c>
    </row>
    <row r="14" spans="2:13" x14ac:dyDescent="0.3">
      <c r="C14" s="3"/>
      <c r="D14" s="3"/>
      <c r="E14" s="3"/>
      <c r="F14" s="3">
        <f t="shared" si="0"/>
        <v>0</v>
      </c>
      <c r="G14" s="3" t="s">
        <v>108</v>
      </c>
      <c r="H14" s="3"/>
      <c r="I14" s="3"/>
      <c r="J14" s="3">
        <f t="shared" si="1"/>
        <v>0</v>
      </c>
      <c r="K14" s="3"/>
      <c r="L14" s="3"/>
      <c r="M14" s="3">
        <f t="shared" si="2"/>
        <v>0</v>
      </c>
    </row>
    <row r="15" spans="2:13" x14ac:dyDescent="0.3">
      <c r="C15" s="3"/>
      <c r="D15" s="3"/>
      <c r="E15" s="3"/>
      <c r="F15" s="3">
        <f t="shared" si="0"/>
        <v>0</v>
      </c>
      <c r="G15" s="3"/>
      <c r="H15" s="3"/>
      <c r="I15" s="3"/>
      <c r="J15" s="3">
        <f t="shared" si="1"/>
        <v>0</v>
      </c>
      <c r="K15" s="3"/>
      <c r="L15" s="3"/>
      <c r="M15" s="3">
        <f t="shared" si="2"/>
        <v>0</v>
      </c>
    </row>
    <row r="16" spans="2:13" x14ac:dyDescent="0.3">
      <c r="C16" s="3"/>
      <c r="D16" s="3"/>
      <c r="E16" s="3"/>
      <c r="F16" s="3">
        <f t="shared" si="0"/>
        <v>0</v>
      </c>
      <c r="G16" s="3"/>
      <c r="H16" s="3"/>
      <c r="I16" s="3"/>
      <c r="J16" s="3">
        <f t="shared" si="1"/>
        <v>0</v>
      </c>
      <c r="K16" s="3"/>
      <c r="L16" s="3"/>
      <c r="M16" s="3">
        <f t="shared" si="2"/>
        <v>0</v>
      </c>
    </row>
    <row r="17" spans="3:13" x14ac:dyDescent="0.3">
      <c r="C17" s="3" t="s">
        <v>95</v>
      </c>
      <c r="D17" s="3"/>
      <c r="E17" s="3"/>
      <c r="F17" s="3">
        <f t="shared" si="0"/>
        <v>0</v>
      </c>
      <c r="G17" s="3" t="s">
        <v>107</v>
      </c>
      <c r="H17" s="3"/>
      <c r="I17" s="3"/>
      <c r="J17" s="3">
        <f t="shared" si="1"/>
        <v>0</v>
      </c>
      <c r="K17" s="3"/>
      <c r="L17" s="3"/>
      <c r="M17" s="3">
        <f t="shared" si="2"/>
        <v>0</v>
      </c>
    </row>
    <row r="18" spans="3:13" x14ac:dyDescent="0.3">
      <c r="C18" s="3"/>
      <c r="D18" s="3"/>
      <c r="E18" s="3"/>
      <c r="F18" s="3">
        <f t="shared" si="0"/>
        <v>0</v>
      </c>
      <c r="G18" s="3" t="s">
        <v>108</v>
      </c>
      <c r="H18" s="3"/>
      <c r="I18" s="3"/>
      <c r="J18" s="3">
        <f t="shared" si="1"/>
        <v>0</v>
      </c>
      <c r="K18" s="3"/>
      <c r="L18" s="3"/>
      <c r="M18" s="3">
        <f t="shared" si="2"/>
        <v>0</v>
      </c>
    </row>
    <row r="19" spans="3:13" x14ac:dyDescent="0.3">
      <c r="C19" s="3"/>
      <c r="D19" s="3"/>
      <c r="E19" s="3"/>
      <c r="F19" s="3">
        <f t="shared" si="0"/>
        <v>0</v>
      </c>
      <c r="G19" s="3"/>
      <c r="H19" s="3"/>
      <c r="I19" s="3"/>
      <c r="J19" s="3">
        <f t="shared" si="1"/>
        <v>0</v>
      </c>
      <c r="K19" s="3"/>
      <c r="L19" s="3"/>
      <c r="M19" s="3">
        <f t="shared" si="2"/>
        <v>0</v>
      </c>
    </row>
    <row r="20" spans="3:13" x14ac:dyDescent="0.3">
      <c r="C20" s="3" t="s">
        <v>95</v>
      </c>
      <c r="D20" s="3"/>
      <c r="E20" s="3"/>
      <c r="F20" s="3">
        <f t="shared" si="0"/>
        <v>0</v>
      </c>
      <c r="G20" s="3" t="s">
        <v>107</v>
      </c>
      <c r="H20" s="3"/>
      <c r="I20" s="3"/>
      <c r="J20" s="3">
        <f t="shared" si="1"/>
        <v>0</v>
      </c>
      <c r="K20" s="3"/>
      <c r="L20" s="3"/>
      <c r="M20" s="3">
        <f t="shared" si="2"/>
        <v>0</v>
      </c>
    </row>
    <row r="21" spans="3:13" x14ac:dyDescent="0.3">
      <c r="C21" s="3"/>
      <c r="D21" s="3"/>
      <c r="E21" s="3"/>
      <c r="F21" s="3">
        <f t="shared" si="0"/>
        <v>0</v>
      </c>
      <c r="G21" s="3" t="s">
        <v>108</v>
      </c>
      <c r="H21" s="3"/>
      <c r="I21" s="3"/>
      <c r="J21" s="3">
        <f t="shared" si="1"/>
        <v>0</v>
      </c>
      <c r="K21" s="3"/>
      <c r="L21" s="3"/>
      <c r="M21" s="3">
        <f t="shared" si="2"/>
        <v>0</v>
      </c>
    </row>
    <row r="22" spans="3:13" x14ac:dyDescent="0.3">
      <c r="C22" s="3"/>
      <c r="D22" s="3"/>
      <c r="E22" s="3"/>
      <c r="F22" s="3">
        <f t="shared" si="0"/>
        <v>0</v>
      </c>
      <c r="G22" s="3"/>
      <c r="H22" s="3"/>
      <c r="I22" s="3"/>
      <c r="J22" s="3">
        <f t="shared" si="1"/>
        <v>0</v>
      </c>
      <c r="K22" s="3"/>
      <c r="L22" s="3"/>
      <c r="M22" s="3">
        <f t="shared" si="2"/>
        <v>0</v>
      </c>
    </row>
    <row r="23" spans="3:13" x14ac:dyDescent="0.3">
      <c r="C23" s="3" t="s">
        <v>101</v>
      </c>
      <c r="D23" s="3"/>
      <c r="E23" s="3"/>
      <c r="F23" s="3">
        <f t="shared" si="0"/>
        <v>0</v>
      </c>
      <c r="G23" s="3" t="s">
        <v>109</v>
      </c>
      <c r="H23" s="3"/>
      <c r="I23" s="3"/>
      <c r="J23" s="3">
        <f t="shared" si="1"/>
        <v>0</v>
      </c>
      <c r="K23" s="3"/>
      <c r="L23" s="3"/>
      <c r="M23" s="3">
        <f t="shared" si="2"/>
        <v>0</v>
      </c>
    </row>
    <row r="24" spans="3:13" x14ac:dyDescent="0.3">
      <c r="C24" s="3" t="s">
        <v>102</v>
      </c>
      <c r="D24" s="3"/>
      <c r="E24" s="3"/>
      <c r="F24" s="3">
        <f t="shared" si="0"/>
        <v>0</v>
      </c>
      <c r="G24" s="3" t="s">
        <v>109</v>
      </c>
      <c r="H24" s="3"/>
      <c r="I24" s="3"/>
      <c r="J24" s="3">
        <f t="shared" si="1"/>
        <v>0</v>
      </c>
      <c r="K24" s="3"/>
      <c r="L24" s="3"/>
      <c r="M24" s="3">
        <f t="shared" si="2"/>
        <v>0</v>
      </c>
    </row>
    <row r="25" spans="3:13" x14ac:dyDescent="0.3">
      <c r="C25" s="3" t="s">
        <v>103</v>
      </c>
      <c r="D25" s="3"/>
      <c r="E25" s="3"/>
      <c r="F25" s="3">
        <f t="shared" si="0"/>
        <v>0</v>
      </c>
      <c r="G25" s="3" t="s">
        <v>109</v>
      </c>
      <c r="H25" s="3"/>
      <c r="I25" s="3"/>
      <c r="J25" s="3">
        <f t="shared" si="1"/>
        <v>0</v>
      </c>
      <c r="K25" s="3"/>
      <c r="L25" s="3"/>
      <c r="M25" s="3">
        <f t="shared" si="2"/>
        <v>0</v>
      </c>
    </row>
    <row r="26" spans="3:13" x14ac:dyDescent="0.3">
      <c r="C26" s="3"/>
      <c r="D26" s="3"/>
      <c r="E26" s="3"/>
      <c r="F26" s="3">
        <f t="shared" si="0"/>
        <v>0</v>
      </c>
      <c r="G26" s="3"/>
      <c r="H26" s="3"/>
      <c r="I26" s="3"/>
      <c r="J26" s="3">
        <f t="shared" si="1"/>
        <v>0</v>
      </c>
      <c r="K26" s="3"/>
      <c r="L26" s="3"/>
      <c r="M26" s="3">
        <f t="shared" si="2"/>
        <v>0</v>
      </c>
    </row>
    <row r="27" spans="3:13" x14ac:dyDescent="0.3">
      <c r="C27" s="3" t="s">
        <v>97</v>
      </c>
      <c r="D27" s="3"/>
      <c r="E27" s="3"/>
      <c r="F27" s="3">
        <f t="shared" si="0"/>
        <v>0</v>
      </c>
      <c r="G27" s="3"/>
      <c r="H27" s="3"/>
      <c r="I27" s="3"/>
      <c r="J27" s="3">
        <f t="shared" si="1"/>
        <v>0</v>
      </c>
      <c r="K27" s="3"/>
      <c r="L27" s="3"/>
      <c r="M27" s="3">
        <f t="shared" si="2"/>
        <v>0</v>
      </c>
    </row>
    <row r="28" spans="3:13" x14ac:dyDescent="0.3">
      <c r="C28" s="3" t="s">
        <v>98</v>
      </c>
      <c r="D28" s="3"/>
      <c r="E28" s="3"/>
      <c r="F28" s="3">
        <f t="shared" si="0"/>
        <v>0</v>
      </c>
      <c r="G28" s="3"/>
      <c r="H28" s="3"/>
      <c r="I28" s="3"/>
      <c r="J28" s="3">
        <f t="shared" si="1"/>
        <v>0</v>
      </c>
      <c r="K28" s="3"/>
      <c r="L28" s="3"/>
      <c r="M28" s="3">
        <f t="shared" si="2"/>
        <v>0</v>
      </c>
    </row>
    <row r="29" spans="3:13" x14ac:dyDescent="0.3">
      <c r="C29" s="3" t="s">
        <v>99</v>
      </c>
      <c r="D29" s="3"/>
      <c r="E29" s="3"/>
      <c r="F29" s="3">
        <f t="shared" si="0"/>
        <v>0</v>
      </c>
      <c r="G29" s="3"/>
      <c r="H29" s="3"/>
      <c r="I29" s="3"/>
      <c r="J29" s="3">
        <f t="shared" si="1"/>
        <v>0</v>
      </c>
      <c r="K29" s="3"/>
      <c r="L29" s="3"/>
      <c r="M29" s="3">
        <f t="shared" si="2"/>
        <v>0</v>
      </c>
    </row>
    <row r="30" spans="3:13" x14ac:dyDescent="0.3">
      <c r="C30" s="3" t="s">
        <v>100</v>
      </c>
      <c r="D30" s="3"/>
      <c r="E30" s="3"/>
      <c r="F30" s="3">
        <f t="shared" si="0"/>
        <v>0</v>
      </c>
      <c r="G30" s="3"/>
      <c r="H30" s="3"/>
      <c r="I30" s="3"/>
      <c r="J30" s="3">
        <f>H30*I30</f>
        <v>0</v>
      </c>
      <c r="K30" s="3"/>
      <c r="L30" s="3"/>
      <c r="M30" s="3">
        <f>K30*L30</f>
        <v>0</v>
      </c>
    </row>
    <row r="31" spans="3:13" x14ac:dyDescent="0.3">
      <c r="C31" s="3"/>
      <c r="D31" s="3"/>
      <c r="E31" s="3"/>
      <c r="F31" s="3">
        <f t="shared" si="0"/>
        <v>0</v>
      </c>
      <c r="G31" s="3"/>
      <c r="H31" s="3"/>
      <c r="I31" s="3"/>
      <c r="J31" s="3">
        <f>H31*I31</f>
        <v>0</v>
      </c>
      <c r="K31" s="3"/>
      <c r="L31" s="3"/>
      <c r="M31" s="3">
        <f>K31*L31</f>
        <v>0</v>
      </c>
    </row>
    <row r="32" spans="3:13" x14ac:dyDescent="0.3">
      <c r="C32" s="3"/>
      <c r="D32" s="3"/>
      <c r="E32" s="3"/>
      <c r="F32" s="3">
        <f t="shared" si="0"/>
        <v>0</v>
      </c>
      <c r="G32" s="3"/>
      <c r="H32" s="3"/>
      <c r="I32" s="3"/>
      <c r="J32" s="3">
        <f>H32*I32</f>
        <v>0</v>
      </c>
      <c r="K32" s="3"/>
      <c r="L32" s="3"/>
      <c r="M32" s="3">
        <f>K32*L32</f>
        <v>0</v>
      </c>
    </row>
    <row r="33" spans="3:13" x14ac:dyDescent="0.3">
      <c r="C33" s="3"/>
      <c r="D33" s="3"/>
      <c r="E33" s="3"/>
      <c r="F33" s="3">
        <f t="shared" si="0"/>
        <v>0</v>
      </c>
      <c r="G33" s="3"/>
      <c r="H33" s="3"/>
      <c r="I33" s="3"/>
      <c r="J33" s="3">
        <f>H33*I33</f>
        <v>0</v>
      </c>
      <c r="K33" s="3"/>
      <c r="L33" s="3"/>
      <c r="M33" s="3">
        <f>K33*L33</f>
        <v>0</v>
      </c>
    </row>
    <row r="34" spans="3:13" x14ac:dyDescent="0.3">
      <c r="C34" s="3" t="s">
        <v>104</v>
      </c>
      <c r="D34" s="3"/>
      <c r="E34" s="3">
        <f>F34*10.764</f>
        <v>0</v>
      </c>
      <c r="F34" s="3">
        <f>SUM(F6:F33)</f>
        <v>0</v>
      </c>
      <c r="G34" s="3"/>
      <c r="H34" s="3"/>
      <c r="I34" s="3">
        <f>J34*10.764</f>
        <v>0</v>
      </c>
      <c r="J34" s="3">
        <f>SUM(J6:J33)</f>
        <v>0</v>
      </c>
      <c r="K34" s="3"/>
      <c r="L34" s="3">
        <f>M34*10.764</f>
        <v>0</v>
      </c>
      <c r="M34" s="3">
        <f>SUM(M6:M33)</f>
        <v>0</v>
      </c>
    </row>
  </sheetData>
  <mergeCells count="4">
    <mergeCell ref="D2:E2"/>
    <mergeCell ref="D4:F4"/>
    <mergeCell ref="H4:J4"/>
    <mergeCell ref="K4:M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3"/>
  <sheetViews>
    <sheetView topLeftCell="A2" workbookViewId="0">
      <selection activeCell="H9" sqref="H9"/>
    </sheetView>
  </sheetViews>
  <sheetFormatPr defaultRowHeight="14.4" x14ac:dyDescent="0.3"/>
  <cols>
    <col min="2" max="2" width="17.88671875" customWidth="1"/>
    <col min="3" max="3" width="36.33203125" customWidth="1"/>
    <col min="5" max="5" width="11.6640625" customWidth="1"/>
    <col min="6" max="6" width="15.5546875" customWidth="1"/>
    <col min="7" max="7" width="24.88671875" customWidth="1"/>
    <col min="8" max="8" width="26.44140625" customWidth="1"/>
  </cols>
  <sheetData>
    <row r="1" spans="1:9" x14ac:dyDescent="0.3">
      <c r="A1" s="38"/>
      <c r="B1" s="38"/>
      <c r="C1" s="38"/>
      <c r="D1" s="38"/>
      <c r="E1" s="38"/>
      <c r="F1" s="38"/>
      <c r="G1" s="38"/>
      <c r="H1" s="38"/>
      <c r="I1" s="39"/>
    </row>
    <row r="2" spans="1:9" x14ac:dyDescent="0.3">
      <c r="A2" s="40"/>
      <c r="B2" s="40"/>
      <c r="C2" s="40"/>
      <c r="D2" s="40"/>
      <c r="E2" s="40"/>
      <c r="F2" s="40"/>
      <c r="G2" s="40"/>
      <c r="H2" s="40"/>
      <c r="I2" s="39"/>
    </row>
    <row r="3" spans="1:9" x14ac:dyDescent="0.3">
      <c r="A3" s="40"/>
      <c r="B3" s="251" t="s">
        <v>216</v>
      </c>
      <c r="C3" s="251"/>
      <c r="D3" s="251"/>
      <c r="E3" s="251"/>
      <c r="F3" s="251"/>
      <c r="G3" s="251"/>
      <c r="H3" s="251"/>
      <c r="I3" s="39"/>
    </row>
    <row r="4" spans="1:9" x14ac:dyDescent="0.3">
      <c r="A4" s="40"/>
      <c r="B4" s="41" t="s">
        <v>217</v>
      </c>
      <c r="C4" s="41" t="s">
        <v>218</v>
      </c>
      <c r="D4" s="41" t="s">
        <v>106</v>
      </c>
      <c r="E4" s="41" t="s">
        <v>219</v>
      </c>
      <c r="F4" s="41" t="s">
        <v>220</v>
      </c>
      <c r="G4" s="41" t="s">
        <v>221</v>
      </c>
      <c r="H4" s="41" t="s">
        <v>222</v>
      </c>
      <c r="I4" s="39"/>
    </row>
    <row r="5" spans="1:9" x14ac:dyDescent="0.3">
      <c r="A5" s="40"/>
      <c r="B5" s="42" t="s">
        <v>223</v>
      </c>
      <c r="C5" s="43" t="s">
        <v>224</v>
      </c>
      <c r="D5" s="42" t="s">
        <v>225</v>
      </c>
      <c r="E5" s="42">
        <v>494</v>
      </c>
      <c r="F5" s="44">
        <f>E5*1.5</f>
        <v>741</v>
      </c>
      <c r="G5" s="44">
        <f>H5/F5</f>
        <v>7692.3076923076924</v>
      </c>
      <c r="H5" s="45">
        <v>5700000</v>
      </c>
      <c r="I5" s="39"/>
    </row>
    <row r="6" spans="1:9" x14ac:dyDescent="0.3">
      <c r="A6" s="40"/>
      <c r="B6" s="42" t="s">
        <v>223</v>
      </c>
      <c r="C6" s="43" t="s">
        <v>224</v>
      </c>
      <c r="D6" s="42" t="s">
        <v>226</v>
      </c>
      <c r="E6" s="42">
        <v>390</v>
      </c>
      <c r="F6" s="44">
        <f>E6*1.5</f>
        <v>585</v>
      </c>
      <c r="G6" s="44">
        <f>H6/F6</f>
        <v>7863.2478632478633</v>
      </c>
      <c r="H6" s="45">
        <v>4600000</v>
      </c>
      <c r="I6" s="39"/>
    </row>
    <row r="7" spans="1:9" x14ac:dyDescent="0.3">
      <c r="A7" s="40"/>
      <c r="B7" s="42" t="s">
        <v>223</v>
      </c>
      <c r="C7" s="43" t="s">
        <v>224</v>
      </c>
      <c r="D7" s="42" t="s">
        <v>226</v>
      </c>
      <c r="E7" s="42">
        <v>409</v>
      </c>
      <c r="F7" s="44">
        <f>E7*1.5</f>
        <v>613.5</v>
      </c>
      <c r="G7" s="44">
        <f>H7/F7</f>
        <v>7171.9641401792987</v>
      </c>
      <c r="H7" s="45">
        <v>4400000</v>
      </c>
      <c r="I7" s="39"/>
    </row>
    <row r="8" spans="1:9" x14ac:dyDescent="0.3">
      <c r="A8" s="40"/>
      <c r="B8" s="42" t="s">
        <v>223</v>
      </c>
      <c r="C8" s="43" t="s">
        <v>224</v>
      </c>
      <c r="D8" s="42" t="s">
        <v>225</v>
      </c>
      <c r="E8" s="42">
        <v>628</v>
      </c>
      <c r="F8" s="44">
        <f>E8*1.5</f>
        <v>942</v>
      </c>
      <c r="G8" s="44">
        <f>H8/F8</f>
        <v>8174.0976645435248</v>
      </c>
      <c r="H8" s="45">
        <v>7700000</v>
      </c>
      <c r="I8" s="39"/>
    </row>
    <row r="9" spans="1:9" x14ac:dyDescent="0.3">
      <c r="A9" s="40"/>
      <c r="B9" s="46" t="s">
        <v>227</v>
      </c>
      <c r="C9" s="42"/>
      <c r="D9" s="42"/>
      <c r="E9" s="42"/>
      <c r="F9" s="42"/>
      <c r="G9" s="47">
        <f>AVERAGE(G5:G8)</f>
        <v>7725.4043400695946</v>
      </c>
      <c r="H9" s="42"/>
      <c r="I9" s="39"/>
    </row>
    <row r="10" spans="1:9" x14ac:dyDescent="0.3">
      <c r="A10" s="38"/>
      <c r="B10" s="46" t="s">
        <v>228</v>
      </c>
      <c r="C10" s="42"/>
      <c r="D10" s="42"/>
      <c r="E10" s="42"/>
      <c r="F10" s="48"/>
      <c r="G10" s="46">
        <v>7700</v>
      </c>
      <c r="H10" s="46"/>
      <c r="I10" s="49"/>
    </row>
    <row r="11" spans="1:9" x14ac:dyDescent="0.3">
      <c r="A11" s="39"/>
      <c r="B11" s="38"/>
      <c r="C11" s="38"/>
      <c r="D11" s="38"/>
      <c r="E11" s="38"/>
      <c r="F11" s="39"/>
      <c r="G11" s="39"/>
      <c r="H11" s="39"/>
      <c r="I11" s="39"/>
    </row>
    <row r="12" spans="1:9" x14ac:dyDescent="0.3">
      <c r="A12" s="39"/>
      <c r="B12" s="38"/>
      <c r="C12" s="38"/>
      <c r="D12" s="38"/>
      <c r="E12" s="38"/>
      <c r="F12" s="39"/>
      <c r="G12" s="39"/>
      <c r="H12" s="39"/>
      <c r="I12" s="39"/>
    </row>
    <row r="13" spans="1:9" x14ac:dyDescent="0.3">
      <c r="A13" s="39"/>
      <c r="B13" s="38"/>
      <c r="C13" s="38"/>
      <c r="D13" s="38"/>
      <c r="E13" s="38"/>
      <c r="F13" s="39"/>
      <c r="G13" s="39"/>
      <c r="H13" s="39"/>
      <c r="I13" s="39"/>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vt:lpstr>
      <vt:lpstr>C%</vt:lpstr>
      <vt:lpstr>Note</vt:lpstr>
      <vt:lpstr>.</vt:lpstr>
      <vt:lpstr>Wing A</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2025-09-09T11:04:29Z</cp:lastPrinted>
  <dcterms:created xsi:type="dcterms:W3CDTF">2013-11-23T05:32:33Z</dcterms:created>
  <dcterms:modified xsi:type="dcterms:W3CDTF">2025-09-09T11:05:22Z</dcterms:modified>
</cp:coreProperties>
</file>