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DCE55166-6548-4C14-9D01-92BDEC65A79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Report!$A$1:$H$427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6" i="1" l="1"/>
  <c r="H146" i="1"/>
  <c r="J150" i="1" l="1"/>
  <c r="C149" i="1" s="1"/>
  <c r="D149" i="1" s="1"/>
  <c r="J148" i="1"/>
  <c r="J145" i="1"/>
  <c r="J147" i="1" s="1"/>
  <c r="D151" i="1"/>
  <c r="D158" i="1"/>
  <c r="D154" i="1"/>
  <c r="D152" i="1"/>
  <c r="D155" i="1"/>
  <c r="D156" i="1"/>
  <c r="D157" i="1"/>
  <c r="D153" i="1"/>
  <c r="J149" i="1"/>
  <c r="J155" i="1"/>
  <c r="J156" i="1"/>
  <c r="J153" i="1"/>
  <c r="J151" i="1"/>
  <c r="J152" i="1" s="1"/>
  <c r="J157" i="1" s="1"/>
  <c r="J158" i="1" s="1"/>
  <c r="C150" i="1" s="1"/>
  <c r="J154" i="1"/>
  <c r="D62" i="1"/>
  <c r="K236" i="1"/>
  <c r="M234" i="1"/>
  <c r="O202" i="1"/>
  <c r="O204" i="1"/>
  <c r="O208" i="1"/>
  <c r="O210" i="1"/>
  <c r="N222" i="1"/>
  <c r="N224" i="1"/>
  <c r="N231" i="1"/>
  <c r="N233" i="1"/>
  <c r="N238" i="1"/>
  <c r="N199" i="1"/>
  <c r="M220" i="1"/>
  <c r="M221" i="1"/>
  <c r="M222" i="1"/>
  <c r="M224" i="1"/>
  <c r="M225" i="1"/>
  <c r="M226" i="1"/>
  <c r="M227" i="1"/>
  <c r="M228" i="1"/>
  <c r="M229" i="1"/>
  <c r="M230" i="1"/>
  <c r="M219" i="1"/>
  <c r="K293" i="1"/>
  <c r="E149" i="1" l="1"/>
  <c r="D150" i="1"/>
  <c r="I146" i="1" s="1"/>
  <c r="I147" i="1" s="1"/>
  <c r="J146" i="1"/>
  <c r="G149" i="1"/>
  <c r="J277" i="1"/>
  <c r="I277" i="1"/>
  <c r="J276" i="1"/>
  <c r="I276" i="1"/>
  <c r="J271" i="1"/>
  <c r="I271" i="1"/>
  <c r="J268" i="1"/>
  <c r="I268" i="1"/>
  <c r="I260" i="1"/>
  <c r="J246" i="1"/>
  <c r="I246" i="1"/>
  <c r="I240" i="1"/>
  <c r="E226" i="1"/>
  <c r="D226" i="1"/>
  <c r="E230" i="1"/>
  <c r="D230" i="1"/>
  <c r="E236" i="1"/>
  <c r="D236" i="1"/>
  <c r="E235" i="1"/>
  <c r="D235" i="1"/>
  <c r="E234" i="1"/>
  <c r="D234" i="1"/>
  <c r="E233" i="1"/>
  <c r="D233" i="1"/>
  <c r="E232" i="1"/>
  <c r="D232" i="1"/>
  <c r="E223" i="1"/>
  <c r="D223" i="1"/>
  <c r="E222" i="1"/>
  <c r="D222" i="1"/>
  <c r="E221" i="1"/>
  <c r="D221" i="1"/>
  <c r="E220" i="1"/>
  <c r="D220" i="1"/>
  <c r="E219" i="1"/>
  <c r="D219" i="1"/>
  <c r="E218" i="1"/>
  <c r="D218" i="1"/>
  <c r="E216" i="1"/>
  <c r="D216" i="1"/>
  <c r="E211" i="1"/>
  <c r="D211" i="1"/>
  <c r="I234" i="1"/>
  <c r="I235" i="1"/>
  <c r="J235" i="1"/>
  <c r="J234" i="1"/>
  <c r="J226" i="1"/>
  <c r="I226" i="1"/>
  <c r="J222" i="1"/>
  <c r="I222" i="1"/>
  <c r="J219" i="1"/>
  <c r="I219" i="1"/>
  <c r="J211" i="1"/>
  <c r="I211" i="1"/>
  <c r="A218" i="1"/>
  <c r="A232" i="1"/>
  <c r="I145" i="1" l="1"/>
  <c r="C147" i="1" s="1"/>
  <c r="C188" i="1"/>
  <c r="C189" i="1"/>
  <c r="F218" i="1"/>
  <c r="H218" i="1" s="1"/>
  <c r="F219" i="1"/>
  <c r="H219" i="1" s="1"/>
  <c r="F220" i="1"/>
  <c r="H220" i="1" s="1"/>
  <c r="F221" i="1"/>
  <c r="H221" i="1" s="1"/>
  <c r="F232" i="1"/>
  <c r="H232" i="1" s="1"/>
  <c r="F233" i="1"/>
  <c r="H233" i="1" s="1"/>
  <c r="F234" i="1"/>
  <c r="H234" i="1" s="1"/>
  <c r="F235" i="1"/>
  <c r="H235" i="1" s="1"/>
  <c r="F236" i="1"/>
  <c r="H236" i="1" s="1"/>
  <c r="F230" i="1"/>
  <c r="H230" i="1" s="1"/>
  <c r="F216" i="1"/>
  <c r="H216" i="1" s="1"/>
  <c r="F223" i="1"/>
  <c r="H223" i="1" s="1"/>
  <c r="F222" i="1"/>
  <c r="H222" i="1" s="1"/>
  <c r="F226" i="1"/>
  <c r="F211" i="1"/>
  <c r="E279" i="1"/>
  <c r="D279" i="1"/>
  <c r="E278" i="1"/>
  <c r="D278" i="1"/>
  <c r="E277" i="1"/>
  <c r="D277" i="1"/>
  <c r="E276" i="1"/>
  <c r="D276" i="1"/>
  <c r="E272" i="1"/>
  <c r="D272" i="1"/>
  <c r="E271" i="1"/>
  <c r="D271" i="1"/>
  <c r="E270" i="1"/>
  <c r="D270" i="1"/>
  <c r="E269" i="1"/>
  <c r="D269" i="1"/>
  <c r="E268" i="1"/>
  <c r="D268" i="1"/>
  <c r="E267" i="1"/>
  <c r="D267" i="1"/>
  <c r="E263" i="1"/>
  <c r="D263" i="1"/>
  <c r="E262" i="1"/>
  <c r="D262" i="1"/>
  <c r="E261" i="1"/>
  <c r="D261" i="1"/>
  <c r="E256" i="1"/>
  <c r="D256" i="1"/>
  <c r="E255" i="1"/>
  <c r="D255" i="1"/>
  <c r="E254" i="1"/>
  <c r="D254" i="1"/>
  <c r="E253" i="1"/>
  <c r="D253" i="1"/>
  <c r="E249" i="1"/>
  <c r="D249" i="1"/>
  <c r="E248" i="1"/>
  <c r="D248" i="1"/>
  <c r="E247" i="1"/>
  <c r="D247" i="1"/>
  <c r="E243" i="1"/>
  <c r="D243" i="1"/>
  <c r="E242" i="1"/>
  <c r="D242" i="1"/>
  <c r="E241" i="1"/>
  <c r="D241" i="1"/>
  <c r="I262" i="1"/>
  <c r="J262" i="1"/>
  <c r="J260" i="1"/>
  <c r="J255" i="1"/>
  <c r="J254" i="1"/>
  <c r="I255" i="1"/>
  <c r="I254" i="1"/>
  <c r="J240" i="1"/>
  <c r="E43" i="1"/>
  <c r="A276" i="1"/>
  <c r="A233" i="1"/>
  <c r="A219" i="1"/>
  <c r="A267" i="1"/>
  <c r="A253" i="1"/>
  <c r="A247" i="1"/>
  <c r="A261" i="1"/>
  <c r="A241" i="1"/>
  <c r="C193" i="1" l="1"/>
  <c r="C190" i="1"/>
  <c r="C200" i="1"/>
  <c r="H226" i="1"/>
  <c r="G189" i="1" s="1"/>
  <c r="E189" i="1"/>
  <c r="H211" i="1"/>
  <c r="G188" i="1" s="1"/>
  <c r="E188" i="1"/>
  <c r="F255" i="1"/>
  <c r="O213" i="1" s="1"/>
  <c r="F262" i="1"/>
  <c r="N220" i="1" s="1"/>
  <c r="F271" i="1"/>
  <c r="N229" i="1" s="1"/>
  <c r="F279" i="1"/>
  <c r="N237" i="1" s="1"/>
  <c r="F241" i="1"/>
  <c r="F268" i="1"/>
  <c r="N226" i="1" s="1"/>
  <c r="F272" i="1"/>
  <c r="N230" i="1" s="1"/>
  <c r="F277" i="1"/>
  <c r="N235" i="1" s="1"/>
  <c r="F242" i="1"/>
  <c r="F243" i="1"/>
  <c r="F247" i="1"/>
  <c r="O205" i="1" s="1"/>
  <c r="F248" i="1"/>
  <c r="O206" i="1" s="1"/>
  <c r="F249" i="1"/>
  <c r="O207" i="1" s="1"/>
  <c r="F253" i="1"/>
  <c r="F254" i="1"/>
  <c r="O212" i="1" s="1"/>
  <c r="F256" i="1"/>
  <c r="O214" i="1" s="1"/>
  <c r="F261" i="1"/>
  <c r="N219" i="1" s="1"/>
  <c r="F263" i="1"/>
  <c r="F269" i="1"/>
  <c r="N227" i="1" s="1"/>
  <c r="F270" i="1"/>
  <c r="N228" i="1" s="1"/>
  <c r="F276" i="1"/>
  <c r="F278" i="1"/>
  <c r="N236" i="1" s="1"/>
  <c r="C201" i="1"/>
  <c r="C194" i="1"/>
  <c r="C199" i="1"/>
  <c r="F267" i="1"/>
  <c r="N225" i="1" s="1"/>
  <c r="C195" i="1"/>
  <c r="B282" i="1"/>
  <c r="A268" i="1"/>
  <c r="A248" i="1"/>
  <c r="A242" i="1"/>
  <c r="A254" i="1"/>
  <c r="A220" i="1"/>
  <c r="A234" i="1"/>
  <c r="A277" i="1"/>
  <c r="A262" i="1"/>
  <c r="E190" i="1" l="1"/>
  <c r="O200" i="1"/>
  <c r="M200" i="1"/>
  <c r="O201" i="1"/>
  <c r="M201" i="1"/>
  <c r="O211" i="1"/>
  <c r="M211" i="1"/>
  <c r="N221" i="1"/>
  <c r="L221" i="1"/>
  <c r="N234" i="1"/>
  <c r="K234" i="1"/>
  <c r="M199" i="1"/>
  <c r="O199" i="1"/>
  <c r="G190" i="1"/>
  <c r="G201" i="1"/>
  <c r="G199" i="1"/>
  <c r="G193" i="1"/>
  <c r="C202" i="1"/>
  <c r="C196" i="1"/>
  <c r="G195" i="1"/>
  <c r="E195" i="1"/>
  <c r="E201" i="1"/>
  <c r="E199" i="1"/>
  <c r="E194" i="1"/>
  <c r="G194" i="1"/>
  <c r="E193" i="1"/>
  <c r="G200" i="1"/>
  <c r="E200" i="1"/>
  <c r="A221" i="1"/>
  <c r="A255" i="1"/>
  <c r="A235" i="1"/>
  <c r="A278" i="1"/>
  <c r="A243" i="1"/>
  <c r="A263" i="1"/>
  <c r="A249" i="1"/>
  <c r="A269" i="1"/>
  <c r="C203" i="1" l="1"/>
  <c r="G202" i="1"/>
  <c r="G196" i="1"/>
  <c r="E202" i="1"/>
  <c r="E196" i="1"/>
  <c r="G56" i="1"/>
  <c r="C56" i="1"/>
  <c r="C54" i="1"/>
  <c r="A279" i="1"/>
  <c r="A236" i="1"/>
  <c r="A222" i="1"/>
  <c r="A256" i="1"/>
  <c r="A270" i="1"/>
  <c r="E203" i="1" l="1"/>
  <c r="G203" i="1"/>
  <c r="S33" i="1"/>
  <c r="A271" i="1"/>
  <c r="A223" i="1"/>
  <c r="F11" i="5" l="1"/>
  <c r="G11" i="5" s="1"/>
  <c r="F10" i="5"/>
  <c r="G10" i="5" s="1"/>
  <c r="F9" i="5"/>
  <c r="G9" i="5" s="1"/>
  <c r="F8" i="5"/>
  <c r="G8" i="5" s="1"/>
  <c r="F7" i="5"/>
  <c r="G7" i="5" s="1"/>
  <c r="F6" i="5"/>
  <c r="G6" i="5" s="1"/>
  <c r="F5" i="5"/>
  <c r="G5" i="5" s="1"/>
  <c r="G12" i="5" s="1"/>
  <c r="D303" i="1"/>
  <c r="F185" i="1"/>
  <c r="C75" i="1"/>
  <c r="D69" i="1"/>
  <c r="C51" i="1"/>
  <c r="E44" i="1"/>
  <c r="E45" i="1" s="1"/>
  <c r="E31" i="1"/>
  <c r="E28" i="1"/>
  <c r="E26" i="1"/>
  <c r="C16" i="1"/>
  <c r="I15" i="1"/>
  <c r="Z13" i="1"/>
  <c r="E8" i="1"/>
  <c r="E3" i="1"/>
  <c r="H132" i="1"/>
  <c r="H90" i="1"/>
  <c r="A272" i="1"/>
  <c r="H76" i="1"/>
  <c r="J75" i="1" l="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J131" i="1"/>
  <c r="J133" i="1" s="1"/>
  <c r="D140" i="1"/>
  <c r="D142" i="1"/>
  <c r="J136" i="1"/>
  <c r="C135" i="1" s="1"/>
  <c r="D135" i="1" s="1"/>
  <c r="D141" i="1"/>
  <c r="J135" i="1"/>
  <c r="D139" i="1"/>
  <c r="J134" i="1"/>
  <c r="D138" i="1"/>
  <c r="D144" i="1"/>
  <c r="D143" i="1"/>
  <c r="B132" i="1"/>
  <c r="B90" i="1"/>
  <c r="B76" i="1"/>
  <c r="J81" i="1" s="1"/>
  <c r="B118" i="1" l="1"/>
  <c r="B160" i="1"/>
  <c r="C93" i="1"/>
  <c r="D93" i="1" s="1"/>
  <c r="I90" i="1" s="1"/>
  <c r="I91" i="1" s="1"/>
  <c r="D79" i="1"/>
  <c r="D137" i="1"/>
  <c r="J142" i="1"/>
  <c r="J139" i="1"/>
  <c r="J141" i="1"/>
  <c r="J140" i="1"/>
  <c r="J137" i="1"/>
  <c r="J138" i="1" s="1"/>
  <c r="J143" i="1" s="1"/>
  <c r="J144" i="1" s="1"/>
  <c r="C136" i="1" s="1"/>
  <c r="E135" i="1" s="1"/>
  <c r="J100" i="1"/>
  <c r="J97" i="1"/>
  <c r="J99" i="1"/>
  <c r="J98" i="1"/>
  <c r="J95" i="1"/>
  <c r="J96" i="1" s="1"/>
  <c r="J85" i="1"/>
  <c r="J83" i="1"/>
  <c r="J84" i="1"/>
  <c r="J82" i="1"/>
  <c r="J87" i="1" s="1"/>
  <c r="J88" i="1" s="1"/>
  <c r="C80" i="1" s="1"/>
  <c r="J86" i="1"/>
  <c r="H118" i="1"/>
  <c r="H160" i="1"/>
  <c r="J122" i="1" l="1"/>
  <c r="C121" i="1" s="1"/>
  <c r="D121" i="1" s="1"/>
  <c r="D128" i="1"/>
  <c r="D124" i="1"/>
  <c r="D127" i="1"/>
  <c r="D130" i="1"/>
  <c r="D126" i="1"/>
  <c r="D122" i="1"/>
  <c r="J121" i="1"/>
  <c r="E121" i="1"/>
  <c r="D123" i="1"/>
  <c r="D129" i="1"/>
  <c r="D125" i="1"/>
  <c r="J120" i="1"/>
  <c r="J117" i="1"/>
  <c r="J119" i="1" s="1"/>
  <c r="J126" i="1"/>
  <c r="J125" i="1"/>
  <c r="J123" i="1"/>
  <c r="J124" i="1" s="1"/>
  <c r="J129" i="1" s="1"/>
  <c r="J130" i="1" s="1"/>
  <c r="J128" i="1"/>
  <c r="J127" i="1"/>
  <c r="J164" i="1"/>
  <c r="C163" i="1" s="1"/>
  <c r="D163" i="1" s="1"/>
  <c r="J162" i="1"/>
  <c r="J159" i="1"/>
  <c r="J161" i="1" s="1"/>
  <c r="D172" i="1"/>
  <c r="D168" i="1"/>
  <c r="D167" i="1"/>
  <c r="D166" i="1"/>
  <c r="D165" i="1"/>
  <c r="J163" i="1"/>
  <c r="D170" i="1"/>
  <c r="D171" i="1"/>
  <c r="D169" i="1"/>
  <c r="J168" i="1"/>
  <c r="J165" i="1"/>
  <c r="J166" i="1" s="1"/>
  <c r="J171" i="1" s="1"/>
  <c r="J172" i="1" s="1"/>
  <c r="C164" i="1" s="1"/>
  <c r="J167" i="1"/>
  <c r="J170" i="1"/>
  <c r="J169" i="1"/>
  <c r="G93" i="1"/>
  <c r="J76" i="1"/>
  <c r="J101" i="1"/>
  <c r="J102" i="1" s="1"/>
  <c r="J90" i="1" s="1"/>
  <c r="I89" i="1" s="1"/>
  <c r="C91" i="1" s="1"/>
  <c r="D136" i="1"/>
  <c r="I132" i="1" s="1"/>
  <c r="J132" i="1"/>
  <c r="G135" i="1"/>
  <c r="E79" i="1"/>
  <c r="D80" i="1"/>
  <c r="G79" i="1"/>
  <c r="D73" i="1" s="1"/>
  <c r="I118" i="1" l="1"/>
  <c r="I119" i="1" s="1"/>
  <c r="G121" i="1"/>
  <c r="J118" i="1"/>
  <c r="I76" i="1"/>
  <c r="I77" i="1" s="1"/>
  <c r="I75" i="1" s="1"/>
  <c r="C77" i="1" s="1"/>
  <c r="E163" i="1"/>
  <c r="D164" i="1"/>
  <c r="I160" i="1" s="1"/>
  <c r="I161" i="1" s="1"/>
  <c r="J160" i="1"/>
  <c r="G163" i="1"/>
  <c r="F74" i="1"/>
  <c r="D74" i="1"/>
  <c r="I133" i="1"/>
  <c r="I131" i="1" s="1"/>
  <c r="C133" i="1" s="1"/>
  <c r="I117" i="1" l="1"/>
  <c r="C119" i="1" s="1"/>
  <c r="B104" i="1"/>
  <c r="I159" i="1"/>
  <c r="C161" i="1" s="1"/>
  <c r="H104" i="1"/>
  <c r="D116" i="1" l="1"/>
  <c r="D112" i="1"/>
  <c r="D113" i="1"/>
  <c r="D109" i="1"/>
  <c r="J106" i="1"/>
  <c r="J103" i="1"/>
  <c r="J105" i="1" s="1"/>
  <c r="J108" i="1"/>
  <c r="C107" i="1" s="1"/>
  <c r="D107" i="1" s="1"/>
  <c r="D108" i="1"/>
  <c r="J107" i="1"/>
  <c r="D115" i="1"/>
  <c r="D111" i="1"/>
  <c r="E107" i="1"/>
  <c r="D114" i="1"/>
  <c r="D110" i="1"/>
  <c r="J113" i="1"/>
  <c r="J109" i="1"/>
  <c r="J110" i="1" s="1"/>
  <c r="J115" i="1" s="1"/>
  <c r="J116" i="1" s="1"/>
  <c r="J112" i="1"/>
  <c r="J111" i="1"/>
  <c r="J114" i="1"/>
  <c r="I104" i="1" l="1"/>
  <c r="I105" i="1" s="1"/>
  <c r="G107" i="1"/>
  <c r="J104" i="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7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7"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<sst xmlns="http://schemas.openxmlformats.org/spreadsheetml/2006/main" count="828" uniqueCount="359">
  <si>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</si>
  <si>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</si>
  <si>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</si>
  <si>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</si>
  <si>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</si>
  <si>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</si>
  <si>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</si>
  <si>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</si>
  <si>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</si>
  <si>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</si>
  <si>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</si>
  <si>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</si>
  <si>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</si>
  <si>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</si>
  <si>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</si>
  <si>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</si>
  <si>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</si>
  <si>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</si>
  <si>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</si>
  <si>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</si>
  <si>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</si>
  <si>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</si>
  <si>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</si>
  <si>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</si>
  <si>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</si>
  <si>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</si>
  <si>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</si>
  <si>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</si>
  <si>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</si>
  <si>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</si>
  <si>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</si>
  <si>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</si>
  <si>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</si>
  <si>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</si>
  <si>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</si>
  <si>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</si>
  <si>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</si>
  <si>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</si>
  <si>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</si>
  <si>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</si>
  <si>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</si>
  <si>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</si>
  <si>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</si>
  <si>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</si>
  <si>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</si>
  <si>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</si>
  <si>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</si>
  <si>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</si>
  <si>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</si>
  <si>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</si>
  <si>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</si>
  <si>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</si>
  <si>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</si>
  <si>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</si>
  <si>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</si>
  <si>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</si>
  <si>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</si>
  <si>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</si>
  <si>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</si>
  <si>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</si>
  <si>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</si>
  <si>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</si>
  <si>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</si>
  <si>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</si>
  <si>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</si>
  <si>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</si>
  <si>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</si>
  <si>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</si>
  <si>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</si>
  <si>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</si>
  <si>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</si>
  <si>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</si>
  <si>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</si>
  <si>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</si>
  <si>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</si>
  <si>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</si>
  <si>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</si>
  <si>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</si>
  <si>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</si>
  <si>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</si>
  <si>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</si>
  <si>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</si>
  <si>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</si>
  <si>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</si>
  <si>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</si>
  <si>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</si>
  <si>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</si>
  <si>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</si>
  <si>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</si>
  <si>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</si>
  <si>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</si>
  <si>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</si>
  <si>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</si>
  <si>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</si>
  <si>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</si>
  <si>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</si>
  <si>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</si>
  <si>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</si>
  <si>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</si>
  <si>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</si>
  <si>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</si>
  <si>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</si>
  <si>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</si>
  <si>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</si>
  <si>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</si>
  <si>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</si>
  <si>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</si>
  <si>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</si>
  <si>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</si>
  <si>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</si>
  <si>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</si>
  <si>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</si>
  <si>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</si>
  <si>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</si>
  <si>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</si>
  <si>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</si>
  <si>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</si>
  <si>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</si>
  <si>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</si>
  <si>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</si>
  <si>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</si>
  <si>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</si>
  <si>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</si>
  <si>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</si>
  <si>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</si>
  <si>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</si>
  <si>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</si>
  <si>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</si>
  <si>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</si>
  <si>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</si>
  <si>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</si>
  <si>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</si>
  <si>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</si>
  <si>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</si>
  <si>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</si>
  <si>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</si>
  <si>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</si>
  <si>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</si>
  <si>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</si>
  <si>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</si>
  <si>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</si>
  <si>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</si>
  <si>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</si>
  <si>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</si>
  <si>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</si>
  <si>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</si>
  <si>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</si>
  <si>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</si>
  <si>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</si>
  <si>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</si>
  <si>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</si>
  <si>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</si>
  <si>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</si>
  <si>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</si>
  <si>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</si>
  <si>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</si>
  <si>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</si>
  <si>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</si>
  <si>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</si>
  <si>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</si>
  <si>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</si>
  <si>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</si>
  <si>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</si>
  <si>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</si>
  <si>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</si>
  <si>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</si>
  <si>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</si>
  <si>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</si>
  <si>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</si>
  <si>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</si>
  <si>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</si>
  <si>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</si>
  <si>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</si>
  <si>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</si>
  <si>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</si>
  <si>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</si>
  <si>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</si>
  <si>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</si>
  <si>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</si>
  <si>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</si>
  <si>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</si>
  <si>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</si>
  <si>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</si>
  <si>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</si>
  <si>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</si>
  <si>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</si>
  <si>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</si>
  <si>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</si>
  <si>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</si>
  <si>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</si>
  <si>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</si>
  <si>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</si>
  <si>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</si>
  <si>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</si>
  <si>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</si>
  <si>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</si>
  <si>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</si>
  <si>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</si>
  <si>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</si>
  <si>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</si>
  <si>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</si>
  <si>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</si>
  <si>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</si>
  <si>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</si>
  <si>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</si>
  <si>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</si>
  <si>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</si>
  <si>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</si>
  <si>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</si>
  <si>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</si>
  <si>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</si>
  <si>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</si>
  <si>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</si>
  <si>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</si>
  <si>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</si>
  <si>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</si>
  <si>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</si>
  <si>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</si>
  <si>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</si>
  <si>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</si>
  <si>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</si>
  <si>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</si>
  <si>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</si>
  <si>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</si>
  <si>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</si>
  <si>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</si>
  <si>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</si>
  <si>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</si>
  <si>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</si>
  <si>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</si>
  <si>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</si>
  <si>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</si>
  <si>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</si>
  <si>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</si>
  <si>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</si>
  <si>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</si>
  <si>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</si>
  <si>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</si>
  <si>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</si>
  <si>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</si>
  <si>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</si>
  <si>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</si>
  <si>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</si>
  <si>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</si>
  <si>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</si>
  <si>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</si>
  <si>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</si>
  <si>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</si>
  <si>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</si>
  <si>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</si>
  <si>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</si>
  <si>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</si>
  <si>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</si>
  <si>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</si>
  <si>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</si>
  <si>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</si>
  <si>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</si>
  <si>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</si>
  <si>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</si>
  <si>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</si>
  <si>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</si>
  <si>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</si>
  <si>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</si>
  <si>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</si>
  <si>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</si>
  <si>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</si>
  <si>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</si>
  <si>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</si>
  <si>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</si>
  <si>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</si>
  <si>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</si>
  <si>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</si>
  <si>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</si>
  <si>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</si>
  <si>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</si>
  <si>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</si>
  <si>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</si>
  <si>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</si>
  <si>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</si>
  <si>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</si>
  <si>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</si>
  <si>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</si>
  <si>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</si>
  <si>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</si>
  <si>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</si>
  <si>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</si>
  <si>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</si>
  <si>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Megha Enterprises
</t>
  </si>
  <si>
    <t>Vrundavan I</t>
  </si>
  <si>
    <t>P52000054632</t>
  </si>
  <si>
    <t>Gut No</t>
  </si>
  <si>
    <t>116/2 &amp; 117/1</t>
  </si>
  <si>
    <t>Arivali</t>
  </si>
  <si>
    <t>MSRDC/SPA/BP245/CC/2021/595</t>
  </si>
  <si>
    <t>MSRDC/SPA/BP-245/CC/2021/595</t>
  </si>
  <si>
    <t>The Builtup Area = 10362.38 Sq.mtrs.</t>
  </si>
  <si>
    <t>As per RERA - 31/12/2026</t>
  </si>
  <si>
    <t>Building No.2 (Wing A, B &amp; C) = G + 1st to 7th Floor</t>
  </si>
  <si>
    <t>Building No.3 (Wing A, B &amp; C) = G + 1st to 7th Floor</t>
  </si>
  <si>
    <t>Building No.2</t>
  </si>
  <si>
    <t>Wing A</t>
  </si>
  <si>
    <t>1RK</t>
  </si>
  <si>
    <t>Wing B</t>
  </si>
  <si>
    <t>Wing C</t>
  </si>
  <si>
    <t>1BHK</t>
  </si>
  <si>
    <t>Building No.3</t>
  </si>
  <si>
    <t>2BHK</t>
  </si>
  <si>
    <t>Residential Area Details : Building  No.2</t>
  </si>
  <si>
    <t>Residential Area Details : Building  No.3</t>
  </si>
  <si>
    <t>Panvel East</t>
  </si>
  <si>
    <t>8.9 KM from Panvel Railway Station</t>
  </si>
  <si>
    <t>Open Plot</t>
  </si>
  <si>
    <t>Swimming Pool, Fitness Area, Childrens Play Area etc.</t>
  </si>
  <si>
    <t>Building No.1</t>
  </si>
  <si>
    <t>Ground  Floor For Residential, Parking, Drivers Room, Society Office &amp; Lobby</t>
  </si>
  <si>
    <t>-</t>
  </si>
  <si>
    <t>Society Office</t>
  </si>
  <si>
    <t>Drivers Room</t>
  </si>
  <si>
    <t>1st to 7th Floor For Residential</t>
  </si>
  <si>
    <t xml:space="preserve">Details of Residential Building   </t>
  </si>
  <si>
    <t>Residential Area Details : Building  No.1</t>
  </si>
  <si>
    <t>Building No.1 (Wing A &amp; B) = G + 1st to 7th Floor</t>
  </si>
  <si>
    <t>18.951636,73.155738</t>
  </si>
  <si>
    <t>https://maps.app.goo.gl/ird5ZSeFU1jSmLmG7</t>
  </si>
  <si>
    <t>Balcony Area</t>
  </si>
  <si>
    <t xml:space="preserve">We considered Gross carpet area = Net carpet + Balcony </t>
  </si>
  <si>
    <t>Mumbai-Pune Expressway</t>
  </si>
  <si>
    <t>Virat Nagari</t>
  </si>
  <si>
    <t>Other Plot</t>
  </si>
  <si>
    <t>Under Construction Building</t>
  </si>
  <si>
    <t>Building No.1 (Wing A &amp; B) is dreafted and hided</t>
  </si>
  <si>
    <t>Building No.2 (Wing A, B &amp; C)
Building No.3 (Wing A, B &amp; C)</t>
  </si>
  <si>
    <t>02 Building (6 Wings)</t>
  </si>
  <si>
    <t>Ground Floor For Parking &amp; Entrance Lobby</t>
  </si>
  <si>
    <r>
      <t xml:space="preserve">Flat No.
</t>
    </r>
    <r>
      <rPr>
        <b/>
        <sz val="11"/>
        <color theme="1"/>
        <rFont val="Times New Roman"/>
        <family val="1"/>
      </rPr>
      <t>(Approved Plan)</t>
    </r>
  </si>
  <si>
    <t>Building No.2 (Wing A, B &amp; C) = G + 1st to 7th Floor
Building No.3 (Wing A, B &amp; C) = G + 1st to 7th Floor</t>
  </si>
  <si>
    <t>Flats -161</t>
  </si>
  <si>
    <t xml:space="preserve">Building No. 1 is not drafted because it is not registered on RERA.
</t>
  </si>
  <si>
    <t>Building No.3 (Wing  C) = G + 1st to 7th Floor</t>
  </si>
  <si>
    <r>
      <t xml:space="preserve">Proposed Amenities :                                                                                                                                                                                                                         </t>
    </r>
    <r>
      <rPr>
        <b/>
        <sz val="12"/>
        <color theme="1"/>
        <rFont val="Times New Roman"/>
        <family val="1"/>
      </rPr>
      <t xml:space="preserve">                                               </t>
    </r>
  </si>
  <si>
    <t>Navi/West/B/122116/187407</t>
  </si>
  <si>
    <t>Valid Upto:</t>
  </si>
  <si>
    <t xml:space="preserve">Airport Noc No
Site Elevation Height:
Permissible Top Elevation
</t>
  </si>
  <si>
    <t>23.62M(AMSL)
153.62M(AMSL)</t>
  </si>
  <si>
    <t>Builder Saleable Area</t>
  </si>
  <si>
    <t>Approved Plans, CC, Cost Sheet, Airport Noc, Builder Saleable Area</t>
  </si>
  <si>
    <t>Development &amp; Other Charges</t>
  </si>
  <si>
    <t>Society Formation &amp; Club Charges</t>
  </si>
  <si>
    <t>Club House</t>
  </si>
  <si>
    <t>Approved area of building (Sq.Mt)
(Building No. 2 &amp; 3)</t>
  </si>
  <si>
    <t>Highway is nearby (48 to 50 m) away from the West side of the project.</t>
  </si>
  <si>
    <t xml:space="preserve">Construction work is in process at the time of Visit.
</t>
  </si>
  <si>
    <t xml:space="preserve"> Ravindra Vishwakarma</t>
  </si>
  <si>
    <t>Building No.2 (Wing A) = G + 1st to 7th Floor</t>
  </si>
  <si>
    <t>Building No.2 (Wing B) = G + 1st to 7th Floor</t>
  </si>
  <si>
    <t>Building No.2 (Wing C) = G + 1st to 7th Floor</t>
  </si>
  <si>
    <t>Building No.3 (Wing A ) = G + 1st to 7th Floor</t>
  </si>
  <si>
    <t>Building No.3 (Wing B ) = G + 1st to 7th Floor</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</si>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</sst>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5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5" fillId="0" borderId="0" xfId="1" applyNumberFormat="1" applyFont="1" applyAlignment="1" applyProtection="1">
      <alignment horizontal="center" vertical="center" wrapText="1"/>
      <protection locked="0"/>
    </xf>
    <xf numFmtId="164" fontId="6" fillId="0" borderId="0" xfId="1" applyNumberFormat="1" applyFont="1" applyAlignment="1">
      <alignment horizontal="center" vertical="center"/>
    </xf>
    <xf numFmtId="0" fontId="6" fillId="2" borderId="0" xfId="1" applyFont="1" applyFill="1"/>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8" xfId="0" applyNumberFormat="1" applyFont="1" applyBorder="1" applyAlignment="1" applyProtection="1">
      <alignment horizontal="center" vertical="center" wrapText="1"/>
      <protection locked="0"/>
    </xf>
    <xf numFmtId="1" fontId="5" fillId="0" borderId="9"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5" fillId="0" borderId="0" xfId="1" applyFont="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4" fontId="6" fillId="0" borderId="1" xfId="1" applyNumberFormat="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9" fillId="0" borderId="1" xfId="1" applyFont="1" applyBorder="1" applyAlignment="1" applyProtection="1">
      <alignment horizontal="center" vertical="top"/>
      <protection locked="0"/>
    </xf>
    <xf numFmtId="0" fontId="7" fillId="0" borderId="16" xfId="1" applyFont="1" applyBorder="1" applyAlignment="1" applyProtection="1">
      <alignment horizontal="center"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11"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8" xfId="1" applyNumberFormat="1" applyFont="1" applyBorder="1" applyAlignment="1" applyProtection="1">
      <alignment horizontal="left" vertical="top"/>
      <protection locked="0"/>
    </xf>
    <xf numFmtId="2" fontId="5" fillId="0" borderId="21" xfId="1" applyNumberFormat="1" applyFont="1" applyBorder="1" applyAlignment="1" applyProtection="1">
      <alignment horizontal="left" vertical="top"/>
      <protection locked="0"/>
    </xf>
    <xf numFmtId="2" fontId="5" fillId="0" borderId="9" xfId="1" applyNumberFormat="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4" fillId="0" borderId="1" xfId="10" applyFill="1" applyBorder="1" applyAlignment="1" applyProtection="1">
      <alignment horizontal="lef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44</xdr:row>
      <xdr:rowOff>57150</xdr:rowOff>
    </xdr:from>
    <xdr:to>
      <xdr:col>11</xdr:col>
      <xdr:colOff>733425</xdr:colOff>
      <xdr:row>50</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57975" y="10515600"/>
          <a:ext cx="3019425" cy="1533525"/>
        </a:xfrm>
        <a:prstGeom prst="rect">
          <a:avLst/>
        </a:prstGeom>
      </xdr:spPr>
    </xdr:pic>
    <xdr:clientData/>
  </xdr:twoCellAnchor>
  <xdr:twoCellAnchor editAs="oneCell">
    <xdr:from>
      <xdr:col>8</xdr:col>
      <xdr:colOff>238124</xdr:colOff>
      <xdr:row>52</xdr:row>
      <xdr:rowOff>0</xdr:rowOff>
    </xdr:from>
    <xdr:to>
      <xdr:col>13</xdr:col>
      <xdr:colOff>181080</xdr:colOff>
      <xdr:row>61</xdr:row>
      <xdr:rowOff>211275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553199" y="11649075"/>
          <a:ext cx="4286356" cy="1440000"/>
        </a:xfrm>
        <a:prstGeom prst="rect">
          <a:avLst/>
        </a:prstGeom>
      </xdr:spPr>
    </xdr:pic>
    <xdr:clientData/>
  </xdr:twoCellAnchor>
  <xdr:twoCellAnchor editAs="oneCell">
    <xdr:from>
      <xdr:col>8</xdr:col>
      <xdr:colOff>371475</xdr:colOff>
      <xdr:row>238</xdr:row>
      <xdr:rowOff>38100</xdr:rowOff>
    </xdr:from>
    <xdr:to>
      <xdr:col>12</xdr:col>
      <xdr:colOff>19050</xdr:colOff>
      <xdr:row>253</xdr:row>
      <xdr:rowOff>131174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686550" y="29175075"/>
          <a:ext cx="3200400" cy="2893425"/>
        </a:xfrm>
        <a:prstGeom prst="rect">
          <a:avLst/>
        </a:prstGeom>
      </xdr:spPr>
    </xdr:pic>
    <xdr:clientData/>
  </xdr:twoCellAnchor>
  <xdr:twoCellAnchor editAs="oneCell">
    <xdr:from>
      <xdr:col>8</xdr:col>
      <xdr:colOff>161926</xdr:colOff>
      <xdr:row>257</xdr:row>
      <xdr:rowOff>142875</xdr:rowOff>
    </xdr:from>
    <xdr:to>
      <xdr:col>11</xdr:col>
      <xdr:colOff>257175</xdr:colOff>
      <xdr:row>272</xdr:row>
      <xdr:rowOff>31465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477001" y="32880300"/>
          <a:ext cx="2724149" cy="2880000"/>
        </a:xfrm>
        <a:prstGeom prst="rect">
          <a:avLst/>
        </a:prstGeom>
      </xdr:spPr>
    </xdr:pic>
    <xdr:clientData/>
  </xdr:twoCellAnchor>
  <xdr:twoCellAnchor editAs="oneCell">
    <xdr:from>
      <xdr:col>8</xdr:col>
      <xdr:colOff>647702</xdr:colOff>
      <xdr:row>184</xdr:row>
      <xdr:rowOff>28575</xdr:rowOff>
    </xdr:from>
    <xdr:to>
      <xdr:col>12</xdr:col>
      <xdr:colOff>209551</xdr:colOff>
      <xdr:row>202</xdr:row>
      <xdr:rowOff>23643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962777" y="23517225"/>
          <a:ext cx="3114674" cy="3600000"/>
        </a:xfrm>
        <a:prstGeom prst="rect">
          <a:avLst/>
        </a:prstGeom>
      </xdr:spPr>
    </xdr:pic>
    <xdr:clientData/>
  </xdr:twoCellAnchor>
  <xdr:twoCellAnchor editAs="oneCell">
    <xdr:from>
      <xdr:col>0</xdr:col>
      <xdr:colOff>561975</xdr:colOff>
      <xdr:row>386</xdr:row>
      <xdr:rowOff>76200</xdr:rowOff>
    </xdr:from>
    <xdr:to>
      <xdr:col>7</xdr:col>
      <xdr:colOff>269081</xdr:colOff>
      <xdr:row>407</xdr:row>
      <xdr:rowOff>195675</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61975" y="70989825"/>
          <a:ext cx="5288756" cy="4320000"/>
        </a:xfrm>
        <a:prstGeom prst="rect">
          <a:avLst/>
        </a:prstGeom>
      </xdr:spPr>
    </xdr:pic>
    <xdr:clientData/>
  </xdr:twoCellAnchor>
  <xdr:twoCellAnchor>
    <xdr:from>
      <xdr:col>1</xdr:col>
      <xdr:colOff>438149</xdr:colOff>
      <xdr:row>408</xdr:row>
      <xdr:rowOff>114300</xdr:rowOff>
    </xdr:from>
    <xdr:to>
      <xdr:col>6</xdr:col>
      <xdr:colOff>685800</xdr:colOff>
      <xdr:row>425</xdr:row>
      <xdr:rowOff>53340</xdr:rowOff>
    </xdr:to>
    <xdr:grpSp>
      <xdr:nvGrpSpPr>
        <xdr:cNvPr id="4" name="Group 3">
          <a:extLst>
            <a:ext uri="{FF2B5EF4-FFF2-40B4-BE49-F238E27FC236}">
              <a16:creationId xmlns:a16="http://schemas.microsoft.com/office/drawing/2014/main" id="{9D0F7808-DEEB-940A-3567-9B0AD743A298}"/>
            </a:ext>
          </a:extLst>
        </xdr:cNvPr>
        <xdr:cNvGrpSpPr/>
      </xdr:nvGrpSpPr>
      <xdr:grpSpPr>
        <a:xfrm>
          <a:off x="1223009" y="79354680"/>
          <a:ext cx="4438651" cy="3307080"/>
          <a:chOff x="1040129" y="63878460"/>
          <a:chExt cx="4118611" cy="3521344"/>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7"/>
          <a:stretch>
            <a:fillRect/>
          </a:stretch>
        </xdr:blipFill>
        <xdr:spPr>
          <a:xfrm>
            <a:off x="1040129" y="63878460"/>
            <a:ext cx="4118611" cy="3521344"/>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rot="20684366">
            <a:off x="3038940" y="65382819"/>
            <a:ext cx="665324" cy="87623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rot="20591499">
            <a:off x="3879287" y="65351927"/>
            <a:ext cx="422682" cy="69453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TextBox 27">
            <a:extLst>
              <a:ext uri="{FF2B5EF4-FFF2-40B4-BE49-F238E27FC236}">
                <a16:creationId xmlns:a16="http://schemas.microsoft.com/office/drawing/2014/main" id="{00000000-0008-0000-0000-00001C000000}"/>
              </a:ext>
            </a:extLst>
          </xdr:cNvPr>
          <xdr:cNvSpPr txBox="1"/>
        </xdr:nvSpPr>
        <xdr:spPr>
          <a:xfrm rot="20723358">
            <a:off x="3585211" y="65109090"/>
            <a:ext cx="933450" cy="340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rgbClr val="FFFF00"/>
                </a:solidFill>
              </a:rPr>
              <a:t>Building</a:t>
            </a:r>
            <a:r>
              <a:rPr lang="en-IN" sz="1100" baseline="0">
                <a:solidFill>
                  <a:srgbClr val="FFFF00"/>
                </a:solidFill>
              </a:rPr>
              <a:t> 1</a:t>
            </a:r>
            <a:endParaRPr lang="en-IN" sz="1100">
              <a:solidFill>
                <a:srgbClr val="FFFF00"/>
              </a:solidFill>
            </a:endParaRPr>
          </a:p>
        </xdr:txBody>
      </xdr:sp>
      <xdr:sp macro="" textlink="">
        <xdr:nvSpPr>
          <xdr:cNvPr id="29" name="TextBox 28">
            <a:extLst>
              <a:ext uri="{FF2B5EF4-FFF2-40B4-BE49-F238E27FC236}">
                <a16:creationId xmlns:a16="http://schemas.microsoft.com/office/drawing/2014/main" id="{00000000-0008-0000-0000-00001D000000}"/>
              </a:ext>
            </a:extLst>
          </xdr:cNvPr>
          <xdr:cNvSpPr txBox="1"/>
        </xdr:nvSpPr>
        <xdr:spPr>
          <a:xfrm rot="20767914">
            <a:off x="2600324" y="65118615"/>
            <a:ext cx="1156335" cy="340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rgbClr val="FFFF00"/>
                </a:solidFill>
              </a:rPr>
              <a:t>Building</a:t>
            </a:r>
            <a:r>
              <a:rPr lang="en-IN" sz="1100" baseline="0">
                <a:solidFill>
                  <a:srgbClr val="FFFF00"/>
                </a:solidFill>
              </a:rPr>
              <a:t> 2 &amp; 3</a:t>
            </a:r>
            <a:endParaRPr lang="en-IN" sz="1100">
              <a:solidFill>
                <a:srgbClr val="FFFF00"/>
              </a:solidFill>
            </a:endParaRPr>
          </a:p>
        </xdr:txBody>
      </xdr:sp>
    </xdr:grpSp>
    <xdr:clientData/>
  </xdr:twoCellAnchor>
  <xdr:twoCellAnchor editAs="oneCell">
    <xdr:from>
      <xdr:col>1</xdr:col>
      <xdr:colOff>400049</xdr:colOff>
      <xdr:row>344</xdr:row>
      <xdr:rowOff>200024</xdr:rowOff>
    </xdr:from>
    <xdr:to>
      <xdr:col>5</xdr:col>
      <xdr:colOff>676942</xdr:colOff>
      <xdr:row>363</xdr:row>
      <xdr:rowOff>2724</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8"/>
        <a:stretch>
          <a:fillRect/>
        </a:stretch>
      </xdr:blipFill>
      <xdr:spPr>
        <a:xfrm>
          <a:off x="1162049" y="60512324"/>
          <a:ext cx="3620168" cy="3600000"/>
        </a:xfrm>
        <a:prstGeom prst="rect">
          <a:avLst/>
        </a:prstGeom>
        <a:ln>
          <a:solidFill>
            <a:schemeClr val="tx1"/>
          </a:solidFill>
        </a:ln>
      </xdr:spPr>
    </xdr:pic>
    <xdr:clientData/>
  </xdr:twoCellAnchor>
  <xdr:twoCellAnchor editAs="oneCell">
    <xdr:from>
      <xdr:col>1</xdr:col>
      <xdr:colOff>381000</xdr:colOff>
      <xdr:row>364</xdr:row>
      <xdr:rowOff>28575</xdr:rowOff>
    </xdr:from>
    <xdr:to>
      <xdr:col>5</xdr:col>
      <xdr:colOff>426720</xdr:colOff>
      <xdr:row>384</xdr:row>
      <xdr:rowOff>8959</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9"/>
        <a:stretch>
          <a:fillRect/>
        </a:stretch>
      </xdr:blipFill>
      <xdr:spPr>
        <a:xfrm>
          <a:off x="1165860" y="54816375"/>
          <a:ext cx="3474720" cy="3942783"/>
        </a:xfrm>
        <a:prstGeom prst="rect">
          <a:avLst/>
        </a:prstGeom>
        <a:ln>
          <a:solidFill>
            <a:schemeClr val="tx1"/>
          </a:solidFill>
        </a:ln>
      </xdr:spPr>
    </xdr:pic>
    <xdr:clientData/>
  </xdr:twoCellAnchor>
  <xdr:twoCellAnchor>
    <xdr:from>
      <xdr:col>8</xdr:col>
      <xdr:colOff>1033388</xdr:colOff>
      <xdr:row>301</xdr:row>
      <xdr:rowOff>141898</xdr:rowOff>
    </xdr:from>
    <xdr:to>
      <xdr:col>16</xdr:col>
      <xdr:colOff>153861</xdr:colOff>
      <xdr:row>339</xdr:row>
      <xdr:rowOff>147126</xdr:rowOff>
    </xdr:to>
    <xdr:grpSp>
      <xdr:nvGrpSpPr>
        <xdr:cNvPr id="8" name="Group 7">
          <a:extLst>
            <a:ext uri="{FF2B5EF4-FFF2-40B4-BE49-F238E27FC236}">
              <a16:creationId xmlns:a16="http://schemas.microsoft.com/office/drawing/2014/main" id="{0F23DBFC-7BF6-1A0E-C213-17F11F09C621}"/>
            </a:ext>
          </a:extLst>
        </xdr:cNvPr>
        <xdr:cNvGrpSpPr/>
      </xdr:nvGrpSpPr>
      <xdr:grpSpPr>
        <a:xfrm>
          <a:off x="7518008" y="58183438"/>
          <a:ext cx="6085153" cy="7533788"/>
          <a:chOff x="316446" y="1484888"/>
          <a:chExt cx="6236674" cy="7230827"/>
        </a:xfrm>
      </xdr:grpSpPr>
      <xdr:pic>
        <xdr:nvPicPr>
          <xdr:cNvPr id="9" name="Picture 8">
            <a:extLst>
              <a:ext uri="{FF2B5EF4-FFF2-40B4-BE49-F238E27FC236}">
                <a16:creationId xmlns:a16="http://schemas.microsoft.com/office/drawing/2014/main" id="{FA7B8F1A-FAE1-2851-FA5F-09F62A3D5CF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18617" y="6546675"/>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DB6A5632-0607-D512-324E-9E18EA06EB8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55719" y="1486472"/>
            <a:ext cx="1997401" cy="26656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E388F124-FF68-CA20-5FF2-DEE6713540F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446752" y="422342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74B987F9-9437-588E-448A-9A0300D0746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16446" y="1484888"/>
            <a:ext cx="1997401" cy="26656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58DB6739-F091-FD94-45BF-9B8C82D11F2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440954" y="1492146"/>
            <a:ext cx="1997402" cy="26656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3B038634-BCAC-E84F-74AE-A803DBA06EE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65537" y="6555715"/>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A8925784-6936-FB9E-DABC-FF8794E3640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28162" y="422342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0E1445BB-AA02-BC84-D8D7-B5C32A90021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734670" y="4226392"/>
            <a:ext cx="1617687" cy="21589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633633</xdr:colOff>
      <xdr:row>324</xdr:row>
      <xdr:rowOff>159828</xdr:rowOff>
    </xdr:from>
    <xdr:to>
      <xdr:col>11</xdr:col>
      <xdr:colOff>644281</xdr:colOff>
      <xdr:row>326</xdr:row>
      <xdr:rowOff>159918</xdr:rowOff>
    </xdr:to>
    <xdr:sp macro="" textlink="">
      <xdr:nvSpPr>
        <xdr:cNvPr id="17" name="TextBox 123">
          <a:extLst>
            <a:ext uri="{FF2B5EF4-FFF2-40B4-BE49-F238E27FC236}">
              <a16:creationId xmlns:a16="http://schemas.microsoft.com/office/drawing/2014/main" id="{EB9A2983-19B8-4AAE-9840-6E7C5CA26CAB}"/>
            </a:ext>
          </a:extLst>
        </xdr:cNvPr>
        <xdr:cNvSpPr txBox="1"/>
      </xdr:nvSpPr>
      <xdr:spPr>
        <a:xfrm>
          <a:off x="8314593" y="62758128"/>
          <a:ext cx="1519408" cy="3963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Bldg No. 2A </a:t>
          </a:r>
          <a:endParaRPr lang="en-IN" sz="2000" b="1">
            <a:solidFill>
              <a:srgbClr val="FF0000"/>
            </a:solidFill>
          </a:endParaRPr>
        </a:p>
      </xdr:txBody>
    </xdr:sp>
    <xdr:clientData/>
  </xdr:twoCellAnchor>
  <xdr:twoCellAnchor>
    <xdr:from>
      <xdr:col>11</xdr:col>
      <xdr:colOff>753759</xdr:colOff>
      <xdr:row>325</xdr:row>
      <xdr:rowOff>79146</xdr:rowOff>
    </xdr:from>
    <xdr:to>
      <xdr:col>13</xdr:col>
      <xdr:colOff>503983</xdr:colOff>
      <xdr:row>327</xdr:row>
      <xdr:rowOff>79236</xdr:rowOff>
    </xdr:to>
    <xdr:sp macro="" textlink="">
      <xdr:nvSpPr>
        <xdr:cNvPr id="18" name="TextBox 123">
          <a:extLst>
            <a:ext uri="{FF2B5EF4-FFF2-40B4-BE49-F238E27FC236}">
              <a16:creationId xmlns:a16="http://schemas.microsoft.com/office/drawing/2014/main" id="{8A160D8D-2BCB-5D03-6E01-2FA25EDFAF54}"/>
            </a:ext>
          </a:extLst>
        </xdr:cNvPr>
        <xdr:cNvSpPr txBox="1"/>
      </xdr:nvSpPr>
      <xdr:spPr>
        <a:xfrm>
          <a:off x="9943479" y="62875566"/>
          <a:ext cx="1518064" cy="3963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Bldg No. 2B </a:t>
          </a:r>
          <a:endParaRPr lang="en-IN" sz="2000" b="1">
            <a:solidFill>
              <a:srgbClr val="FF0000"/>
            </a:solidFill>
          </a:endParaRPr>
        </a:p>
      </xdr:txBody>
    </xdr:sp>
    <xdr:clientData/>
  </xdr:twoCellAnchor>
  <xdr:twoCellAnchor>
    <xdr:from>
      <xdr:col>13</xdr:col>
      <xdr:colOff>577603</xdr:colOff>
      <xdr:row>325</xdr:row>
      <xdr:rowOff>97075</xdr:rowOff>
    </xdr:from>
    <xdr:to>
      <xdr:col>15</xdr:col>
      <xdr:colOff>410303</xdr:colOff>
      <xdr:row>327</xdr:row>
      <xdr:rowOff>97165</xdr:rowOff>
    </xdr:to>
    <xdr:sp macro="" textlink="">
      <xdr:nvSpPr>
        <xdr:cNvPr id="19" name="TextBox 123">
          <a:extLst>
            <a:ext uri="{FF2B5EF4-FFF2-40B4-BE49-F238E27FC236}">
              <a16:creationId xmlns:a16="http://schemas.microsoft.com/office/drawing/2014/main" id="{AAC0EF4A-D0B4-557E-D3D4-4CACB8DB4C69}"/>
            </a:ext>
          </a:extLst>
        </xdr:cNvPr>
        <xdr:cNvSpPr txBox="1"/>
      </xdr:nvSpPr>
      <xdr:spPr>
        <a:xfrm>
          <a:off x="11535163" y="62893495"/>
          <a:ext cx="1524340" cy="3963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Bldg No. 2C </a:t>
          </a:r>
          <a:endParaRPr lang="en-IN" sz="2000" b="1">
            <a:solidFill>
              <a:srgbClr val="FF0000"/>
            </a:solidFill>
          </a:endParaRPr>
        </a:p>
      </xdr:txBody>
    </xdr:sp>
    <xdr:clientData/>
  </xdr:twoCellAnchor>
  <xdr:twoCellAnchor>
    <xdr:from>
      <xdr:col>9</xdr:col>
      <xdr:colOff>162537</xdr:colOff>
      <xdr:row>313</xdr:row>
      <xdr:rowOff>15496</xdr:rowOff>
    </xdr:from>
    <xdr:to>
      <xdr:col>11</xdr:col>
      <xdr:colOff>170048</xdr:colOff>
      <xdr:row>315</xdr:row>
      <xdr:rowOff>15586</xdr:rowOff>
    </xdr:to>
    <xdr:sp macro="" textlink="">
      <xdr:nvSpPr>
        <xdr:cNvPr id="21" name="TextBox 123">
          <a:extLst>
            <a:ext uri="{FF2B5EF4-FFF2-40B4-BE49-F238E27FC236}">
              <a16:creationId xmlns:a16="http://schemas.microsoft.com/office/drawing/2014/main" id="{4EF8B31E-D007-4C26-B74A-3FA6BD3C9369}"/>
            </a:ext>
          </a:extLst>
        </xdr:cNvPr>
        <xdr:cNvSpPr txBox="1"/>
      </xdr:nvSpPr>
      <xdr:spPr>
        <a:xfrm>
          <a:off x="7843497" y="60434476"/>
          <a:ext cx="1516271" cy="3963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Bldg No. 3A </a:t>
          </a:r>
          <a:endParaRPr lang="en-IN" sz="2000" b="1">
            <a:solidFill>
              <a:srgbClr val="FF0000"/>
            </a:solidFill>
          </a:endParaRPr>
        </a:p>
      </xdr:txBody>
    </xdr:sp>
    <xdr:clientData/>
  </xdr:twoCellAnchor>
  <xdr:twoCellAnchor>
    <xdr:from>
      <xdr:col>11</xdr:col>
      <xdr:colOff>637217</xdr:colOff>
      <xdr:row>313</xdr:row>
      <xdr:rowOff>61216</xdr:rowOff>
    </xdr:from>
    <xdr:to>
      <xdr:col>13</xdr:col>
      <xdr:colOff>387441</xdr:colOff>
      <xdr:row>315</xdr:row>
      <xdr:rowOff>61306</xdr:rowOff>
    </xdr:to>
    <xdr:sp macro="" textlink="">
      <xdr:nvSpPr>
        <xdr:cNvPr id="23" name="TextBox 123">
          <a:extLst>
            <a:ext uri="{FF2B5EF4-FFF2-40B4-BE49-F238E27FC236}">
              <a16:creationId xmlns:a16="http://schemas.microsoft.com/office/drawing/2014/main" id="{45858697-E386-7620-F854-21113373017F}"/>
            </a:ext>
          </a:extLst>
        </xdr:cNvPr>
        <xdr:cNvSpPr txBox="1"/>
      </xdr:nvSpPr>
      <xdr:spPr>
        <a:xfrm>
          <a:off x="9826937" y="60480196"/>
          <a:ext cx="1518064" cy="3963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Bldg No. 3B </a:t>
          </a:r>
          <a:endParaRPr lang="en-IN" sz="2000" b="1">
            <a:solidFill>
              <a:srgbClr val="FF0000"/>
            </a:solidFill>
          </a:endParaRPr>
        </a:p>
      </xdr:txBody>
    </xdr:sp>
    <xdr:clientData/>
  </xdr:twoCellAnchor>
  <xdr:twoCellAnchor>
    <xdr:from>
      <xdr:col>13</xdr:col>
      <xdr:colOff>857750</xdr:colOff>
      <xdr:row>313</xdr:row>
      <xdr:rowOff>97074</xdr:rowOff>
    </xdr:from>
    <xdr:to>
      <xdr:col>15</xdr:col>
      <xdr:colOff>689552</xdr:colOff>
      <xdr:row>315</xdr:row>
      <xdr:rowOff>97164</xdr:rowOff>
    </xdr:to>
    <xdr:sp macro="" textlink="">
      <xdr:nvSpPr>
        <xdr:cNvPr id="30" name="TextBox 123">
          <a:extLst>
            <a:ext uri="{FF2B5EF4-FFF2-40B4-BE49-F238E27FC236}">
              <a16:creationId xmlns:a16="http://schemas.microsoft.com/office/drawing/2014/main" id="{814D0DDC-E6B2-0AE0-DF76-27817213208A}"/>
            </a:ext>
          </a:extLst>
        </xdr:cNvPr>
        <xdr:cNvSpPr txBox="1"/>
      </xdr:nvSpPr>
      <xdr:spPr>
        <a:xfrm>
          <a:off x="11815310" y="60516054"/>
          <a:ext cx="1523442" cy="3963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Bldg No. 3C </a:t>
          </a:r>
          <a:endParaRPr lang="en-IN" sz="2000" b="1">
            <a:solidFill>
              <a:srgbClr val="FF0000"/>
            </a:solidFill>
          </a:endParaRPr>
        </a:p>
      </xdr:txBody>
    </xdr:sp>
    <xdr:clientData/>
  </xdr:twoCellAnchor>
  <xdr:twoCellAnchor>
    <xdr:from>
      <xdr:col>0</xdr:col>
      <xdr:colOff>190500</xdr:colOff>
      <xdr:row>304</xdr:row>
      <xdr:rowOff>45720</xdr:rowOff>
    </xdr:from>
    <xdr:to>
      <xdr:col>7</xdr:col>
      <xdr:colOff>459404</xdr:colOff>
      <xdr:row>340</xdr:row>
      <xdr:rowOff>139972</xdr:rowOff>
    </xdr:to>
    <xdr:grpSp>
      <xdr:nvGrpSpPr>
        <xdr:cNvPr id="20" name="Group 19">
          <a:extLst>
            <a:ext uri="{FF2B5EF4-FFF2-40B4-BE49-F238E27FC236}">
              <a16:creationId xmlns:a16="http://schemas.microsoft.com/office/drawing/2014/main" id="{3AEDA65C-A45D-C41E-9264-5865B440E112}"/>
            </a:ext>
          </a:extLst>
        </xdr:cNvPr>
        <xdr:cNvGrpSpPr/>
      </xdr:nvGrpSpPr>
      <xdr:grpSpPr>
        <a:xfrm>
          <a:off x="190500" y="58681620"/>
          <a:ext cx="5999144" cy="7226572"/>
          <a:chOff x="139003" y="269400"/>
          <a:chExt cx="5999144" cy="7226572"/>
        </a:xfrm>
      </xdr:grpSpPr>
      <xdr:grpSp>
        <xdr:nvGrpSpPr>
          <xdr:cNvPr id="22" name="Group 21">
            <a:extLst>
              <a:ext uri="{FF2B5EF4-FFF2-40B4-BE49-F238E27FC236}">
                <a16:creationId xmlns:a16="http://schemas.microsoft.com/office/drawing/2014/main" id="{41FF6FB5-FE71-F94F-23C2-154221E52A44}"/>
              </a:ext>
            </a:extLst>
          </xdr:cNvPr>
          <xdr:cNvGrpSpPr/>
        </xdr:nvGrpSpPr>
        <xdr:grpSpPr>
          <a:xfrm>
            <a:off x="1181626" y="5695972"/>
            <a:ext cx="3913898" cy="1800000"/>
            <a:chOff x="678440" y="5695972"/>
            <a:chExt cx="3913898" cy="1800000"/>
          </a:xfrm>
        </xdr:grpSpPr>
        <xdr:pic>
          <xdr:nvPicPr>
            <xdr:cNvPr id="40" name="Picture 39">
              <a:extLst>
                <a:ext uri="{FF2B5EF4-FFF2-40B4-BE49-F238E27FC236}">
                  <a16:creationId xmlns:a16="http://schemas.microsoft.com/office/drawing/2014/main" id="{515DBD30-E501-BABF-AF8E-DE9741A820E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194560" y="5695972"/>
              <a:ext cx="2397778"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992C7ACD-684A-9776-39A2-FF67E508FC2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78440" y="5695972"/>
              <a:ext cx="1348594" cy="1800000"/>
            </a:xfrm>
            <a:prstGeom prst="rect">
              <a:avLst/>
            </a:prstGeom>
            <a:ln>
              <a:solidFill>
                <a:schemeClr val="tx1"/>
              </a:solidFill>
            </a:ln>
          </xdr:spPr>
        </xdr:pic>
      </xdr:grpSp>
      <xdr:grpSp>
        <xdr:nvGrpSpPr>
          <xdr:cNvPr id="31" name="Group 30">
            <a:extLst>
              <a:ext uri="{FF2B5EF4-FFF2-40B4-BE49-F238E27FC236}">
                <a16:creationId xmlns:a16="http://schemas.microsoft.com/office/drawing/2014/main" id="{E32846DA-3560-40FF-E9A9-18DA2E9E0252}"/>
              </a:ext>
            </a:extLst>
          </xdr:cNvPr>
          <xdr:cNvGrpSpPr/>
        </xdr:nvGrpSpPr>
        <xdr:grpSpPr>
          <a:xfrm>
            <a:off x="139003" y="269400"/>
            <a:ext cx="5999144" cy="5233286"/>
            <a:chOff x="139003" y="269400"/>
            <a:chExt cx="5999144" cy="5233286"/>
          </a:xfrm>
        </xdr:grpSpPr>
        <xdr:pic>
          <xdr:nvPicPr>
            <xdr:cNvPr id="34" name="Picture 33">
              <a:extLst>
                <a:ext uri="{FF2B5EF4-FFF2-40B4-BE49-F238E27FC236}">
                  <a16:creationId xmlns:a16="http://schemas.microsoft.com/office/drawing/2014/main" id="{0AFBB266-FB66-9683-B688-D9A5B629DE5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250116" y="269400"/>
              <a:ext cx="1888031"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7FE6E582-5084-8FB6-20D0-EBC5A8790C7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50115" y="2982686"/>
              <a:ext cx="1888031"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FA47CD16-DE41-449C-1F3F-D1734164B18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39004" y="269400"/>
              <a:ext cx="1888031"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113572AA-370F-0FFB-15CC-B5CB02C58FE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194560" y="269400"/>
              <a:ext cx="1888031" cy="2520000"/>
            </a:xfrm>
            <a:prstGeom prst="rect">
              <a:avLst/>
            </a:prstGeom>
            <a:ln>
              <a:solidFill>
                <a:schemeClr val="tx1"/>
              </a:solidFill>
            </a:ln>
          </xdr:spPr>
        </xdr:pic>
        <xdr:pic>
          <xdr:nvPicPr>
            <xdr:cNvPr id="38" name="Picture 37">
              <a:extLst>
                <a:ext uri="{FF2B5EF4-FFF2-40B4-BE49-F238E27FC236}">
                  <a16:creationId xmlns:a16="http://schemas.microsoft.com/office/drawing/2014/main" id="{701A3129-B826-D6BC-3D08-960E393B25D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39003" y="2982686"/>
              <a:ext cx="1888031"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E9BDBF83-5BD5-7421-9C19-34D8BE4AA85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194560" y="2982686"/>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rd5ZSeFU1jSmLmG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86"/>
  <sheetViews>
    <sheetView tabSelected="1" view="pageBreakPreview" zoomScaleNormal="100" zoomScaleSheetLayoutView="100" zoomScalePageLayoutView="85" workbookViewId="0">
      <selection activeCell="K10" sqref="K10"/>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202" t="s">
        <v>153</v>
      </c>
      <c r="B1" s="202"/>
      <c r="C1" s="202"/>
      <c r="D1" s="202"/>
      <c r="E1" s="202"/>
      <c r="F1" s="202"/>
      <c r="G1" s="202"/>
      <c r="H1" s="202"/>
    </row>
    <row r="2" spans="1:26" ht="16.5" customHeight="1" x14ac:dyDescent="0.3">
      <c r="A2" s="203" t="s">
        <v>0</v>
      </c>
      <c r="B2" s="203"/>
      <c r="C2" s="203"/>
      <c r="D2" s="203"/>
      <c r="E2" s="203"/>
      <c r="F2" s="203"/>
      <c r="G2" s="203"/>
      <c r="H2" s="203"/>
    </row>
    <row r="3" spans="1:26" x14ac:dyDescent="0.3">
      <c r="A3" s="158" t="s">
        <v>1</v>
      </c>
      <c r="B3" s="158"/>
      <c r="C3" s="158"/>
      <c r="D3" s="158"/>
      <c r="E3" s="158" t="str">
        <f ca="1">TEXT(TODAY(),"DD/MM/YYYY")</f>
        <v>14/09/2025</v>
      </c>
      <c r="F3" s="158"/>
      <c r="G3" s="158"/>
      <c r="H3" s="158"/>
      <c r="K3" s="54" t="s">
        <v>222</v>
      </c>
      <c r="L3" s="53" t="s">
        <v>220</v>
      </c>
      <c r="M3" s="53" t="s">
        <v>225</v>
      </c>
      <c r="N3" s="53" t="s">
        <v>223</v>
      </c>
      <c r="O3" s="53" t="s">
        <v>224</v>
      </c>
      <c r="P3" s="53" t="s">
        <v>226</v>
      </c>
    </row>
    <row r="4" spans="1:26" ht="15" customHeight="1" x14ac:dyDescent="0.3">
      <c r="A4" s="158" t="s">
        <v>219</v>
      </c>
      <c r="B4" s="158"/>
      <c r="C4" s="158"/>
      <c r="D4" s="158"/>
      <c r="E4" s="159" t="s">
        <v>220</v>
      </c>
      <c r="F4" s="159"/>
      <c r="G4" s="159"/>
      <c r="H4" s="159"/>
      <c r="K4" s="52" t="s">
        <v>221</v>
      </c>
      <c r="L4" s="53" t="s">
        <v>159</v>
      </c>
      <c r="M4" s="53" t="s">
        <v>230</v>
      </c>
      <c r="N4" s="53" t="s">
        <v>232</v>
      </c>
      <c r="O4" s="53" t="s">
        <v>234</v>
      </c>
      <c r="P4" s="53"/>
    </row>
    <row r="5" spans="1:26" ht="15" customHeight="1" x14ac:dyDescent="0.3">
      <c r="A5" s="158" t="s">
        <v>2</v>
      </c>
      <c r="B5" s="158"/>
      <c r="C5" s="158"/>
      <c r="D5" s="158"/>
      <c r="E5" s="159" t="s">
        <v>228</v>
      </c>
      <c r="F5" s="159"/>
      <c r="G5" s="159"/>
      <c r="H5" s="159"/>
      <c r="K5" s="52"/>
      <c r="L5" s="53" t="s">
        <v>227</v>
      </c>
      <c r="M5" s="53" t="s">
        <v>231</v>
      </c>
      <c r="N5" s="53" t="s">
        <v>233</v>
      </c>
      <c r="O5" s="53" t="s">
        <v>235</v>
      </c>
      <c r="P5" s="53"/>
    </row>
    <row r="6" spans="1:26" x14ac:dyDescent="0.3">
      <c r="A6" s="158" t="s">
        <v>3</v>
      </c>
      <c r="B6" s="158"/>
      <c r="C6" s="158"/>
      <c r="D6" s="158"/>
      <c r="E6" s="204">
        <v>45910</v>
      </c>
      <c r="F6" s="158"/>
      <c r="G6" s="158"/>
      <c r="H6" s="158"/>
      <c r="K6" s="52"/>
      <c r="L6" s="53" t="s">
        <v>228</v>
      </c>
      <c r="M6" s="53"/>
      <c r="N6" s="53"/>
      <c r="O6" s="53" t="s">
        <v>236</v>
      </c>
      <c r="P6" s="53"/>
    </row>
    <row r="7" spans="1:26" ht="16.5" customHeight="1" x14ac:dyDescent="0.3">
      <c r="A7" s="158" t="s">
        <v>4</v>
      </c>
      <c r="B7" s="158"/>
      <c r="C7" s="158"/>
      <c r="D7" s="158"/>
      <c r="E7" s="157" t="s">
        <v>287</v>
      </c>
      <c r="F7" s="158"/>
      <c r="G7" s="158"/>
      <c r="H7" s="158"/>
      <c r="K7" s="52"/>
      <c r="L7" s="53" t="s">
        <v>229</v>
      </c>
      <c r="M7" s="53"/>
      <c r="N7" s="53"/>
      <c r="O7" s="53" t="s">
        <v>236</v>
      </c>
      <c r="P7" s="53"/>
    </row>
    <row r="8" spans="1:26" ht="15" customHeight="1" x14ac:dyDescent="0.3">
      <c r="A8" s="158" t="s">
        <v>5</v>
      </c>
      <c r="B8" s="158"/>
      <c r="C8" s="158"/>
      <c r="D8" s="158"/>
      <c r="E8" s="158" t="str">
        <f>E7</f>
        <v xml:space="preserve">Megha Enterprises
</v>
      </c>
      <c r="F8" s="158"/>
      <c r="G8" s="158"/>
      <c r="H8" s="158"/>
      <c r="K8" s="52"/>
      <c r="L8" s="53"/>
      <c r="M8" s="53"/>
      <c r="N8" s="53"/>
      <c r="O8" s="53" t="s">
        <v>237</v>
      </c>
      <c r="P8" s="53"/>
    </row>
    <row r="9" spans="1:26" x14ac:dyDescent="0.3">
      <c r="A9" s="158" t="s">
        <v>6</v>
      </c>
      <c r="B9" s="158"/>
      <c r="C9" s="158"/>
      <c r="D9" s="158"/>
      <c r="E9" s="82" t="s">
        <v>288</v>
      </c>
      <c r="F9" s="82"/>
      <c r="G9" s="82"/>
      <c r="H9" s="82"/>
      <c r="K9" s="52"/>
      <c r="L9" s="53"/>
      <c r="M9" s="53"/>
      <c r="N9" s="53"/>
      <c r="O9" s="53" t="s">
        <v>238</v>
      </c>
      <c r="P9" s="53"/>
    </row>
    <row r="10" spans="1:26" x14ac:dyDescent="0.3">
      <c r="A10" s="158" t="s">
        <v>156</v>
      </c>
      <c r="B10" s="158"/>
      <c r="C10" s="158"/>
      <c r="D10" s="158"/>
      <c r="E10" s="158">
        <v>9820255955</v>
      </c>
      <c r="F10" s="158"/>
      <c r="G10" s="158"/>
      <c r="H10" s="158"/>
      <c r="K10" s="52"/>
      <c r="L10" s="53"/>
      <c r="M10" s="53"/>
      <c r="N10" s="53"/>
      <c r="O10" s="53"/>
      <c r="P10" s="53"/>
    </row>
    <row r="11" spans="1:26" hidden="1" x14ac:dyDescent="0.3">
      <c r="A11" s="158" t="s">
        <v>157</v>
      </c>
      <c r="B11" s="158"/>
      <c r="C11" s="158"/>
      <c r="D11" s="158"/>
      <c r="E11" s="158">
        <v>9820255955</v>
      </c>
      <c r="F11" s="158"/>
      <c r="G11" s="158"/>
      <c r="H11" s="158"/>
    </row>
    <row r="12" spans="1:26" ht="33" customHeight="1" x14ac:dyDescent="0.3">
      <c r="A12" s="158" t="s">
        <v>7</v>
      </c>
      <c r="B12" s="158"/>
      <c r="C12" s="158"/>
      <c r="D12" s="158"/>
      <c r="E12" s="157" t="s">
        <v>331</v>
      </c>
      <c r="F12" s="158"/>
      <c r="G12" s="158"/>
      <c r="H12" s="158"/>
      <c r="I12" s="67" t="s">
        <v>330</v>
      </c>
      <c r="J12" s="67"/>
      <c r="K12" s="67"/>
      <c r="L12" s="67"/>
    </row>
    <row r="13" spans="1:26" x14ac:dyDescent="0.3">
      <c r="A13" s="158" t="s">
        <v>160</v>
      </c>
      <c r="B13" s="158"/>
      <c r="C13" s="158"/>
      <c r="D13" s="158"/>
      <c r="E13" s="158" t="s">
        <v>28</v>
      </c>
      <c r="F13" s="158"/>
      <c r="G13" s="158"/>
      <c r="H13" s="158"/>
      <c r="S13" s="53" t="s">
        <v>165</v>
      </c>
      <c r="T13" s="53" t="s">
        <v>175</v>
      </c>
      <c r="U13" s="53" t="s">
        <v>161</v>
      </c>
      <c r="V13" s="53" t="s">
        <v>180</v>
      </c>
      <c r="W13" s="53" t="s">
        <v>198</v>
      </c>
      <c r="X13"/>
      <c r="Y13" t="s">
        <v>180</v>
      </c>
      <c r="Z13" t="e">
        <f ca="1">OFFSET($S$13,1,MATCH($G20,$S$13:$W$13,0)-1,15,1)</f>
        <v>#VALUE!</v>
      </c>
    </row>
    <row r="14" spans="1:26" ht="31.5" customHeight="1" x14ac:dyDescent="0.3">
      <c r="A14" s="133" t="s">
        <v>265</v>
      </c>
      <c r="B14" s="133"/>
      <c r="C14" s="133"/>
      <c r="D14" s="133"/>
      <c r="E14" s="153" t="s">
        <v>345</v>
      </c>
      <c r="F14" s="153"/>
      <c r="G14" s="153"/>
      <c r="H14" s="153"/>
      <c r="S14" s="53" t="s">
        <v>166</v>
      </c>
      <c r="T14" s="53" t="s">
        <v>173</v>
      </c>
      <c r="U14" s="53" t="s">
        <v>195</v>
      </c>
      <c r="V14" s="53" t="s">
        <v>181</v>
      </c>
      <c r="W14" s="53" t="s">
        <v>199</v>
      </c>
      <c r="X14"/>
      <c r="Y14"/>
      <c r="Z14"/>
    </row>
    <row r="15" spans="1:26" x14ac:dyDescent="0.3">
      <c r="A15" s="133" t="s">
        <v>8</v>
      </c>
      <c r="B15" s="133"/>
      <c r="C15" s="133"/>
      <c r="D15" s="133"/>
      <c r="E15" s="153" t="s">
        <v>289</v>
      </c>
      <c r="F15" s="159"/>
      <c r="G15" s="159"/>
      <c r="H15" s="159"/>
      <c r="I15" s="129" t="e">
        <f ca="1">OFFSET($D$5,1,MATCH($J13,$D$5:$H$5,0)-1,15,1)</f>
        <v>#N/A</v>
      </c>
      <c r="J15" s="130"/>
      <c r="K15" s="130"/>
      <c r="L15" s="130"/>
      <c r="M15" s="130"/>
      <c r="N15" s="130"/>
      <c r="O15" s="130"/>
      <c r="P15" s="130"/>
      <c r="S15" s="53" t="s">
        <v>167</v>
      </c>
      <c r="T15" s="53" t="s">
        <v>174</v>
      </c>
      <c r="U15" s="53" t="s">
        <v>196</v>
      </c>
      <c r="V15" s="53" t="s">
        <v>182</v>
      </c>
      <c r="W15" s="53" t="s">
        <v>212</v>
      </c>
      <c r="X15"/>
      <c r="Y15"/>
      <c r="Z15"/>
    </row>
    <row r="16" spans="1:26" ht="32.25" customHeight="1" x14ac:dyDescent="0.3">
      <c r="A16" s="139" t="s">
        <v>9</v>
      </c>
      <c r="B16" s="139"/>
      <c r="C16" s="139" t="str">
        <f>CONCATENATE((IF(OR(E9="",E9="NA"),"",E9)),", ",(IF(OR(A17="",A17="NA"),"",A17)),".",(IF(OR(C17="",C17="NA"),"",C17)),", near ",(IF(OR(C22="",C22="NA"),"",C22)),", ",(IF(OR(C19="",C19="NA"),"",C19)),", ",(IF(OR(C18="",C18="NA"),"",C18)),", ",(IF(OR(G19="",G19="NA"),"",G19)),", ",(IF(OR(C20="",C20="NA"),"",C20)),", ",(IF(OR(C21="",C21="NA"),"",C21)),", ",(IF(OR(G20="",G20="NA"),"",G20))," - ",(IF(OR(G21="",G21="NA"),"",G21)),".")</f>
        <v>Vrundavan I, Gut No.116/2 &amp; 117/1, near Virat Nagari, Mumbai-Pune Expressway, Arivali, Arivali, Panvel East, Panvel, Raigad - 410221.</v>
      </c>
      <c r="D16" s="139"/>
      <c r="E16" s="139"/>
      <c r="F16" s="139"/>
      <c r="G16" s="139"/>
      <c r="H16" s="139"/>
      <c r="S16" s="53" t="s">
        <v>168</v>
      </c>
      <c r="T16" s="53" t="s">
        <v>176</v>
      </c>
      <c r="U16" s="53" t="s">
        <v>197</v>
      </c>
      <c r="V16" s="53" t="s">
        <v>183</v>
      </c>
      <c r="W16" s="53" t="s">
        <v>200</v>
      </c>
      <c r="X16"/>
      <c r="Y16"/>
      <c r="Z16"/>
    </row>
    <row r="17" spans="1:26" x14ac:dyDescent="0.3">
      <c r="A17" s="153" t="s">
        <v>290</v>
      </c>
      <c r="B17" s="153"/>
      <c r="C17" s="153" t="s">
        <v>291</v>
      </c>
      <c r="D17" s="153"/>
      <c r="E17" s="153"/>
      <c r="F17" s="153"/>
      <c r="G17" s="153"/>
      <c r="H17" s="153"/>
      <c r="S17" s="53" t="s">
        <v>169</v>
      </c>
      <c r="T17" s="53" t="s">
        <v>177</v>
      </c>
      <c r="U17" s="53" t="s">
        <v>161</v>
      </c>
      <c r="V17" s="53" t="s">
        <v>184</v>
      </c>
      <c r="W17" s="53" t="s">
        <v>201</v>
      </c>
      <c r="X17"/>
      <c r="Y17"/>
      <c r="Z17"/>
    </row>
    <row r="18" spans="1:26" ht="15.75" customHeight="1" x14ac:dyDescent="0.3">
      <c r="A18" s="157" t="s">
        <v>151</v>
      </c>
      <c r="B18" s="157"/>
      <c r="C18" s="157" t="s">
        <v>292</v>
      </c>
      <c r="D18" s="157"/>
      <c r="E18" s="157"/>
      <c r="F18" s="157"/>
      <c r="G18" s="157"/>
      <c r="H18" s="157"/>
      <c r="S18" s="53" t="s">
        <v>170</v>
      </c>
      <c r="T18" s="53" t="s">
        <v>175</v>
      </c>
      <c r="U18" s="53"/>
      <c r="V18" s="53" t="s">
        <v>185</v>
      </c>
      <c r="W18" s="53" t="s">
        <v>202</v>
      </c>
      <c r="X18"/>
      <c r="Y18"/>
      <c r="Z18"/>
    </row>
    <row r="19" spans="1:26" ht="15.75" customHeight="1" x14ac:dyDescent="0.3">
      <c r="A19" s="139" t="s">
        <v>10</v>
      </c>
      <c r="B19" s="139"/>
      <c r="C19" s="158" t="s">
        <v>326</v>
      </c>
      <c r="D19" s="158"/>
      <c r="E19" s="139" t="s">
        <v>69</v>
      </c>
      <c r="F19" s="139"/>
      <c r="G19" s="157" t="s">
        <v>292</v>
      </c>
      <c r="H19" s="157"/>
      <c r="S19" s="53" t="s">
        <v>171</v>
      </c>
      <c r="T19" s="53" t="s">
        <v>178</v>
      </c>
      <c r="U19" s="53"/>
      <c r="V19" s="53" t="s">
        <v>186</v>
      </c>
      <c r="W19" s="53" t="s">
        <v>203</v>
      </c>
      <c r="X19"/>
      <c r="Y19"/>
      <c r="Z19"/>
    </row>
    <row r="20" spans="1:26" x14ac:dyDescent="0.3">
      <c r="A20" s="133" t="s">
        <v>12</v>
      </c>
      <c r="B20" s="133"/>
      <c r="C20" s="153" t="s">
        <v>309</v>
      </c>
      <c r="D20" s="153"/>
      <c r="E20" s="153" t="s">
        <v>11</v>
      </c>
      <c r="F20" s="153"/>
      <c r="G20" s="205" t="s">
        <v>180</v>
      </c>
      <c r="H20" s="205"/>
      <c r="S20" s="53" t="s">
        <v>172</v>
      </c>
      <c r="T20" s="53" t="s">
        <v>179</v>
      </c>
      <c r="U20" s="53"/>
      <c r="V20" s="53" t="s">
        <v>187</v>
      </c>
      <c r="W20" s="53" t="s">
        <v>204</v>
      </c>
      <c r="X20"/>
      <c r="Y20"/>
      <c r="Z20"/>
    </row>
    <row r="21" spans="1:26" x14ac:dyDescent="0.3">
      <c r="A21" s="133" t="s">
        <v>70</v>
      </c>
      <c r="B21" s="133"/>
      <c r="C21" s="153" t="s">
        <v>182</v>
      </c>
      <c r="D21" s="153"/>
      <c r="E21" s="153" t="s">
        <v>13</v>
      </c>
      <c r="F21" s="153"/>
      <c r="G21" s="153">
        <v>410221</v>
      </c>
      <c r="H21" s="153"/>
      <c r="S21" s="53"/>
      <c r="T21" s="53"/>
      <c r="U21" s="53"/>
      <c r="V21" s="53" t="s">
        <v>188</v>
      </c>
      <c r="W21" s="53" t="s">
        <v>205</v>
      </c>
      <c r="X21"/>
      <c r="Y21"/>
      <c r="Z21"/>
    </row>
    <row r="22" spans="1:26" ht="32.25" customHeight="1" x14ac:dyDescent="0.3">
      <c r="A22" s="133" t="s">
        <v>112</v>
      </c>
      <c r="B22" s="133"/>
      <c r="C22" s="157" t="s">
        <v>327</v>
      </c>
      <c r="D22" s="157"/>
      <c r="E22" s="139" t="s">
        <v>14</v>
      </c>
      <c r="F22" s="139"/>
      <c r="G22" s="153" t="s">
        <v>310</v>
      </c>
      <c r="H22" s="153"/>
      <c r="S22" s="53"/>
      <c r="T22" s="53"/>
      <c r="U22" s="53"/>
      <c r="V22" s="53" t="s">
        <v>189</v>
      </c>
      <c r="W22" s="53" t="s">
        <v>206</v>
      </c>
      <c r="X22"/>
      <c r="Y22"/>
      <c r="Z22"/>
    </row>
    <row r="23" spans="1:26" ht="15" customHeight="1" x14ac:dyDescent="0.3">
      <c r="A23" s="139" t="s">
        <v>71</v>
      </c>
      <c r="B23" s="139"/>
      <c r="C23" s="139"/>
      <c r="D23" s="139"/>
      <c r="E23" s="158" t="s">
        <v>15</v>
      </c>
      <c r="F23" s="158"/>
      <c r="G23" s="158"/>
      <c r="H23" s="158"/>
      <c r="S23" s="53"/>
      <c r="T23" s="53"/>
      <c r="U23" s="53"/>
      <c r="V23" s="53" t="s">
        <v>190</v>
      </c>
      <c r="W23" s="53" t="s">
        <v>207</v>
      </c>
      <c r="X23"/>
      <c r="Y23"/>
      <c r="Z23"/>
    </row>
    <row r="24" spans="1:26" ht="18.75" customHeight="1" x14ac:dyDescent="0.3">
      <c r="A24" s="139"/>
      <c r="B24" s="139"/>
      <c r="C24" s="139"/>
      <c r="D24" s="139"/>
      <c r="E24" s="158"/>
      <c r="F24" s="158"/>
      <c r="G24" s="158"/>
      <c r="H24" s="158"/>
      <c r="S24" s="53"/>
      <c r="T24" s="53"/>
      <c r="U24" s="53"/>
      <c r="V24" s="53" t="s">
        <v>191</v>
      </c>
      <c r="W24" s="53" t="s">
        <v>208</v>
      </c>
      <c r="X24"/>
      <c r="Y24"/>
      <c r="Z24"/>
    </row>
    <row r="25" spans="1:26" ht="15" customHeight="1" x14ac:dyDescent="0.3">
      <c r="A25" s="139" t="s">
        <v>16</v>
      </c>
      <c r="B25" s="139"/>
      <c r="C25" s="139"/>
      <c r="D25" s="139"/>
      <c r="E25" s="157" t="s">
        <v>17</v>
      </c>
      <c r="F25" s="157"/>
      <c r="G25" s="157"/>
      <c r="H25" s="157"/>
      <c r="S25" s="53"/>
      <c r="T25" s="53"/>
      <c r="U25" s="53"/>
      <c r="V25" s="53" t="s">
        <v>192</v>
      </c>
      <c r="W25" s="53" t="s">
        <v>209</v>
      </c>
      <c r="X25"/>
      <c r="Y25"/>
      <c r="Z25"/>
    </row>
    <row r="26" spans="1:26" ht="15" customHeight="1" x14ac:dyDescent="0.3">
      <c r="A26" s="133" t="s">
        <v>18</v>
      </c>
      <c r="B26" s="133"/>
      <c r="C26" s="133"/>
      <c r="D26" s="133"/>
      <c r="E26" s="157" t="str">
        <f>IF(AND(G20="Mumbai"),"Upper Class","Middle Class")</f>
        <v>Middle Class</v>
      </c>
      <c r="F26" s="157"/>
      <c r="G26" s="157"/>
      <c r="H26" s="157"/>
      <c r="S26" s="53"/>
      <c r="T26" s="53"/>
      <c r="U26" s="53"/>
      <c r="V26" s="53" t="s">
        <v>193</v>
      </c>
      <c r="W26" s="53" t="s">
        <v>210</v>
      </c>
      <c r="X26"/>
      <c r="Y26"/>
      <c r="Z26"/>
    </row>
    <row r="27" spans="1:26" x14ac:dyDescent="0.3">
      <c r="A27" s="133" t="s">
        <v>19</v>
      </c>
      <c r="B27" s="133"/>
      <c r="C27" s="133"/>
      <c r="D27" s="133"/>
      <c r="E27" s="157" t="s">
        <v>20</v>
      </c>
      <c r="F27" s="157"/>
      <c r="G27" s="157"/>
      <c r="H27" s="157"/>
      <c r="S27" s="53"/>
      <c r="T27" s="53"/>
      <c r="U27" s="53"/>
      <c r="V27" s="53" t="s">
        <v>194</v>
      </c>
      <c r="W27" s="53" t="s">
        <v>211</v>
      </c>
      <c r="X27"/>
      <c r="Y27"/>
      <c r="Z27"/>
    </row>
    <row r="28" spans="1:26" ht="15.75" customHeight="1" x14ac:dyDescent="0.3">
      <c r="A28" s="133" t="s">
        <v>21</v>
      </c>
      <c r="B28" s="133"/>
      <c r="C28" s="133"/>
      <c r="D28" s="133"/>
      <c r="E28" s="157" t="str">
        <f>IF(AND(G20="Mumbai"),"Developed","Developing")</f>
        <v>Developing</v>
      </c>
      <c r="F28" s="157"/>
      <c r="G28" s="157"/>
      <c r="H28" s="157"/>
    </row>
    <row r="29" spans="1:26" x14ac:dyDescent="0.3">
      <c r="A29" s="133" t="s">
        <v>22</v>
      </c>
      <c r="B29" s="133"/>
      <c r="C29" s="133"/>
      <c r="D29" s="133"/>
      <c r="E29" s="157" t="s">
        <v>23</v>
      </c>
      <c r="F29" s="157"/>
      <c r="G29" s="157"/>
      <c r="H29" s="157"/>
    </row>
    <row r="30" spans="1:26" ht="15.75" customHeight="1" x14ac:dyDescent="0.3">
      <c r="A30" s="133" t="s">
        <v>76</v>
      </c>
      <c r="B30" s="133"/>
      <c r="C30" s="133"/>
      <c r="D30" s="133"/>
      <c r="E30" s="157" t="s">
        <v>77</v>
      </c>
      <c r="F30" s="157"/>
      <c r="G30" s="157"/>
      <c r="H30" s="157"/>
    </row>
    <row r="31" spans="1:26" ht="15" customHeight="1" x14ac:dyDescent="0.3">
      <c r="A31" s="133" t="s">
        <v>30</v>
      </c>
      <c r="B31" s="133"/>
      <c r="C31" s="133"/>
      <c r="D31" s="133"/>
      <c r="E31" s="15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57"/>
      <c r="G31" s="157"/>
      <c r="H31" s="157"/>
    </row>
    <row r="32" spans="1:26" ht="15.75" customHeight="1" x14ac:dyDescent="0.3">
      <c r="A32" s="133" t="s">
        <v>87</v>
      </c>
      <c r="B32" s="133"/>
      <c r="C32" s="133"/>
      <c r="D32" s="133"/>
      <c r="E32" s="157" t="s">
        <v>31</v>
      </c>
      <c r="F32" s="157"/>
      <c r="G32" s="157"/>
      <c r="H32" s="157"/>
    </row>
    <row r="33" spans="1:19" s="22" customFormat="1" x14ac:dyDescent="0.3">
      <c r="A33" s="213" t="s">
        <v>88</v>
      </c>
      <c r="B33" s="213"/>
      <c r="C33" s="210" t="s">
        <v>162</v>
      </c>
      <c r="D33" s="211"/>
      <c r="E33" s="212"/>
      <c r="F33" s="210" t="s">
        <v>29</v>
      </c>
      <c r="G33" s="211"/>
      <c r="H33" s="212"/>
      <c r="S33" s="22" t="e">
        <f ca="1">OFFSET($S$13,1,MATCH($G20,$S$13:$W$13,0)-1,15,1)</f>
        <v>#VALUE!</v>
      </c>
    </row>
    <row r="34" spans="1:19" s="22" customFormat="1" x14ac:dyDescent="0.3">
      <c r="A34" s="206" t="s">
        <v>24</v>
      </c>
      <c r="B34" s="206" t="s">
        <v>28</v>
      </c>
      <c r="C34" s="207" t="s">
        <v>328</v>
      </c>
      <c r="D34" s="208"/>
      <c r="E34" s="209"/>
      <c r="F34" s="207" t="s">
        <v>329</v>
      </c>
      <c r="G34" s="208"/>
      <c r="H34" s="209"/>
    </row>
    <row r="35" spans="1:19" x14ac:dyDescent="0.3">
      <c r="A35" s="206" t="s">
        <v>25</v>
      </c>
      <c r="B35" s="206" t="s">
        <v>28</v>
      </c>
      <c r="C35" s="207" t="s">
        <v>311</v>
      </c>
      <c r="D35" s="208"/>
      <c r="E35" s="209"/>
      <c r="F35" s="207" t="s">
        <v>326</v>
      </c>
      <c r="G35" s="208"/>
      <c r="H35" s="209"/>
    </row>
    <row r="36" spans="1:19" s="22" customFormat="1" x14ac:dyDescent="0.3">
      <c r="A36" s="206" t="s">
        <v>27</v>
      </c>
      <c r="B36" s="206" t="s">
        <v>28</v>
      </c>
      <c r="C36" s="207" t="s">
        <v>10</v>
      </c>
      <c r="D36" s="208"/>
      <c r="E36" s="209"/>
      <c r="F36" s="207" t="s">
        <v>10</v>
      </c>
      <c r="G36" s="208"/>
      <c r="H36" s="209"/>
    </row>
    <row r="37" spans="1:19" x14ac:dyDescent="0.3">
      <c r="A37" s="206" t="s">
        <v>26</v>
      </c>
      <c r="B37" s="206" t="s">
        <v>28</v>
      </c>
      <c r="C37" s="207" t="s">
        <v>328</v>
      </c>
      <c r="D37" s="208"/>
      <c r="E37" s="209"/>
      <c r="F37" s="207" t="s">
        <v>328</v>
      </c>
      <c r="G37" s="208"/>
      <c r="H37" s="209"/>
    </row>
    <row r="38" spans="1:19" x14ac:dyDescent="0.3">
      <c r="A38" s="133" t="s">
        <v>266</v>
      </c>
      <c r="B38" s="133"/>
      <c r="C38" s="133"/>
      <c r="D38" s="133"/>
      <c r="E38" s="133"/>
      <c r="F38" s="133"/>
      <c r="G38" s="133"/>
      <c r="H38" s="133"/>
    </row>
    <row r="39" spans="1:19" ht="15.75" customHeight="1" x14ac:dyDescent="0.3">
      <c r="A39" s="133" t="s">
        <v>154</v>
      </c>
      <c r="B39" s="133"/>
      <c r="C39" s="194" t="s">
        <v>322</v>
      </c>
      <c r="D39" s="194"/>
      <c r="E39" s="194"/>
      <c r="F39" s="194"/>
      <c r="G39" s="194"/>
      <c r="H39" s="194"/>
    </row>
    <row r="40" spans="1:19" x14ac:dyDescent="0.3">
      <c r="A40" s="133" t="s">
        <v>150</v>
      </c>
      <c r="B40" s="133"/>
      <c r="C40" s="242" t="s">
        <v>323</v>
      </c>
      <c r="D40" s="157"/>
      <c r="E40" s="157"/>
      <c r="F40" s="157"/>
      <c r="G40" s="157"/>
      <c r="H40" s="157"/>
    </row>
    <row r="41" spans="1:19" x14ac:dyDescent="0.3">
      <c r="A41" s="194" t="s">
        <v>32</v>
      </c>
      <c r="B41" s="194"/>
      <c r="C41" s="194"/>
      <c r="D41" s="194"/>
      <c r="E41" s="194"/>
      <c r="F41" s="194"/>
      <c r="G41" s="194"/>
      <c r="H41" s="194"/>
    </row>
    <row r="42" spans="1:19" x14ac:dyDescent="0.3">
      <c r="A42" s="133" t="s">
        <v>33</v>
      </c>
      <c r="B42" s="133"/>
      <c r="C42" s="133"/>
      <c r="D42" s="133"/>
      <c r="E42" s="214">
        <v>5397.5940000000001</v>
      </c>
      <c r="F42" s="214"/>
      <c r="G42" s="214"/>
      <c r="H42" s="214"/>
    </row>
    <row r="43" spans="1:19" x14ac:dyDescent="0.3">
      <c r="A43" s="133" t="s">
        <v>34</v>
      </c>
      <c r="B43" s="133"/>
      <c r="C43" s="133"/>
      <c r="D43" s="133"/>
      <c r="E43" s="132">
        <f>5937.353/E42</f>
        <v>1.0999999258929072</v>
      </c>
      <c r="F43" s="132"/>
      <c r="G43" s="132"/>
      <c r="H43" s="132"/>
    </row>
    <row r="44" spans="1:19" x14ac:dyDescent="0.3">
      <c r="A44" s="133" t="s">
        <v>35</v>
      </c>
      <c r="B44" s="133"/>
      <c r="C44" s="133"/>
      <c r="D44" s="133"/>
      <c r="E44" s="132">
        <f>E46/E42-E43</f>
        <v>0.81981471744632861</v>
      </c>
      <c r="F44" s="132"/>
      <c r="G44" s="132"/>
      <c r="H44" s="132"/>
    </row>
    <row r="45" spans="1:19" x14ac:dyDescent="0.3">
      <c r="A45" s="133" t="s">
        <v>36</v>
      </c>
      <c r="B45" s="133"/>
      <c r="C45" s="133"/>
      <c r="D45" s="133"/>
      <c r="E45" s="132">
        <f>E43+E44</f>
        <v>1.9198146433392358</v>
      </c>
      <c r="F45" s="132"/>
      <c r="G45" s="132"/>
      <c r="H45" s="132"/>
    </row>
    <row r="46" spans="1:19" x14ac:dyDescent="0.3">
      <c r="A46" s="133" t="s">
        <v>86</v>
      </c>
      <c r="B46" s="133"/>
      <c r="C46" s="133"/>
      <c r="D46" s="133"/>
      <c r="E46" s="217">
        <v>10362.379999999999</v>
      </c>
      <c r="F46" s="218"/>
      <c r="G46" s="218"/>
      <c r="H46" s="219"/>
    </row>
    <row r="47" spans="1:19" x14ac:dyDescent="0.3">
      <c r="A47" s="158" t="s">
        <v>37</v>
      </c>
      <c r="B47" s="158"/>
      <c r="C47" s="158"/>
      <c r="D47" s="158"/>
      <c r="E47" s="159" t="s">
        <v>332</v>
      </c>
      <c r="F47" s="159"/>
      <c r="G47" s="159"/>
      <c r="H47" s="159"/>
      <c r="L47" s="119"/>
      <c r="M47" s="119"/>
      <c r="N47" s="119"/>
    </row>
    <row r="48" spans="1:19" x14ac:dyDescent="0.3">
      <c r="A48" s="194" t="s">
        <v>38</v>
      </c>
      <c r="B48" s="194"/>
      <c r="C48" s="194"/>
      <c r="D48" s="194"/>
      <c r="E48" s="194"/>
      <c r="F48" s="194"/>
      <c r="G48" s="194"/>
      <c r="H48" s="194"/>
    </row>
    <row r="49" spans="1:24" ht="33.75" customHeight="1" x14ac:dyDescent="0.3">
      <c r="A49" s="120" t="s">
        <v>140</v>
      </c>
      <c r="B49" s="122"/>
      <c r="C49" s="248" t="s">
        <v>244</v>
      </c>
      <c r="D49" s="249"/>
      <c r="E49" s="249"/>
      <c r="F49" s="249"/>
      <c r="G49" s="249"/>
      <c r="H49" s="250"/>
      <c r="R49" t="s">
        <v>239</v>
      </c>
      <c r="S49" t="s">
        <v>161</v>
      </c>
      <c r="T49" t="s">
        <v>165</v>
      </c>
      <c r="U49" t="s">
        <v>180</v>
      </c>
      <c r="V49" t="s">
        <v>175</v>
      </c>
    </row>
    <row r="50" spans="1:24" ht="15.75" customHeight="1" x14ac:dyDescent="0.3">
      <c r="A50" s="120" t="s">
        <v>39</v>
      </c>
      <c r="B50" s="122"/>
      <c r="C50" s="120" t="s">
        <v>293</v>
      </c>
      <c r="D50" s="121"/>
      <c r="E50" s="122"/>
      <c r="F50" s="18" t="s">
        <v>40</v>
      </c>
      <c r="G50" s="134">
        <v>44347</v>
      </c>
      <c r="H50" s="122"/>
      <c r="R50"/>
      <c r="S50" t="s">
        <v>240</v>
      </c>
      <c r="T50" t="s">
        <v>245</v>
      </c>
      <c r="U50" t="s">
        <v>256</v>
      </c>
      <c r="V50" t="s">
        <v>261</v>
      </c>
    </row>
    <row r="51" spans="1:24" x14ac:dyDescent="0.3">
      <c r="A51" s="120" t="s">
        <v>41</v>
      </c>
      <c r="B51" s="122"/>
      <c r="C51" s="120" t="str">
        <f>C50</f>
        <v>MSRDC/SPA/BP245/CC/2021/595</v>
      </c>
      <c r="D51" s="121"/>
      <c r="E51" s="122"/>
      <c r="F51" s="18" t="s">
        <v>40</v>
      </c>
      <c r="G51" s="134">
        <v>44347</v>
      </c>
      <c r="H51" s="122"/>
      <c r="R51"/>
      <c r="S51" t="s">
        <v>241</v>
      </c>
      <c r="T51" t="s">
        <v>246</v>
      </c>
      <c r="U51" t="s">
        <v>254</v>
      </c>
      <c r="V51" t="s">
        <v>262</v>
      </c>
    </row>
    <row r="52" spans="1:24" s="23" customFormat="1" ht="15.75" customHeight="1" x14ac:dyDescent="0.3">
      <c r="A52" s="222" t="s">
        <v>144</v>
      </c>
      <c r="B52" s="223"/>
      <c r="C52" s="120" t="s">
        <v>294</v>
      </c>
      <c r="D52" s="121"/>
      <c r="E52" s="122"/>
      <c r="F52" s="18" t="s">
        <v>40</v>
      </c>
      <c r="G52" s="134">
        <v>44347</v>
      </c>
      <c r="H52" s="122"/>
      <c r="R52"/>
      <c r="S52" t="s">
        <v>242</v>
      </c>
      <c r="T52" t="s">
        <v>247</v>
      </c>
      <c r="U52" t="s">
        <v>244</v>
      </c>
      <c r="V52" t="s">
        <v>263</v>
      </c>
    </row>
    <row r="53" spans="1:24" s="23" customFormat="1" x14ac:dyDescent="0.3">
      <c r="A53" s="224"/>
      <c r="B53" s="225"/>
      <c r="C53" s="120" t="s">
        <v>295</v>
      </c>
      <c r="D53" s="121"/>
      <c r="E53" s="121"/>
      <c r="F53" s="121"/>
      <c r="G53" s="121"/>
      <c r="H53" s="122"/>
      <c r="R53"/>
      <c r="S53" t="s">
        <v>243</v>
      </c>
      <c r="T53" t="s">
        <v>250</v>
      </c>
      <c r="U53" t="s">
        <v>257</v>
      </c>
    </row>
    <row r="54" spans="1:24" s="23" customFormat="1" hidden="1" x14ac:dyDescent="0.3">
      <c r="A54" s="135" t="s">
        <v>267</v>
      </c>
      <c r="B54" s="136"/>
      <c r="C54" s="120" t="str">
        <f>C53</f>
        <v>The Builtup Area = 10362.38 Sq.mtrs.</v>
      </c>
      <c r="D54" s="121"/>
      <c r="E54" s="122"/>
      <c r="F54" s="18" t="s">
        <v>40</v>
      </c>
      <c r="G54" s="120"/>
      <c r="H54" s="122"/>
      <c r="R54"/>
      <c r="S54" t="s">
        <v>242</v>
      </c>
      <c r="T54" t="s">
        <v>247</v>
      </c>
      <c r="U54" t="s">
        <v>244</v>
      </c>
      <c r="V54" t="s">
        <v>263</v>
      </c>
    </row>
    <row r="55" spans="1:24" s="23" customFormat="1" ht="32.25" hidden="1" customHeight="1" x14ac:dyDescent="0.3">
      <c r="A55" s="137"/>
      <c r="B55" s="138"/>
      <c r="C55" s="245"/>
      <c r="D55" s="246"/>
      <c r="E55" s="246"/>
      <c r="F55" s="246"/>
      <c r="G55" s="246"/>
      <c r="H55" s="247"/>
      <c r="R55"/>
      <c r="S55" t="s">
        <v>244</v>
      </c>
      <c r="T55" t="s">
        <v>248</v>
      </c>
      <c r="U55" t="s">
        <v>258</v>
      </c>
      <c r="V55" s="21"/>
      <c r="W55" s="21"/>
      <c r="X55" s="21"/>
    </row>
    <row r="56" spans="1:24" s="23" customFormat="1" ht="34.5" hidden="1" customHeight="1" x14ac:dyDescent="0.3">
      <c r="A56" s="135" t="s">
        <v>268</v>
      </c>
      <c r="B56" s="136"/>
      <c r="C56" s="120">
        <f>C55</f>
        <v>0</v>
      </c>
      <c r="D56" s="121"/>
      <c r="E56" s="122"/>
      <c r="F56" s="18" t="s">
        <v>40</v>
      </c>
      <c r="G56" s="120">
        <f>G55</f>
        <v>0</v>
      </c>
      <c r="H56" s="122"/>
      <c r="R56"/>
      <c r="S56" s="21"/>
      <c r="T56" t="s">
        <v>249</v>
      </c>
      <c r="U56" t="s">
        <v>259</v>
      </c>
      <c r="V56" s="21"/>
      <c r="W56" s="21"/>
      <c r="X56" s="21"/>
    </row>
    <row r="57" spans="1:24" s="23" customFormat="1" ht="41.25" hidden="1" customHeight="1" x14ac:dyDescent="0.3">
      <c r="A57" s="137"/>
      <c r="B57" s="138"/>
      <c r="C57" s="120"/>
      <c r="D57" s="121"/>
      <c r="E57" s="121"/>
      <c r="F57" s="121"/>
      <c r="G57" s="121"/>
      <c r="H57" s="122"/>
      <c r="R57"/>
      <c r="S57" s="21"/>
      <c r="T57" t="s">
        <v>251</v>
      </c>
      <c r="U57" t="s">
        <v>260</v>
      </c>
      <c r="V57" s="21"/>
      <c r="W57" s="21"/>
      <c r="X57" s="21"/>
    </row>
    <row r="58" spans="1:24" s="23" customFormat="1" ht="15.75" customHeight="1" x14ac:dyDescent="0.3">
      <c r="A58" s="160" t="s">
        <v>342</v>
      </c>
      <c r="B58" s="161"/>
      <c r="C58" s="164" t="s">
        <v>340</v>
      </c>
      <c r="D58" s="165"/>
      <c r="E58" s="166"/>
      <c r="F58" s="75" t="s">
        <v>40</v>
      </c>
      <c r="G58" s="167">
        <v>42758</v>
      </c>
      <c r="H58" s="166"/>
      <c r="R58"/>
      <c r="S58" s="21"/>
      <c r="T58" t="s">
        <v>252</v>
      </c>
      <c r="U58" s="21" t="s">
        <v>282</v>
      </c>
      <c r="V58" s="21"/>
      <c r="W58" s="21"/>
      <c r="X58" s="21"/>
    </row>
    <row r="59" spans="1:24" s="23" customFormat="1" ht="33.75" customHeight="1" x14ac:dyDescent="0.3">
      <c r="A59" s="162"/>
      <c r="B59" s="163"/>
      <c r="C59" s="153" t="s">
        <v>343</v>
      </c>
      <c r="D59" s="153"/>
      <c r="E59" s="153"/>
      <c r="F59" s="75" t="s">
        <v>341</v>
      </c>
      <c r="G59" s="154">
        <v>44583</v>
      </c>
      <c r="H59" s="153"/>
      <c r="R59"/>
      <c r="S59" s="21"/>
      <c r="T59" t="s">
        <v>253</v>
      </c>
      <c r="U59" s="21"/>
      <c r="V59" s="21"/>
      <c r="W59" s="21"/>
      <c r="X59" s="21"/>
    </row>
    <row r="60" spans="1:24" x14ac:dyDescent="0.3">
      <c r="A60" s="229" t="s">
        <v>42</v>
      </c>
      <c r="B60" s="230"/>
      <c r="C60" s="229" t="s">
        <v>98</v>
      </c>
      <c r="D60" s="231"/>
      <c r="E60" s="230"/>
      <c r="F60" s="44" t="s">
        <v>40</v>
      </c>
      <c r="G60" s="140" t="s">
        <v>28</v>
      </c>
      <c r="H60" s="141"/>
      <c r="R60"/>
      <c r="T60" t="s">
        <v>255</v>
      </c>
    </row>
    <row r="61" spans="1:24" x14ac:dyDescent="0.3">
      <c r="A61" s="156" t="s">
        <v>44</v>
      </c>
      <c r="B61" s="156"/>
      <c r="C61" s="156"/>
      <c r="D61" s="156"/>
      <c r="E61" s="156"/>
      <c r="F61" s="156"/>
      <c r="G61" s="156"/>
      <c r="H61" s="156"/>
      <c r="T61" t="s">
        <v>264</v>
      </c>
    </row>
    <row r="62" spans="1:24" ht="30.75" customHeight="1" x14ac:dyDescent="0.3">
      <c r="A62" s="139" t="s">
        <v>349</v>
      </c>
      <c r="B62" s="139"/>
      <c r="C62" s="139"/>
      <c r="D62" s="133">
        <f>2412.273+4401.889</f>
        <v>6814.1620000000003</v>
      </c>
      <c r="E62" s="133"/>
      <c r="F62" s="133"/>
      <c r="G62" s="133"/>
      <c r="H62" s="133"/>
      <c r="R62"/>
    </row>
    <row r="63" spans="1:24" x14ac:dyDescent="0.3">
      <c r="A63" s="157" t="s">
        <v>45</v>
      </c>
      <c r="B63" s="158"/>
      <c r="C63" s="158"/>
      <c r="D63" s="159" t="s">
        <v>336</v>
      </c>
      <c r="E63" s="159"/>
      <c r="F63" s="159"/>
      <c r="G63" s="159"/>
      <c r="H63" s="159"/>
      <c r="I63" s="24"/>
      <c r="R63"/>
    </row>
    <row r="64" spans="1:24" ht="32.25" customHeight="1" x14ac:dyDescent="0.3">
      <c r="A64" s="142" t="s">
        <v>46</v>
      </c>
      <c r="B64" s="143"/>
      <c r="C64" s="144"/>
      <c r="D64" s="220" t="s">
        <v>335</v>
      </c>
      <c r="E64" s="221"/>
      <c r="F64" s="221"/>
      <c r="G64" s="221"/>
      <c r="H64" s="221"/>
      <c r="R64"/>
    </row>
    <row r="65" spans="1:19" ht="15.75" hidden="1" customHeight="1" x14ac:dyDescent="0.3">
      <c r="A65" s="142" t="s">
        <v>84</v>
      </c>
      <c r="B65" s="143"/>
      <c r="C65" s="144"/>
      <c r="D65" s="226" t="s">
        <v>321</v>
      </c>
      <c r="E65" s="227"/>
      <c r="F65" s="227"/>
      <c r="G65" s="227"/>
      <c r="H65" s="228"/>
      <c r="R65"/>
    </row>
    <row r="66" spans="1:19" ht="15.75" customHeight="1" x14ac:dyDescent="0.3">
      <c r="A66" s="145"/>
      <c r="B66" s="146"/>
      <c r="C66" s="147"/>
      <c r="D66" s="226" t="s">
        <v>297</v>
      </c>
      <c r="E66" s="227"/>
      <c r="F66" s="227"/>
      <c r="G66" s="227"/>
      <c r="H66" s="228"/>
      <c r="R66"/>
    </row>
    <row r="67" spans="1:19" ht="15.75" customHeight="1" x14ac:dyDescent="0.3">
      <c r="A67" s="148"/>
      <c r="B67" s="149"/>
      <c r="C67" s="150"/>
      <c r="D67" s="151" t="s">
        <v>298</v>
      </c>
      <c r="E67" s="152"/>
      <c r="F67" s="152"/>
      <c r="G67" s="152"/>
      <c r="H67" s="152"/>
      <c r="R67"/>
    </row>
    <row r="68" spans="1:19" ht="15.75" customHeight="1" x14ac:dyDescent="0.3">
      <c r="A68" s="133" t="s">
        <v>43</v>
      </c>
      <c r="B68" s="133"/>
      <c r="C68" s="133"/>
      <c r="D68" s="215" t="s">
        <v>296</v>
      </c>
      <c r="E68" s="215"/>
      <c r="F68" s="215"/>
      <c r="G68" s="215"/>
      <c r="H68" s="215"/>
      <c r="J68" s="25"/>
      <c r="K68" s="24"/>
      <c r="N68" s="24"/>
      <c r="S68"/>
    </row>
    <row r="69" spans="1:19" ht="15.75" customHeight="1" x14ac:dyDescent="0.3">
      <c r="A69" s="133" t="s">
        <v>82</v>
      </c>
      <c r="B69" s="133"/>
      <c r="C69" s="133"/>
      <c r="D69" s="216" t="str">
        <f>(IF(G60="NA","60 Years After Completion",IF(G60&lt;&gt;"NA",""&amp;60-ROUNDDOWN((E3-G60)/360,0)&amp;" Years"," ")))</f>
        <v>60 Years After Completion</v>
      </c>
      <c r="E69" s="216"/>
      <c r="F69" s="216"/>
      <c r="G69" s="216"/>
      <c r="H69" s="216"/>
      <c r="N69" s="24"/>
      <c r="S69"/>
    </row>
    <row r="70" spans="1:19" ht="15.75" customHeight="1" x14ac:dyDescent="0.3">
      <c r="A70" s="133" t="s">
        <v>83</v>
      </c>
      <c r="B70" s="133"/>
      <c r="C70" s="133"/>
      <c r="D70" s="139" t="s">
        <v>23</v>
      </c>
      <c r="E70" s="139"/>
      <c r="F70" s="139"/>
      <c r="G70" s="139"/>
      <c r="H70" s="139"/>
      <c r="J70" s="26"/>
      <c r="K70" s="26"/>
      <c r="S70"/>
    </row>
    <row r="71" spans="1:19" x14ac:dyDescent="0.3">
      <c r="A71" s="159" t="s">
        <v>339</v>
      </c>
      <c r="B71" s="159"/>
      <c r="C71" s="159"/>
      <c r="D71" s="153" t="s">
        <v>348</v>
      </c>
      <c r="E71" s="153"/>
      <c r="F71" s="153"/>
      <c r="G71" s="153"/>
      <c r="H71" s="153"/>
      <c r="I71" s="21" t="s">
        <v>312</v>
      </c>
      <c r="S71"/>
    </row>
    <row r="72" spans="1:19" x14ac:dyDescent="0.3">
      <c r="A72" s="139" t="s">
        <v>138</v>
      </c>
      <c r="B72" s="139"/>
      <c r="C72" s="139"/>
      <c r="D72" s="139" t="s">
        <v>28</v>
      </c>
      <c r="E72" s="139"/>
      <c r="F72" s="139"/>
      <c r="G72" s="139"/>
      <c r="H72" s="139"/>
      <c r="I72" s="27"/>
      <c r="J72" s="27"/>
      <c r="K72" s="27"/>
      <c r="L72" s="27"/>
      <c r="M72" s="27"/>
      <c r="N72" s="27"/>
    </row>
    <row r="73" spans="1:19" ht="15.75" customHeight="1" x14ac:dyDescent="0.3">
      <c r="A73" s="155" t="s">
        <v>81</v>
      </c>
      <c r="B73" s="155"/>
      <c r="C73" s="155"/>
      <c r="D73" s="199" t="str">
        <f ca="1">(IF(G79&gt;95%,"Nothing",IF(G79&gt;0%,"Cement, Aggregate, Steel, etc",IF(G79=0%,"Work not yet Started"))))</f>
        <v>Cement, Aggregate, Steel, etc</v>
      </c>
      <c r="E73" s="199"/>
      <c r="F73" s="199"/>
      <c r="G73" s="199"/>
      <c r="H73" s="199"/>
      <c r="J73" s="26"/>
      <c r="S73"/>
    </row>
    <row r="74" spans="1:19" ht="33.75" customHeight="1" thickBot="1" x14ac:dyDescent="0.35">
      <c r="A74" s="198" t="s">
        <v>111</v>
      </c>
      <c r="B74" s="198"/>
      <c r="C74" s="198"/>
      <c r="D74" s="199" t="str">
        <f ca="1">(IF(D73="Nothing","Yes",IF(D73="Cement, Aggregate, Steel, etc","Under Construction",IF(D73="Work not yet Started","Work not yet Started"))))</f>
        <v>Under Construction</v>
      </c>
      <c r="E74" s="199"/>
      <c r="F74" s="199" t="str">
        <f ca="1">(IF(D73="Nothing","Yes",IF(D73="Cement, Aggregate, Steel, etc","Under Construction",IF(D73="Work not yet Started","Work not yet Started"))))</f>
        <v>Under Construction</v>
      </c>
      <c r="G74" s="199"/>
      <c r="H74" s="199"/>
      <c r="S74"/>
    </row>
    <row r="75" spans="1:19" ht="15.75" hidden="1" customHeight="1" x14ac:dyDescent="0.3">
      <c r="A75" s="76" t="s">
        <v>130</v>
      </c>
      <c r="B75" s="77"/>
      <c r="C75" s="78" t="str">
        <f>D65</f>
        <v>Building No.1 (Wing A &amp; B) = G + 1st to 7th Floor</v>
      </c>
      <c r="D75" s="79"/>
      <c r="E75" s="79"/>
      <c r="F75" s="79"/>
      <c r="G75" s="79"/>
      <c r="H75" s="80"/>
      <c r="I75" s="48" t="str">
        <f ca="1">IF(D88=100%,"All work Completed. Possession granted to the Building.",IF(D87=100%,"All work Completed, Waiting for OC",I76&amp;""&amp;I77&amp;""&amp;J76&amp;""&amp;J75&amp;" "&amp;J77))</f>
        <v>Excavation, Plinth, RCC Slab, Brickwork, Internal Plaster, External Plaster Completed, Flooring upto 4 Floor, Painting upto 4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4 Floor, Painting upto 4 Floor</v>
      </c>
      <c r="S75"/>
    </row>
    <row r="76" spans="1:19" hidden="1" x14ac:dyDescent="0.3">
      <c r="A76" s="16" t="s">
        <v>132</v>
      </c>
      <c r="B76" s="46">
        <f>IF(AND(ISNUMBER(SEARCH("1B",C75))),1,IF(AND(ISNUMBER(SEARCH("2B",C75))),2,IF(AND(ISNUMBER(SEARCH("3B",C75))),3,IF(AND(ISNUMBER(SEARCH("4B",C75))),4,IF(ISNUMBER(SEARCH("5B",C75)),5,0)))))</f>
        <v>0</v>
      </c>
      <c r="C76" s="46" t="s">
        <v>68</v>
      </c>
      <c r="D76" s="46">
        <v>1</v>
      </c>
      <c r="E76" s="46" t="s">
        <v>67</v>
      </c>
      <c r="F76" s="14">
        <v>0</v>
      </c>
      <c r="G76" s="47" t="s">
        <v>75</v>
      </c>
      <c r="H76" s="17">
        <f ca="1">--TRIM(RIGHT(SUBSTITUTE(LEFT(C75,_xlfn.AGGREGATE(16,6,FIND({0,1,2,3,4,5,6,7,8,9},C75,ROW(INDIRECT("1:"&amp;LEN(C75)))),1))," ",REPT(" ",LEN(C75))),LEN(C75)))</f>
        <v>7</v>
      </c>
      <c r="I76" s="50"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hidden="1" customHeight="1" x14ac:dyDescent="0.3">
      <c r="A77" s="81" t="s">
        <v>85</v>
      </c>
      <c r="B77" s="82"/>
      <c r="C77" s="196" t="str">
        <f ca="1">I75</f>
        <v>Excavation, Plinth, RCC Slab, Brickwork, Internal Plaster, External Plaster Completed, Flooring upto 4 Floor, Painting upto 4 Floor Completed</v>
      </c>
      <c r="D77" s="196"/>
      <c r="E77" s="196"/>
      <c r="F77" s="196"/>
      <c r="G77" s="196"/>
      <c r="H77" s="197"/>
      <c r="I77" s="50" t="str">
        <f ca="1">IF(I76&lt;&gt;""," Completed","")</f>
        <v xml:space="preserve"> Completed</v>
      </c>
      <c r="J77" s="51" t="str">
        <f ca="1">IF(J75&lt;&gt;"","Completed","")</f>
        <v>Completed</v>
      </c>
      <c r="S77"/>
    </row>
    <row r="78" spans="1:19" ht="15.75" hidden="1" customHeight="1" x14ac:dyDescent="0.3">
      <c r="A78" s="85" t="s">
        <v>47</v>
      </c>
      <c r="B78" s="86"/>
      <c r="C78" s="42" t="s">
        <v>129</v>
      </c>
      <c r="D78" s="42" t="s">
        <v>78</v>
      </c>
      <c r="E78" s="86" t="s">
        <v>80</v>
      </c>
      <c r="F78" s="86"/>
      <c r="G78" s="86" t="s">
        <v>79</v>
      </c>
      <c r="H78" s="87"/>
      <c r="I78" s="13" t="s">
        <v>131</v>
      </c>
      <c r="J78" s="28">
        <f ca="1">H76*25%</f>
        <v>1.75</v>
      </c>
      <c r="S78"/>
    </row>
    <row r="79" spans="1:19" hidden="1" x14ac:dyDescent="0.3">
      <c r="A79" s="85" t="s">
        <v>118</v>
      </c>
      <c r="B79" s="86"/>
      <c r="C79" s="58">
        <f ca="1">J80</f>
        <v>7</v>
      </c>
      <c r="D79" s="19">
        <f ca="1">((100/H76)*C79)/100</f>
        <v>1</v>
      </c>
      <c r="E79" s="88">
        <f ca="1">(((C80/H76*10)+(40/(D76+F76+H76)*C81)+(7.5/(H76)*C82)+(7.5/(H76)*C83)+(10/H76*C84)+(10/H76*C85)+(5/H76*C86)+(5/H76*C87)+(5/H76*C88))/100)</f>
        <v>0.83571428571428574</v>
      </c>
      <c r="F79" s="89"/>
      <c r="G79" s="88">
        <f ca="1">((((C79/H76)*20)+((C80/H76)*25)+(30/(H76+F76+D76)*C81)+(5/H76*C82)+(5/H76*C83)+(5/H76*C84)+(5/H76*C85)+(0/H76*C86)+(0/H76*C87)+(5/H76*C88))/100)</f>
        <v>0.9285714285714286</v>
      </c>
      <c r="H79" s="94"/>
      <c r="I79" s="13" t="s">
        <v>93</v>
      </c>
      <c r="J79" s="29">
        <f ca="1">H76*50%</f>
        <v>3.5</v>
      </c>
    </row>
    <row r="80" spans="1:19" hidden="1" x14ac:dyDescent="0.3">
      <c r="A80" s="85" t="s">
        <v>48</v>
      </c>
      <c r="B80" s="86"/>
      <c r="C80" s="42">
        <f ca="1">J88</f>
        <v>7</v>
      </c>
      <c r="D80" s="19">
        <f ca="1">((100/H76)*C80)/100</f>
        <v>1</v>
      </c>
      <c r="E80" s="90"/>
      <c r="F80" s="91"/>
      <c r="G80" s="90"/>
      <c r="H80" s="95"/>
      <c r="I80" s="13" t="s">
        <v>94</v>
      </c>
      <c r="J80" s="29">
        <f ca="1">H76</f>
        <v>7</v>
      </c>
      <c r="S80"/>
    </row>
    <row r="81" spans="1:19" ht="15.75" hidden="1" customHeight="1" x14ac:dyDescent="0.3">
      <c r="A81" s="85" t="s">
        <v>119</v>
      </c>
      <c r="B81" s="86"/>
      <c r="C81" s="42">
        <v>8</v>
      </c>
      <c r="D81" s="19">
        <f ca="1">((100/(D76+F76+H76))*C81)/100</f>
        <v>1</v>
      </c>
      <c r="E81" s="90"/>
      <c r="F81" s="91"/>
      <c r="G81" s="90"/>
      <c r="H81" s="95"/>
      <c r="I81" s="13" t="s">
        <v>95</v>
      </c>
      <c r="J81" s="30">
        <f ca="1">(IF(B76&gt;1,(H76/(B76+2)),H76/4))</f>
        <v>1.75</v>
      </c>
      <c r="S81"/>
    </row>
    <row r="82" spans="1:19" ht="15.75" hidden="1" customHeight="1" x14ac:dyDescent="0.3">
      <c r="A82" s="85" t="s">
        <v>126</v>
      </c>
      <c r="B82" s="86" t="s">
        <v>120</v>
      </c>
      <c r="C82" s="42">
        <v>7</v>
      </c>
      <c r="D82" s="19">
        <f ca="1">((100/H76)*C82)/100</f>
        <v>1</v>
      </c>
      <c r="E82" s="90"/>
      <c r="F82" s="91"/>
      <c r="G82" s="90"/>
      <c r="H82" s="95"/>
      <c r="I82" s="13" t="s">
        <v>96</v>
      </c>
      <c r="J82" s="30">
        <f ca="1">(IF(B76&gt;1,(H76/(B76+2)+J81),H76/4+J81))</f>
        <v>3.5</v>
      </c>
    </row>
    <row r="83" spans="1:19" ht="15.75" hidden="1" customHeight="1" x14ac:dyDescent="0.3">
      <c r="A83" s="85" t="s">
        <v>127</v>
      </c>
      <c r="B83" s="86" t="s">
        <v>120</v>
      </c>
      <c r="C83" s="42">
        <v>7</v>
      </c>
      <c r="D83" s="19">
        <f ca="1">((100/H76)*C83)/100</f>
        <v>1</v>
      </c>
      <c r="E83" s="90"/>
      <c r="F83" s="91"/>
      <c r="G83" s="90"/>
      <c r="H83" s="95"/>
      <c r="I83" s="13" t="s">
        <v>136</v>
      </c>
      <c r="J83" s="30">
        <f>(IF(B76&gt;1,(H76/(B76+2)+J82),0))</f>
        <v>0</v>
      </c>
    </row>
    <row r="84" spans="1:19" ht="15" hidden="1" customHeight="1" x14ac:dyDescent="0.3">
      <c r="A84" s="85" t="s">
        <v>125</v>
      </c>
      <c r="B84" s="86" t="s">
        <v>122</v>
      </c>
      <c r="C84" s="42">
        <v>7</v>
      </c>
      <c r="D84" s="19">
        <f ca="1">((100/(H76))*C84)/100</f>
        <v>1</v>
      </c>
      <c r="E84" s="90"/>
      <c r="F84" s="91"/>
      <c r="G84" s="90"/>
      <c r="H84" s="95"/>
      <c r="I84" s="13" t="s">
        <v>133</v>
      </c>
      <c r="J84" s="30">
        <f>(IF(B76&gt;2,(H76/(B76+2)+J83),0))</f>
        <v>0</v>
      </c>
    </row>
    <row r="85" spans="1:19" ht="15.75" hidden="1" customHeight="1" x14ac:dyDescent="0.3">
      <c r="A85" s="85" t="s">
        <v>121</v>
      </c>
      <c r="B85" s="86" t="s">
        <v>121</v>
      </c>
      <c r="C85" s="42">
        <v>4</v>
      </c>
      <c r="D85" s="19">
        <f ca="1">((100/H76)*C85)/100</f>
        <v>0.57142857142857151</v>
      </c>
      <c r="E85" s="90"/>
      <c r="F85" s="91"/>
      <c r="G85" s="90"/>
      <c r="H85" s="95"/>
      <c r="I85" s="13" t="s">
        <v>134</v>
      </c>
      <c r="J85" s="31">
        <f>(IF(B76&gt;3,(H76/(B76+2)+J84),0))</f>
        <v>0</v>
      </c>
    </row>
    <row r="86" spans="1:19" ht="15.75" hidden="1" customHeight="1" x14ac:dyDescent="0.3">
      <c r="A86" s="85" t="s">
        <v>128</v>
      </c>
      <c r="B86" s="86"/>
      <c r="C86" s="42">
        <v>4</v>
      </c>
      <c r="D86" s="19">
        <f ca="1">((100/H76)*C86)/100</f>
        <v>0.57142857142857151</v>
      </c>
      <c r="E86" s="90"/>
      <c r="F86" s="91"/>
      <c r="G86" s="90"/>
      <c r="H86" s="95"/>
      <c r="I86" s="13" t="s">
        <v>135</v>
      </c>
      <c r="J86" s="30">
        <f>(IF(B76&gt;4,(H76/(B76+2)+J85),0))</f>
        <v>0</v>
      </c>
    </row>
    <row r="87" spans="1:19" ht="15.75" hidden="1" customHeight="1" x14ac:dyDescent="0.3">
      <c r="A87" s="85" t="s">
        <v>123</v>
      </c>
      <c r="B87" s="86" t="s">
        <v>123</v>
      </c>
      <c r="C87" s="42">
        <v>0</v>
      </c>
      <c r="D87" s="19">
        <f ca="1">((100/(H76))*C87)/100</f>
        <v>0</v>
      </c>
      <c r="E87" s="90"/>
      <c r="F87" s="91"/>
      <c r="G87" s="90"/>
      <c r="H87" s="95"/>
      <c r="I87" s="13" t="s">
        <v>137</v>
      </c>
      <c r="J87" s="30">
        <f ca="1">(IF(B76=1,(H76/(B76+3)+J82),IF(B76=0,(H76/4+J82),IF(B76&gt;1,0))))</f>
        <v>5.25</v>
      </c>
    </row>
    <row r="88" spans="1:19" ht="16.2" hidden="1" thickBot="1" x14ac:dyDescent="0.35">
      <c r="A88" s="97" t="s">
        <v>124</v>
      </c>
      <c r="B88" s="98"/>
      <c r="C88" s="43">
        <v>0</v>
      </c>
      <c r="D88" s="20">
        <f ca="1">((100/(H76))*C88)/100</f>
        <v>0</v>
      </c>
      <c r="E88" s="92"/>
      <c r="F88" s="93"/>
      <c r="G88" s="92"/>
      <c r="H88" s="96"/>
      <c r="I88" s="15" t="s">
        <v>97</v>
      </c>
      <c r="J88" s="32">
        <f ca="1">(IF(B76&gt;1.5,(H76/(B76+2)+J82+MAX(0,J83-J82)+MAX(0,J84-J83)+MAX(0,J85-J84)+MAX(0,J86-J85)+MAX(0,J87-J86)),IF(B76=1,(H76/(B76+3)+J87),IF(B76=0,H76/4+J87))))</f>
        <v>7</v>
      </c>
    </row>
    <row r="89" spans="1:19" ht="15.75" customHeight="1" x14ac:dyDescent="0.3">
      <c r="A89" s="99" t="s">
        <v>130</v>
      </c>
      <c r="B89" s="100"/>
      <c r="C89" s="101" t="s">
        <v>353</v>
      </c>
      <c r="D89" s="102"/>
      <c r="E89" s="102"/>
      <c r="F89" s="102"/>
      <c r="G89" s="102"/>
      <c r="H89" s="103"/>
      <c r="I89" s="48" t="str">
        <f ca="1">IF(D102=100%,"All work Completed. Possession granted to the Building.",IF(D101=100%,"All work Completed, Waiting for OC",I90&amp;""&amp;I91&amp;""&amp;J90&amp;""&amp;J89&amp;" "&amp;J91))</f>
        <v>Excavation, Plinth, RCC Slab, Brickwork Completed, Internal Plaster upto 6 Floor, External Plaster upto 5 Floor Completed</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Internal Plaster upto 6 Floor, External Plaster upto 5 Floor</v>
      </c>
    </row>
    <row r="90" spans="1:19" x14ac:dyDescent="0.3">
      <c r="A90" s="71" t="s">
        <v>132</v>
      </c>
      <c r="B90" s="72">
        <f>IF(AND(ISNUMBER(SEARCH("1B",C89))),1,IF(AND(ISNUMBER(SEARCH("2B",C89))),2,IF(AND(ISNUMBER(SEARCH("3B",C89))),3,IF(AND(ISNUMBER(SEARCH("4B",C89))),4,IF(ISNUMBER(SEARCH("5B",C89)),5,0)))))</f>
        <v>0</v>
      </c>
      <c r="C90" s="72" t="s">
        <v>68</v>
      </c>
      <c r="D90" s="72">
        <v>1</v>
      </c>
      <c r="E90" s="72" t="s">
        <v>67</v>
      </c>
      <c r="F90" s="72">
        <v>0</v>
      </c>
      <c r="G90" s="72" t="s">
        <v>75</v>
      </c>
      <c r="H90" s="73">
        <f ca="1">--TRIM(RIGHT(SUBSTITUTE(LEFT(C89,_xlfn.AGGREGATE(16,6,FIND({0,1,2,3,4,5,6,7,8,9},C89,ROW(INDIRECT("1:"&amp;LEN(C89)))),1))," ",REPT(" ",LEN(C89))),LEN(C89)))</f>
        <v>7</v>
      </c>
      <c r="I90" s="50" t="str">
        <f ca="1">IF(D93=100%,"Excavation","")&amp;IF(D94=100%,", Plinth","")&amp;IF(D95=100%,", RCC Slab","")&amp;IF(D96=100%,", Brickwork","")&amp;IF(D97=100%,", Internal Plaster","")&amp;IF(D98=100%,", External Plaster","")&amp;IF(D99=100%,", Flooring","")&amp;IF(D100=100%,", Painting","")&amp;IF(D101=100%,", Building common Amenities","")</f>
        <v>Excavation, Plinth, RCC Slab, Brickwork</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1.5" customHeight="1" x14ac:dyDescent="0.3">
      <c r="A91" s="104" t="s">
        <v>85</v>
      </c>
      <c r="B91" s="105"/>
      <c r="C91" s="83" t="str">
        <f ca="1">(IF($G$60="NA",I89,"All work Completed. OC Received."))</f>
        <v>Excavation, Plinth, RCC Slab, Brickwork Completed, Internal Plaster upto 6 Floor, External Plaster upto 5 Floor Completed</v>
      </c>
      <c r="D91" s="83"/>
      <c r="E91" s="83"/>
      <c r="F91" s="83"/>
      <c r="G91" s="83"/>
      <c r="H91" s="84"/>
      <c r="I91" s="50" t="str">
        <f ca="1">IF(I90&lt;&gt;""," Completed","")</f>
        <v xml:space="preserve"> Completed</v>
      </c>
      <c r="J91" s="51" t="str">
        <f ca="1">IF(J89&lt;&gt;"","Completed","")</f>
        <v>Completed</v>
      </c>
    </row>
    <row r="92" spans="1:19" ht="15.75" customHeight="1" x14ac:dyDescent="0.3">
      <c r="A92" s="85" t="s">
        <v>47</v>
      </c>
      <c r="B92" s="86"/>
      <c r="C92" s="42" t="s">
        <v>129</v>
      </c>
      <c r="D92" s="42" t="s">
        <v>78</v>
      </c>
      <c r="E92" s="86" t="s">
        <v>80</v>
      </c>
      <c r="F92" s="86"/>
      <c r="G92" s="86" t="s">
        <v>79</v>
      </c>
      <c r="H92" s="87"/>
      <c r="I92" s="13" t="s">
        <v>131</v>
      </c>
      <c r="J92" s="28">
        <f ca="1">H90*25%</f>
        <v>1.75</v>
      </c>
    </row>
    <row r="93" spans="1:19" x14ac:dyDescent="0.3">
      <c r="A93" s="85" t="s">
        <v>118</v>
      </c>
      <c r="B93" s="86"/>
      <c r="C93" s="42">
        <f ca="1">J94</f>
        <v>7</v>
      </c>
      <c r="D93" s="19">
        <f ca="1">((100/H90)*C93)/100</f>
        <v>1</v>
      </c>
      <c r="E93" s="88">
        <f ca="1">(((C94/H90*10)+(40/(D90+F90+H90)*C95)+(7.5/(H90)*C96)+(7.5/(H90)*C97)+(10/H90*C98)+(10/H90*C99)+(5/H90*C100)+(5/H90*C101)+(5/H90*C102))/100)</f>
        <v>0.71071428571428574</v>
      </c>
      <c r="F93" s="89"/>
      <c r="G93" s="88">
        <f ca="1">((((C93/H90)*20)+((C94/H90)*25)+(30/(H90+F90+D90)*C95)+(5/H90*C96)+(5/H90*C97)+(5/H90*C98)+(5/H90*C99)+(0/H90*C100)+(0/H90*C101)+(5/H90*C102))/100)</f>
        <v>0.87857142857142856</v>
      </c>
      <c r="H93" s="94"/>
      <c r="I93" s="13" t="s">
        <v>93</v>
      </c>
      <c r="J93" s="29">
        <f ca="1">H90*50%</f>
        <v>3.5</v>
      </c>
    </row>
    <row r="94" spans="1:19" x14ac:dyDescent="0.3">
      <c r="A94" s="85" t="s">
        <v>48</v>
      </c>
      <c r="B94" s="86"/>
      <c r="C94" s="74">
        <v>7</v>
      </c>
      <c r="D94" s="19">
        <f ca="1">((100/H90)*C94)/100</f>
        <v>1</v>
      </c>
      <c r="E94" s="90"/>
      <c r="F94" s="91"/>
      <c r="G94" s="90"/>
      <c r="H94" s="95"/>
      <c r="I94" s="13" t="s">
        <v>94</v>
      </c>
      <c r="J94" s="29">
        <f ca="1">H90</f>
        <v>7</v>
      </c>
    </row>
    <row r="95" spans="1:19" ht="15.75" customHeight="1" x14ac:dyDescent="0.3">
      <c r="A95" s="85" t="s">
        <v>119</v>
      </c>
      <c r="B95" s="86"/>
      <c r="C95" s="42">
        <v>8</v>
      </c>
      <c r="D95" s="19">
        <f ca="1">((100/(D90+F90+H90))*C95)/100</f>
        <v>1</v>
      </c>
      <c r="E95" s="90"/>
      <c r="F95" s="91"/>
      <c r="G95" s="90"/>
      <c r="H95" s="95"/>
      <c r="I95" s="13" t="s">
        <v>95</v>
      </c>
      <c r="J95" s="30">
        <f ca="1">(IF(B90&gt;1,(H90/(B90+2)),H90/4))</f>
        <v>1.75</v>
      </c>
    </row>
    <row r="96" spans="1:19" ht="15.75" customHeight="1" x14ac:dyDescent="0.3">
      <c r="A96" s="85" t="s">
        <v>126</v>
      </c>
      <c r="B96" s="86" t="s">
        <v>120</v>
      </c>
      <c r="C96" s="42">
        <v>7</v>
      </c>
      <c r="D96" s="19">
        <f ca="1">((100/H90)*C96)/100</f>
        <v>1</v>
      </c>
      <c r="E96" s="90"/>
      <c r="F96" s="91"/>
      <c r="G96" s="90"/>
      <c r="H96" s="95"/>
      <c r="I96" s="13" t="s">
        <v>96</v>
      </c>
      <c r="J96" s="30">
        <f ca="1">(IF(B90&gt;1,(H90/(B90+2)+J95),H90/4+J95))</f>
        <v>3.5</v>
      </c>
    </row>
    <row r="97" spans="1:10" ht="15.75" customHeight="1" x14ac:dyDescent="0.3">
      <c r="A97" s="85" t="s">
        <v>127</v>
      </c>
      <c r="B97" s="86" t="s">
        <v>120</v>
      </c>
      <c r="C97" s="42">
        <v>6</v>
      </c>
      <c r="D97" s="19">
        <f ca="1">((100/H90)*C97)/100</f>
        <v>0.85714285714285721</v>
      </c>
      <c r="E97" s="90"/>
      <c r="F97" s="91"/>
      <c r="G97" s="90"/>
      <c r="H97" s="95"/>
      <c r="I97" s="13" t="s">
        <v>136</v>
      </c>
      <c r="J97" s="30">
        <f>(IF(B90&gt;1,(H90/(B90+2)+J96),0))</f>
        <v>0</v>
      </c>
    </row>
    <row r="98" spans="1:10" ht="15" customHeight="1" x14ac:dyDescent="0.3">
      <c r="A98" s="85" t="s">
        <v>125</v>
      </c>
      <c r="B98" s="86" t="s">
        <v>122</v>
      </c>
      <c r="C98" s="42">
        <v>5</v>
      </c>
      <c r="D98" s="19">
        <f ca="1">((100/(H90))*C98)/100</f>
        <v>0.7142857142857143</v>
      </c>
      <c r="E98" s="90"/>
      <c r="F98" s="91"/>
      <c r="G98" s="90"/>
      <c r="H98" s="95"/>
      <c r="I98" s="13" t="s">
        <v>133</v>
      </c>
      <c r="J98" s="30">
        <f>(IF(B90&gt;2,(H90/(B90+2)+J97),0))</f>
        <v>0</v>
      </c>
    </row>
    <row r="99" spans="1:10" ht="15.75" customHeight="1" x14ac:dyDescent="0.3">
      <c r="A99" s="85" t="s">
        <v>121</v>
      </c>
      <c r="B99" s="86" t="s">
        <v>121</v>
      </c>
      <c r="C99" s="42">
        <v>0</v>
      </c>
      <c r="D99" s="19">
        <f ca="1">((100/H90)*C99)/100</f>
        <v>0</v>
      </c>
      <c r="E99" s="90"/>
      <c r="F99" s="91"/>
      <c r="G99" s="90"/>
      <c r="H99" s="95"/>
      <c r="I99" s="13" t="s">
        <v>134</v>
      </c>
      <c r="J99" s="31">
        <f>(IF(B90&gt;3,(H90/(B90+2)+J98),0))</f>
        <v>0</v>
      </c>
    </row>
    <row r="100" spans="1:10" ht="15.75" customHeight="1" x14ac:dyDescent="0.3">
      <c r="A100" s="85" t="s">
        <v>128</v>
      </c>
      <c r="B100" s="86"/>
      <c r="C100" s="42">
        <v>0</v>
      </c>
      <c r="D100" s="19">
        <f ca="1">((100/H90)*C100)/100</f>
        <v>0</v>
      </c>
      <c r="E100" s="90"/>
      <c r="F100" s="91"/>
      <c r="G100" s="90"/>
      <c r="H100" s="95"/>
      <c r="I100" s="13" t="s">
        <v>135</v>
      </c>
      <c r="J100" s="30">
        <f>(IF(B90&gt;4,(H90/(B90+2)+J99),0))</f>
        <v>0</v>
      </c>
    </row>
    <row r="101" spans="1:10" ht="15.75" customHeight="1" x14ac:dyDescent="0.3">
      <c r="A101" s="85" t="s">
        <v>123</v>
      </c>
      <c r="B101" s="86" t="s">
        <v>123</v>
      </c>
      <c r="C101" s="42">
        <v>0</v>
      </c>
      <c r="D101" s="19">
        <f ca="1">((100/(H90))*C101)/100</f>
        <v>0</v>
      </c>
      <c r="E101" s="90"/>
      <c r="F101" s="91"/>
      <c r="G101" s="90"/>
      <c r="H101" s="95"/>
      <c r="I101" s="13" t="s">
        <v>137</v>
      </c>
      <c r="J101" s="30">
        <f ca="1">(IF(B90=1,(H90/(B90+3)+J96),IF(B90=0,(H90/4+J96),IF(B90&gt;1,0))))</f>
        <v>5.25</v>
      </c>
    </row>
    <row r="102" spans="1:10" ht="16.2" thickBot="1" x14ac:dyDescent="0.35">
      <c r="A102" s="97" t="s">
        <v>124</v>
      </c>
      <c r="B102" s="98"/>
      <c r="C102" s="43">
        <v>0</v>
      </c>
      <c r="D102" s="20">
        <f ca="1">((100/(H90))*C102)/100</f>
        <v>0</v>
      </c>
      <c r="E102" s="92"/>
      <c r="F102" s="93"/>
      <c r="G102" s="92"/>
      <c r="H102" s="96"/>
      <c r="I102" s="15" t="s">
        <v>97</v>
      </c>
      <c r="J102" s="32">
        <f ca="1">(IF(B90&gt;1.5,(H90/(B90+2)+J96+MAX(0,J97-J96)+MAX(0,J98-J97)+MAX(0,J99-J98)+MAX(0,J100-J99)+MAX(0,J101-J100)),IF(B90=1,(H90/(B90+3)+J101),IF(B90=0,H90/4+J101))))</f>
        <v>7</v>
      </c>
    </row>
    <row r="103" spans="1:10" ht="15.75" customHeight="1" x14ac:dyDescent="0.3">
      <c r="A103" s="99" t="s">
        <v>130</v>
      </c>
      <c r="B103" s="100"/>
      <c r="C103" s="101" t="s">
        <v>354</v>
      </c>
      <c r="D103" s="102"/>
      <c r="E103" s="102"/>
      <c r="F103" s="102"/>
      <c r="G103" s="102"/>
      <c r="H103" s="103"/>
      <c r="I103" s="48" t="str">
        <f ca="1">IF(D116=100%,"All work Completed. Possession granted to the Building.",IF(D115=100%,"All work Completed, Waiting for OC",I104&amp;""&amp;I105&amp;""&amp;J104&amp;""&amp;J103&amp;" "&amp;J105))</f>
        <v>Excavation, Plinth, RCC Slab, Brickwork Completed, Internal Plaster upto 5 Floor, External Plaster upto 5 Floor Completed</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Internal Plaster upto 5 Floor, External Plaster upto 5 Floor</v>
      </c>
    </row>
    <row r="104" spans="1:10" x14ac:dyDescent="0.3">
      <c r="A104" s="71" t="s">
        <v>132</v>
      </c>
      <c r="B104" s="72">
        <f>IF(AND(ISNUMBER(SEARCH("1B",C103))),1,IF(AND(ISNUMBER(SEARCH("2B",C103))),2,IF(AND(ISNUMBER(SEARCH("3B",C103))),3,IF(AND(ISNUMBER(SEARCH("4B",C103))),4,IF(ISNUMBER(SEARCH("5B",C103)),5,0)))))</f>
        <v>0</v>
      </c>
      <c r="C104" s="72" t="s">
        <v>68</v>
      </c>
      <c r="D104" s="72">
        <v>1</v>
      </c>
      <c r="E104" s="72" t="s">
        <v>67</v>
      </c>
      <c r="F104" s="72">
        <v>0</v>
      </c>
      <c r="G104" s="72" t="s">
        <v>75</v>
      </c>
      <c r="H104" s="73">
        <f ca="1">--TRIM(RIGHT(SUBSTITUTE(LEFT(C103,_xlfn.AGGREGATE(16,6,FIND({0,1,2,3,4,5,6,7,8,9},C103,ROW(INDIRECT("1:"&amp;LEN(C103)))),1))," ",REPT(" ",LEN(C103))),LEN(C103)))</f>
        <v>7</v>
      </c>
      <c r="I104" s="50" t="str">
        <f ca="1">IF(D107=100%,"Excavation","")&amp;IF(D108=100%,", Plinth","")&amp;IF(D109=100%,", RCC Slab","")&amp;IF(D110=100%,", Brickwork","")&amp;IF(D111=100%,", Internal Plaster","")&amp;IF(D112=100%,", External Plaster","")&amp;IF(D113=100%,", Flooring","")&amp;IF(D114=100%,", Painting","")&amp;IF(D115=100%,", Building common Amenities","")</f>
        <v>Excavation, Plinth, RCC Slab, Brickwork</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30.9" customHeight="1" x14ac:dyDescent="0.3">
      <c r="A105" s="104" t="s">
        <v>85</v>
      </c>
      <c r="B105" s="105"/>
      <c r="C105" s="83" t="str">
        <f ca="1">(IF($G$60="NA",I103,"All work Completed. OC Received."))</f>
        <v>Excavation, Plinth, RCC Slab, Brickwork Completed, Internal Plaster upto 5 Floor, External Plaster upto 5 Floor Completed</v>
      </c>
      <c r="D105" s="83"/>
      <c r="E105" s="83"/>
      <c r="F105" s="83"/>
      <c r="G105" s="83"/>
      <c r="H105" s="84"/>
      <c r="I105" s="50" t="str">
        <f ca="1">IF(I104&lt;&gt;""," Completed","")</f>
        <v xml:space="preserve"> Completed</v>
      </c>
      <c r="J105" s="51" t="str">
        <f ca="1">IF(J103&lt;&gt;"","Completed","")</f>
        <v>Completed</v>
      </c>
    </row>
    <row r="106" spans="1:10" ht="15.75" customHeight="1" x14ac:dyDescent="0.3">
      <c r="A106" s="85" t="s">
        <v>47</v>
      </c>
      <c r="B106" s="86"/>
      <c r="C106" s="42" t="s">
        <v>129</v>
      </c>
      <c r="D106" s="42" t="s">
        <v>78</v>
      </c>
      <c r="E106" s="86" t="s">
        <v>80</v>
      </c>
      <c r="F106" s="86"/>
      <c r="G106" s="86" t="s">
        <v>79</v>
      </c>
      <c r="H106" s="87"/>
      <c r="I106" s="13" t="s">
        <v>131</v>
      </c>
      <c r="J106" s="28">
        <f ca="1">H104*25%</f>
        <v>1.75</v>
      </c>
    </row>
    <row r="107" spans="1:10" x14ac:dyDescent="0.3">
      <c r="A107" s="85" t="s">
        <v>118</v>
      </c>
      <c r="B107" s="86"/>
      <c r="C107" s="42">
        <f ca="1">J108</f>
        <v>7</v>
      </c>
      <c r="D107" s="19">
        <f ca="1">((100/H104)*C107)/100</f>
        <v>1</v>
      </c>
      <c r="E107" s="88">
        <f ca="1">(((C108/H104*10)+(40/(D104+F104+H104)*C109)+(7.5/(H104)*C110)+(7.5/(H104)*C111)+(10/H104*C112)+(10/H104*C113)+(5/H104*C114)+(5/H104*C115)+(5/H104*C116))/100)</f>
        <v>0.7</v>
      </c>
      <c r="F107" s="89"/>
      <c r="G107" s="88">
        <f ca="1">((((C107/H104)*20)+((C108/H104)*25)+(30/(H104+F104+D104)*C109)+(5/H104*C110)+(5/H104*C111)+(5/H104*C112)+(5/H104*C113)+(0/H104*C114)+(0/H104*C115)+(5/H104*C116))/100)</f>
        <v>0.87142857142857144</v>
      </c>
      <c r="H107" s="94"/>
      <c r="I107" s="13" t="s">
        <v>93</v>
      </c>
      <c r="J107" s="29">
        <f ca="1">H104*50%</f>
        <v>3.5</v>
      </c>
    </row>
    <row r="108" spans="1:10" x14ac:dyDescent="0.3">
      <c r="A108" s="85" t="s">
        <v>48</v>
      </c>
      <c r="B108" s="86"/>
      <c r="C108" s="74">
        <v>7</v>
      </c>
      <c r="D108" s="19">
        <f ca="1">((100/H104)*C108)/100</f>
        <v>1</v>
      </c>
      <c r="E108" s="90"/>
      <c r="F108" s="91"/>
      <c r="G108" s="90"/>
      <c r="H108" s="95"/>
      <c r="I108" s="13" t="s">
        <v>94</v>
      </c>
      <c r="J108" s="29">
        <f ca="1">H104</f>
        <v>7</v>
      </c>
    </row>
    <row r="109" spans="1:10" ht="15.75" customHeight="1" x14ac:dyDescent="0.3">
      <c r="A109" s="85" t="s">
        <v>119</v>
      </c>
      <c r="B109" s="86"/>
      <c r="C109" s="42">
        <v>8</v>
      </c>
      <c r="D109" s="19">
        <f ca="1">((100/(D104+F104+H104))*C109)/100</f>
        <v>1</v>
      </c>
      <c r="E109" s="90"/>
      <c r="F109" s="91"/>
      <c r="G109" s="90"/>
      <c r="H109" s="95"/>
      <c r="I109" s="13" t="s">
        <v>95</v>
      </c>
      <c r="J109" s="30">
        <f ca="1">(IF(B104&gt;1,(H104/(B104+2)),H104/4))</f>
        <v>1.75</v>
      </c>
    </row>
    <row r="110" spans="1:10" ht="15.75" customHeight="1" x14ac:dyDescent="0.3">
      <c r="A110" s="85" t="s">
        <v>126</v>
      </c>
      <c r="B110" s="86" t="s">
        <v>120</v>
      </c>
      <c r="C110" s="42">
        <v>7</v>
      </c>
      <c r="D110" s="19">
        <f ca="1">((100/H104)*C110)/100</f>
        <v>1</v>
      </c>
      <c r="E110" s="90"/>
      <c r="F110" s="91"/>
      <c r="G110" s="90"/>
      <c r="H110" s="95"/>
      <c r="I110" s="13" t="s">
        <v>96</v>
      </c>
      <c r="J110" s="30">
        <f ca="1">(IF(B104&gt;1,(H104/(B104+2)+J109),H104/4+J109))</f>
        <v>3.5</v>
      </c>
    </row>
    <row r="111" spans="1:10" ht="15.75" customHeight="1" x14ac:dyDescent="0.3">
      <c r="A111" s="85" t="s">
        <v>127</v>
      </c>
      <c r="B111" s="86" t="s">
        <v>120</v>
      </c>
      <c r="C111" s="42">
        <v>5</v>
      </c>
      <c r="D111" s="19">
        <f ca="1">((100/H104)*C111)/100</f>
        <v>0.7142857142857143</v>
      </c>
      <c r="E111" s="90"/>
      <c r="F111" s="91"/>
      <c r="G111" s="90"/>
      <c r="H111" s="95"/>
      <c r="I111" s="13" t="s">
        <v>136</v>
      </c>
      <c r="J111" s="30">
        <f>(IF(B104&gt;1,(H104/(B104+2)+J110),0))</f>
        <v>0</v>
      </c>
    </row>
    <row r="112" spans="1:10" ht="15" customHeight="1" x14ac:dyDescent="0.3">
      <c r="A112" s="85" t="s">
        <v>125</v>
      </c>
      <c r="B112" s="86" t="s">
        <v>122</v>
      </c>
      <c r="C112" s="42">
        <v>5</v>
      </c>
      <c r="D112" s="19">
        <f ca="1">((100/(H104))*C112)/100</f>
        <v>0.7142857142857143</v>
      </c>
      <c r="E112" s="90"/>
      <c r="F112" s="91"/>
      <c r="G112" s="90"/>
      <c r="H112" s="95"/>
      <c r="I112" s="13" t="s">
        <v>133</v>
      </c>
      <c r="J112" s="30">
        <f>(IF(B104&gt;2,(H104/(B104+2)+J111),0))</f>
        <v>0</v>
      </c>
    </row>
    <row r="113" spans="1:10" ht="15.75" customHeight="1" x14ac:dyDescent="0.3">
      <c r="A113" s="85" t="s">
        <v>121</v>
      </c>
      <c r="B113" s="86" t="s">
        <v>121</v>
      </c>
      <c r="C113" s="42">
        <v>0</v>
      </c>
      <c r="D113" s="19">
        <f ca="1">((100/H104)*C113)/100</f>
        <v>0</v>
      </c>
      <c r="E113" s="90"/>
      <c r="F113" s="91"/>
      <c r="G113" s="90"/>
      <c r="H113" s="95"/>
      <c r="I113" s="13" t="s">
        <v>134</v>
      </c>
      <c r="J113" s="31">
        <f>(IF(B104&gt;3,(H104/(B104+2)+J112),0))</f>
        <v>0</v>
      </c>
    </row>
    <row r="114" spans="1:10" ht="15.75" customHeight="1" x14ac:dyDescent="0.3">
      <c r="A114" s="85" t="s">
        <v>128</v>
      </c>
      <c r="B114" s="86"/>
      <c r="C114" s="42">
        <v>0</v>
      </c>
      <c r="D114" s="19">
        <f ca="1">((100/H104)*C114)/100</f>
        <v>0</v>
      </c>
      <c r="E114" s="90"/>
      <c r="F114" s="91"/>
      <c r="G114" s="90"/>
      <c r="H114" s="95"/>
      <c r="I114" s="13" t="s">
        <v>135</v>
      </c>
      <c r="J114" s="30">
        <f>(IF(B104&gt;4,(H104/(B104+2)+J113),0))</f>
        <v>0</v>
      </c>
    </row>
    <row r="115" spans="1:10" ht="15.75" customHeight="1" x14ac:dyDescent="0.3">
      <c r="A115" s="85" t="s">
        <v>123</v>
      </c>
      <c r="B115" s="86" t="s">
        <v>123</v>
      </c>
      <c r="C115" s="42">
        <v>0</v>
      </c>
      <c r="D115" s="19">
        <f ca="1">((100/(H104))*C115)/100</f>
        <v>0</v>
      </c>
      <c r="E115" s="90"/>
      <c r="F115" s="91"/>
      <c r="G115" s="90"/>
      <c r="H115" s="95"/>
      <c r="I115" s="13" t="s">
        <v>137</v>
      </c>
      <c r="J115" s="30">
        <f ca="1">(IF(B104=1,(H104/(B104+3)+J110),IF(B104=0,(H104/4+J110),IF(B104&gt;1,0))))</f>
        <v>5.25</v>
      </c>
    </row>
    <row r="116" spans="1:10" ht="16.2" thickBot="1" x14ac:dyDescent="0.35">
      <c r="A116" s="97" t="s">
        <v>124</v>
      </c>
      <c r="B116" s="98"/>
      <c r="C116" s="43">
        <v>0</v>
      </c>
      <c r="D116" s="20">
        <f ca="1">((100/(H104))*C116)/100</f>
        <v>0</v>
      </c>
      <c r="E116" s="92"/>
      <c r="F116" s="93"/>
      <c r="G116" s="92"/>
      <c r="H116" s="96"/>
      <c r="I116" s="15" t="s">
        <v>97</v>
      </c>
      <c r="J116" s="32">
        <f ca="1">(IF(B104&gt;1.5,(H104/(B104+2)+J110+MAX(0,J111-J110)+MAX(0,J112-J111)+MAX(0,J113-J112)+MAX(0,J114-J113)+MAX(0,J115-J114)),IF(B104=1,(H104/(B104+3)+J115),IF(B104=0,H104/4+J115))))</f>
        <v>7</v>
      </c>
    </row>
    <row r="117" spans="1:10" ht="15.75" customHeight="1" x14ac:dyDescent="0.3">
      <c r="A117" s="99" t="s">
        <v>130</v>
      </c>
      <c r="B117" s="100"/>
      <c r="C117" s="101" t="s">
        <v>355</v>
      </c>
      <c r="D117" s="102"/>
      <c r="E117" s="102"/>
      <c r="F117" s="102"/>
      <c r="G117" s="102"/>
      <c r="H117" s="103"/>
      <c r="I117" s="48" t="str">
        <f ca="1">IF(D130=100%,"All work Completed. Possession granted to the Building.",IF(D129=100%,"All work Completed, Waiting for OC",I118&amp;""&amp;I119&amp;""&amp;J118&amp;""&amp;J117&amp;" "&amp;J119))</f>
        <v>Excavation, Plinth, RCC Slab, Brickwork Completed, Internal Plaster upto 6 Floor, External Plaster upto 5 Floor Completed</v>
      </c>
      <c r="J117" s="49"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Internal Plaster upto 6 Floor, External Plaster upto 5 Floor</v>
      </c>
    </row>
    <row r="118" spans="1:10" x14ac:dyDescent="0.3">
      <c r="A118" s="71" t="s">
        <v>132</v>
      </c>
      <c r="B118" s="72">
        <f>IF(AND(ISNUMBER(SEARCH("1B",C117))),1,IF(AND(ISNUMBER(SEARCH("2B",C117))),2,IF(AND(ISNUMBER(SEARCH("3B",C117))),3,IF(AND(ISNUMBER(SEARCH("4B",C117))),4,IF(ISNUMBER(SEARCH("5B",C117)),5,0)))))</f>
        <v>0</v>
      </c>
      <c r="C118" s="72" t="s">
        <v>68</v>
      </c>
      <c r="D118" s="72">
        <v>1</v>
      </c>
      <c r="E118" s="72" t="s">
        <v>67</v>
      </c>
      <c r="F118" s="72">
        <v>0</v>
      </c>
      <c r="G118" s="72" t="s">
        <v>75</v>
      </c>
      <c r="H118" s="73">
        <f ca="1">--TRIM(RIGHT(SUBSTITUTE(LEFT(C117,_xlfn.AGGREGATE(16,6,FIND({0,1,2,3,4,5,6,7,8,9},C117,ROW(INDIRECT("1:"&amp;LEN(C117)))),1))," ",REPT(" ",LEN(C117))),LEN(C117)))</f>
        <v>7</v>
      </c>
      <c r="I118" s="50" t="str">
        <f ca="1">IF(D121=100%,"Excavation","")&amp;IF(D122=100%,", Plinth","")&amp;IF(D123=100%,", RCC Slab","")&amp;IF(D124=100%,", Brickwork","")&amp;IF(D125=100%,", Internal Plaster","")&amp;IF(D126=100%,", External Plaster","")&amp;IF(D127=100%,", Flooring","")&amp;IF(D128=100%,", Painting","")&amp;IF(D129=100%,", Building common Amenities","")</f>
        <v>Excavation, Plinth, RCC Slab, Brickwork</v>
      </c>
      <c r="J118" s="51"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row>
    <row r="119" spans="1:10" ht="30" customHeight="1" x14ac:dyDescent="0.3">
      <c r="A119" s="104" t="s">
        <v>85</v>
      </c>
      <c r="B119" s="105"/>
      <c r="C119" s="83" t="str">
        <f ca="1">(IF($G$60="NA",I117,"All work Completed. OC Received."))</f>
        <v>Excavation, Plinth, RCC Slab, Brickwork Completed, Internal Plaster upto 6 Floor, External Plaster upto 5 Floor Completed</v>
      </c>
      <c r="D119" s="83"/>
      <c r="E119" s="83"/>
      <c r="F119" s="83"/>
      <c r="G119" s="83"/>
      <c r="H119" s="84"/>
      <c r="I119" s="50" t="str">
        <f ca="1">IF(I118&lt;&gt;""," Completed","")</f>
        <v xml:space="preserve"> Completed</v>
      </c>
      <c r="J119" s="51" t="str">
        <f ca="1">IF(J117&lt;&gt;"","Completed","")</f>
        <v>Completed</v>
      </c>
    </row>
    <row r="120" spans="1:10" ht="15.75" customHeight="1" x14ac:dyDescent="0.3">
      <c r="A120" s="85" t="s">
        <v>47</v>
      </c>
      <c r="B120" s="86"/>
      <c r="C120" s="42" t="s">
        <v>129</v>
      </c>
      <c r="D120" s="42" t="s">
        <v>78</v>
      </c>
      <c r="E120" s="86" t="s">
        <v>80</v>
      </c>
      <c r="F120" s="86"/>
      <c r="G120" s="86" t="s">
        <v>79</v>
      </c>
      <c r="H120" s="87"/>
      <c r="I120" s="13" t="s">
        <v>131</v>
      </c>
      <c r="J120" s="28">
        <f ca="1">H118*25%</f>
        <v>1.75</v>
      </c>
    </row>
    <row r="121" spans="1:10" x14ac:dyDescent="0.3">
      <c r="A121" s="85" t="s">
        <v>118</v>
      </c>
      <c r="B121" s="86"/>
      <c r="C121" s="42">
        <f ca="1">J122</f>
        <v>7</v>
      </c>
      <c r="D121" s="19">
        <f ca="1">((100/H118)*C121)/100</f>
        <v>1</v>
      </c>
      <c r="E121" s="88">
        <f ca="1">(((C122/H118*10)+(40/(D118+F118+H118)*C123)+(7.5/(H118)*C124)+(7.5/(H118)*C125)+(10/H118*C126)+(10/H118*C127)+(5/H118*C128)+(5/H118*C129)+(5/H118*C130))/100)</f>
        <v>0.71071428571428574</v>
      </c>
      <c r="F121" s="89"/>
      <c r="G121" s="88">
        <f ca="1">((((C121/H118)*20)+((C122/H118)*25)+(30/(H118+F118+D118)*C123)+(5/H118*C124)+(5/H118*C125)+(5/H118*C126)+(5/H118*C127)+(0/H118*C128)+(0/H118*C129)+(5/H118*C130))/100)</f>
        <v>0.87857142857142856</v>
      </c>
      <c r="H121" s="94"/>
      <c r="I121" s="13" t="s">
        <v>93</v>
      </c>
      <c r="J121" s="29">
        <f ca="1">H118*50%</f>
        <v>3.5</v>
      </c>
    </row>
    <row r="122" spans="1:10" x14ac:dyDescent="0.3">
      <c r="A122" s="85" t="s">
        <v>48</v>
      </c>
      <c r="B122" s="86"/>
      <c r="C122" s="74">
        <v>7</v>
      </c>
      <c r="D122" s="19">
        <f ca="1">((100/H118)*C122)/100</f>
        <v>1</v>
      </c>
      <c r="E122" s="90"/>
      <c r="F122" s="91"/>
      <c r="G122" s="90"/>
      <c r="H122" s="95"/>
      <c r="I122" s="13" t="s">
        <v>94</v>
      </c>
      <c r="J122" s="29">
        <f ca="1">H118</f>
        <v>7</v>
      </c>
    </row>
    <row r="123" spans="1:10" ht="15.75" customHeight="1" x14ac:dyDescent="0.3">
      <c r="A123" s="85" t="s">
        <v>119</v>
      </c>
      <c r="B123" s="86"/>
      <c r="C123" s="42">
        <v>8</v>
      </c>
      <c r="D123" s="19">
        <f ca="1">((100/(D118+F118+H118))*C123)/100</f>
        <v>1</v>
      </c>
      <c r="E123" s="90"/>
      <c r="F123" s="91"/>
      <c r="G123" s="90"/>
      <c r="H123" s="95"/>
      <c r="I123" s="13" t="s">
        <v>95</v>
      </c>
      <c r="J123" s="30">
        <f ca="1">(IF(B118&gt;1,(H118/(B118+2)),H118/4))</f>
        <v>1.75</v>
      </c>
    </row>
    <row r="124" spans="1:10" ht="15.75" customHeight="1" x14ac:dyDescent="0.3">
      <c r="A124" s="85" t="s">
        <v>126</v>
      </c>
      <c r="B124" s="86" t="s">
        <v>120</v>
      </c>
      <c r="C124" s="42">
        <v>7</v>
      </c>
      <c r="D124" s="19">
        <f ca="1">((100/H118)*C124)/100</f>
        <v>1</v>
      </c>
      <c r="E124" s="90"/>
      <c r="F124" s="91"/>
      <c r="G124" s="90"/>
      <c r="H124" s="95"/>
      <c r="I124" s="13" t="s">
        <v>96</v>
      </c>
      <c r="J124" s="30">
        <f ca="1">(IF(B118&gt;1,(H118/(B118+2)+J123),H118/4+J123))</f>
        <v>3.5</v>
      </c>
    </row>
    <row r="125" spans="1:10" ht="15.75" customHeight="1" x14ac:dyDescent="0.3">
      <c r="A125" s="85" t="s">
        <v>127</v>
      </c>
      <c r="B125" s="86" t="s">
        <v>120</v>
      </c>
      <c r="C125" s="42">
        <v>6</v>
      </c>
      <c r="D125" s="19">
        <f ca="1">((100/H118)*C125)/100</f>
        <v>0.85714285714285721</v>
      </c>
      <c r="E125" s="90"/>
      <c r="F125" s="91"/>
      <c r="G125" s="90"/>
      <c r="H125" s="95"/>
      <c r="I125" s="13" t="s">
        <v>136</v>
      </c>
      <c r="J125" s="30">
        <f>(IF(B118&gt;1,(H118/(B118+2)+J124),0))</f>
        <v>0</v>
      </c>
    </row>
    <row r="126" spans="1:10" ht="15" customHeight="1" x14ac:dyDescent="0.3">
      <c r="A126" s="85" t="s">
        <v>125</v>
      </c>
      <c r="B126" s="86" t="s">
        <v>122</v>
      </c>
      <c r="C126" s="42">
        <v>5</v>
      </c>
      <c r="D126" s="19">
        <f ca="1">((100/(H118))*C126)/100</f>
        <v>0.7142857142857143</v>
      </c>
      <c r="E126" s="90"/>
      <c r="F126" s="91"/>
      <c r="G126" s="90"/>
      <c r="H126" s="95"/>
      <c r="I126" s="13" t="s">
        <v>133</v>
      </c>
      <c r="J126" s="30">
        <f>(IF(B118&gt;2,(H118/(B118+2)+J125),0))</f>
        <v>0</v>
      </c>
    </row>
    <row r="127" spans="1:10" ht="15.75" customHeight="1" x14ac:dyDescent="0.3">
      <c r="A127" s="85" t="s">
        <v>121</v>
      </c>
      <c r="B127" s="86" t="s">
        <v>121</v>
      </c>
      <c r="C127" s="42">
        <v>0</v>
      </c>
      <c r="D127" s="19">
        <f ca="1">((100/H118)*C127)/100</f>
        <v>0</v>
      </c>
      <c r="E127" s="90"/>
      <c r="F127" s="91"/>
      <c r="G127" s="90"/>
      <c r="H127" s="95"/>
      <c r="I127" s="13" t="s">
        <v>134</v>
      </c>
      <c r="J127" s="31">
        <f>(IF(B118&gt;3,(H118/(B118+2)+J126),0))</f>
        <v>0</v>
      </c>
    </row>
    <row r="128" spans="1:10" ht="15.75" customHeight="1" x14ac:dyDescent="0.3">
      <c r="A128" s="85" t="s">
        <v>128</v>
      </c>
      <c r="B128" s="86"/>
      <c r="C128" s="42">
        <v>0</v>
      </c>
      <c r="D128" s="19">
        <f ca="1">((100/H118)*C128)/100</f>
        <v>0</v>
      </c>
      <c r="E128" s="90"/>
      <c r="F128" s="91"/>
      <c r="G128" s="90"/>
      <c r="H128" s="95"/>
      <c r="I128" s="13" t="s">
        <v>135</v>
      </c>
      <c r="J128" s="30">
        <f>(IF(B118&gt;4,(H118/(B118+2)+J127),0))</f>
        <v>0</v>
      </c>
    </row>
    <row r="129" spans="1:22" ht="15.75" customHeight="1" x14ac:dyDescent="0.3">
      <c r="A129" s="85" t="s">
        <v>123</v>
      </c>
      <c r="B129" s="86" t="s">
        <v>123</v>
      </c>
      <c r="C129" s="42">
        <v>0</v>
      </c>
      <c r="D129" s="19">
        <f ca="1">((100/(H118))*C129)/100</f>
        <v>0</v>
      </c>
      <c r="E129" s="90"/>
      <c r="F129" s="91"/>
      <c r="G129" s="90"/>
      <c r="H129" s="95"/>
      <c r="I129" s="13" t="s">
        <v>137</v>
      </c>
      <c r="J129" s="30">
        <f ca="1">(IF(B118=1,(H118/(B118+3)+J124),IF(B118=0,(H118/4+J124),IF(B118&gt;1,0))))</f>
        <v>5.25</v>
      </c>
    </row>
    <row r="130" spans="1:22" ht="16.2" thickBot="1" x14ac:dyDescent="0.35">
      <c r="A130" s="97" t="s">
        <v>124</v>
      </c>
      <c r="B130" s="98"/>
      <c r="C130" s="43">
        <v>0</v>
      </c>
      <c r="D130" s="20">
        <f ca="1">((100/(H118))*C130)/100</f>
        <v>0</v>
      </c>
      <c r="E130" s="92"/>
      <c r="F130" s="93"/>
      <c r="G130" s="92"/>
      <c r="H130" s="96"/>
      <c r="I130" s="15" t="s">
        <v>97</v>
      </c>
      <c r="J130" s="32">
        <f ca="1">(IF(B118&gt;1.5,(H118/(B118+2)+J124+MAX(0,J125-J124)+MAX(0,J126-J125)+MAX(0,J127-J126)+MAX(0,J128-J127)+MAX(0,J129-J128)),IF(B118=1,(H118/(B118+3)+J129),IF(B118=0,H118/4+J129))))</f>
        <v>7</v>
      </c>
    </row>
    <row r="131" spans="1:22" x14ac:dyDescent="0.3">
      <c r="A131" s="76" t="s">
        <v>130</v>
      </c>
      <c r="B131" s="77"/>
      <c r="C131" s="78" t="s">
        <v>356</v>
      </c>
      <c r="D131" s="79"/>
      <c r="E131" s="79"/>
      <c r="F131" s="79"/>
      <c r="G131" s="79"/>
      <c r="H131" s="80"/>
      <c r="I131" s="48" t="str">
        <f ca="1">IF(D144=100%,"All work Completed. Possession granted to the Building.",IF(D143=100%,"All work Completed, Waiting for OC",I132&amp;""&amp;I133&amp;""&amp;J132&amp;""&amp;J131&amp;" "&amp;J133))</f>
        <v>Excavation, Plinth, RCC Slab, Brickwork Completed, Internal Plaster upto 5 Floor, External Plaster upto 5 Floor Completed</v>
      </c>
      <c r="J131" s="49" t="str">
        <f ca="1">(IF(C137=(D132+F132+H132),"",IF(C137&gt;0,", RCC upto "&amp;C137&amp;" Slab","")))&amp;(IF(C138=H132,"",IF(C138&gt;0,", Brickwork upto "&amp;C138&amp;" Floor","")))&amp;(IF(C139=H132,"",IF(C139&gt;0,", Internal Plaster upto "&amp;C139&amp;" Floor","")))&amp;(IF(C140=H132,"",IF(C140&gt;0,", External Plaster upto "&amp;C140&amp;" Floor","")))&amp;(IF(C141=H132,"",IF(C141&gt;0,", Flooring upto "&amp;C141&amp;" Floor","")))&amp;(IF(C142=H132,"",IF(C142&gt;0,", Painting upto "&amp;C142&amp;" Floor","")))&amp;(IF(C143=H132,"",IF(C143&gt;0,", Finishing upto "&amp;C143&amp;" Floor","")))&amp;(IF(C144=H132,"",IF(C144&gt;0,", Possession upto "&amp;C144&amp;" Floor","")))</f>
        <v>, Internal Plaster upto 5 Floor, External Plaster upto 5 Floor</v>
      </c>
      <c r="R131" t="s">
        <v>239</v>
      </c>
      <c r="S131" t="s">
        <v>161</v>
      </c>
      <c r="T131" t="s">
        <v>165</v>
      </c>
      <c r="U131" t="s">
        <v>180</v>
      </c>
      <c r="V131" t="s">
        <v>175</v>
      </c>
    </row>
    <row r="132" spans="1:22" x14ac:dyDescent="0.3">
      <c r="A132" s="16" t="s">
        <v>132</v>
      </c>
      <c r="B132" s="46">
        <f>IF(AND(ISNUMBER(SEARCH("1B",C131))),1,IF(AND(ISNUMBER(SEARCH("2B",C131))),2,IF(AND(ISNUMBER(SEARCH("3B",C131))),3,IF(AND(ISNUMBER(SEARCH("4B",C131))),4,IF(ISNUMBER(SEARCH("5B",C131)),5,0)))))</f>
        <v>0</v>
      </c>
      <c r="C132" s="72" t="s">
        <v>68</v>
      </c>
      <c r="D132" s="72">
        <v>1</v>
      </c>
      <c r="E132" s="72" t="s">
        <v>67</v>
      </c>
      <c r="F132" s="72">
        <v>0</v>
      </c>
      <c r="G132" s="72" t="s">
        <v>75</v>
      </c>
      <c r="H132" s="73">
        <f ca="1">--TRIM(RIGHT(SUBSTITUTE(LEFT(C131,_xlfn.AGGREGATE(16,6,FIND({0,1,2,3,4,5,6,7,8,9},C131,ROW(INDIRECT("1:"&amp;LEN(C131)))),1))," ",REPT(" ",LEN(C131))),LEN(C131)))</f>
        <v>7</v>
      </c>
      <c r="I132" s="50" t="str">
        <f ca="1">IF(D135=100%,"Excavation","")&amp;IF(D136=100%,", Plinth","")&amp;IF(D137=100%,", RCC Slab","")&amp;IF(D138=100%,", Brickwork","")&amp;IF(D139=100%,", Internal Plaster","")&amp;IF(D140=100%,", External Plaster","")&amp;IF(D141=100%,", Flooring","")&amp;IF(D142=100%,", Painting","")&amp;IF(D143=100%,", Building common Amenities","")</f>
        <v>Excavation, Plinth, RCC Slab, Brickwork</v>
      </c>
      <c r="J132" s="51" t="str">
        <f ca="1">(IF(C135=0,"Work not yet Started.",IF(D135=25%,"Piling work in process",IF(D135=50%,"Excavation work in process",IF(D135=100%,"","0")))))&amp;(IF(C136=0%,"",IF(C136=J137,", Footing work is process",IF(C136=J138,", Footing work Completed",IF(C136=J139,", 1st Basement Completed",IF(C136=J140,", 1st &amp; 2nd Basement Completed",IF(C136=J141,", 1st to 3rd Basement Completed",IF(C136=J142,", 1st to 4th Basement Completed",IF(C136=J143,", Plinth work is process",IF(C136=J144,"","0"))))))))))</f>
        <v/>
      </c>
      <c r="R132"/>
      <c r="S132">
        <v>800000</v>
      </c>
      <c r="T132">
        <v>150000</v>
      </c>
      <c r="U132">
        <v>100000</v>
      </c>
      <c r="V132">
        <v>100000</v>
      </c>
    </row>
    <row r="133" spans="1:22" ht="30" customHeight="1" x14ac:dyDescent="0.3">
      <c r="A133" s="81" t="s">
        <v>85</v>
      </c>
      <c r="B133" s="82"/>
      <c r="C133" s="83" t="str">
        <f ca="1">(IF($G$60="NA",I131,"All work Completed. OC Received."))</f>
        <v>Excavation, Plinth, RCC Slab, Brickwork Completed, Internal Plaster upto 5 Floor, External Plaster upto 5 Floor Completed</v>
      </c>
      <c r="D133" s="83"/>
      <c r="E133" s="83"/>
      <c r="F133" s="83"/>
      <c r="G133" s="83"/>
      <c r="H133" s="84"/>
      <c r="I133" s="50" t="str">
        <f ca="1">IF(I132&lt;&gt;""," Completed","")</f>
        <v xml:space="preserve"> Completed</v>
      </c>
      <c r="J133" s="51" t="str">
        <f ca="1">IF(J131&lt;&gt;"","Completed","")</f>
        <v>Completed</v>
      </c>
      <c r="R133"/>
      <c r="S133">
        <v>900000</v>
      </c>
      <c r="T133">
        <v>200000</v>
      </c>
      <c r="U133">
        <v>150000</v>
      </c>
      <c r="V133">
        <v>150000</v>
      </c>
    </row>
    <row r="134" spans="1:22" x14ac:dyDescent="0.3">
      <c r="A134" s="85" t="s">
        <v>47</v>
      </c>
      <c r="B134" s="86"/>
      <c r="C134" s="42" t="s">
        <v>129</v>
      </c>
      <c r="D134" s="42" t="s">
        <v>78</v>
      </c>
      <c r="E134" s="86" t="s">
        <v>80</v>
      </c>
      <c r="F134" s="86"/>
      <c r="G134" s="86" t="s">
        <v>79</v>
      </c>
      <c r="H134" s="87"/>
      <c r="I134" s="13" t="s">
        <v>131</v>
      </c>
      <c r="J134" s="28">
        <f ca="1">H132*25%</f>
        <v>1.75</v>
      </c>
      <c r="R134"/>
      <c r="S134">
        <v>1000000</v>
      </c>
      <c r="T134">
        <v>250000</v>
      </c>
      <c r="U134">
        <v>200000</v>
      </c>
      <c r="V134">
        <v>200000</v>
      </c>
    </row>
    <row r="135" spans="1:22" s="33" customFormat="1" x14ac:dyDescent="0.3">
      <c r="A135" s="85" t="s">
        <v>118</v>
      </c>
      <c r="B135" s="86"/>
      <c r="C135" s="42">
        <f ca="1">J136</f>
        <v>7</v>
      </c>
      <c r="D135" s="19">
        <f ca="1">((100/H132)*C135)/100</f>
        <v>1</v>
      </c>
      <c r="E135" s="88">
        <f ca="1">(((C136/H132*10)+(40/(D132+F132+H132)*C137)+(7.5/(H132)*C138)+(7.5/(H132)*C139)+(10/H132*C140)+(10/H132*C141)+(5/H132*C142)+(5/H132*C143)+(5/H132*C144))/100)</f>
        <v>0.7</v>
      </c>
      <c r="F135" s="89"/>
      <c r="G135" s="88">
        <f ca="1">((((C135/H132)*20)+((C136/H132)*25)+(30/(H132+F132+D132)*C137)+(5/H132*C138)+(5/H132*C139)+(5/H132*C140)+(5/H132*C141)+(0/H132*C142)+(0/H132*C143)+(5/H132*C144))/100)</f>
        <v>0.87142857142857144</v>
      </c>
      <c r="H135" s="94"/>
      <c r="I135" s="13" t="s">
        <v>93</v>
      </c>
      <c r="J135" s="29">
        <f ca="1">H132*50%</f>
        <v>3.5</v>
      </c>
      <c r="R135"/>
      <c r="S135">
        <v>1100000</v>
      </c>
      <c r="T135">
        <v>300000</v>
      </c>
      <c r="U135">
        <v>250000</v>
      </c>
      <c r="V135" s="23">
        <v>250000</v>
      </c>
    </row>
    <row r="136" spans="1:22" s="33" customFormat="1" x14ac:dyDescent="0.3">
      <c r="A136" s="85" t="s">
        <v>48</v>
      </c>
      <c r="B136" s="86"/>
      <c r="C136" s="42">
        <f ca="1">J144</f>
        <v>7</v>
      </c>
      <c r="D136" s="19">
        <f ca="1">((100/H132)*C136)/100</f>
        <v>1</v>
      </c>
      <c r="E136" s="90"/>
      <c r="F136" s="91"/>
      <c r="G136" s="90"/>
      <c r="H136" s="95"/>
      <c r="I136" s="13" t="s">
        <v>94</v>
      </c>
      <c r="J136" s="29">
        <f ca="1">H132</f>
        <v>7</v>
      </c>
      <c r="R136"/>
      <c r="S136">
        <v>1200000</v>
      </c>
      <c r="T136">
        <v>350000</v>
      </c>
      <c r="U136">
        <v>300000</v>
      </c>
      <c r="V136">
        <v>300000</v>
      </c>
    </row>
    <row r="137" spans="1:22" s="33" customFormat="1" x14ac:dyDescent="0.3">
      <c r="A137" s="85" t="s">
        <v>119</v>
      </c>
      <c r="B137" s="86"/>
      <c r="C137" s="42">
        <v>8</v>
      </c>
      <c r="D137" s="19">
        <f ca="1">((100/(D132+F132+H132))*C137)/100</f>
        <v>1</v>
      </c>
      <c r="E137" s="90"/>
      <c r="F137" s="91"/>
      <c r="G137" s="90"/>
      <c r="H137" s="95"/>
      <c r="I137" s="13" t="s">
        <v>95</v>
      </c>
      <c r="J137" s="30">
        <f ca="1">(IF(B132&gt;1,(H132/(B132+2)),H132/4))</f>
        <v>1.75</v>
      </c>
      <c r="R137"/>
      <c r="S137">
        <v>1300000</v>
      </c>
      <c r="T137">
        <v>400000</v>
      </c>
      <c r="U137">
        <v>350000</v>
      </c>
      <c r="V137" s="23">
        <v>400000</v>
      </c>
    </row>
    <row r="138" spans="1:22" s="33" customFormat="1" x14ac:dyDescent="0.3">
      <c r="A138" s="85" t="s">
        <v>126</v>
      </c>
      <c r="B138" s="86" t="s">
        <v>120</v>
      </c>
      <c r="C138" s="42">
        <v>7</v>
      </c>
      <c r="D138" s="19">
        <f ca="1">((100/H132)*C138)/100</f>
        <v>1</v>
      </c>
      <c r="E138" s="90"/>
      <c r="F138" s="91"/>
      <c r="G138" s="90"/>
      <c r="H138" s="95"/>
      <c r="I138" s="13" t="s">
        <v>96</v>
      </c>
      <c r="J138" s="30">
        <f ca="1">(IF(B132&gt;1,(H132/(B132+2)+J137),H132/4+J137))</f>
        <v>3.5</v>
      </c>
      <c r="R138"/>
      <c r="S138">
        <v>1400000</v>
      </c>
      <c r="T138">
        <v>500000</v>
      </c>
      <c r="U138">
        <v>400000</v>
      </c>
      <c r="V138"/>
    </row>
    <row r="139" spans="1:22" s="33" customFormat="1" x14ac:dyDescent="0.3">
      <c r="A139" s="85" t="s">
        <v>127</v>
      </c>
      <c r="B139" s="86" t="s">
        <v>120</v>
      </c>
      <c r="C139" s="42">
        <v>5</v>
      </c>
      <c r="D139" s="19">
        <f ca="1">((100/H132)*C139)/100</f>
        <v>0.7142857142857143</v>
      </c>
      <c r="E139" s="90"/>
      <c r="F139" s="91"/>
      <c r="G139" s="90"/>
      <c r="H139" s="95"/>
      <c r="I139" s="13" t="s">
        <v>136</v>
      </c>
      <c r="J139" s="30">
        <f>(IF(B132&gt;1,(H132/(B132+2)+J138),0))</f>
        <v>0</v>
      </c>
      <c r="R139"/>
      <c r="S139">
        <v>1500000</v>
      </c>
      <c r="T139">
        <v>600000</v>
      </c>
      <c r="U139">
        <v>500000</v>
      </c>
      <c r="V139" s="23"/>
    </row>
    <row r="140" spans="1:22" s="33" customFormat="1" x14ac:dyDescent="0.3">
      <c r="A140" s="85" t="s">
        <v>125</v>
      </c>
      <c r="B140" s="86" t="s">
        <v>122</v>
      </c>
      <c r="C140" s="42">
        <v>5</v>
      </c>
      <c r="D140" s="19">
        <f ca="1">((100/(H132))*C140)/100</f>
        <v>0.7142857142857143</v>
      </c>
      <c r="E140" s="90"/>
      <c r="F140" s="91"/>
      <c r="G140" s="90"/>
      <c r="H140" s="95"/>
      <c r="I140" s="13" t="s">
        <v>133</v>
      </c>
      <c r="J140" s="30">
        <f>(IF(B132&gt;2,(H132/(B132+2)+J139),0))</f>
        <v>0</v>
      </c>
      <c r="R140"/>
      <c r="S140">
        <v>1600000</v>
      </c>
      <c r="T140">
        <v>700000</v>
      </c>
      <c r="U140">
        <v>600000</v>
      </c>
      <c r="V140"/>
    </row>
    <row r="141" spans="1:22" s="33" customFormat="1" x14ac:dyDescent="0.3">
      <c r="A141" s="85" t="s">
        <v>121</v>
      </c>
      <c r="B141" s="86" t="s">
        <v>121</v>
      </c>
      <c r="C141" s="42">
        <v>0</v>
      </c>
      <c r="D141" s="19">
        <f ca="1">((100/H132)*C141)/100</f>
        <v>0</v>
      </c>
      <c r="E141" s="90"/>
      <c r="F141" s="91"/>
      <c r="G141" s="90"/>
      <c r="H141" s="95"/>
      <c r="I141" s="13" t="s">
        <v>134</v>
      </c>
      <c r="J141" s="31">
        <f>(IF(B132&gt;3,(H132/(B132+2)+J140),0))</f>
        <v>0</v>
      </c>
      <c r="R141"/>
      <c r="S141">
        <v>1700000</v>
      </c>
      <c r="T141">
        <v>800000</v>
      </c>
      <c r="U141"/>
      <c r="V141" s="23"/>
    </row>
    <row r="142" spans="1:22" x14ac:dyDescent="0.3">
      <c r="A142" s="85" t="s">
        <v>128</v>
      </c>
      <c r="B142" s="86"/>
      <c r="C142" s="42">
        <v>0</v>
      </c>
      <c r="D142" s="19">
        <f ca="1">((100/H132)*C142)/100</f>
        <v>0</v>
      </c>
      <c r="E142" s="90"/>
      <c r="F142" s="91"/>
      <c r="G142" s="90"/>
      <c r="H142" s="95"/>
      <c r="I142" s="13" t="s">
        <v>135</v>
      </c>
      <c r="J142" s="30">
        <f>(IF(B132&gt;4,(H132/(B132+2)+J141),0))</f>
        <v>0</v>
      </c>
      <c r="R142"/>
      <c r="S142">
        <v>1800000</v>
      </c>
      <c r="T142">
        <v>900000</v>
      </c>
      <c r="U142"/>
    </row>
    <row r="143" spans="1:22" s="34" customFormat="1" x14ac:dyDescent="0.3">
      <c r="A143" s="85" t="s">
        <v>123</v>
      </c>
      <c r="B143" s="86" t="s">
        <v>123</v>
      </c>
      <c r="C143" s="42">
        <v>0</v>
      </c>
      <c r="D143" s="19">
        <f ca="1">((100/(H132))*C143)/100</f>
        <v>0</v>
      </c>
      <c r="E143" s="90"/>
      <c r="F143" s="91"/>
      <c r="G143" s="90"/>
      <c r="H143" s="95"/>
      <c r="I143" s="13" t="s">
        <v>137</v>
      </c>
      <c r="J143" s="30">
        <f ca="1">(IF(B132=1,(H132/(B132+3)+J138),IF(B132=0,(H132/4+J138),IF(B132&gt;1,0))))</f>
        <v>5.25</v>
      </c>
      <c r="R143" s="21"/>
      <c r="S143" s="21"/>
      <c r="T143">
        <v>1000000</v>
      </c>
      <c r="U143"/>
      <c r="V143" s="21"/>
    </row>
    <row r="144" spans="1:22" s="35" customFormat="1" ht="16.2" thickBot="1" x14ac:dyDescent="0.35">
      <c r="A144" s="97" t="s">
        <v>124</v>
      </c>
      <c r="B144" s="98"/>
      <c r="C144" s="43">
        <v>0</v>
      </c>
      <c r="D144" s="20">
        <f ca="1">((100/(H132))*C144)/100</f>
        <v>0</v>
      </c>
      <c r="E144" s="92"/>
      <c r="F144" s="93"/>
      <c r="G144" s="92"/>
      <c r="H144" s="96"/>
      <c r="I144" s="15" t="s">
        <v>97</v>
      </c>
      <c r="J144" s="32">
        <f ca="1">(IF(B132&gt;1.5,(H132/(B132+2)+J138+MAX(0,J139-J138)+MAX(0,J140-J139)+MAX(0,J141-J140)+MAX(0,J142-J141)+MAX(0,J143-J142)),IF(B132=1,(H132/(B132+3)+J143),IF(B132=0,H132/4+J143))))</f>
        <v>7</v>
      </c>
      <c r="R144"/>
      <c r="S144" s="21"/>
      <c r="T144"/>
      <c r="U144" s="21"/>
      <c r="V144" s="21"/>
    </row>
    <row r="145" spans="1:22" s="35" customFormat="1" x14ac:dyDescent="0.3">
      <c r="A145" s="76" t="s">
        <v>130</v>
      </c>
      <c r="B145" s="77"/>
      <c r="C145" s="78" t="s">
        <v>357</v>
      </c>
      <c r="D145" s="79"/>
      <c r="E145" s="79"/>
      <c r="F145" s="79"/>
      <c r="G145" s="79"/>
      <c r="H145" s="80"/>
      <c r="I145" s="48" t="str">
        <f ca="1">IF(D158=100%,"All work Completed. Possession granted to the Building.",IF(D157=100%,"All work Completed, Waiting for OC",I146&amp;""&amp;I147&amp;""&amp;J146&amp;""&amp;J145&amp;" "&amp;J147))</f>
        <v>Excavation, Plinth, RCC Slab, Brickwork Completed, Internal Plaster upto 6 Floor, External Plaster upto 5 Floor Completed</v>
      </c>
      <c r="J145" s="49" t="str">
        <f ca="1">(IF(C151=(D146+F146+H146),"",IF(C151&gt;0,", RCC upto "&amp;C151&amp;" Slab","")))&amp;(IF(C152=H146,"",IF(C152&gt;0,", Brickwork upto "&amp;C152&amp;" Floor","")))&amp;(IF(C153=H146,"",IF(C153&gt;0,", Internal Plaster upto "&amp;C153&amp;" Floor","")))&amp;(IF(C154=H146,"",IF(C154&gt;0,", External Plaster upto "&amp;C154&amp;" Floor","")))&amp;(IF(C155=H146,"",IF(C155&gt;0,", Flooring upto "&amp;C155&amp;" Floor","")))&amp;(IF(C156=H146,"",IF(C156&gt;0,", Painting upto "&amp;C156&amp;" Floor","")))&amp;(IF(C157=H146,"",IF(C157&gt;0,", Finishing upto "&amp;C157&amp;" Floor","")))&amp;(IF(C158=H146,"",IF(C158&gt;0,", Possession upto "&amp;C158&amp;" Floor","")))</f>
        <v>, Internal Plaster upto 6 Floor, External Plaster upto 5 Floor</v>
      </c>
      <c r="R145"/>
      <c r="S145" s="21"/>
      <c r="T145"/>
      <c r="U145" s="21"/>
      <c r="V145" s="21"/>
    </row>
    <row r="146" spans="1:22" s="35" customFormat="1" x14ac:dyDescent="0.3">
      <c r="A146" s="16" t="s">
        <v>132</v>
      </c>
      <c r="B146" s="46">
        <f>IF(AND(ISNUMBER(SEARCH("1B",C145))),1,IF(AND(ISNUMBER(SEARCH("2B",C145))),2,IF(AND(ISNUMBER(SEARCH("3B",C145))),3,IF(AND(ISNUMBER(SEARCH("4B",C145))),4,IF(ISNUMBER(SEARCH("5B",C145)),5,0)))))</f>
        <v>0</v>
      </c>
      <c r="C146" s="72" t="s">
        <v>68</v>
      </c>
      <c r="D146" s="72">
        <v>1</v>
      </c>
      <c r="E146" s="72" t="s">
        <v>67</v>
      </c>
      <c r="F146" s="72">
        <v>0</v>
      </c>
      <c r="G146" s="72" t="s">
        <v>75</v>
      </c>
      <c r="H146" s="73">
        <f ca="1">--TRIM(RIGHT(SUBSTITUTE(LEFT(C145,_xlfn.AGGREGATE(16,6,FIND({0,1,2,3,4,5,6,7,8,9},C145,ROW(INDIRECT("1:"&amp;LEN(C145)))),1))," ",REPT(" ",LEN(C145))),LEN(C145)))</f>
        <v>7</v>
      </c>
      <c r="I146" s="50" t="str">
        <f ca="1">IF(D149=100%,"Excavation","")&amp;IF(D150=100%,", Plinth","")&amp;IF(D151=100%,", RCC Slab","")&amp;IF(D152=100%,", Brickwork","")&amp;IF(D153=100%,", Internal Plaster","")&amp;IF(D154=100%,", External Plaster","")&amp;IF(D155=100%,", Flooring","")&amp;IF(D156=100%,", Painting","")&amp;IF(D157=100%,", Building common Amenities","")</f>
        <v>Excavation, Plinth, RCC Slab, Brickwork</v>
      </c>
      <c r="J146" s="51" t="str">
        <f ca="1">(IF(C149=0,"Work not yet Started.",IF(D149=25%,"Piling work in process",IF(D149=50%,"Excavation work in process",IF(D149=100%,"","0")))))&amp;(IF(C150=0%,"",IF(C150=J151,", Footing work is process",IF(C150=J152,", Footing work Completed",IF(C150=J153,", 1st Basement Completed",IF(C150=J154,", 1st &amp; 2nd Basement Completed",IF(C150=J155,", 1st to 3rd Basement Completed",IF(C150=J156,", 1st to 4th Basement Completed",IF(C150=J157,", Plinth work is process",IF(C150=J158,"","0"))))))))))</f>
        <v/>
      </c>
      <c r="R146"/>
      <c r="S146" s="21"/>
      <c r="T146"/>
      <c r="U146" s="21"/>
      <c r="V146" s="21"/>
    </row>
    <row r="147" spans="1:22" s="35" customFormat="1" ht="35.4" customHeight="1" x14ac:dyDescent="0.3">
      <c r="A147" s="81" t="s">
        <v>85</v>
      </c>
      <c r="B147" s="82"/>
      <c r="C147" s="83" t="str">
        <f ca="1">(IF($G$60="NA",I145,"All work Completed. OC Received."))</f>
        <v>Excavation, Plinth, RCC Slab, Brickwork Completed, Internal Plaster upto 6 Floor, External Plaster upto 5 Floor Completed</v>
      </c>
      <c r="D147" s="83"/>
      <c r="E147" s="83"/>
      <c r="F147" s="83"/>
      <c r="G147" s="83"/>
      <c r="H147" s="84"/>
      <c r="I147" s="50" t="str">
        <f ca="1">IF(I146&lt;&gt;""," Completed","")</f>
        <v xml:space="preserve"> Completed</v>
      </c>
      <c r="J147" s="51" t="str">
        <f ca="1">IF(J145&lt;&gt;"","Completed","")</f>
        <v>Completed</v>
      </c>
      <c r="R147"/>
      <c r="S147" s="21"/>
      <c r="T147"/>
      <c r="U147" s="21"/>
      <c r="V147" s="21"/>
    </row>
    <row r="148" spans="1:22" s="35" customFormat="1" x14ac:dyDescent="0.3">
      <c r="A148" s="85" t="s">
        <v>47</v>
      </c>
      <c r="B148" s="86"/>
      <c r="C148" s="42" t="s">
        <v>129</v>
      </c>
      <c r="D148" s="42" t="s">
        <v>78</v>
      </c>
      <c r="E148" s="86" t="s">
        <v>80</v>
      </c>
      <c r="F148" s="86"/>
      <c r="G148" s="86" t="s">
        <v>79</v>
      </c>
      <c r="H148" s="87"/>
      <c r="I148" s="13" t="s">
        <v>131</v>
      </c>
      <c r="J148" s="28">
        <f ca="1">H146*25%</f>
        <v>1.75</v>
      </c>
      <c r="R148"/>
      <c r="S148" s="21"/>
      <c r="T148"/>
      <c r="U148" s="21"/>
      <c r="V148" s="21"/>
    </row>
    <row r="149" spans="1:22" s="35" customFormat="1" x14ac:dyDescent="0.3">
      <c r="A149" s="85" t="s">
        <v>118</v>
      </c>
      <c r="B149" s="86"/>
      <c r="C149" s="42">
        <f ca="1">J150</f>
        <v>7</v>
      </c>
      <c r="D149" s="19">
        <f ca="1">((100/H146)*C149)/100</f>
        <v>1</v>
      </c>
      <c r="E149" s="88">
        <f ca="1">(((C150/H146*10)+(40/(D146+F146+H146)*C151)+(7.5/(H146)*C152)+(7.5/(H146)*C153)+(10/H146*C154)+(10/H146*C155)+(5/H146*C156)+(5/H146*C157)+(5/H146*C158))/100)</f>
        <v>0.71071428571428574</v>
      </c>
      <c r="F149" s="89"/>
      <c r="G149" s="88">
        <f ca="1">((((C149/H146)*20)+((C150/H146)*25)+(30/(H146+F146+D146)*C151)+(5/H146*C152)+(5/H146*C153)+(5/H146*C154)+(5/H146*C155)+(0/H146*C156)+(0/H146*C157)+(5/H146*C158))/100)</f>
        <v>0.87857142857142856</v>
      </c>
      <c r="H149" s="94"/>
      <c r="I149" s="13" t="s">
        <v>93</v>
      </c>
      <c r="J149" s="29">
        <f ca="1">H146*50%</f>
        <v>3.5</v>
      </c>
      <c r="R149"/>
      <c r="S149" s="21"/>
      <c r="T149"/>
      <c r="U149" s="21"/>
      <c r="V149" s="21"/>
    </row>
    <row r="150" spans="1:22" s="35" customFormat="1" x14ac:dyDescent="0.3">
      <c r="A150" s="85" t="s">
        <v>48</v>
      </c>
      <c r="B150" s="86"/>
      <c r="C150" s="42">
        <f ca="1">J158</f>
        <v>7</v>
      </c>
      <c r="D150" s="19">
        <f ca="1">((100/H146)*C150)/100</f>
        <v>1</v>
      </c>
      <c r="E150" s="90"/>
      <c r="F150" s="91"/>
      <c r="G150" s="90"/>
      <c r="H150" s="95"/>
      <c r="I150" s="13" t="s">
        <v>94</v>
      </c>
      <c r="J150" s="29">
        <f ca="1">H146</f>
        <v>7</v>
      </c>
      <c r="R150"/>
      <c r="S150" s="21"/>
      <c r="T150"/>
      <c r="U150" s="21"/>
      <c r="V150" s="21"/>
    </row>
    <row r="151" spans="1:22" s="35" customFormat="1" x14ac:dyDescent="0.3">
      <c r="A151" s="85" t="s">
        <v>119</v>
      </c>
      <c r="B151" s="86"/>
      <c r="C151" s="42">
        <v>8</v>
      </c>
      <c r="D151" s="19">
        <f ca="1">((100/(D146+F146+H146))*C151)/100</f>
        <v>1</v>
      </c>
      <c r="E151" s="90"/>
      <c r="F151" s="91"/>
      <c r="G151" s="90"/>
      <c r="H151" s="95"/>
      <c r="I151" s="13" t="s">
        <v>95</v>
      </c>
      <c r="J151" s="30">
        <f ca="1">(IF(B146&gt;1,(H146/(B146+2)),H146/4))</f>
        <v>1.75</v>
      </c>
      <c r="R151"/>
      <c r="S151" s="21"/>
      <c r="T151"/>
      <c r="U151" s="21"/>
      <c r="V151" s="21"/>
    </row>
    <row r="152" spans="1:22" s="35" customFormat="1" x14ac:dyDescent="0.3">
      <c r="A152" s="85" t="s">
        <v>126</v>
      </c>
      <c r="B152" s="86" t="s">
        <v>120</v>
      </c>
      <c r="C152" s="42">
        <v>7</v>
      </c>
      <c r="D152" s="19">
        <f ca="1">((100/H146)*C152)/100</f>
        <v>1</v>
      </c>
      <c r="E152" s="90"/>
      <c r="F152" s="91"/>
      <c r="G152" s="90"/>
      <c r="H152" s="95"/>
      <c r="I152" s="13" t="s">
        <v>96</v>
      </c>
      <c r="J152" s="30">
        <f ca="1">(IF(B146&gt;1,(H146/(B146+2)+J151),H146/4+J151))</f>
        <v>3.5</v>
      </c>
      <c r="R152"/>
      <c r="S152" s="21"/>
      <c r="T152"/>
      <c r="U152" s="21"/>
      <c r="V152" s="21"/>
    </row>
    <row r="153" spans="1:22" s="35" customFormat="1" x14ac:dyDescent="0.3">
      <c r="A153" s="85" t="s">
        <v>127</v>
      </c>
      <c r="B153" s="86" t="s">
        <v>120</v>
      </c>
      <c r="C153" s="42">
        <v>6</v>
      </c>
      <c r="D153" s="19">
        <f ca="1">((100/H146)*C153)/100</f>
        <v>0.85714285714285721</v>
      </c>
      <c r="E153" s="90"/>
      <c r="F153" s="91"/>
      <c r="G153" s="90"/>
      <c r="H153" s="95"/>
      <c r="I153" s="13" t="s">
        <v>136</v>
      </c>
      <c r="J153" s="30">
        <f>(IF(B146&gt;1,(H146/(B146+2)+J152),0))</f>
        <v>0</v>
      </c>
      <c r="R153"/>
      <c r="S153" s="21"/>
      <c r="T153"/>
      <c r="U153" s="21"/>
      <c r="V153" s="21"/>
    </row>
    <row r="154" spans="1:22" s="35" customFormat="1" x14ac:dyDescent="0.3">
      <c r="A154" s="85" t="s">
        <v>125</v>
      </c>
      <c r="B154" s="86" t="s">
        <v>122</v>
      </c>
      <c r="C154" s="42">
        <v>5</v>
      </c>
      <c r="D154" s="19">
        <f ca="1">((100/(H146))*C154)/100</f>
        <v>0.7142857142857143</v>
      </c>
      <c r="E154" s="90"/>
      <c r="F154" s="91"/>
      <c r="G154" s="90"/>
      <c r="H154" s="95"/>
      <c r="I154" s="13" t="s">
        <v>133</v>
      </c>
      <c r="J154" s="30">
        <f>(IF(B146&gt;2,(H146/(B146+2)+J153),0))</f>
        <v>0</v>
      </c>
      <c r="R154"/>
      <c r="S154" s="21"/>
      <c r="T154"/>
      <c r="U154" s="21"/>
      <c r="V154" s="21"/>
    </row>
    <row r="155" spans="1:22" s="35" customFormat="1" x14ac:dyDescent="0.3">
      <c r="A155" s="85" t="s">
        <v>121</v>
      </c>
      <c r="B155" s="86" t="s">
        <v>121</v>
      </c>
      <c r="C155" s="42">
        <v>0</v>
      </c>
      <c r="D155" s="19">
        <f ca="1">((100/H146)*C155)/100</f>
        <v>0</v>
      </c>
      <c r="E155" s="90"/>
      <c r="F155" s="91"/>
      <c r="G155" s="90"/>
      <c r="H155" s="95"/>
      <c r="I155" s="13" t="s">
        <v>134</v>
      </c>
      <c r="J155" s="31">
        <f>(IF(B146&gt;3,(H146/(B146+2)+J154),0))</f>
        <v>0</v>
      </c>
      <c r="T155"/>
    </row>
    <row r="156" spans="1:22" s="35" customFormat="1" ht="15.75" customHeight="1" x14ac:dyDescent="0.3">
      <c r="A156" s="85" t="s">
        <v>128</v>
      </c>
      <c r="B156" s="86"/>
      <c r="C156" s="42">
        <v>0</v>
      </c>
      <c r="D156" s="19">
        <f ca="1">((100/H146)*C156)/100</f>
        <v>0</v>
      </c>
      <c r="E156" s="90"/>
      <c r="F156" s="91"/>
      <c r="G156" s="90"/>
      <c r="H156" s="95"/>
      <c r="I156" s="13" t="s">
        <v>135</v>
      </c>
      <c r="J156" s="30">
        <f>(IF(B146&gt;4,(H146/(B146+2)+J155),0))</f>
        <v>0</v>
      </c>
      <c r="T156"/>
    </row>
    <row r="157" spans="1:22" s="35" customFormat="1" x14ac:dyDescent="0.3">
      <c r="A157" s="85" t="s">
        <v>123</v>
      </c>
      <c r="B157" s="86" t="s">
        <v>123</v>
      </c>
      <c r="C157" s="42">
        <v>0</v>
      </c>
      <c r="D157" s="19">
        <f ca="1">((100/(H146))*C157)/100</f>
        <v>0</v>
      </c>
      <c r="E157" s="90"/>
      <c r="F157" s="91"/>
      <c r="G157" s="90"/>
      <c r="H157" s="95"/>
      <c r="I157" s="13" t="s">
        <v>137</v>
      </c>
      <c r="J157" s="30">
        <f ca="1">(IF(B146=1,(H146/(B146+3)+J152),IF(B146=0,(H146/4+J152),IF(B146&gt;1,0))))</f>
        <v>5.25</v>
      </c>
      <c r="T157"/>
    </row>
    <row r="158" spans="1:22" s="35" customFormat="1" ht="16.2" thickBot="1" x14ac:dyDescent="0.35">
      <c r="A158" s="97" t="s">
        <v>124</v>
      </c>
      <c r="B158" s="98"/>
      <c r="C158" s="43">
        <v>0</v>
      </c>
      <c r="D158" s="20">
        <f ca="1">((100/(H146))*C158)/100</f>
        <v>0</v>
      </c>
      <c r="E158" s="92"/>
      <c r="F158" s="93"/>
      <c r="G158" s="92"/>
      <c r="H158" s="96"/>
      <c r="I158" s="15" t="s">
        <v>97</v>
      </c>
      <c r="J158" s="32">
        <f ca="1">(IF(B146&gt;1.5,(H146/(B146+2)+J152+MAX(0,J153-J152)+MAX(0,J154-J153)+MAX(0,J155-J154)+MAX(0,J156-J155)+MAX(0,J157-J156)),IF(B146=1,(H146/(B146+3)+J157),IF(B146=0,H146/4+J157))))</f>
        <v>7</v>
      </c>
      <c r="T158"/>
    </row>
    <row r="159" spans="1:22" s="35" customFormat="1" x14ac:dyDescent="0.3">
      <c r="A159" s="99" t="s">
        <v>130</v>
      </c>
      <c r="B159" s="100"/>
      <c r="C159" s="101" t="s">
        <v>338</v>
      </c>
      <c r="D159" s="102"/>
      <c r="E159" s="102"/>
      <c r="F159" s="102"/>
      <c r="G159" s="102"/>
      <c r="H159" s="103"/>
      <c r="I159" s="48" t="str">
        <f ca="1">IF(D172=100%,"All work Completed. Possession granted to the Building.",IF(D171=100%,"All work Completed, Waiting for OC",I160&amp;""&amp;I161&amp;""&amp;J160&amp;""&amp;J159&amp;" "&amp;J161))</f>
        <v>Excavation, Plinth, RCC Slab, Brickwork Completed, Internal Plaster upto 6 Floor, External Plaster upto 5 Floor, Flooring upto 2 Floor Completed</v>
      </c>
      <c r="J159" s="49" t="str">
        <f ca="1">(IF(C165=(D160+F160+H160),"",IF(C165&gt;0,", RCC upto "&amp;C165&amp;" Slab","")))&amp;(IF(C166=H160,"",IF(C166&gt;0,", Brickwork upto "&amp;C166&amp;" Floor","")))&amp;(IF(C167=H160,"",IF(C167&gt;0,", Internal Plaster upto "&amp;C167&amp;" Floor","")))&amp;(IF(C168=H160,"",IF(C168&gt;0,", External Plaster upto "&amp;C168&amp;" Floor","")))&amp;(IF(C169=H160,"",IF(C169&gt;0,", Flooring upto "&amp;C169&amp;" Floor","")))&amp;(IF(C170=H160,"",IF(C170&gt;0,", Painting upto "&amp;C170&amp;" Floor","")))&amp;(IF(C171=H160,"",IF(C171&gt;0,", Finishing upto "&amp;C171&amp;" Floor","")))&amp;(IF(C172=H160,"",IF(C172&gt;0,", Possession upto "&amp;C172&amp;" Floor","")))</f>
        <v>, Internal Plaster upto 6 Floor, External Plaster upto 5 Floor, Flooring upto 2 Floor</v>
      </c>
      <c r="T159"/>
    </row>
    <row r="160" spans="1:22" s="35" customFormat="1" x14ac:dyDescent="0.3">
      <c r="A160" s="71" t="s">
        <v>132</v>
      </c>
      <c r="B160" s="72">
        <f>IF(AND(ISNUMBER(SEARCH("1B",C159))),1,IF(AND(ISNUMBER(SEARCH("2B",C159))),2,IF(AND(ISNUMBER(SEARCH("3B",C159))),3,IF(AND(ISNUMBER(SEARCH("4B",C159))),4,IF(ISNUMBER(SEARCH("5B",C159)),5,0)))))</f>
        <v>0</v>
      </c>
      <c r="C160" s="72" t="s">
        <v>68</v>
      </c>
      <c r="D160" s="72">
        <v>1</v>
      </c>
      <c r="E160" s="72" t="s">
        <v>67</v>
      </c>
      <c r="F160" s="72">
        <v>0</v>
      </c>
      <c r="G160" s="72" t="s">
        <v>75</v>
      </c>
      <c r="H160" s="73">
        <f ca="1">--TRIM(RIGHT(SUBSTITUTE(LEFT(C159,_xlfn.AGGREGATE(16,6,FIND({0,1,2,3,4,5,6,7,8,9},C159,ROW(INDIRECT("1:"&amp;LEN(C159)))),1))," ",REPT(" ",LEN(C159))),LEN(C159)))</f>
        <v>7</v>
      </c>
      <c r="I160" s="50" t="str">
        <f ca="1">IF(D163=100%,"Excavation","")&amp;IF(D164=100%,", Plinth","")&amp;IF(D165=100%,", RCC Slab","")&amp;IF(D166=100%,", Brickwork","")&amp;IF(D167=100%,", Internal Plaster","")&amp;IF(D168=100%,", External Plaster","")&amp;IF(D169=100%,", Flooring","")&amp;IF(D170=100%,", Painting","")&amp;IF(D171=100%,", Building common Amenities","")</f>
        <v>Excavation, Plinth, RCC Slab, Brickwork</v>
      </c>
      <c r="J160" s="51" t="str">
        <f ca="1">(IF(C163=0,"Work not yet Started.",IF(D163=25%,"Piling work in process",IF(D163=50%,"Excavation work in process",IF(D163=100%,"","0")))))&amp;(IF(C164=0%,"",IF(C164=J165,", Footing work is process",IF(C164=J166,", Footing work Completed",IF(C164=J167,", 1st Basement Completed",IF(C164=J168,", 1st &amp; 2nd Basement Completed",IF(C164=J169,", 1st to 3rd Basement Completed",IF(C164=J170,", 1st to 4th Basement Completed",IF(C164=J171,", Plinth work is process",IF(C164=J172,"","0"))))))))))</f>
        <v/>
      </c>
      <c r="T160"/>
    </row>
    <row r="161" spans="1:20" s="35" customFormat="1" ht="33" customHeight="1" x14ac:dyDescent="0.3">
      <c r="A161" s="104" t="s">
        <v>85</v>
      </c>
      <c r="B161" s="105"/>
      <c r="C161" s="83" t="str">
        <f ca="1">(IF($G$60="NA",I159,"All work Completed. OC Received."))</f>
        <v>Excavation, Plinth, RCC Slab, Brickwork Completed, Internal Plaster upto 6 Floor, External Plaster upto 5 Floor, Flooring upto 2 Floor Completed</v>
      </c>
      <c r="D161" s="83"/>
      <c r="E161" s="83"/>
      <c r="F161" s="83"/>
      <c r="G161" s="83"/>
      <c r="H161" s="84"/>
      <c r="I161" s="50" t="str">
        <f ca="1">IF(I160&lt;&gt;""," Completed","")</f>
        <v xml:space="preserve"> Completed</v>
      </c>
      <c r="J161" s="51" t="str">
        <f ca="1">IF(J159&lt;&gt;"","Completed","")</f>
        <v>Completed</v>
      </c>
      <c r="T161"/>
    </row>
    <row r="162" spans="1:20" s="34" customFormat="1" x14ac:dyDescent="0.3">
      <c r="A162" s="85" t="s">
        <v>47</v>
      </c>
      <c r="B162" s="86"/>
      <c r="C162" s="42" t="s">
        <v>129</v>
      </c>
      <c r="D162" s="42" t="s">
        <v>78</v>
      </c>
      <c r="E162" s="86" t="s">
        <v>80</v>
      </c>
      <c r="F162" s="86"/>
      <c r="G162" s="86" t="s">
        <v>79</v>
      </c>
      <c r="H162" s="87"/>
      <c r="I162" s="13" t="s">
        <v>131</v>
      </c>
      <c r="J162" s="28">
        <f ca="1">H160*25%</f>
        <v>1.75</v>
      </c>
      <c r="T162" s="35"/>
    </row>
    <row r="163" spans="1:20" x14ac:dyDescent="0.3">
      <c r="A163" s="85" t="s">
        <v>118</v>
      </c>
      <c r="B163" s="86"/>
      <c r="C163" s="42">
        <f ca="1">J164</f>
        <v>7</v>
      </c>
      <c r="D163" s="19">
        <f ca="1">((100/H160)*C163)/100</f>
        <v>1</v>
      </c>
      <c r="E163" s="88">
        <f ca="1">(((C164/H160*10)+(40/(D160+F160+H160)*C165)+(7.5/(H160)*C166)+(7.5/(H160)*C167)+(10/H160*C168)+(10/H160*C169)+(5/H160*C170)+(5/H160*C171)+(5/H160*C172))/100)</f>
        <v>0.73928571428571432</v>
      </c>
      <c r="F163" s="89"/>
      <c r="G163" s="88">
        <f ca="1">((((C163/H160)*20)+((C164/H160)*25)+(30/(H160+F160+D160)*C165)+(5/H160*C166)+(5/H160*C167)+(5/H160*C168)+(5/H160*C169)+(0/H160*C170)+(0/H160*C171)+(5/H160*C172))/100)</f>
        <v>0.8928571428571429</v>
      </c>
      <c r="H163" s="94"/>
      <c r="I163" s="13" t="s">
        <v>93</v>
      </c>
      <c r="J163" s="29">
        <f ca="1">H160*50%</f>
        <v>3.5</v>
      </c>
      <c r="T163" s="35"/>
    </row>
    <row r="164" spans="1:20" x14ac:dyDescent="0.3">
      <c r="A164" s="85" t="s">
        <v>48</v>
      </c>
      <c r="B164" s="86"/>
      <c r="C164" s="42">
        <f ca="1">J172</f>
        <v>7</v>
      </c>
      <c r="D164" s="19">
        <f ca="1">((100/H160)*C164)/100</f>
        <v>1</v>
      </c>
      <c r="E164" s="90"/>
      <c r="F164" s="91"/>
      <c r="G164" s="90"/>
      <c r="H164" s="95"/>
      <c r="I164" s="13" t="s">
        <v>94</v>
      </c>
      <c r="J164" s="29">
        <f ca="1">H160</f>
        <v>7</v>
      </c>
      <c r="T164" s="37"/>
    </row>
    <row r="165" spans="1:20" s="37" customFormat="1" x14ac:dyDescent="0.3">
      <c r="A165" s="85" t="s">
        <v>119</v>
      </c>
      <c r="B165" s="86"/>
      <c r="C165" s="42">
        <v>8</v>
      </c>
      <c r="D165" s="19">
        <f ca="1">((100/(D160+F160+H160))*C165)/100</f>
        <v>1</v>
      </c>
      <c r="E165" s="90"/>
      <c r="F165" s="91"/>
      <c r="G165" s="90"/>
      <c r="H165" s="95"/>
      <c r="I165" s="13" t="s">
        <v>95</v>
      </c>
      <c r="J165" s="30">
        <f ca="1">(IF(B160&gt;1,(H160/(B160+2)),H160/4))</f>
        <v>1.75</v>
      </c>
    </row>
    <row r="166" spans="1:20" s="37" customFormat="1" x14ac:dyDescent="0.3">
      <c r="A166" s="85" t="s">
        <v>126</v>
      </c>
      <c r="B166" s="86" t="s">
        <v>120</v>
      </c>
      <c r="C166" s="42">
        <v>7</v>
      </c>
      <c r="D166" s="19">
        <f ca="1">((100/H160)*C166)/100</f>
        <v>1</v>
      </c>
      <c r="E166" s="90"/>
      <c r="F166" s="91"/>
      <c r="G166" s="90"/>
      <c r="H166" s="95"/>
      <c r="I166" s="13" t="s">
        <v>96</v>
      </c>
      <c r="J166" s="30">
        <f ca="1">(IF(B160&gt;1,(H160/(B160+2)+J165),H160/4+J165))</f>
        <v>3.5</v>
      </c>
    </row>
    <row r="167" spans="1:20" s="37" customFormat="1" x14ac:dyDescent="0.3">
      <c r="A167" s="85" t="s">
        <v>127</v>
      </c>
      <c r="B167" s="86" t="s">
        <v>120</v>
      </c>
      <c r="C167" s="42">
        <v>6</v>
      </c>
      <c r="D167" s="19">
        <f ca="1">((100/H160)*C167)/100</f>
        <v>0.85714285714285721</v>
      </c>
      <c r="E167" s="90"/>
      <c r="F167" s="91"/>
      <c r="G167" s="90"/>
      <c r="H167" s="95"/>
      <c r="I167" s="13" t="s">
        <v>136</v>
      </c>
      <c r="J167" s="30">
        <f>(IF(B160&gt;1,(H160/(B160+2)+J166),0))</f>
        <v>0</v>
      </c>
    </row>
    <row r="168" spans="1:20" s="37" customFormat="1" x14ac:dyDescent="0.3">
      <c r="A168" s="85" t="s">
        <v>125</v>
      </c>
      <c r="B168" s="86" t="s">
        <v>122</v>
      </c>
      <c r="C168" s="42">
        <v>5</v>
      </c>
      <c r="D168" s="19">
        <f ca="1">((100/(H160))*C168)/100</f>
        <v>0.7142857142857143</v>
      </c>
      <c r="E168" s="90"/>
      <c r="F168" s="91"/>
      <c r="G168" s="90"/>
      <c r="H168" s="95"/>
      <c r="I168" s="13" t="s">
        <v>133</v>
      </c>
      <c r="J168" s="30">
        <f>(IF(B160&gt;2,(H160/(B160+2)+J167),0))</f>
        <v>0</v>
      </c>
    </row>
    <row r="169" spans="1:20" s="37" customFormat="1" x14ac:dyDescent="0.3">
      <c r="A169" s="85" t="s">
        <v>121</v>
      </c>
      <c r="B169" s="86" t="s">
        <v>121</v>
      </c>
      <c r="C169" s="42">
        <v>2</v>
      </c>
      <c r="D169" s="19">
        <f ca="1">((100/H160)*C169)/100</f>
        <v>0.28571428571428575</v>
      </c>
      <c r="E169" s="90"/>
      <c r="F169" s="91"/>
      <c r="G169" s="90"/>
      <c r="H169" s="95"/>
      <c r="I169" s="13" t="s">
        <v>134</v>
      </c>
      <c r="J169" s="31">
        <f>(IF(B160&gt;3,(H160/(B160+2)+J168),0))</f>
        <v>0</v>
      </c>
    </row>
    <row r="170" spans="1:20" s="37" customFormat="1" x14ac:dyDescent="0.3">
      <c r="A170" s="85" t="s">
        <v>128</v>
      </c>
      <c r="B170" s="86"/>
      <c r="C170" s="42">
        <v>0</v>
      </c>
      <c r="D170" s="19">
        <f ca="1">((100/H160)*C170)/100</f>
        <v>0</v>
      </c>
      <c r="E170" s="90"/>
      <c r="F170" s="91"/>
      <c r="G170" s="90"/>
      <c r="H170" s="95"/>
      <c r="I170" s="13" t="s">
        <v>135</v>
      </c>
      <c r="J170" s="30">
        <f>(IF(B160&gt;4,(H160/(B160+2)+J169),0))</f>
        <v>0</v>
      </c>
    </row>
    <row r="171" spans="1:20" s="37" customFormat="1" x14ac:dyDescent="0.3">
      <c r="A171" s="85" t="s">
        <v>123</v>
      </c>
      <c r="B171" s="86" t="s">
        <v>123</v>
      </c>
      <c r="C171" s="42">
        <v>0</v>
      </c>
      <c r="D171" s="19">
        <f ca="1">((100/(H160))*C171)/100</f>
        <v>0</v>
      </c>
      <c r="E171" s="90"/>
      <c r="F171" s="91"/>
      <c r="G171" s="90"/>
      <c r="H171" s="95"/>
      <c r="I171" s="13" t="s">
        <v>137</v>
      </c>
      <c r="J171" s="30">
        <f ca="1">(IF(B160=1,(H160/(B160+3)+J166),IF(B160=0,(H160/4+J166),IF(B160&gt;1,0))))</f>
        <v>5.25</v>
      </c>
    </row>
    <row r="172" spans="1:20" s="37" customFormat="1" ht="16.2" thickBot="1" x14ac:dyDescent="0.35">
      <c r="A172" s="97" t="s">
        <v>124</v>
      </c>
      <c r="B172" s="98"/>
      <c r="C172" s="43">
        <v>0</v>
      </c>
      <c r="D172" s="20">
        <f ca="1">((100/(H160))*C172)/100</f>
        <v>0</v>
      </c>
      <c r="E172" s="92"/>
      <c r="F172" s="93"/>
      <c r="G172" s="92"/>
      <c r="H172" s="96"/>
      <c r="I172" s="15" t="s">
        <v>97</v>
      </c>
      <c r="J172" s="32">
        <f ca="1">(IF(B160&gt;1.5,(H160/(B160+2)+J166+MAX(0,J167-J166)+MAX(0,J168-J167)+MAX(0,J169-J168)+MAX(0,J170-J169)+MAX(0,J171-J170)),IF(B160=1,(H160/(B160+3)+J171),IF(B160=0,H160/4+J171))))</f>
        <v>7</v>
      </c>
    </row>
    <row r="173" spans="1:20" s="37" customFormat="1" x14ac:dyDescent="0.3">
      <c r="A173" s="253" t="s">
        <v>145</v>
      </c>
      <c r="B173" s="253"/>
      <c r="C173" s="253"/>
      <c r="D173" s="253"/>
      <c r="E173" s="253"/>
      <c r="F173" s="178" t="s">
        <v>149</v>
      </c>
      <c r="G173" s="178"/>
      <c r="H173" s="178"/>
      <c r="I173" s="21"/>
      <c r="J173" s="21"/>
    </row>
    <row r="174" spans="1:20" s="37" customFormat="1" x14ac:dyDescent="0.3">
      <c r="A174" s="133" t="s">
        <v>147</v>
      </c>
      <c r="B174" s="133"/>
      <c r="C174" s="133"/>
      <c r="D174" s="133"/>
      <c r="E174" s="133"/>
      <c r="F174" s="131">
        <v>6000</v>
      </c>
      <c r="G174" s="131"/>
      <c r="H174" s="131"/>
      <c r="I174" s="21"/>
      <c r="J174" s="21"/>
    </row>
    <row r="175" spans="1:20" s="37" customFormat="1" hidden="1" x14ac:dyDescent="0.3">
      <c r="A175" s="133" t="s">
        <v>146</v>
      </c>
      <c r="B175" s="133"/>
      <c r="C175" s="133"/>
      <c r="D175" s="133"/>
      <c r="E175" s="133"/>
      <c r="F175" s="131"/>
      <c r="G175" s="131"/>
      <c r="H175" s="131"/>
      <c r="I175" s="21"/>
      <c r="J175" s="21"/>
    </row>
    <row r="176" spans="1:20" s="37" customFormat="1" hidden="1" x14ac:dyDescent="0.3">
      <c r="A176" s="133" t="s">
        <v>148</v>
      </c>
      <c r="B176" s="133"/>
      <c r="C176" s="133"/>
      <c r="D176" s="133"/>
      <c r="E176" s="133"/>
      <c r="F176" s="131"/>
      <c r="G176" s="131"/>
      <c r="H176" s="131"/>
      <c r="I176" s="21"/>
      <c r="J176" s="21"/>
    </row>
    <row r="177" spans="1:10" s="37" customFormat="1" hidden="1" x14ac:dyDescent="0.25">
      <c r="A177" s="133" t="s">
        <v>163</v>
      </c>
      <c r="B177" s="133"/>
      <c r="C177" s="133"/>
      <c r="D177" s="133"/>
      <c r="E177" s="133"/>
      <c r="F177" s="131"/>
      <c r="G177" s="131"/>
      <c r="H177" s="131"/>
      <c r="I177" s="33"/>
      <c r="J177" s="33"/>
    </row>
    <row r="178" spans="1:10" s="37" customFormat="1" x14ac:dyDescent="0.25">
      <c r="A178" s="133" t="s">
        <v>346</v>
      </c>
      <c r="B178" s="133"/>
      <c r="C178" s="133"/>
      <c r="D178" s="133"/>
      <c r="E178" s="133"/>
      <c r="F178" s="131">
        <v>200000</v>
      </c>
      <c r="G178" s="131"/>
      <c r="H178" s="131"/>
      <c r="I178" s="33"/>
      <c r="J178" s="33"/>
    </row>
    <row r="179" spans="1:10" s="37" customFormat="1" hidden="1" x14ac:dyDescent="0.25">
      <c r="A179" s="133" t="s">
        <v>89</v>
      </c>
      <c r="B179" s="133"/>
      <c r="C179" s="133"/>
      <c r="D179" s="133"/>
      <c r="E179" s="133"/>
      <c r="F179" s="131"/>
      <c r="G179" s="131"/>
      <c r="H179" s="131"/>
      <c r="I179" s="33"/>
      <c r="J179" s="33"/>
    </row>
    <row r="180" spans="1:10" s="37" customFormat="1" hidden="1" x14ac:dyDescent="0.25">
      <c r="A180" s="133" t="s">
        <v>90</v>
      </c>
      <c r="B180" s="133"/>
      <c r="C180" s="133"/>
      <c r="D180" s="133"/>
      <c r="E180" s="133"/>
      <c r="F180" s="131"/>
      <c r="G180" s="131"/>
      <c r="H180" s="131"/>
      <c r="I180" s="33"/>
      <c r="J180" s="33"/>
    </row>
    <row r="181" spans="1:10" s="37" customFormat="1" hidden="1" x14ac:dyDescent="0.25">
      <c r="A181" s="133" t="s">
        <v>91</v>
      </c>
      <c r="B181" s="133"/>
      <c r="C181" s="133"/>
      <c r="D181" s="133"/>
      <c r="E181" s="133"/>
      <c r="F181" s="131"/>
      <c r="G181" s="131"/>
      <c r="H181" s="131"/>
      <c r="I181" s="33"/>
      <c r="J181" s="33"/>
    </row>
    <row r="182" spans="1:10" s="37" customFormat="1" x14ac:dyDescent="0.25">
      <c r="A182" s="133" t="s">
        <v>347</v>
      </c>
      <c r="B182" s="133"/>
      <c r="C182" s="133"/>
      <c r="D182" s="133"/>
      <c r="E182" s="133"/>
      <c r="F182" s="131">
        <v>50000</v>
      </c>
      <c r="G182" s="131"/>
      <c r="H182" s="131"/>
      <c r="I182" s="33"/>
      <c r="J182" s="33"/>
    </row>
    <row r="183" spans="1:10" s="37" customFormat="1" hidden="1" x14ac:dyDescent="0.25">
      <c r="A183" s="133" t="s">
        <v>92</v>
      </c>
      <c r="B183" s="133"/>
      <c r="C183" s="133"/>
      <c r="D183" s="133"/>
      <c r="E183" s="133"/>
      <c r="F183" s="131"/>
      <c r="G183" s="131"/>
      <c r="H183" s="131"/>
      <c r="I183" s="33"/>
      <c r="J183" s="33"/>
    </row>
    <row r="184" spans="1:10" s="37" customFormat="1" x14ac:dyDescent="0.3">
      <c r="A184" s="133" t="s">
        <v>49</v>
      </c>
      <c r="B184" s="133"/>
      <c r="C184" s="133"/>
      <c r="D184" s="133"/>
      <c r="E184" s="133"/>
      <c r="F184" s="193">
        <v>100000</v>
      </c>
      <c r="G184" s="193"/>
      <c r="H184" s="193"/>
      <c r="I184" s="21"/>
      <c r="J184" s="21"/>
    </row>
    <row r="185" spans="1:10" s="37" customFormat="1" x14ac:dyDescent="0.3">
      <c r="A185" s="194" t="s">
        <v>50</v>
      </c>
      <c r="B185" s="194"/>
      <c r="C185" s="194"/>
      <c r="D185" s="194"/>
      <c r="E185" s="194"/>
      <c r="F185" s="131">
        <f>F174*0.8</f>
        <v>4800</v>
      </c>
      <c r="G185" s="131"/>
      <c r="H185" s="131"/>
      <c r="I185" s="34"/>
      <c r="J185" s="34"/>
    </row>
    <row r="186" spans="1:10" s="37" customFormat="1" x14ac:dyDescent="0.3">
      <c r="A186" s="113" t="s">
        <v>320</v>
      </c>
      <c r="B186" s="113"/>
      <c r="C186" s="113"/>
      <c r="D186" s="113"/>
      <c r="E186" s="113"/>
      <c r="F186" s="113"/>
      <c r="G186" s="113"/>
      <c r="H186" s="113"/>
      <c r="I186" s="35"/>
      <c r="J186" s="35"/>
    </row>
    <row r="187" spans="1:10" s="37" customFormat="1" x14ac:dyDescent="0.3">
      <c r="A187" s="114" t="s">
        <v>51</v>
      </c>
      <c r="B187" s="114"/>
      <c r="C187" s="115" t="s">
        <v>73</v>
      </c>
      <c r="D187" s="115"/>
      <c r="E187" s="116" t="s">
        <v>52</v>
      </c>
      <c r="F187" s="116"/>
      <c r="G187" s="114" t="s">
        <v>53</v>
      </c>
      <c r="H187" s="114"/>
      <c r="I187" s="35"/>
      <c r="J187" s="35"/>
    </row>
    <row r="188" spans="1:10" s="37" customFormat="1" x14ac:dyDescent="0.3">
      <c r="A188" s="110" t="s">
        <v>300</v>
      </c>
      <c r="B188" s="110"/>
      <c r="C188" s="117">
        <f>COUNT(D211)+COUNT(D216)+COUNT(D218:D223)*7</f>
        <v>44</v>
      </c>
      <c r="D188" s="117"/>
      <c r="E188" s="117">
        <f>SUM(F211)+SUM(F216)+SUM(F218:F223)*7</f>
        <v>16045.894799999998</v>
      </c>
      <c r="F188" s="117"/>
      <c r="G188" s="117">
        <f>SUM(H211)+SUM(H216)+SUM(H218:H223)*7</f>
        <v>23266.547459999998</v>
      </c>
      <c r="H188" s="117"/>
      <c r="I188" s="35"/>
      <c r="J188" s="35"/>
    </row>
    <row r="189" spans="1:10" s="37" customFormat="1" x14ac:dyDescent="0.3">
      <c r="A189" s="110" t="s">
        <v>302</v>
      </c>
      <c r="B189" s="110"/>
      <c r="C189" s="111">
        <f>COUNT(D226)+COUNT(D230)+COUNT(D232:D236)*7</f>
        <v>37</v>
      </c>
      <c r="D189" s="112"/>
      <c r="E189" s="111">
        <f>SUM(F226)+SUM(F230)+SUM(F232:F236)*7</f>
        <v>12900.438719999996</v>
      </c>
      <c r="F189" s="112"/>
      <c r="G189" s="111">
        <f>SUM(H226)+SUM(H230)+SUM(H232:H236)*7</f>
        <v>18705.636143999996</v>
      </c>
      <c r="H189" s="112"/>
      <c r="I189" s="35"/>
      <c r="J189" s="35"/>
    </row>
    <row r="190" spans="1:10" s="37" customFormat="1" x14ac:dyDescent="0.3">
      <c r="A190" s="126" t="s">
        <v>139</v>
      </c>
      <c r="B190" s="126"/>
      <c r="C190" s="127">
        <f>SUM(C188:D189)</f>
        <v>81</v>
      </c>
      <c r="D190" s="128"/>
      <c r="E190" s="127">
        <f>SUM(E188:F189)</f>
        <v>28946.333519999993</v>
      </c>
      <c r="F190" s="128"/>
      <c r="G190" s="127">
        <f>SUM(G188:H189)</f>
        <v>41972.183603999991</v>
      </c>
      <c r="H190" s="128"/>
      <c r="I190" s="35"/>
      <c r="J190" s="35"/>
    </row>
    <row r="191" spans="1:10" s="37" customFormat="1" x14ac:dyDescent="0.3">
      <c r="A191" s="113" t="s">
        <v>307</v>
      </c>
      <c r="B191" s="113"/>
      <c r="C191" s="113"/>
      <c r="D191" s="113"/>
      <c r="E191" s="113"/>
      <c r="F191" s="113"/>
      <c r="G191" s="113"/>
      <c r="H191" s="113"/>
      <c r="I191" s="35"/>
      <c r="J191" s="35"/>
    </row>
    <row r="192" spans="1:10" s="37" customFormat="1" x14ac:dyDescent="0.3">
      <c r="A192" s="114" t="s">
        <v>51</v>
      </c>
      <c r="B192" s="114"/>
      <c r="C192" s="115" t="s">
        <v>73</v>
      </c>
      <c r="D192" s="115"/>
      <c r="E192" s="116" t="s">
        <v>52</v>
      </c>
      <c r="F192" s="116"/>
      <c r="G192" s="114" t="s">
        <v>53</v>
      </c>
      <c r="H192" s="114"/>
      <c r="I192" s="35"/>
      <c r="J192" s="35"/>
    </row>
    <row r="193" spans="1:15" s="37" customFormat="1" x14ac:dyDescent="0.3">
      <c r="A193" s="110" t="s">
        <v>300</v>
      </c>
      <c r="B193" s="110"/>
      <c r="C193" s="117">
        <f>COUNT(D241:D243)*7</f>
        <v>21</v>
      </c>
      <c r="D193" s="117"/>
      <c r="E193" s="117">
        <f>SUM(F241:F243)*7</f>
        <v>5174.9006399999989</v>
      </c>
      <c r="F193" s="117"/>
      <c r="G193" s="117">
        <f>SUM(H241:H243)*7</f>
        <v>7980</v>
      </c>
      <c r="H193" s="117"/>
      <c r="I193" s="35"/>
      <c r="J193" s="35"/>
    </row>
    <row r="194" spans="1:15" s="37" customFormat="1" x14ac:dyDescent="0.3">
      <c r="A194" s="110" t="s">
        <v>302</v>
      </c>
      <c r="B194" s="110"/>
      <c r="C194" s="111">
        <f>COUNT(D247:D249)*7</f>
        <v>21</v>
      </c>
      <c r="D194" s="112"/>
      <c r="E194" s="111">
        <f>SUM(F247:F249)*7</f>
        <v>5183.9423999999999</v>
      </c>
      <c r="F194" s="112"/>
      <c r="G194" s="111">
        <f>SUM(H247:H249)*7</f>
        <v>7980</v>
      </c>
      <c r="H194" s="112"/>
      <c r="I194" s="35"/>
      <c r="J194" s="35"/>
    </row>
    <row r="195" spans="1:15" s="37" customFormat="1" x14ac:dyDescent="0.3">
      <c r="A195" s="110" t="s">
        <v>303</v>
      </c>
      <c r="B195" s="110"/>
      <c r="C195" s="117">
        <f>COUNT(D253:D256)*7</f>
        <v>28</v>
      </c>
      <c r="D195" s="118"/>
      <c r="E195" s="117">
        <f>SUM(F253:F256)*7</f>
        <v>8687.6243999999988</v>
      </c>
      <c r="F195" s="118"/>
      <c r="G195" s="117">
        <f>SUM(H253:H256)*7</f>
        <v>13370</v>
      </c>
      <c r="H195" s="118"/>
      <c r="I195" s="35"/>
      <c r="J195" s="35"/>
    </row>
    <row r="196" spans="1:15" s="37" customFormat="1" x14ac:dyDescent="0.3">
      <c r="A196" s="126" t="s">
        <v>139</v>
      </c>
      <c r="B196" s="126"/>
      <c r="C196" s="127">
        <f>SUM(C193:D195)</f>
        <v>70</v>
      </c>
      <c r="D196" s="128"/>
      <c r="E196" s="127">
        <f>SUM(E193:F195)</f>
        <v>19046.46744</v>
      </c>
      <c r="F196" s="128"/>
      <c r="G196" s="127">
        <f>SUM(G193:H195)</f>
        <v>29330</v>
      </c>
      <c r="H196" s="128"/>
      <c r="I196" s="35"/>
      <c r="J196" s="35"/>
    </row>
    <row r="197" spans="1:15" s="37" customFormat="1" x14ac:dyDescent="0.3">
      <c r="A197" s="113" t="s">
        <v>308</v>
      </c>
      <c r="B197" s="113"/>
      <c r="C197" s="113"/>
      <c r="D197" s="113"/>
      <c r="E197" s="113"/>
      <c r="F197" s="113"/>
      <c r="G197" s="113"/>
      <c r="H197" s="113"/>
      <c r="I197" s="35"/>
      <c r="J197" s="35"/>
    </row>
    <row r="198" spans="1:15" s="37" customFormat="1" x14ac:dyDescent="0.3">
      <c r="A198" s="114" t="s">
        <v>51</v>
      </c>
      <c r="B198" s="114"/>
      <c r="C198" s="115" t="s">
        <v>73</v>
      </c>
      <c r="D198" s="115"/>
      <c r="E198" s="116" t="s">
        <v>52</v>
      </c>
      <c r="F198" s="116"/>
      <c r="G198" s="114" t="s">
        <v>53</v>
      </c>
      <c r="H198" s="114"/>
      <c r="I198" s="35"/>
      <c r="J198" s="35"/>
      <c r="N198" s="37">
        <v>6000</v>
      </c>
    </row>
    <row r="199" spans="1:15" s="37" customFormat="1" x14ac:dyDescent="0.3">
      <c r="A199" s="110" t="s">
        <v>300</v>
      </c>
      <c r="B199" s="110"/>
      <c r="C199" s="117">
        <f>COUNT(D261:D263)*7</f>
        <v>21</v>
      </c>
      <c r="D199" s="118"/>
      <c r="E199" s="117">
        <f>SUM(F261:F263)*7</f>
        <v>8959.6306800000002</v>
      </c>
      <c r="F199" s="118"/>
      <c r="G199" s="117">
        <f>SUM(H261:H263)*7</f>
        <v>13930</v>
      </c>
      <c r="H199" s="118"/>
      <c r="I199" s="35"/>
      <c r="J199" s="35"/>
      <c r="M199" s="37">
        <f>380/F241</f>
        <v>1.5382510409506718</v>
      </c>
      <c r="N199" s="37">
        <f>N$198*H241</f>
        <v>2280000</v>
      </c>
      <c r="O199" s="37">
        <f>H241/F241</f>
        <v>1.5382510409506718</v>
      </c>
    </row>
    <row r="200" spans="1:15" s="37" customFormat="1" x14ac:dyDescent="0.3">
      <c r="A200" s="110" t="s">
        <v>302</v>
      </c>
      <c r="B200" s="110"/>
      <c r="C200" s="111">
        <f>COUNT(D267:D272)*7</f>
        <v>42</v>
      </c>
      <c r="D200" s="112"/>
      <c r="E200" s="111">
        <f>SUM(F267:F272)*7</f>
        <v>15823.08</v>
      </c>
      <c r="F200" s="112"/>
      <c r="G200" s="111">
        <f>SUM(H267:H272)*7</f>
        <v>24500</v>
      </c>
      <c r="H200" s="112"/>
      <c r="I200" s="35"/>
      <c r="J200" s="35"/>
      <c r="M200" s="37">
        <f>380/F242</f>
        <v>1.5382510409506718</v>
      </c>
      <c r="O200" s="37">
        <f>H242/F242</f>
        <v>1.5382510409506718</v>
      </c>
    </row>
    <row r="201" spans="1:15" s="37" customFormat="1" x14ac:dyDescent="0.3">
      <c r="A201" s="110" t="s">
        <v>303</v>
      </c>
      <c r="B201" s="110"/>
      <c r="C201" s="117">
        <f>COUNT(D276:D279)*7</f>
        <v>28</v>
      </c>
      <c r="D201" s="117"/>
      <c r="E201" s="117">
        <f>SUM(F276:F279)*7</f>
        <v>12926.702880000001</v>
      </c>
      <c r="F201" s="117"/>
      <c r="G201" s="117">
        <f>SUM(H276:H279)*7</f>
        <v>20020</v>
      </c>
      <c r="H201" s="117"/>
      <c r="I201" s="35"/>
      <c r="J201" s="35"/>
      <c r="M201" s="37">
        <f>380/F243</f>
        <v>1.5497305263309005</v>
      </c>
      <c r="O201" s="37">
        <f>H243/F243</f>
        <v>1.5497305263309005</v>
      </c>
    </row>
    <row r="202" spans="1:15" s="37" customFormat="1" ht="16.2" thickBot="1" x14ac:dyDescent="0.35">
      <c r="A202" s="126" t="s">
        <v>139</v>
      </c>
      <c r="B202" s="126"/>
      <c r="C202" s="127">
        <f>SUM(C199:D201)</f>
        <v>91</v>
      </c>
      <c r="D202" s="128"/>
      <c r="E202" s="127">
        <f>SUM(E199:F201)</f>
        <v>37709.413560000001</v>
      </c>
      <c r="F202" s="128"/>
      <c r="G202" s="127">
        <f>SUM(G199:H201)</f>
        <v>58450</v>
      </c>
      <c r="H202" s="128"/>
      <c r="I202" s="35"/>
      <c r="J202" s="35"/>
      <c r="O202" s="37" t="e">
        <f>H244/F244</f>
        <v>#DIV/0!</v>
      </c>
    </row>
    <row r="203" spans="1:15" s="37" customFormat="1" ht="16.2" thickBot="1" x14ac:dyDescent="0.35">
      <c r="A203" s="171" t="s">
        <v>155</v>
      </c>
      <c r="B203" s="172"/>
      <c r="C203" s="173">
        <f>C202+C196</f>
        <v>161</v>
      </c>
      <c r="D203" s="173"/>
      <c r="E203" s="173">
        <f>E202+E196</f>
        <v>56755.881000000001</v>
      </c>
      <c r="F203" s="173"/>
      <c r="G203" s="173">
        <f>G202+G196</f>
        <v>87780</v>
      </c>
      <c r="H203" s="173"/>
      <c r="I203" s="35"/>
      <c r="J203" s="35"/>
    </row>
    <row r="204" spans="1:15" s="37" customFormat="1" x14ac:dyDescent="0.3">
      <c r="A204" s="178" t="s">
        <v>54</v>
      </c>
      <c r="B204" s="178"/>
      <c r="C204" s="178"/>
      <c r="D204" s="178"/>
      <c r="E204" s="178"/>
      <c r="F204" s="178"/>
      <c r="G204" s="178"/>
      <c r="H204" s="178"/>
      <c r="I204" s="34"/>
      <c r="J204" s="34"/>
      <c r="O204" s="37" t="e">
        <f>H246/F246</f>
        <v>#DIV/0!</v>
      </c>
    </row>
    <row r="205" spans="1:15" s="37" customFormat="1" x14ac:dyDescent="0.3">
      <c r="A205" s="177" t="s">
        <v>319</v>
      </c>
      <c r="B205" s="177"/>
      <c r="C205" s="177"/>
      <c r="D205" s="177"/>
      <c r="E205" s="177"/>
      <c r="F205" s="177"/>
      <c r="G205" s="177"/>
      <c r="H205" s="177"/>
      <c r="I205" s="21"/>
      <c r="J205" s="21"/>
      <c r="O205" s="37">
        <f>H247/F247</f>
        <v>1.5497305263309005</v>
      </c>
    </row>
    <row r="206" spans="1:15" s="37" customFormat="1" ht="46.8" x14ac:dyDescent="0.3">
      <c r="A206" s="200" t="s">
        <v>334</v>
      </c>
      <c r="B206" s="185" t="s">
        <v>164</v>
      </c>
      <c r="C206" s="185" t="s">
        <v>55</v>
      </c>
      <c r="D206" s="185" t="s">
        <v>218</v>
      </c>
      <c r="E206" s="185" t="s">
        <v>324</v>
      </c>
      <c r="F206" s="185" t="s">
        <v>56</v>
      </c>
      <c r="G206" s="243" t="s">
        <v>57</v>
      </c>
      <c r="H206" s="68" t="s">
        <v>344</v>
      </c>
      <c r="I206" s="36"/>
      <c r="J206" s="21"/>
      <c r="O206" s="37">
        <f>H248/F248</f>
        <v>1.5382510409506718</v>
      </c>
    </row>
    <row r="207" spans="1:15" s="37" customFormat="1" x14ac:dyDescent="0.3">
      <c r="A207" s="201"/>
      <c r="B207" s="186"/>
      <c r="C207" s="186"/>
      <c r="D207" s="186"/>
      <c r="E207" s="186"/>
      <c r="F207" s="186"/>
      <c r="G207" s="244"/>
      <c r="H207" s="69">
        <v>0.45</v>
      </c>
      <c r="I207" s="36"/>
      <c r="O207" s="37">
        <f>H249/F249</f>
        <v>1.5302497351459867</v>
      </c>
    </row>
    <row r="208" spans="1:15" s="37" customFormat="1" x14ac:dyDescent="0.3">
      <c r="A208" s="123" t="s">
        <v>313</v>
      </c>
      <c r="B208" s="124"/>
      <c r="C208" s="124"/>
      <c r="D208" s="124"/>
      <c r="E208" s="124"/>
      <c r="F208" s="124"/>
      <c r="G208" s="124"/>
      <c r="H208" s="125"/>
      <c r="I208" s="36"/>
      <c r="O208" s="37" t="e">
        <f>H250/F250</f>
        <v>#DIV/0!</v>
      </c>
    </row>
    <row r="209" spans="1:15" s="37" customFormat="1" x14ac:dyDescent="0.3">
      <c r="A209" s="123" t="s">
        <v>300</v>
      </c>
      <c r="B209" s="124"/>
      <c r="C209" s="124"/>
      <c r="D209" s="124"/>
      <c r="E209" s="124"/>
      <c r="F209" s="124"/>
      <c r="G209" s="124"/>
      <c r="H209" s="125"/>
      <c r="I209" s="36"/>
    </row>
    <row r="210" spans="1:15" s="37" customFormat="1" x14ac:dyDescent="0.3">
      <c r="A210" s="106" t="s">
        <v>314</v>
      </c>
      <c r="B210" s="106"/>
      <c r="C210" s="106"/>
      <c r="D210" s="106"/>
      <c r="E210" s="106"/>
      <c r="F210" s="106"/>
      <c r="G210" s="106"/>
      <c r="H210" s="106"/>
      <c r="I210" s="36"/>
      <c r="O210" s="37" t="e">
        <f>H252/F252</f>
        <v>#DIV/0!</v>
      </c>
    </row>
    <row r="211" spans="1:15" s="37" customFormat="1" x14ac:dyDescent="0.3">
      <c r="A211" s="251">
        <v>1</v>
      </c>
      <c r="B211" s="251"/>
      <c r="C211" s="62" t="s">
        <v>304</v>
      </c>
      <c r="D211" s="64">
        <f>(28.32)*(10.764)</f>
        <v>304.83647999999999</v>
      </c>
      <c r="E211" s="64">
        <f>(1*(2.65+2.65))*(10.764)</f>
        <v>57.049199999999992</v>
      </c>
      <c r="F211" s="62">
        <f>D211+E211</f>
        <v>361.88567999999998</v>
      </c>
      <c r="G211" s="62">
        <v>0</v>
      </c>
      <c r="H211" s="63">
        <f>F211*(($H$207)+1)+(IF(G211&lt;101,G211,IF(G211&lt;201,G211/2,IF(G211&lt;=301,G211/3,G211/4))))</f>
        <v>524.73423600000001</v>
      </c>
      <c r="I211" s="65">
        <f>(3.7*2.7+2.2*2.3+2.7*2.7+1.2*1+1*1.2+0.9*1+1.1*1.3)</f>
        <v>27.07</v>
      </c>
      <c r="J211" s="36">
        <f>1*(2.65+2.65)</f>
        <v>5.3</v>
      </c>
      <c r="M211" s="37">
        <f>595/F253</f>
        <v>1.5444774729005204</v>
      </c>
      <c r="O211" s="37">
        <f>H253/F253</f>
        <v>1.5444774729005204</v>
      </c>
    </row>
    <row r="212" spans="1:15" s="37" customFormat="1" x14ac:dyDescent="0.3">
      <c r="A212" s="251" t="s">
        <v>315</v>
      </c>
      <c r="B212" s="251"/>
      <c r="C212" s="232" t="s">
        <v>315</v>
      </c>
      <c r="D212" s="233"/>
      <c r="E212" s="233"/>
      <c r="F212" s="233"/>
      <c r="G212" s="233"/>
      <c r="H212" s="234"/>
      <c r="I212" s="36"/>
      <c r="O212" s="37">
        <f>H254/F254</f>
        <v>1.5299549887242319</v>
      </c>
    </row>
    <row r="213" spans="1:15" s="37" customFormat="1" x14ac:dyDescent="0.3">
      <c r="A213" s="251" t="s">
        <v>315</v>
      </c>
      <c r="B213" s="251"/>
      <c r="C213" s="238"/>
      <c r="D213" s="239"/>
      <c r="E213" s="239"/>
      <c r="F213" s="239"/>
      <c r="G213" s="239"/>
      <c r="H213" s="240"/>
      <c r="I213" s="36"/>
      <c r="O213" s="37">
        <f>H255/F255</f>
        <v>1.5299549887242319</v>
      </c>
    </row>
    <row r="214" spans="1:15" s="37" customFormat="1" x14ac:dyDescent="0.3">
      <c r="A214" s="251" t="s">
        <v>315</v>
      </c>
      <c r="B214" s="251"/>
      <c r="C214" s="179" t="s">
        <v>316</v>
      </c>
      <c r="D214" s="252"/>
      <c r="E214" s="252"/>
      <c r="F214" s="252"/>
      <c r="G214" s="252"/>
      <c r="H214" s="180"/>
      <c r="I214" s="36"/>
      <c r="O214" s="37">
        <f>H256/F256</f>
        <v>1.5444774729005204</v>
      </c>
    </row>
    <row r="215" spans="1:15" s="37" customFormat="1" x14ac:dyDescent="0.3">
      <c r="A215" s="251" t="s">
        <v>315</v>
      </c>
      <c r="B215" s="251"/>
      <c r="C215" s="179" t="s">
        <v>317</v>
      </c>
      <c r="D215" s="252"/>
      <c r="E215" s="252"/>
      <c r="F215" s="252"/>
      <c r="G215" s="252"/>
      <c r="H215" s="180"/>
      <c r="I215" s="36"/>
    </row>
    <row r="216" spans="1:15" s="37" customFormat="1" x14ac:dyDescent="0.3">
      <c r="A216" s="251">
        <v>2</v>
      </c>
      <c r="B216" s="251"/>
      <c r="C216" s="62" t="s">
        <v>304</v>
      </c>
      <c r="D216" s="64">
        <f>(28.32)*(10.764)</f>
        <v>304.83647999999999</v>
      </c>
      <c r="E216" s="64">
        <f>(1*(2.8+2.65))*(10.764)</f>
        <v>58.663799999999988</v>
      </c>
      <c r="F216" s="62">
        <f>D216+E216</f>
        <v>363.50027999999998</v>
      </c>
      <c r="G216" s="62">
        <v>0</v>
      </c>
      <c r="H216" s="62">
        <f>F216*(($H$207)+1)+(IF(G216&lt;101,G216,IF(G216&lt;201,G216/2,IF(G216&lt;=301,G216/3,G216/4))))</f>
        <v>527.07540599999993</v>
      </c>
      <c r="I216" s="36"/>
    </row>
    <row r="217" spans="1:15" s="37" customFormat="1" x14ac:dyDescent="0.3">
      <c r="A217" s="107" t="s">
        <v>318</v>
      </c>
      <c r="B217" s="108"/>
      <c r="C217" s="108"/>
      <c r="D217" s="108"/>
      <c r="E217" s="108"/>
      <c r="F217" s="108"/>
      <c r="G217" s="108"/>
      <c r="H217" s="109"/>
      <c r="I217" s="36"/>
    </row>
    <row r="218" spans="1:15" s="37" customFormat="1" x14ac:dyDescent="0.3">
      <c r="A218" s="179"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10^ROW(INDIRECT("1:"&amp;LEN((LEFT(A217,SUM(LEN(A217)-LEN(SUBSTITUTE(A217,{"0","1","2"},""))))))))/10))*100+1&amp;""&amp;" to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",LEN(A217))),LEN(A217)))))))/10))*100+1</f>
        <v>101 to 701</v>
      </c>
      <c r="B218" s="180"/>
      <c r="C218" s="62" t="s">
        <v>304</v>
      </c>
      <c r="D218" s="64">
        <f>(28.32)*(10.764)</f>
        <v>304.83647999999999</v>
      </c>
      <c r="E218" s="64">
        <f>(5.3)*(10.764)</f>
        <v>57.049199999999992</v>
      </c>
      <c r="F218" s="62">
        <f>D218+E218</f>
        <v>361.88567999999998</v>
      </c>
      <c r="G218" s="62">
        <v>0</v>
      </c>
      <c r="H218" s="62">
        <f t="shared" ref="H218:H223" si="0">F218*(($H$207)+1)+(IF(G218&lt;101,G218,IF(G218&lt;201,G218/2,IF(G218&lt;=301,G218/3,G218/4))))</f>
        <v>524.73423600000001</v>
      </c>
      <c r="I218" s="36"/>
      <c r="M218" s="37">
        <v>6000</v>
      </c>
    </row>
    <row r="219" spans="1:15" s="37" customFormat="1" x14ac:dyDescent="0.3">
      <c r="A219" s="179"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to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102 to 702</v>
      </c>
      <c r="B219" s="180"/>
      <c r="C219" s="62" t="s">
        <v>304</v>
      </c>
      <c r="D219" s="64">
        <f>(28.32)*(10.764)</f>
        <v>304.83647999999999</v>
      </c>
      <c r="E219" s="64">
        <f>(5.45)*(10.764)</f>
        <v>58.663799999999995</v>
      </c>
      <c r="F219" s="62">
        <f>D219+E219</f>
        <v>363.50027999999998</v>
      </c>
      <c r="G219" s="62">
        <v>0</v>
      </c>
      <c r="H219" s="62">
        <f t="shared" si="0"/>
        <v>527.07540599999993</v>
      </c>
      <c r="I219" s="65">
        <f>(3.7*2.7+2.2*2.3+2.7*2.7+1.2*1+1*1.2+0.9*1+1.1*1.3)</f>
        <v>27.07</v>
      </c>
      <c r="J219" s="36">
        <f>1*(2.8+2.65)</f>
        <v>5.4499999999999993</v>
      </c>
      <c r="M219" s="37">
        <f>M$218*H261</f>
        <v>3360000</v>
      </c>
      <c r="N219" s="37">
        <f>H261/F261</f>
        <v>1.5474500123906534</v>
      </c>
    </row>
    <row r="220" spans="1:15" s="37" customFormat="1" ht="15.75" customHeight="1" x14ac:dyDescent="0.3">
      <c r="A220" s="179"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to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103 to 703</v>
      </c>
      <c r="B220" s="180"/>
      <c r="C220" s="62" t="s">
        <v>304</v>
      </c>
      <c r="D220" s="64">
        <f>(28.32)*(10.764)</f>
        <v>304.83647999999999</v>
      </c>
      <c r="E220" s="64">
        <f>(5.6)*(10.764)</f>
        <v>60.278399999999991</v>
      </c>
      <c r="F220" s="62">
        <f>D220+E220</f>
        <v>365.11487999999997</v>
      </c>
      <c r="G220" s="62">
        <v>0</v>
      </c>
      <c r="H220" s="62">
        <f t="shared" si="0"/>
        <v>529.41657599999996</v>
      </c>
      <c r="I220" s="36"/>
      <c r="J220" s="36"/>
      <c r="M220" s="37">
        <f>M$218*H262</f>
        <v>3570000</v>
      </c>
      <c r="N220" s="37">
        <f>H262/F262</f>
        <v>1.5286739146877664</v>
      </c>
    </row>
    <row r="221" spans="1:15" s="37" customFormat="1" x14ac:dyDescent="0.3">
      <c r="A221" s="179"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to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104 to 704</v>
      </c>
      <c r="B221" s="180"/>
      <c r="C221" s="62" t="s">
        <v>304</v>
      </c>
      <c r="D221" s="64">
        <f>(28.32)*(10.764)</f>
        <v>304.83647999999999</v>
      </c>
      <c r="E221" s="64">
        <f>(5.45)*(10.764)</f>
        <v>58.663799999999995</v>
      </c>
      <c r="F221" s="62">
        <f>D221+E221</f>
        <v>363.50027999999998</v>
      </c>
      <c r="G221" s="62">
        <v>0</v>
      </c>
      <c r="H221" s="62">
        <f t="shared" si="0"/>
        <v>527.07540599999993</v>
      </c>
      <c r="I221" s="36"/>
      <c r="J221" s="36"/>
      <c r="L221" s="37">
        <f>H263/F263</f>
        <v>1.5789414368162855</v>
      </c>
      <c r="M221" s="37">
        <f>M$218*H263</f>
        <v>5010000</v>
      </c>
      <c r="N221" s="37">
        <f>H263/F263</f>
        <v>1.5789414368162855</v>
      </c>
    </row>
    <row r="222" spans="1:15" s="37" customFormat="1" x14ac:dyDescent="0.3">
      <c r="A222" s="179"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to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105 to 705</v>
      </c>
      <c r="B222" s="180"/>
      <c r="C222" s="62" t="s">
        <v>304</v>
      </c>
      <c r="D222" s="64">
        <f>(28.88)*(10.764)</f>
        <v>310.86431999999996</v>
      </c>
      <c r="E222" s="64">
        <f>(5.6)*(10.764)</f>
        <v>60.278399999999991</v>
      </c>
      <c r="F222" s="62">
        <f t="shared" ref="F222:F223" si="1">D222+E222</f>
        <v>371.14271999999994</v>
      </c>
      <c r="G222" s="62">
        <v>0</v>
      </c>
      <c r="H222" s="62">
        <f t="shared" si="0"/>
        <v>538.15694399999995</v>
      </c>
      <c r="I222" s="36">
        <f>(2.7*3.7+2.3*2.4+2.7*2.7+1*1.2+1.2*1+0.9*1+1.1*1.3)</f>
        <v>27.53</v>
      </c>
      <c r="J222" s="36">
        <f>1*(2.8+2.8)</f>
        <v>5.6</v>
      </c>
      <c r="M222" s="37">
        <f>M$218*H264</f>
        <v>0</v>
      </c>
      <c r="N222" s="37" t="e">
        <f>H264/F264</f>
        <v>#DIV/0!</v>
      </c>
    </row>
    <row r="223" spans="1:15" s="37" customFormat="1" x14ac:dyDescent="0.3">
      <c r="A223" s="179"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to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106 to 706</v>
      </c>
      <c r="B223" s="180"/>
      <c r="C223" s="62" t="s">
        <v>304</v>
      </c>
      <c r="D223" s="64">
        <f>(28.32)*(10.764)</f>
        <v>304.83647999999999</v>
      </c>
      <c r="E223" s="64">
        <f>(5.45)*(10.764)</f>
        <v>58.663799999999995</v>
      </c>
      <c r="F223" s="62">
        <f t="shared" si="1"/>
        <v>363.50027999999998</v>
      </c>
      <c r="G223" s="62">
        <v>0</v>
      </c>
      <c r="H223" s="62">
        <f t="shared" si="0"/>
        <v>527.07540599999993</v>
      </c>
      <c r="I223" s="36"/>
    </row>
    <row r="224" spans="1:15" s="37" customFormat="1" x14ac:dyDescent="0.3">
      <c r="A224" s="123" t="s">
        <v>302</v>
      </c>
      <c r="B224" s="124"/>
      <c r="C224" s="124"/>
      <c r="D224" s="124"/>
      <c r="E224" s="124"/>
      <c r="F224" s="124"/>
      <c r="G224" s="124"/>
      <c r="H224" s="125"/>
      <c r="I224" s="36"/>
      <c r="M224" s="37">
        <f t="shared" ref="M224:M230" si="2">M$218*H266</f>
        <v>0</v>
      </c>
      <c r="N224" s="37" t="e">
        <f t="shared" ref="N224:N231" si="3">H266/F266</f>
        <v>#DIV/0!</v>
      </c>
    </row>
    <row r="225" spans="1:20" s="37" customFormat="1" x14ac:dyDescent="0.3">
      <c r="A225" s="106" t="s">
        <v>314</v>
      </c>
      <c r="B225" s="106"/>
      <c r="C225" s="106"/>
      <c r="D225" s="106"/>
      <c r="E225" s="106"/>
      <c r="F225" s="106"/>
      <c r="G225" s="106"/>
      <c r="H225" s="106"/>
      <c r="I225" s="36"/>
      <c r="M225" s="37">
        <f t="shared" si="2"/>
        <v>3570000</v>
      </c>
      <c r="N225" s="37">
        <f t="shared" si="3"/>
        <v>1.5406033655270241</v>
      </c>
    </row>
    <row r="226" spans="1:20" s="37" customFormat="1" x14ac:dyDescent="0.3">
      <c r="A226" s="251">
        <v>1</v>
      </c>
      <c r="B226" s="251"/>
      <c r="C226" s="62" t="s">
        <v>304</v>
      </c>
      <c r="D226" s="64">
        <f>(28.32)*(10.764)</f>
        <v>304.83647999999999</v>
      </c>
      <c r="E226" s="64">
        <f>(1*(2.8+2.65))*(10.764)</f>
        <v>58.663799999999988</v>
      </c>
      <c r="F226" s="62">
        <f>D226+E226</f>
        <v>363.50027999999998</v>
      </c>
      <c r="G226" s="62">
        <v>0</v>
      </c>
      <c r="H226" s="63">
        <f>F226*(($H$207)+1)+(IF(G226&lt;101,G226,IF(G226&lt;201,G226/2,IF(G226&lt;=301,G226/3,G226/4))))</f>
        <v>527.07540599999993</v>
      </c>
      <c r="I226" s="65">
        <f>(3.7*2.7+2.2*2.3+2.7*2.7+1.2*1+1*1.2+0.9*1+1.1*1.3)</f>
        <v>27.07</v>
      </c>
      <c r="J226" s="36">
        <f>1*(2.8+2.65)</f>
        <v>5.4499999999999993</v>
      </c>
      <c r="M226" s="37">
        <f t="shared" si="2"/>
        <v>3570000</v>
      </c>
      <c r="N226" s="37">
        <f t="shared" si="3"/>
        <v>1.5316389236661021</v>
      </c>
    </row>
    <row r="227" spans="1:20" s="37" customFormat="1" x14ac:dyDescent="0.3">
      <c r="A227" s="251" t="s">
        <v>315</v>
      </c>
      <c r="B227" s="251"/>
      <c r="C227" s="232" t="s">
        <v>315</v>
      </c>
      <c r="D227" s="233"/>
      <c r="E227" s="233"/>
      <c r="F227" s="233"/>
      <c r="G227" s="233"/>
      <c r="H227" s="234"/>
      <c r="I227" s="36"/>
      <c r="M227" s="37">
        <f t="shared" si="2"/>
        <v>3360000</v>
      </c>
      <c r="N227" s="37">
        <f t="shared" si="3"/>
        <v>1.5405765299548051</v>
      </c>
    </row>
    <row r="228" spans="1:20" s="37" customFormat="1" x14ac:dyDescent="0.3">
      <c r="A228" s="251" t="s">
        <v>315</v>
      </c>
      <c r="B228" s="251"/>
      <c r="C228" s="235"/>
      <c r="D228" s="236"/>
      <c r="E228" s="236"/>
      <c r="F228" s="236"/>
      <c r="G228" s="236"/>
      <c r="H228" s="237"/>
      <c r="I228" s="36"/>
      <c r="M228" s="37">
        <f t="shared" si="2"/>
        <v>3360000</v>
      </c>
      <c r="N228" s="37">
        <f t="shared" si="3"/>
        <v>1.5405765299548051</v>
      </c>
    </row>
    <row r="229" spans="1:20" s="37" customFormat="1" x14ac:dyDescent="0.3">
      <c r="A229" s="251" t="s">
        <v>315</v>
      </c>
      <c r="B229" s="251"/>
      <c r="C229" s="238"/>
      <c r="D229" s="239"/>
      <c r="E229" s="239"/>
      <c r="F229" s="239"/>
      <c r="G229" s="239"/>
      <c r="H229" s="240"/>
      <c r="I229" s="36"/>
      <c r="M229" s="37">
        <f t="shared" si="2"/>
        <v>3570000</v>
      </c>
      <c r="N229" s="37">
        <f t="shared" si="3"/>
        <v>1.5971351850652882</v>
      </c>
    </row>
    <row r="230" spans="1:20" s="37" customFormat="1" x14ac:dyDescent="0.3">
      <c r="A230" s="251">
        <v>2</v>
      </c>
      <c r="B230" s="251"/>
      <c r="C230" s="62" t="s">
        <v>304</v>
      </c>
      <c r="D230" s="64">
        <f>(20.22)*(10.764)</f>
        <v>217.64807999999996</v>
      </c>
      <c r="E230" s="64">
        <f>(1*2.65)*(10.764)</f>
        <v>28.524599999999996</v>
      </c>
      <c r="F230" s="62">
        <f>D230+E230</f>
        <v>246.17267999999996</v>
      </c>
      <c r="G230" s="62">
        <v>0</v>
      </c>
      <c r="H230" s="62">
        <f>F230*(($H$207)+1)+(IF(G230&lt;101,G230,IF(G230&lt;201,G230/2,IF(G230&lt;=301,G230/3,G230/4))))</f>
        <v>356.95038599999992</v>
      </c>
      <c r="I230" s="36"/>
      <c r="M230" s="37">
        <f t="shared" si="2"/>
        <v>3570000</v>
      </c>
      <c r="N230" s="37">
        <f t="shared" si="3"/>
        <v>1.5406033655270241</v>
      </c>
    </row>
    <row r="231" spans="1:20" s="37" customFormat="1" x14ac:dyDescent="0.3">
      <c r="A231" s="107" t="s">
        <v>318</v>
      </c>
      <c r="B231" s="108"/>
      <c r="C231" s="108"/>
      <c r="D231" s="108"/>
      <c r="E231" s="108"/>
      <c r="F231" s="108"/>
      <c r="G231" s="108"/>
      <c r="H231" s="109"/>
      <c r="I231" s="36"/>
      <c r="N231" s="37" t="e">
        <f t="shared" si="3"/>
        <v>#DIV/0!</v>
      </c>
    </row>
    <row r="232" spans="1:20" s="37" customFormat="1" x14ac:dyDescent="0.3">
      <c r="A232" s="179"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10^ROW(INDIRECT("1:"&amp;LEN((LEFT(A231,SUM(LEN(A231)-LEN(SUBSTITUTE(A231,{"0","1","2"},""))))))))/10))*100+1&amp;""&amp;" to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",LEN(A231))),LEN(A231)))))))/10))*100+1</f>
        <v>101 to 701</v>
      </c>
      <c r="B232" s="180"/>
      <c r="C232" s="62" t="s">
        <v>304</v>
      </c>
      <c r="D232" s="64">
        <f>(28.32)*(10.764)</f>
        <v>304.83647999999999</v>
      </c>
      <c r="E232" s="64">
        <f>(5.45)*(10.764)</f>
        <v>58.663799999999995</v>
      </c>
      <c r="F232" s="62">
        <f>D232+E232</f>
        <v>363.50027999999998</v>
      </c>
      <c r="G232" s="62">
        <v>0</v>
      </c>
      <c r="H232" s="62">
        <f>F232*(($H$207)+1)+(IF(G232&lt;101,G232,IF(G232&lt;201,G232/2,IF(G232&lt;=301,G232/3,G232/4))))</f>
        <v>527.07540599999993</v>
      </c>
      <c r="I232" s="36"/>
    </row>
    <row r="233" spans="1:20" s="37" customFormat="1" x14ac:dyDescent="0.3">
      <c r="A233" s="179"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102 to 702</v>
      </c>
      <c r="B233" s="180"/>
      <c r="C233" s="62" t="s">
        <v>304</v>
      </c>
      <c r="D233" s="64">
        <f>(28.88)*(10.764)</f>
        <v>310.86431999999996</v>
      </c>
      <c r="E233" s="64">
        <f>(5.6)*(10.764)</f>
        <v>60.278399999999991</v>
      </c>
      <c r="F233" s="62">
        <f>D233+E233</f>
        <v>371.14271999999994</v>
      </c>
      <c r="G233" s="62">
        <v>0</v>
      </c>
      <c r="H233" s="62">
        <f>F233*(($H$207)+1)+(IF(G233&lt;101,G233,IF(G233&lt;201,G233/2,IF(G233&lt;=301,G233/3,G233/4))))</f>
        <v>538.15694399999995</v>
      </c>
      <c r="I233" s="36"/>
      <c r="N233" s="37" t="e">
        <f t="shared" ref="N233:N238" si="4">H275/F275</f>
        <v>#DIV/0!</v>
      </c>
    </row>
    <row r="234" spans="1:20" s="37" customFormat="1" x14ac:dyDescent="0.3">
      <c r="A234" s="179"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103 to 703</v>
      </c>
      <c r="B234" s="180"/>
      <c r="C234" s="62" t="s">
        <v>306</v>
      </c>
      <c r="D234" s="64">
        <f>(39.75)*(10.764)</f>
        <v>427.86899999999997</v>
      </c>
      <c r="E234" s="64">
        <f>(9.38)*(10.764)</f>
        <v>100.96632</v>
      </c>
      <c r="F234" s="62">
        <f>D234+E234</f>
        <v>528.83531999999991</v>
      </c>
      <c r="G234" s="62">
        <v>0</v>
      </c>
      <c r="H234" s="62">
        <f>F234*(($H$207)+1)+(IF(G234&lt;101,G234,IF(G234&lt;201,G234/2,IF(G234&lt;=301,G234/3,G234/4))))</f>
        <v>766.81121399999984</v>
      </c>
      <c r="I234" s="36">
        <f>(4.1*2.7+2*2.7+2.7*2.7+3.2*2.7+1.1*1.7+1*1.6+0.9*1.2+1.1*1)</f>
        <v>38.049999999999997</v>
      </c>
      <c r="J234" s="37">
        <f>1*(3+3)</f>
        <v>6</v>
      </c>
      <c r="K234" s="37">
        <f>H276/F276</f>
        <v>1.5611469670111513</v>
      </c>
      <c r="M234" s="37">
        <f>6000*H276</f>
        <v>5010000</v>
      </c>
      <c r="N234" s="37">
        <f t="shared" si="4"/>
        <v>1.5611469670111513</v>
      </c>
    </row>
    <row r="235" spans="1:20" s="37" customFormat="1" ht="15.75" customHeight="1" x14ac:dyDescent="0.3">
      <c r="A235" s="179"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104 to 704</v>
      </c>
      <c r="B235" s="180"/>
      <c r="C235" s="62" t="s">
        <v>301</v>
      </c>
      <c r="D235" s="64">
        <f>(20.22)*(10.764)</f>
        <v>217.64807999999996</v>
      </c>
      <c r="E235" s="64">
        <f>(2.65)*(10.764)</f>
        <v>28.524599999999996</v>
      </c>
      <c r="F235" s="62">
        <f>D235+E235</f>
        <v>246.17267999999996</v>
      </c>
      <c r="G235" s="62">
        <v>0</v>
      </c>
      <c r="H235" s="62">
        <f>F235*(($H$207)+1)+(IF(G235&lt;101,G235,IF(G235&lt;201,G235/2,IF(G235&lt;=301,G235/3,G235/4))))</f>
        <v>356.95038599999992</v>
      </c>
      <c r="I235" s="36">
        <f>(3.7*2.7+2.4*2.3+1.2*1+1*1.2+1.2*1.2)</f>
        <v>19.350000000000001</v>
      </c>
      <c r="J235" s="36">
        <f>2.8*1</f>
        <v>2.8</v>
      </c>
      <c r="N235" s="37">
        <f t="shared" si="4"/>
        <v>1.5545770098353529</v>
      </c>
    </row>
    <row r="236" spans="1:20" s="37" customFormat="1" ht="15.75" customHeight="1" x14ac:dyDescent="0.3">
      <c r="A236" s="179"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105 to 705</v>
      </c>
      <c r="B236" s="180"/>
      <c r="C236" s="62" t="s">
        <v>301</v>
      </c>
      <c r="D236" s="64">
        <f>(20.22)*(10.764)</f>
        <v>217.64807999999996</v>
      </c>
      <c r="E236" s="64">
        <f>(2.65)*(10.764)</f>
        <v>28.524599999999996</v>
      </c>
      <c r="F236" s="62">
        <f t="shared" ref="F236" si="5">D236+E236</f>
        <v>246.17267999999996</v>
      </c>
      <c r="G236" s="62">
        <v>0</v>
      </c>
      <c r="H236" s="62">
        <f>F236*(($H$207)+1)+(IF(G236&lt;101,G236,IF(G236&lt;201,G236/2,IF(G236&lt;=301,G236/3,G236/4))))</f>
        <v>356.95038599999992</v>
      </c>
      <c r="I236" s="36"/>
      <c r="K236" s="37">
        <f>6000*H276</f>
        <v>5010000</v>
      </c>
      <c r="L236" s="241"/>
      <c r="M236" s="241"/>
      <c r="N236" s="37">
        <f t="shared" si="4"/>
        <v>1.5316389236661021</v>
      </c>
    </row>
    <row r="237" spans="1:20" s="35" customFormat="1" x14ac:dyDescent="0.3">
      <c r="A237" s="123" t="s">
        <v>299</v>
      </c>
      <c r="B237" s="124"/>
      <c r="C237" s="124"/>
      <c r="D237" s="124"/>
      <c r="E237" s="124"/>
      <c r="F237" s="124"/>
      <c r="G237" s="124"/>
      <c r="H237" s="125"/>
      <c r="I237" s="36"/>
      <c r="J237" s="37"/>
      <c r="N237" s="37">
        <f t="shared" si="4"/>
        <v>1.5406033655270241</v>
      </c>
      <c r="T237" s="37"/>
    </row>
    <row r="238" spans="1:20" s="35" customFormat="1" x14ac:dyDescent="0.3">
      <c r="A238" s="107" t="s">
        <v>300</v>
      </c>
      <c r="B238" s="108"/>
      <c r="C238" s="108"/>
      <c r="D238" s="108"/>
      <c r="E238" s="108"/>
      <c r="F238" s="108"/>
      <c r="G238" s="108"/>
      <c r="H238" s="109"/>
      <c r="I238" s="36"/>
      <c r="J238" s="37"/>
      <c r="N238" s="37" t="e">
        <f t="shared" si="4"/>
        <v>#DIV/0!</v>
      </c>
      <c r="T238" s="37"/>
    </row>
    <row r="239" spans="1:20" s="35" customFormat="1" x14ac:dyDescent="0.3">
      <c r="A239" s="187" t="s">
        <v>333</v>
      </c>
      <c r="B239" s="188"/>
      <c r="C239" s="188"/>
      <c r="D239" s="188"/>
      <c r="E239" s="188"/>
      <c r="F239" s="188"/>
      <c r="G239" s="188"/>
      <c r="H239" s="189"/>
      <c r="I239" s="36"/>
      <c r="J239" s="37"/>
      <c r="T239" s="37"/>
    </row>
    <row r="240" spans="1:20" s="35" customFormat="1" x14ac:dyDescent="0.3">
      <c r="A240" s="107" t="s">
        <v>318</v>
      </c>
      <c r="B240" s="108"/>
      <c r="C240" s="108"/>
      <c r="D240" s="108"/>
      <c r="E240" s="108"/>
      <c r="F240" s="108"/>
      <c r="G240" s="108"/>
      <c r="H240" s="109"/>
      <c r="I240" s="36">
        <f>(3.7*2.7+2.4*2.3+1.2*1+1*1.2+1.1*1.2)</f>
        <v>19.23</v>
      </c>
      <c r="J240" s="36">
        <f>2.725*1</f>
        <v>2.7250000000000001</v>
      </c>
    </row>
    <row r="241" spans="1:20" s="35" customFormat="1" x14ac:dyDescent="0.3">
      <c r="A241" s="179"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10^ROW(INDIRECT("1:"&amp;LEN((LEFT(A240,SUM(LEN(A240)-LEN(SUBSTITUTE(A240,{"0","1","2"},""))))))))/10))*100+1&amp;""&amp;" to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",LEN(A240))),LEN(A240)))))))/10))*100+1</f>
        <v>101 to 701</v>
      </c>
      <c r="B241" s="180"/>
      <c r="C241" s="62" t="s">
        <v>301</v>
      </c>
      <c r="D241" s="64">
        <f>(20.22)*(10.764)</f>
        <v>217.64807999999996</v>
      </c>
      <c r="E241" s="64">
        <f>(2.73)*(10.764)</f>
        <v>29.385719999999999</v>
      </c>
      <c r="F241" s="62">
        <f>D241+E241</f>
        <v>247.03379999999996</v>
      </c>
      <c r="G241" s="62">
        <v>0</v>
      </c>
      <c r="H241" s="62">
        <v>380</v>
      </c>
      <c r="I241" s="36"/>
      <c r="J241" s="37"/>
    </row>
    <row r="242" spans="1:20" s="35" customFormat="1" x14ac:dyDescent="0.3">
      <c r="A242" s="179"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to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102 to 702</v>
      </c>
      <c r="B242" s="180"/>
      <c r="C242" s="62" t="s">
        <v>301</v>
      </c>
      <c r="D242" s="64">
        <f>(20.22)*(10.764)</f>
        <v>217.64807999999996</v>
      </c>
      <c r="E242" s="64">
        <f>(2.73)*(10.764)</f>
        <v>29.385719999999999</v>
      </c>
      <c r="F242" s="62">
        <f>D242+E242</f>
        <v>247.03379999999996</v>
      </c>
      <c r="G242" s="62">
        <v>0</v>
      </c>
      <c r="H242" s="62">
        <v>380</v>
      </c>
      <c r="I242" s="36"/>
      <c r="J242" s="37"/>
    </row>
    <row r="243" spans="1:20" s="35" customFormat="1" x14ac:dyDescent="0.3">
      <c r="A243" s="179"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103 to 703</v>
      </c>
      <c r="B243" s="180"/>
      <c r="C243" s="62" t="s">
        <v>301</v>
      </c>
      <c r="D243" s="64">
        <f>(19.93)*(10.764)</f>
        <v>214.52651999999998</v>
      </c>
      <c r="E243" s="64">
        <f>(2.85)*(10.764)</f>
        <v>30.677399999999999</v>
      </c>
      <c r="F243" s="62">
        <f>D243+E243</f>
        <v>245.20391999999998</v>
      </c>
      <c r="G243" s="62">
        <v>0</v>
      </c>
      <c r="H243" s="62">
        <v>380</v>
      </c>
      <c r="I243" s="36"/>
      <c r="J243" s="36"/>
    </row>
    <row r="244" spans="1:20" s="35" customFormat="1" x14ac:dyDescent="0.3">
      <c r="A244" s="107" t="s">
        <v>302</v>
      </c>
      <c r="B244" s="108"/>
      <c r="C244" s="108"/>
      <c r="D244" s="108"/>
      <c r="E244" s="108"/>
      <c r="F244" s="108"/>
      <c r="G244" s="108"/>
      <c r="H244" s="109"/>
      <c r="I244" s="36"/>
      <c r="J244" s="37"/>
    </row>
    <row r="245" spans="1:20" s="35" customFormat="1" ht="33" hidden="1" customHeight="1" x14ac:dyDescent="0.3">
      <c r="A245" s="187" t="s">
        <v>333</v>
      </c>
      <c r="B245" s="188"/>
      <c r="C245" s="188"/>
      <c r="D245" s="188"/>
      <c r="E245" s="188"/>
      <c r="F245" s="188"/>
      <c r="G245" s="188"/>
      <c r="H245" s="189"/>
      <c r="I245" s="36"/>
      <c r="J245" s="37"/>
    </row>
    <row r="246" spans="1:20" s="35" customFormat="1" x14ac:dyDescent="0.3">
      <c r="A246" s="107" t="s">
        <v>318</v>
      </c>
      <c r="B246" s="108"/>
      <c r="C246" s="108"/>
      <c r="D246" s="108"/>
      <c r="E246" s="108"/>
      <c r="F246" s="108"/>
      <c r="G246" s="108"/>
      <c r="H246" s="109"/>
      <c r="I246" s="36">
        <f>(2.7*3.7+2.7*2.1+1*1.2+1*1.2+1*0.9)</f>
        <v>18.96</v>
      </c>
      <c r="J246" s="36">
        <f>2.85*1</f>
        <v>2.85</v>
      </c>
    </row>
    <row r="247" spans="1:20" x14ac:dyDescent="0.3">
      <c r="A247" s="179"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10^ROW(INDIRECT("1:"&amp;LEN((LEFT(A246,SUM(LEN(A246)-LEN(SUBSTITUTE(A246,{"0","1","2"},""))))))))/10))*100+1&amp;""&amp;"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",LEN(A246))),LEN(A246)))))))/10))*100+1</f>
        <v>101 to 701</v>
      </c>
      <c r="B247" s="180"/>
      <c r="C247" s="62" t="s">
        <v>301</v>
      </c>
      <c r="D247" s="64">
        <f>(19.93)*(10.764)</f>
        <v>214.52651999999998</v>
      </c>
      <c r="E247" s="64">
        <f>(2.85)*(10.764)</f>
        <v>30.677399999999999</v>
      </c>
      <c r="F247" s="62">
        <f>D247+E247</f>
        <v>245.20391999999998</v>
      </c>
      <c r="G247" s="62">
        <v>0</v>
      </c>
      <c r="H247" s="62">
        <v>380</v>
      </c>
      <c r="I247" s="37"/>
      <c r="J247" s="37"/>
      <c r="T247" s="35"/>
    </row>
    <row r="248" spans="1:20" ht="15.75" customHeight="1" x14ac:dyDescent="0.3">
      <c r="A248" s="179"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to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102 to 702</v>
      </c>
      <c r="B248" s="180"/>
      <c r="C248" s="62" t="s">
        <v>301</v>
      </c>
      <c r="D248" s="64">
        <f>(20.22)*(10.764)</f>
        <v>217.64807999999996</v>
      </c>
      <c r="E248" s="64">
        <f>(2.73)*(10.764)</f>
        <v>29.385719999999999</v>
      </c>
      <c r="F248" s="62">
        <f>D248+E248</f>
        <v>247.03379999999996</v>
      </c>
      <c r="G248" s="62">
        <v>0</v>
      </c>
      <c r="H248" s="62">
        <v>380</v>
      </c>
      <c r="I248" s="36"/>
      <c r="J248" s="37"/>
      <c r="T248" s="35"/>
    </row>
    <row r="249" spans="1:20" x14ac:dyDescent="0.3">
      <c r="A249" s="179"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to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103 to 703</v>
      </c>
      <c r="B249" s="180"/>
      <c r="C249" s="62" t="s">
        <v>301</v>
      </c>
      <c r="D249" s="64">
        <f>(20.22)*(10.764)</f>
        <v>217.64807999999996</v>
      </c>
      <c r="E249" s="64">
        <f>(2.85)*(10.764)</f>
        <v>30.677399999999999</v>
      </c>
      <c r="F249" s="62">
        <f>D249+E249</f>
        <v>248.32547999999997</v>
      </c>
      <c r="G249" s="62">
        <v>0</v>
      </c>
      <c r="H249" s="62">
        <v>380</v>
      </c>
      <c r="I249" s="36"/>
      <c r="J249" s="37"/>
      <c r="T249" s="35"/>
    </row>
    <row r="250" spans="1:20" x14ac:dyDescent="0.3">
      <c r="A250" s="107" t="s">
        <v>303</v>
      </c>
      <c r="B250" s="108"/>
      <c r="C250" s="108"/>
      <c r="D250" s="108"/>
      <c r="E250" s="108"/>
      <c r="F250" s="108"/>
      <c r="G250" s="108"/>
      <c r="H250" s="109"/>
      <c r="I250" s="36"/>
      <c r="J250" s="37"/>
      <c r="T250" s="35"/>
    </row>
    <row r="251" spans="1:20" x14ac:dyDescent="0.3">
      <c r="A251" s="187" t="s">
        <v>333</v>
      </c>
      <c r="B251" s="188"/>
      <c r="C251" s="188"/>
      <c r="D251" s="188"/>
      <c r="E251" s="188"/>
      <c r="F251" s="188"/>
      <c r="G251" s="188"/>
      <c r="H251" s="189"/>
      <c r="I251" s="36"/>
      <c r="J251" s="37"/>
      <c r="T251" s="35"/>
    </row>
    <row r="252" spans="1:20" x14ac:dyDescent="0.3">
      <c r="A252" s="107" t="s">
        <v>318</v>
      </c>
      <c r="B252" s="108"/>
      <c r="C252" s="108"/>
      <c r="D252" s="108"/>
      <c r="E252" s="108"/>
      <c r="F252" s="108"/>
      <c r="G252" s="108"/>
      <c r="H252" s="109"/>
      <c r="I252" s="37"/>
      <c r="J252" s="37"/>
    </row>
    <row r="253" spans="1:20" x14ac:dyDescent="0.3">
      <c r="A253" s="179"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10^ROW(INDIRECT("1:"&amp;LEN((LEFT(A252,SUM(LEN(A252)-LEN(SUBSTITUTE(A252,{"0","1","2"},""))))))))/10))*100+1&amp;""&amp;" to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",LEN(A252))),LEN(A252)))))))/10))*100+1</f>
        <v>101 to 701</v>
      </c>
      <c r="B253" s="180"/>
      <c r="C253" s="62" t="s">
        <v>304</v>
      </c>
      <c r="D253" s="64">
        <f>(29.43)*(10.764)</f>
        <v>316.78451999999999</v>
      </c>
      <c r="E253" s="64">
        <f>(6.36)*(10.764)</f>
        <v>68.459040000000002</v>
      </c>
      <c r="F253" s="62">
        <f>D253+E253</f>
        <v>385.24356</v>
      </c>
      <c r="G253" s="62">
        <v>0</v>
      </c>
      <c r="H253" s="62">
        <v>595</v>
      </c>
      <c r="I253" s="37"/>
      <c r="J253" s="37"/>
    </row>
    <row r="254" spans="1:20" x14ac:dyDescent="0.3">
      <c r="A254" s="179"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to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102 to 702</v>
      </c>
      <c r="B254" s="180"/>
      <c r="C254" s="62" t="s">
        <v>301</v>
      </c>
      <c r="D254" s="64">
        <f>(19.06)*(10.764)</f>
        <v>205.16183999999998</v>
      </c>
      <c r="E254" s="64">
        <f>(2.8)*(10.764)</f>
        <v>30.139199999999995</v>
      </c>
      <c r="F254" s="62">
        <f>D254+E254</f>
        <v>235.30103999999997</v>
      </c>
      <c r="G254" s="62">
        <v>0</v>
      </c>
      <c r="H254" s="62">
        <v>360</v>
      </c>
      <c r="I254" s="36">
        <f>(2.7*3.7+2.2*2.3+1*1.2+1*1.2+1*1.2)</f>
        <v>18.649999999999999</v>
      </c>
      <c r="J254" s="36">
        <f>2.8*1</f>
        <v>2.8</v>
      </c>
    </row>
    <row r="255" spans="1:20" x14ac:dyDescent="0.3">
      <c r="A255" s="179"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103 to 703</v>
      </c>
      <c r="B255" s="180"/>
      <c r="C255" s="62" t="s">
        <v>301</v>
      </c>
      <c r="D255" s="64">
        <f>(19.06)*(10.764)</f>
        <v>205.16183999999998</v>
      </c>
      <c r="E255" s="64">
        <f>(2.8)*(10.764)</f>
        <v>30.139199999999995</v>
      </c>
      <c r="F255" s="62">
        <f>D255+E255</f>
        <v>235.30103999999997</v>
      </c>
      <c r="G255" s="62">
        <v>0</v>
      </c>
      <c r="H255" s="62">
        <v>360</v>
      </c>
      <c r="I255" s="36">
        <f>(4.1*2.7+2*2.7+2*2.7+1*1.2+1*1.2+0.9*4)</f>
        <v>27.869999999999997</v>
      </c>
      <c r="J255" s="36">
        <f>2.8*1.2+3*1</f>
        <v>6.3599999999999994</v>
      </c>
    </row>
    <row r="256" spans="1:20" x14ac:dyDescent="0.3">
      <c r="A256" s="179"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104 to 704</v>
      </c>
      <c r="B256" s="180"/>
      <c r="C256" s="62" t="s">
        <v>304</v>
      </c>
      <c r="D256" s="64">
        <f>(29.43)*(10.764)</f>
        <v>316.78451999999999</v>
      </c>
      <c r="E256" s="64">
        <f>(6.36)*(10.764)</f>
        <v>68.459040000000002</v>
      </c>
      <c r="F256" s="62">
        <f>D256+E256</f>
        <v>385.24356</v>
      </c>
      <c r="G256" s="62">
        <v>0</v>
      </c>
      <c r="H256" s="62">
        <v>595</v>
      </c>
      <c r="I256" s="36"/>
      <c r="J256" s="37"/>
    </row>
    <row r="257" spans="1:10" x14ac:dyDescent="0.3">
      <c r="A257" s="123" t="s">
        <v>305</v>
      </c>
      <c r="B257" s="124"/>
      <c r="C257" s="124"/>
      <c r="D257" s="124"/>
      <c r="E257" s="124"/>
      <c r="F257" s="124"/>
      <c r="G257" s="124"/>
      <c r="H257" s="125"/>
      <c r="I257" s="36"/>
      <c r="J257" s="37"/>
    </row>
    <row r="258" spans="1:10" x14ac:dyDescent="0.3">
      <c r="A258" s="107" t="s">
        <v>300</v>
      </c>
      <c r="B258" s="108"/>
      <c r="C258" s="108"/>
      <c r="D258" s="108"/>
      <c r="E258" s="108"/>
      <c r="F258" s="108"/>
      <c r="G258" s="108"/>
      <c r="H258" s="109"/>
      <c r="I258" s="37"/>
      <c r="J258" s="37"/>
    </row>
    <row r="259" spans="1:10" x14ac:dyDescent="0.3">
      <c r="A259" s="187" t="s">
        <v>333</v>
      </c>
      <c r="B259" s="188"/>
      <c r="C259" s="188"/>
      <c r="D259" s="188"/>
      <c r="E259" s="188"/>
      <c r="F259" s="188"/>
      <c r="G259" s="188"/>
      <c r="H259" s="189"/>
      <c r="I259" s="36"/>
      <c r="J259" s="37"/>
    </row>
    <row r="260" spans="1:10" x14ac:dyDescent="0.3">
      <c r="A260" s="107" t="s">
        <v>318</v>
      </c>
      <c r="B260" s="108"/>
      <c r="C260" s="108"/>
      <c r="D260" s="108"/>
      <c r="E260" s="108"/>
      <c r="F260" s="108"/>
      <c r="G260" s="108"/>
      <c r="H260" s="109"/>
      <c r="I260" s="36">
        <f>(2.7*3.7+2.3*2.2+2.7*2.7+1*1.2+1.2*1+1*1.2+0.9*1)</f>
        <v>26.84</v>
      </c>
      <c r="J260" s="36">
        <f>2.65*1+2.8*1</f>
        <v>5.4499999999999993</v>
      </c>
    </row>
    <row r="261" spans="1:10" ht="15" customHeight="1" x14ac:dyDescent="0.3">
      <c r="A261" s="179"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10^ROW(INDIRECT("1:"&amp;LEN((LEFT(A260,SUM(LEN(A260)-LEN(SUBSTITUTE(A260,{"0","1","2"},""))))))))/10))*100+1&amp;""&amp;" to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",LEN(A260))),LEN(A260)))))))/10))*100+1</f>
        <v>101 to 701</v>
      </c>
      <c r="B261" s="180"/>
      <c r="C261" s="62" t="s">
        <v>304</v>
      </c>
      <c r="D261" s="64">
        <f>(28.32)*(10.764)</f>
        <v>304.83647999999999</v>
      </c>
      <c r="E261" s="64">
        <f>(5.3)*(10.764)</f>
        <v>57.049199999999992</v>
      </c>
      <c r="F261" s="62">
        <f>D261+E261</f>
        <v>361.88567999999998</v>
      </c>
      <c r="G261" s="62">
        <v>0</v>
      </c>
      <c r="H261" s="62">
        <v>560</v>
      </c>
      <c r="I261" s="36"/>
      <c r="J261" s="37"/>
    </row>
    <row r="262" spans="1:10" x14ac:dyDescent="0.3">
      <c r="A262" s="179"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to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102 to 702</v>
      </c>
      <c r="B262" s="180"/>
      <c r="C262" s="62" t="s">
        <v>304</v>
      </c>
      <c r="D262" s="64">
        <f>(29.44)*(10.764)</f>
        <v>316.89215999999999</v>
      </c>
      <c r="E262" s="64">
        <f>(6.72)*(10.764)</f>
        <v>72.334079999999986</v>
      </c>
      <c r="F262" s="62">
        <f>D262+E262</f>
        <v>389.22623999999996</v>
      </c>
      <c r="G262" s="62">
        <v>0</v>
      </c>
      <c r="H262" s="62">
        <v>595</v>
      </c>
      <c r="I262" s="36">
        <f>(4.1*2.7+2*2.7+2.7*2.7+3.2*2.7+1.1*1.7+1*1.6+1.1*1+1.1*1)</f>
        <v>38.07</v>
      </c>
      <c r="J262" s="36">
        <f>2.6*1.3+3*1+3*1</f>
        <v>9.3800000000000008</v>
      </c>
    </row>
    <row r="263" spans="1:10" x14ac:dyDescent="0.3">
      <c r="A263" s="179"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to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103 to 703</v>
      </c>
      <c r="B263" s="180"/>
      <c r="C263" s="62" t="s">
        <v>306</v>
      </c>
      <c r="D263" s="64">
        <f>(39.75)*(10.764)</f>
        <v>427.86899999999997</v>
      </c>
      <c r="E263" s="64">
        <f>(9.38)*(10.764)</f>
        <v>100.96632</v>
      </c>
      <c r="F263" s="62">
        <f>D263+E263</f>
        <v>528.83531999999991</v>
      </c>
      <c r="G263" s="62">
        <v>0</v>
      </c>
      <c r="H263" s="62">
        <v>835</v>
      </c>
      <c r="I263" s="36"/>
      <c r="J263" s="37"/>
    </row>
    <row r="264" spans="1:10" x14ac:dyDescent="0.3">
      <c r="A264" s="107" t="s">
        <v>302</v>
      </c>
      <c r="B264" s="108"/>
      <c r="C264" s="108"/>
      <c r="D264" s="108"/>
      <c r="E264" s="108"/>
      <c r="F264" s="108"/>
      <c r="G264" s="108"/>
      <c r="H264" s="109"/>
      <c r="I264" s="36"/>
      <c r="J264" s="37"/>
    </row>
    <row r="265" spans="1:10" x14ac:dyDescent="0.3">
      <c r="A265" s="187" t="s">
        <v>333</v>
      </c>
      <c r="B265" s="188"/>
      <c r="C265" s="188"/>
      <c r="D265" s="188"/>
      <c r="E265" s="188"/>
      <c r="F265" s="188"/>
      <c r="G265" s="188"/>
      <c r="H265" s="189"/>
      <c r="I265" s="36"/>
      <c r="J265" s="37"/>
    </row>
    <row r="266" spans="1:10" x14ac:dyDescent="0.3">
      <c r="A266" s="107" t="s">
        <v>318</v>
      </c>
      <c r="B266" s="108"/>
      <c r="C266" s="108"/>
      <c r="D266" s="108"/>
      <c r="E266" s="108"/>
      <c r="F266" s="108"/>
      <c r="G266" s="108"/>
      <c r="H266" s="109"/>
      <c r="I266" s="36"/>
      <c r="J266" s="37"/>
    </row>
    <row r="267" spans="1:10" x14ac:dyDescent="0.3">
      <c r="A267" s="179"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10^ROW(INDIRECT("1:"&amp;LEN((LEFT(A266,SUM(LEN(A266)-LEN(SUBSTITUTE(A266,{"0","1","2"},""))))))))/10))*100+1&amp;""&amp;" to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",LEN(A266))),LEN(A266)))))))/10))*100+1</f>
        <v>101 to 701</v>
      </c>
      <c r="B267" s="180"/>
      <c r="C267" s="62" t="s">
        <v>304</v>
      </c>
      <c r="D267" s="64">
        <f>(29.44)*(10.764)</f>
        <v>316.89215999999999</v>
      </c>
      <c r="E267" s="64">
        <f>(6.44)*(10.764)</f>
        <v>69.320160000000001</v>
      </c>
      <c r="F267" s="62">
        <f>D267+E267</f>
        <v>386.21231999999998</v>
      </c>
      <c r="G267" s="62">
        <v>0</v>
      </c>
      <c r="H267" s="62">
        <v>595</v>
      </c>
      <c r="I267" s="36"/>
      <c r="J267" s="37"/>
    </row>
    <row r="268" spans="1:10" x14ac:dyDescent="0.3">
      <c r="A268" s="179"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to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102 to 702</v>
      </c>
      <c r="B268" s="180"/>
      <c r="C268" s="62" t="s">
        <v>304</v>
      </c>
      <c r="D268" s="64">
        <f>(29.44)*(10.764)</f>
        <v>316.89215999999999</v>
      </c>
      <c r="E268" s="64">
        <f>(6.65)*(10.764)</f>
        <v>71.580600000000004</v>
      </c>
      <c r="F268" s="62">
        <f>D268+E268</f>
        <v>388.47275999999999</v>
      </c>
      <c r="G268" s="62">
        <v>0</v>
      </c>
      <c r="H268" s="62">
        <v>595</v>
      </c>
      <c r="I268" s="36">
        <f>(2.7*3.7+2.3*2.2+2.7*2.7+1.2*1+1*1.2+1.2*1.1+1*0.9)</f>
        <v>26.96</v>
      </c>
      <c r="J268" s="36">
        <f>1*(2.8+2.65)</f>
        <v>5.4499999999999993</v>
      </c>
    </row>
    <row r="269" spans="1:10" x14ac:dyDescent="0.3">
      <c r="A269" s="179"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to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103 to 703</v>
      </c>
      <c r="B269" s="180"/>
      <c r="C269" s="62" t="s">
        <v>304</v>
      </c>
      <c r="D269" s="64">
        <f>(28.32)*(10.764)</f>
        <v>304.83647999999999</v>
      </c>
      <c r="E269" s="64">
        <f>(5.45)*(10.764)</f>
        <v>58.663799999999995</v>
      </c>
      <c r="F269" s="62">
        <f>D269+E269</f>
        <v>363.50027999999998</v>
      </c>
      <c r="G269" s="62">
        <v>0</v>
      </c>
      <c r="H269" s="62">
        <v>560</v>
      </c>
      <c r="I269" s="36"/>
      <c r="J269" s="37"/>
    </row>
    <row r="270" spans="1:10" x14ac:dyDescent="0.3">
      <c r="A270" s="179"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to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104 to 704</v>
      </c>
      <c r="B270" s="180"/>
      <c r="C270" s="62" t="s">
        <v>304</v>
      </c>
      <c r="D270" s="64">
        <f>(28.32)*(10.764)</f>
        <v>304.83647999999999</v>
      </c>
      <c r="E270" s="64">
        <f>(5.45)*(10.764)</f>
        <v>58.663799999999995</v>
      </c>
      <c r="F270" s="62">
        <f>D270+E270</f>
        <v>363.50027999999998</v>
      </c>
      <c r="G270" s="62">
        <v>0</v>
      </c>
      <c r="H270" s="62">
        <v>560</v>
      </c>
      <c r="I270" s="36"/>
      <c r="J270" s="37"/>
    </row>
    <row r="271" spans="1:10" x14ac:dyDescent="0.3">
      <c r="A271" s="179"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to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105 to 705</v>
      </c>
      <c r="B271" s="180"/>
      <c r="C271" s="62" t="s">
        <v>304</v>
      </c>
      <c r="D271" s="64">
        <f>(28.88)*(10.764)</f>
        <v>310.86431999999996</v>
      </c>
      <c r="E271" s="64">
        <f>(5.73)*(10.764)</f>
        <v>61.677720000000001</v>
      </c>
      <c r="F271" s="62">
        <f t="shared" ref="F271:F272" si="6">D271+E271</f>
        <v>372.54203999999999</v>
      </c>
      <c r="G271" s="62">
        <v>0</v>
      </c>
      <c r="H271" s="62">
        <v>595</v>
      </c>
      <c r="I271" s="36">
        <f>(4.1*2.7+2.2*2.3+2.7*2.7+1.2*1+1*1.2+0.9*1+1.1*1.3)</f>
        <v>28.15</v>
      </c>
      <c r="J271" s="36">
        <f>2.725*1+2.65*1.4</f>
        <v>6.4349999999999996</v>
      </c>
    </row>
    <row r="272" spans="1:10" x14ac:dyDescent="0.3">
      <c r="A272" s="179"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to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106 to 706</v>
      </c>
      <c r="B272" s="180"/>
      <c r="C272" s="62" t="s">
        <v>304</v>
      </c>
      <c r="D272" s="64">
        <f>(29.44)*(10.764)</f>
        <v>316.89215999999999</v>
      </c>
      <c r="E272" s="64">
        <f>(6.44)*(10.764)</f>
        <v>69.320160000000001</v>
      </c>
      <c r="F272" s="62">
        <f t="shared" si="6"/>
        <v>386.21231999999998</v>
      </c>
      <c r="G272" s="62">
        <v>0</v>
      </c>
      <c r="H272" s="62">
        <v>595</v>
      </c>
      <c r="I272" s="36"/>
      <c r="J272" s="37"/>
    </row>
    <row r="273" spans="1:10" x14ac:dyDescent="0.3">
      <c r="A273" s="107" t="s">
        <v>303</v>
      </c>
      <c r="B273" s="108"/>
      <c r="C273" s="108"/>
      <c r="D273" s="108"/>
      <c r="E273" s="108"/>
      <c r="F273" s="108"/>
      <c r="G273" s="108"/>
      <c r="H273" s="109"/>
      <c r="I273" s="36"/>
      <c r="J273" s="37"/>
    </row>
    <row r="274" spans="1:10" x14ac:dyDescent="0.3">
      <c r="A274" s="187" t="s">
        <v>333</v>
      </c>
      <c r="B274" s="188"/>
      <c r="C274" s="188"/>
      <c r="D274" s="188"/>
      <c r="E274" s="188"/>
      <c r="F274" s="188"/>
      <c r="G274" s="188"/>
      <c r="H274" s="189"/>
      <c r="I274" s="36"/>
      <c r="J274" s="37"/>
    </row>
    <row r="275" spans="1:10" x14ac:dyDescent="0.3">
      <c r="A275" s="107" t="s">
        <v>318</v>
      </c>
      <c r="B275" s="108"/>
      <c r="C275" s="108"/>
      <c r="D275" s="108"/>
      <c r="E275" s="108"/>
      <c r="F275" s="108"/>
      <c r="G275" s="108"/>
      <c r="H275" s="109"/>
      <c r="I275" s="36"/>
      <c r="J275" s="37"/>
    </row>
    <row r="276" spans="1:10" x14ac:dyDescent="0.3">
      <c r="A276" s="179"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10^ROW(INDIRECT("1:"&amp;LEN((LEFT(A275,SUM(LEN(A275)-LEN(SUBSTITUTE(A275,{"0","1","2"},""))))))))/10))*100+1&amp;""&amp;" to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",LEN(A275))),LEN(A275)))))))/10))*100+1</f>
        <v>101 to 701</v>
      </c>
      <c r="B276" s="180"/>
      <c r="C276" s="62" t="s">
        <v>306</v>
      </c>
      <c r="D276" s="64">
        <f>(40.33)*(10.764)</f>
        <v>434.11211999999995</v>
      </c>
      <c r="E276" s="64">
        <f>(9.36)*(10.764)</f>
        <v>100.75103999999999</v>
      </c>
      <c r="F276" s="62">
        <f>D276+E276</f>
        <v>534.86315999999988</v>
      </c>
      <c r="G276" s="62">
        <v>0</v>
      </c>
      <c r="H276" s="62">
        <v>835</v>
      </c>
      <c r="I276" s="36">
        <f>(4.1*2.7+2.7*2+2.7*3.2+2.7*2.7+1*1.5+1.4*1.1+1.1*1.1+0.9*1.9)</f>
        <v>38.36</v>
      </c>
      <c r="J276" s="36">
        <f>2.8*1.4+1.7*1.6+2.925*1</f>
        <v>9.5649999999999995</v>
      </c>
    </row>
    <row r="277" spans="1:10" x14ac:dyDescent="0.3">
      <c r="A277" s="179"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to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102 to 702</v>
      </c>
      <c r="B277" s="180"/>
      <c r="C277" s="62" t="s">
        <v>306</v>
      </c>
      <c r="D277" s="64">
        <f>(40.33)*(10.764)</f>
        <v>434.11211999999995</v>
      </c>
      <c r="E277" s="64">
        <f>(9.57)*(10.764)</f>
        <v>103.01147999999999</v>
      </c>
      <c r="F277" s="62">
        <f>D277+E277</f>
        <v>537.1235999999999</v>
      </c>
      <c r="G277" s="62">
        <v>0</v>
      </c>
      <c r="H277" s="62">
        <v>835</v>
      </c>
      <c r="I277" s="36">
        <f>(4.1*2.7+2.2*2.3+2.7*2.7+1.2*1+1*1.2+1.1*1.2+0.9*1)</f>
        <v>28.04</v>
      </c>
      <c r="J277" s="36">
        <f>2.8*1.4+2.725*1</f>
        <v>6.6449999999999996</v>
      </c>
    </row>
    <row r="278" spans="1:10" x14ac:dyDescent="0.3">
      <c r="A278" s="179"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10^ROW(INDIRECT("1:"&amp;LEN((LEFT(A277,SUM(LEN(A277)-LEN(SUBSTITUTE(A277,{"0","1","2"},""))))))))/10))*1+1&amp;""&amp;" to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",LEN(A277))),LEN(A277)))))))/10))*1+1</f>
        <v>103 to 703</v>
      </c>
      <c r="B278" s="180"/>
      <c r="C278" s="62" t="s">
        <v>304</v>
      </c>
      <c r="D278" s="64">
        <f>(29.44)*(10.764)</f>
        <v>316.89215999999999</v>
      </c>
      <c r="E278" s="64">
        <f>(6.65)*(10.764)</f>
        <v>71.580600000000004</v>
      </c>
      <c r="F278" s="62">
        <f>D278+E278</f>
        <v>388.47275999999999</v>
      </c>
      <c r="G278" s="62">
        <v>0</v>
      </c>
      <c r="H278" s="62">
        <v>595</v>
      </c>
      <c r="I278" s="66"/>
      <c r="J278" s="37"/>
    </row>
    <row r="279" spans="1:10" x14ac:dyDescent="0.3">
      <c r="A279" s="179" t="str">
        <f ca="1">(SUMPRODUCT(MID(0&amp;(LEFT(A278,SUM(LEN(A278)-LEN(SUBSTITUTE(A278,{"0","1","2"},""))))), LARGE(INDEX(ISNUMBER(--MID((LEFT(A278,SUM(LEN(A278)-LEN(SUBSTITUTE(A278,{"0","1","2"},""))))), ROW(INDIRECT("1:"&amp;LEN((LEFT(A278,SUM(LEN(A278)-LEN(SUBSTITUTE(A278,{"0","1","2"},"")))))))), 1)) * ROW(INDIRECT("1:"&amp;LEN((LEFT(A278,SUM(LEN(A278)-LEN(SUBSTITUTE(A278,{"0","1","2"},"")))))))), 0), ROW(INDIRECT("1:"&amp;LEN((LEFT(A278,SUM(LEN(A278)-LEN(SUBSTITUTE(A278,{"0","1","2"},"")))))))))+1, 1) * 10^ROW(INDIRECT("1:"&amp;LEN((LEFT(A278,SUM(LEN(A278)-LEN(SUBSTITUTE(A278,{"0","1","2"},""))))))))/10))*1+1&amp;""&amp;" to "&amp;""&amp;(SUMPRODUCT(MID(0&amp;(--TRIM(RIGHT(SUBSTITUTE(LEFT(A278,_xlfn.AGGREGATE(16,6,FIND({0,1,2,3,4,5,6,7,8,9},A278,ROW(INDIRECT("1:"&amp;LEN(A278)))),1))," ",REPT(" ",LEN(A278))),LEN(A278)))), LARGE(INDEX(ISNUMBER(--MID((--TRIM(RIGHT(SUBSTITUTE(LEFT(A278,_xlfn.AGGREGATE(16,6,FIND({0,1,2,3,4,5,6,7,8,9},A278,ROW(INDIRECT("1:"&amp;LEN(A278)))),1))," ",REPT(" ",LEN(A278))),LEN(A278)))), ROW(INDIRECT("1:"&amp;LEN((--TRIM(RIGHT(SUBSTITUTE(LEFT(A278,_xlfn.AGGREGATE(16,6,FIND({0,1,2,3,4,5,6,7,8,9},A278,ROW(INDIRECT("1:"&amp;LEN(A278)))),1))," ",REPT(" ",LEN(A278))),LEN(A278))))))), 1)) * ROW(INDIRECT("1:"&amp;LEN((--TRIM(RIGHT(SUBSTITUTE(LEFT(A278,_xlfn.AGGREGATE(16,6,FIND({0,1,2,3,4,5,6,7,8,9},A278,ROW(INDIRECT("1:"&amp;LEN(A278)))),1))," ",REPT(" ",LEN(A278))),LEN(A278))))))), 0), ROW(INDIRECT("1:"&amp;LEN((--TRIM(RIGHT(SUBSTITUTE(LEFT(A278,_xlfn.AGGREGATE(16,6,FIND({0,1,2,3,4,5,6,7,8,9},A278,ROW(INDIRECT("1:"&amp;LEN(A278)))),1))," ",REPT(" ",LEN(A278))),LEN(A278))))))))+1, 1) * 10^ROW(INDIRECT("1:"&amp;LEN((--TRIM(RIGHT(SUBSTITUTE(LEFT(A278,_xlfn.AGGREGATE(16,6,FIND({0,1,2,3,4,5,6,7,8,9},A278,ROW(INDIRECT("1:"&amp;LEN(A278)))),1))," ",REPT(" ",LEN(A278))),LEN(A278)))))))/10))*1+1</f>
        <v>104 to 704</v>
      </c>
      <c r="B279" s="180"/>
      <c r="C279" s="62" t="s">
        <v>304</v>
      </c>
      <c r="D279" s="64">
        <f>(29.44)*(10.764)</f>
        <v>316.89215999999999</v>
      </c>
      <c r="E279" s="64">
        <f>(6.44)*(10.764)</f>
        <v>69.320160000000001</v>
      </c>
      <c r="F279" s="62">
        <f>D279+E279</f>
        <v>386.21231999999998</v>
      </c>
      <c r="G279" s="62">
        <v>0</v>
      </c>
      <c r="H279" s="62">
        <v>595</v>
      </c>
      <c r="I279" s="35"/>
      <c r="J279" s="35"/>
    </row>
    <row r="280" spans="1:10" x14ac:dyDescent="0.3">
      <c r="A280" s="184" t="s">
        <v>65</v>
      </c>
      <c r="B280" s="184"/>
      <c r="C280" s="184"/>
      <c r="D280" s="184"/>
      <c r="E280" s="184"/>
      <c r="F280" s="184"/>
      <c r="G280" s="184"/>
      <c r="H280" s="184"/>
      <c r="I280" s="35"/>
      <c r="J280" s="35"/>
    </row>
    <row r="281" spans="1:10" x14ac:dyDescent="0.3">
      <c r="A281" s="45" t="s">
        <v>142</v>
      </c>
      <c r="B281" s="168" t="s">
        <v>351</v>
      </c>
      <c r="C281" s="169"/>
      <c r="D281" s="169"/>
      <c r="E281" s="169"/>
      <c r="F281" s="169"/>
      <c r="G281" s="169"/>
      <c r="H281" s="170"/>
      <c r="I281" s="35"/>
      <c r="J281" s="35"/>
    </row>
    <row r="282" spans="1:10" x14ac:dyDescent="0.3">
      <c r="A282" s="45" t="s">
        <v>142</v>
      </c>
      <c r="B282" s="181" t="str">
        <f>(IF(H206="Saleable area Loading :","We have considered Saleable area of Flats as per our Calculation.","We considered Saleable area of Flat as per Builder area Sheet."))</f>
        <v>We considered Saleable area of Flat as per Builder area Sheet.</v>
      </c>
      <c r="C282" s="182"/>
      <c r="D282" s="182"/>
      <c r="E282" s="182"/>
      <c r="F282" s="182"/>
      <c r="G282" s="182"/>
      <c r="H282" s="183"/>
      <c r="I282" s="35"/>
      <c r="J282" s="35"/>
    </row>
    <row r="283" spans="1:10" x14ac:dyDescent="0.3">
      <c r="A283" s="45" t="s">
        <v>142</v>
      </c>
      <c r="B283" s="174" t="s">
        <v>113</v>
      </c>
      <c r="C283" s="175"/>
      <c r="D283" s="175"/>
      <c r="E283" s="175"/>
      <c r="F283" s="175"/>
      <c r="G283" s="175"/>
      <c r="H283" s="176"/>
      <c r="I283" s="35"/>
      <c r="J283" s="35"/>
    </row>
    <row r="284" spans="1:10" x14ac:dyDescent="0.3">
      <c r="A284" s="45" t="s">
        <v>142</v>
      </c>
      <c r="B284" s="174" t="s">
        <v>325</v>
      </c>
      <c r="C284" s="175"/>
      <c r="D284" s="175"/>
      <c r="E284" s="175"/>
      <c r="F284" s="175"/>
      <c r="G284" s="175"/>
      <c r="H284" s="176"/>
      <c r="I284" s="35"/>
      <c r="J284" s="35"/>
    </row>
    <row r="285" spans="1:10" x14ac:dyDescent="0.3">
      <c r="A285" s="45" t="s">
        <v>142</v>
      </c>
      <c r="B285" s="174" t="s">
        <v>141</v>
      </c>
      <c r="C285" s="175"/>
      <c r="D285" s="175"/>
      <c r="E285" s="175"/>
      <c r="F285" s="175"/>
      <c r="G285" s="175"/>
      <c r="H285" s="176"/>
      <c r="I285" s="35"/>
      <c r="J285" s="35"/>
    </row>
    <row r="286" spans="1:10" x14ac:dyDescent="0.3">
      <c r="A286" s="45" t="s">
        <v>142</v>
      </c>
      <c r="B286" s="174" t="s">
        <v>114</v>
      </c>
      <c r="C286" s="175"/>
      <c r="D286" s="175"/>
      <c r="E286" s="175"/>
      <c r="F286" s="175"/>
      <c r="G286" s="175"/>
      <c r="H286" s="176"/>
      <c r="I286" s="35"/>
      <c r="J286" s="35"/>
    </row>
    <row r="287" spans="1:10" x14ac:dyDescent="0.3">
      <c r="A287" s="45" t="s">
        <v>142</v>
      </c>
      <c r="B287" s="174" t="s">
        <v>143</v>
      </c>
      <c r="C287" s="175"/>
      <c r="D287" s="175"/>
      <c r="E287" s="175"/>
      <c r="F287" s="175"/>
      <c r="G287" s="175"/>
      <c r="H287" s="176"/>
      <c r="I287" s="35"/>
      <c r="J287" s="35"/>
    </row>
    <row r="288" spans="1:10" x14ac:dyDescent="0.3">
      <c r="A288" s="45" t="s">
        <v>142</v>
      </c>
      <c r="B288" s="174" t="s">
        <v>115</v>
      </c>
      <c r="C288" s="175"/>
      <c r="D288" s="175"/>
      <c r="E288" s="175"/>
      <c r="F288" s="175"/>
      <c r="G288" s="175"/>
      <c r="H288" s="176"/>
      <c r="I288" s="35"/>
      <c r="J288" s="35"/>
    </row>
    <row r="289" spans="1:11" x14ac:dyDescent="0.3">
      <c r="A289" s="70" t="s">
        <v>142</v>
      </c>
      <c r="B289" s="168" t="s">
        <v>337</v>
      </c>
      <c r="C289" s="169"/>
      <c r="D289" s="169"/>
      <c r="E289" s="169"/>
      <c r="F289" s="169"/>
      <c r="G289" s="169"/>
      <c r="H289" s="170"/>
    </row>
    <row r="290" spans="1:11" x14ac:dyDescent="0.3">
      <c r="A290" s="70" t="s">
        <v>142</v>
      </c>
      <c r="B290" s="168" t="s">
        <v>350</v>
      </c>
      <c r="C290" s="169"/>
      <c r="D290" s="169"/>
      <c r="E290" s="169"/>
      <c r="F290" s="169"/>
      <c r="G290" s="169"/>
      <c r="H290" s="170"/>
    </row>
    <row r="291" spans="1:11" x14ac:dyDescent="0.3">
      <c r="A291" s="156" t="s">
        <v>58</v>
      </c>
      <c r="B291" s="156"/>
      <c r="C291" s="156"/>
      <c r="D291" s="156"/>
      <c r="E291" s="156"/>
      <c r="F291" s="156"/>
      <c r="G291" s="156"/>
      <c r="H291" s="156"/>
    </row>
    <row r="292" spans="1:11" x14ac:dyDescent="0.3">
      <c r="A292" s="133" t="s">
        <v>59</v>
      </c>
      <c r="B292" s="133"/>
      <c r="C292" s="133"/>
      <c r="D292" s="133"/>
      <c r="E292" s="133"/>
      <c r="F292" s="133"/>
      <c r="G292" s="133"/>
      <c r="H292" s="133"/>
    </row>
    <row r="293" spans="1:11" x14ac:dyDescent="0.3">
      <c r="A293" s="195" t="s">
        <v>60</v>
      </c>
      <c r="B293" s="195"/>
      <c r="C293" s="195"/>
      <c r="D293" s="195"/>
      <c r="E293" s="195"/>
      <c r="F293" s="195"/>
      <c r="G293" s="195"/>
      <c r="H293" s="195"/>
      <c r="K293" s="21">
        <f>8*0.25</f>
        <v>2</v>
      </c>
    </row>
    <row r="294" spans="1:11" x14ac:dyDescent="0.3">
      <c r="A294" s="133" t="s">
        <v>61</v>
      </c>
      <c r="B294" s="133"/>
      <c r="C294" s="133"/>
      <c r="D294" s="133"/>
      <c r="E294" s="133"/>
      <c r="F294" s="133"/>
      <c r="G294" s="133"/>
      <c r="H294" s="133"/>
    </row>
    <row r="295" spans="1:11" x14ac:dyDescent="0.3">
      <c r="A295" s="133" t="s">
        <v>62</v>
      </c>
      <c r="B295" s="133"/>
      <c r="C295" s="133"/>
      <c r="D295" s="133"/>
      <c r="E295" s="133"/>
      <c r="F295" s="133"/>
      <c r="G295" s="133"/>
      <c r="H295" s="133"/>
    </row>
    <row r="296" spans="1:11" x14ac:dyDescent="0.3">
      <c r="A296" s="133" t="s">
        <v>116</v>
      </c>
      <c r="B296" s="133"/>
      <c r="C296" s="133"/>
      <c r="D296" s="133"/>
      <c r="E296" s="133"/>
      <c r="F296" s="133"/>
      <c r="G296" s="133"/>
      <c r="H296" s="133"/>
    </row>
    <row r="297" spans="1:11" x14ac:dyDescent="0.3">
      <c r="A297" s="139" t="s">
        <v>117</v>
      </c>
      <c r="B297" s="139"/>
      <c r="C297" s="139"/>
      <c r="D297" s="139"/>
      <c r="E297" s="139"/>
      <c r="F297" s="139"/>
      <c r="G297" s="139"/>
      <c r="H297" s="139"/>
    </row>
    <row r="298" spans="1:11" x14ac:dyDescent="0.3">
      <c r="A298" s="191" t="s">
        <v>72</v>
      </c>
      <c r="B298" s="191"/>
      <c r="C298" s="191" t="s">
        <v>352</v>
      </c>
      <c r="D298" s="191"/>
      <c r="E298" s="191" t="s">
        <v>99</v>
      </c>
      <c r="F298" s="191"/>
      <c r="G298" s="192" t="s">
        <v>358</v>
      </c>
      <c r="H298" s="192"/>
    </row>
    <row r="299" spans="1:11" x14ac:dyDescent="0.3">
      <c r="A299" s="190" t="s">
        <v>74</v>
      </c>
      <c r="B299" s="190"/>
      <c r="C299" s="190"/>
      <c r="D299" s="190"/>
      <c r="E299" s="190"/>
      <c r="F299" s="190"/>
      <c r="G299" s="190"/>
      <c r="H299" s="190"/>
    </row>
    <row r="300" spans="1:11" x14ac:dyDescent="0.3">
      <c r="A300" s="190"/>
      <c r="B300" s="190"/>
      <c r="C300" s="190"/>
      <c r="D300" s="190"/>
      <c r="E300" s="190"/>
      <c r="F300" s="190"/>
      <c r="G300" s="190"/>
      <c r="H300" s="190"/>
    </row>
    <row r="301" spans="1:11" x14ac:dyDescent="0.3">
      <c r="A301" s="190"/>
      <c r="B301" s="190"/>
      <c r="C301" s="190"/>
      <c r="D301" s="190"/>
      <c r="E301" s="190"/>
      <c r="F301" s="190"/>
      <c r="G301" s="190"/>
      <c r="H301" s="190"/>
    </row>
    <row r="302" spans="1:11" x14ac:dyDescent="0.3">
      <c r="A302" s="190"/>
      <c r="B302" s="190"/>
      <c r="C302" s="190"/>
      <c r="D302" s="190"/>
      <c r="E302" s="190"/>
      <c r="F302" s="190"/>
      <c r="G302" s="190"/>
      <c r="H302" s="190"/>
    </row>
    <row r="303" spans="1:11" x14ac:dyDescent="0.3">
      <c r="A303" s="38" t="s">
        <v>63</v>
      </c>
      <c r="B303" s="39"/>
      <c r="C303" s="39"/>
      <c r="D303" s="38" t="str">
        <f>E9</f>
        <v>Vrundavan I</v>
      </c>
      <c r="F303" s="39"/>
      <c r="G303" s="39"/>
      <c r="H303" s="39"/>
    </row>
    <row r="304" spans="1:11" x14ac:dyDescent="0.3">
      <c r="A304" s="39"/>
      <c r="B304" s="39"/>
      <c r="C304" s="39"/>
      <c r="D304" s="39"/>
      <c r="E304" s="39"/>
      <c r="F304" s="39"/>
      <c r="G304" s="39"/>
      <c r="H304" s="39"/>
    </row>
    <row r="305" spans="1:8" x14ac:dyDescent="0.3">
      <c r="A305" s="39"/>
      <c r="B305" s="39"/>
      <c r="C305" s="39"/>
      <c r="D305" s="39"/>
      <c r="E305" s="39"/>
      <c r="F305" s="39"/>
      <c r="G305" s="39"/>
      <c r="H305" s="39"/>
    </row>
    <row r="345" spans="1:1" x14ac:dyDescent="0.3">
      <c r="A345" s="41" t="s">
        <v>152</v>
      </c>
    </row>
    <row r="386" spans="1:1" x14ac:dyDescent="0.3">
      <c r="A386" s="41" t="s">
        <v>64</v>
      </c>
    </row>
  </sheetData>
  <mergeCells count="488">
    <mergeCell ref="G134:H134"/>
    <mergeCell ref="A133:B133"/>
    <mergeCell ref="A101:B101"/>
    <mergeCell ref="A159:B159"/>
    <mergeCell ref="C159:H159"/>
    <mergeCell ref="A161:B161"/>
    <mergeCell ref="C161:H161"/>
    <mergeCell ref="A162:B162"/>
    <mergeCell ref="E162:F162"/>
    <mergeCell ref="G162:H16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245:H245"/>
    <mergeCell ref="A251:H251"/>
    <mergeCell ref="A259:H259"/>
    <mergeCell ref="A265:H265"/>
    <mergeCell ref="A274:H274"/>
    <mergeCell ref="G189:H189"/>
    <mergeCell ref="A176:E176"/>
    <mergeCell ref="A173:E173"/>
    <mergeCell ref="F177:H177"/>
    <mergeCell ref="A232:B232"/>
    <mergeCell ref="A233:B233"/>
    <mergeCell ref="A234:B234"/>
    <mergeCell ref="A235:B235"/>
    <mergeCell ref="A236:B236"/>
    <mergeCell ref="A191:H191"/>
    <mergeCell ref="A226:B226"/>
    <mergeCell ref="A227:B227"/>
    <mergeCell ref="A228:B228"/>
    <mergeCell ref="A229:B229"/>
    <mergeCell ref="A230:B230"/>
    <mergeCell ref="A208:H208"/>
    <mergeCell ref="A210:H210"/>
    <mergeCell ref="A211:B211"/>
    <mergeCell ref="A212:B212"/>
    <mergeCell ref="G163:H172"/>
    <mergeCell ref="A164:B164"/>
    <mergeCell ref="A165:B165"/>
    <mergeCell ref="A166:B166"/>
    <mergeCell ref="A167:B167"/>
    <mergeCell ref="A168:B168"/>
    <mergeCell ref="A169:B169"/>
    <mergeCell ref="A170:B170"/>
    <mergeCell ref="A171:B171"/>
    <mergeCell ref="A172:B172"/>
    <mergeCell ref="A163:B163"/>
    <mergeCell ref="B290:H290"/>
    <mergeCell ref="A178:E178"/>
    <mergeCell ref="A102:B102"/>
    <mergeCell ref="A135:B135"/>
    <mergeCell ref="A202:B202"/>
    <mergeCell ref="E202:F202"/>
    <mergeCell ref="C133:H133"/>
    <mergeCell ref="A134:B134"/>
    <mergeCell ref="A183:E183"/>
    <mergeCell ref="G202:H202"/>
    <mergeCell ref="A201:B201"/>
    <mergeCell ref="C201:D201"/>
    <mergeCell ref="E201:F201"/>
    <mergeCell ref="G201:H201"/>
    <mergeCell ref="B287:H287"/>
    <mergeCell ref="A217:H217"/>
    <mergeCell ref="A218:B218"/>
    <mergeCell ref="A219:B219"/>
    <mergeCell ref="A213:B213"/>
    <mergeCell ref="A214:B214"/>
    <mergeCell ref="A215:B215"/>
    <mergeCell ref="A209:H209"/>
    <mergeCell ref="A216:B216"/>
    <mergeCell ref="C212:H213"/>
    <mergeCell ref="A241:B241"/>
    <mergeCell ref="G203:H203"/>
    <mergeCell ref="A242:B242"/>
    <mergeCell ref="C55:H55"/>
    <mergeCell ref="A243:B243"/>
    <mergeCell ref="A78:B78"/>
    <mergeCell ref="A49:B49"/>
    <mergeCell ref="C49:H49"/>
    <mergeCell ref="A136:B136"/>
    <mergeCell ref="A137:B137"/>
    <mergeCell ref="B206:B207"/>
    <mergeCell ref="F206:F207"/>
    <mergeCell ref="A181:E181"/>
    <mergeCell ref="C188:D188"/>
    <mergeCell ref="E188:F188"/>
    <mergeCell ref="G188:H188"/>
    <mergeCell ref="A189:B189"/>
    <mergeCell ref="C189:D189"/>
    <mergeCell ref="E189:F189"/>
    <mergeCell ref="A96:B96"/>
    <mergeCell ref="F175:H175"/>
    <mergeCell ref="A175:E175"/>
    <mergeCell ref="A177:E177"/>
    <mergeCell ref="A140:B140"/>
    <mergeCell ref="A220:B220"/>
    <mergeCell ref="A221:B221"/>
    <mergeCell ref="A222:B222"/>
    <mergeCell ref="A223:B223"/>
    <mergeCell ref="A224:H224"/>
    <mergeCell ref="C227:H229"/>
    <mergeCell ref="L236:M236"/>
    <mergeCell ref="A40:B40"/>
    <mergeCell ref="C40:H40"/>
    <mergeCell ref="C206:C207"/>
    <mergeCell ref="G206:G207"/>
    <mergeCell ref="A142:B142"/>
    <mergeCell ref="A143:B143"/>
    <mergeCell ref="C214:H214"/>
    <mergeCell ref="C215:H215"/>
    <mergeCell ref="A190:B190"/>
    <mergeCell ref="C190:D190"/>
    <mergeCell ref="E190:F190"/>
    <mergeCell ref="G190:H190"/>
    <mergeCell ref="A187:B187"/>
    <mergeCell ref="C187:D187"/>
    <mergeCell ref="E187:F187"/>
    <mergeCell ref="G187:H187"/>
    <mergeCell ref="A188:B188"/>
    <mergeCell ref="A180:E180"/>
    <mergeCell ref="A138:B138"/>
    <mergeCell ref="A139:B139"/>
    <mergeCell ref="E93:F102"/>
    <mergeCell ref="A100:B100"/>
    <mergeCell ref="A39:B39"/>
    <mergeCell ref="C39:H39"/>
    <mergeCell ref="A46:D46"/>
    <mergeCell ref="A86:B86"/>
    <mergeCell ref="A45:D45"/>
    <mergeCell ref="A99:B99"/>
    <mergeCell ref="A141:B141"/>
    <mergeCell ref="F174:H174"/>
    <mergeCell ref="A144:B144"/>
    <mergeCell ref="F180:H180"/>
    <mergeCell ref="G51:H51"/>
    <mergeCell ref="A52:B53"/>
    <mergeCell ref="C52:E52"/>
    <mergeCell ref="D65:H65"/>
    <mergeCell ref="D66:H66"/>
    <mergeCell ref="C51:E51"/>
    <mergeCell ref="A60:B60"/>
    <mergeCell ref="C60:E60"/>
    <mergeCell ref="E163:F172"/>
    <mergeCell ref="E199:F199"/>
    <mergeCell ref="G199:H199"/>
    <mergeCell ref="A174:E174"/>
    <mergeCell ref="A131:B131"/>
    <mergeCell ref="C131:H131"/>
    <mergeCell ref="A93:B93"/>
    <mergeCell ref="A47:D47"/>
    <mergeCell ref="A48:H48"/>
    <mergeCell ref="D64:H64"/>
    <mergeCell ref="A64:C64"/>
    <mergeCell ref="A85:B85"/>
    <mergeCell ref="C91:H91"/>
    <mergeCell ref="F173:H173"/>
    <mergeCell ref="F178:H178"/>
    <mergeCell ref="E92:F92"/>
    <mergeCell ref="G92:H92"/>
    <mergeCell ref="A179:E179"/>
    <mergeCell ref="F179:H179"/>
    <mergeCell ref="E134:F134"/>
    <mergeCell ref="E135:F144"/>
    <mergeCell ref="E198:F198"/>
    <mergeCell ref="A97:B97"/>
    <mergeCell ref="A98:B98"/>
    <mergeCell ref="F176:H176"/>
    <mergeCell ref="A38:H38"/>
    <mergeCell ref="A37:B37"/>
    <mergeCell ref="C37:E37"/>
    <mergeCell ref="G135:H144"/>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A91:B91"/>
    <mergeCell ref="F37:H3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92:H292"/>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B285:H285"/>
    <mergeCell ref="G93:H102"/>
    <mergeCell ref="A94:B94"/>
    <mergeCell ref="A95:B95"/>
    <mergeCell ref="A206:A207"/>
    <mergeCell ref="A299:H302"/>
    <mergeCell ref="A298:B298"/>
    <mergeCell ref="E298:F298"/>
    <mergeCell ref="C298:D298"/>
    <mergeCell ref="G298:H298"/>
    <mergeCell ref="A184:E184"/>
    <mergeCell ref="F184:H184"/>
    <mergeCell ref="A185:E185"/>
    <mergeCell ref="F185:H185"/>
    <mergeCell ref="A199:B199"/>
    <mergeCell ref="A294:H294"/>
    <mergeCell ref="A197:H197"/>
    <mergeCell ref="A297:H297"/>
    <mergeCell ref="A295:H295"/>
    <mergeCell ref="A291:H291"/>
    <mergeCell ref="G198:H198"/>
    <mergeCell ref="A296:H296"/>
    <mergeCell ref="A293:H293"/>
    <mergeCell ref="A263:B263"/>
    <mergeCell ref="A266:H266"/>
    <mergeCell ref="A267:B267"/>
    <mergeCell ref="A268:B268"/>
    <mergeCell ref="A269:B269"/>
    <mergeCell ref="A270:B270"/>
    <mergeCell ref="B286:H286"/>
    <mergeCell ref="B281:H281"/>
    <mergeCell ref="B282:H282"/>
    <mergeCell ref="B283:H283"/>
    <mergeCell ref="B284:H284"/>
    <mergeCell ref="A280:H280"/>
    <mergeCell ref="A198:B198"/>
    <mergeCell ref="D206:D207"/>
    <mergeCell ref="E206:E207"/>
    <mergeCell ref="A255:B255"/>
    <mergeCell ref="A256:B256"/>
    <mergeCell ref="A238:H238"/>
    <mergeCell ref="A240:H240"/>
    <mergeCell ref="A246:H246"/>
    <mergeCell ref="A247:B247"/>
    <mergeCell ref="A248:B248"/>
    <mergeCell ref="A257:H257"/>
    <mergeCell ref="A260:H260"/>
    <mergeCell ref="A261:B261"/>
    <mergeCell ref="A262:B262"/>
    <mergeCell ref="A271:B271"/>
    <mergeCell ref="C202:D202"/>
    <mergeCell ref="A273:H273"/>
    <mergeCell ref="A239:H239"/>
    <mergeCell ref="B289:H289"/>
    <mergeCell ref="A203:B203"/>
    <mergeCell ref="C203:D203"/>
    <mergeCell ref="E203:F203"/>
    <mergeCell ref="B288:H288"/>
    <mergeCell ref="A205:H205"/>
    <mergeCell ref="A182:E182"/>
    <mergeCell ref="F182:H182"/>
    <mergeCell ref="C198:D198"/>
    <mergeCell ref="A204:H204"/>
    <mergeCell ref="A249:B249"/>
    <mergeCell ref="A244:H244"/>
    <mergeCell ref="A250:H250"/>
    <mergeCell ref="A252:H252"/>
    <mergeCell ref="A253:B253"/>
    <mergeCell ref="A254:B254"/>
    <mergeCell ref="A272:B272"/>
    <mergeCell ref="A258:H258"/>
    <mergeCell ref="A264:H264"/>
    <mergeCell ref="A275:H275"/>
    <mergeCell ref="A276:B276"/>
    <mergeCell ref="A277:B277"/>
    <mergeCell ref="A278:B278"/>
    <mergeCell ref="A279:B279"/>
    <mergeCell ref="D62:H62"/>
    <mergeCell ref="G60:H60"/>
    <mergeCell ref="A65:C67"/>
    <mergeCell ref="D67:H67"/>
    <mergeCell ref="C59:E59"/>
    <mergeCell ref="G59:H59"/>
    <mergeCell ref="A73:C73"/>
    <mergeCell ref="A89:B89"/>
    <mergeCell ref="C89:H89"/>
    <mergeCell ref="A84:B84"/>
    <mergeCell ref="A61:H61"/>
    <mergeCell ref="A62:C62"/>
    <mergeCell ref="A63:C63"/>
    <mergeCell ref="D63:H63"/>
    <mergeCell ref="A58:B59"/>
    <mergeCell ref="C58:E58"/>
    <mergeCell ref="G58:H58"/>
    <mergeCell ref="A81:B81"/>
    <mergeCell ref="L47:N47"/>
    <mergeCell ref="C53:H53"/>
    <mergeCell ref="A237:H237"/>
    <mergeCell ref="A196:B196"/>
    <mergeCell ref="C196:D196"/>
    <mergeCell ref="E196:F196"/>
    <mergeCell ref="G196:H196"/>
    <mergeCell ref="I15:P15"/>
    <mergeCell ref="F183:H183"/>
    <mergeCell ref="F181:H181"/>
    <mergeCell ref="E43:H43"/>
    <mergeCell ref="A43:D43"/>
    <mergeCell ref="A50:B50"/>
    <mergeCell ref="C50:E50"/>
    <mergeCell ref="G50:H50"/>
    <mergeCell ref="G52:H52"/>
    <mergeCell ref="A51:B51"/>
    <mergeCell ref="A54:B55"/>
    <mergeCell ref="C54:E54"/>
    <mergeCell ref="G54:H54"/>
    <mergeCell ref="A56:B57"/>
    <mergeCell ref="C56:E56"/>
    <mergeCell ref="G56:H56"/>
    <mergeCell ref="D72:H72"/>
    <mergeCell ref="A225:H225"/>
    <mergeCell ref="A231:H231"/>
    <mergeCell ref="A200:B200"/>
    <mergeCell ref="C200:D200"/>
    <mergeCell ref="E200:F200"/>
    <mergeCell ref="G200:H200"/>
    <mergeCell ref="A186:H186"/>
    <mergeCell ref="A192:B192"/>
    <mergeCell ref="C192:D192"/>
    <mergeCell ref="E192:F192"/>
    <mergeCell ref="G192:H192"/>
    <mergeCell ref="A193:B193"/>
    <mergeCell ref="C193:D193"/>
    <mergeCell ref="E193:F193"/>
    <mergeCell ref="G193:H193"/>
    <mergeCell ref="A194:B194"/>
    <mergeCell ref="C194:D194"/>
    <mergeCell ref="E194:F194"/>
    <mergeCell ref="G194:H194"/>
    <mergeCell ref="A195:B195"/>
    <mergeCell ref="C195:D195"/>
    <mergeCell ref="E195:F195"/>
    <mergeCell ref="G195:H195"/>
    <mergeCell ref="C199:D199"/>
    <mergeCell ref="A112:B112"/>
    <mergeCell ref="A113:B113"/>
    <mergeCell ref="A114:B114"/>
    <mergeCell ref="A115:B115"/>
    <mergeCell ref="A116:B116"/>
    <mergeCell ref="A117:B117"/>
    <mergeCell ref="C117:H117"/>
    <mergeCell ref="A119:B119"/>
    <mergeCell ref="C119:H119"/>
    <mergeCell ref="A120:B120"/>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29:B129"/>
    <mergeCell ref="A130:B130"/>
    <mergeCell ref="A145:B145"/>
    <mergeCell ref="C145:H145"/>
    <mergeCell ref="A147:B147"/>
    <mergeCell ref="C147:H147"/>
    <mergeCell ref="A148:B148"/>
    <mergeCell ref="E148:F148"/>
    <mergeCell ref="G148:H148"/>
    <mergeCell ref="A149:B149"/>
    <mergeCell ref="E149:F158"/>
    <mergeCell ref="G149:H158"/>
    <mergeCell ref="A150:B150"/>
    <mergeCell ref="A151:B151"/>
    <mergeCell ref="A152:B152"/>
    <mergeCell ref="A153:B153"/>
    <mergeCell ref="A154:B154"/>
    <mergeCell ref="A155:B155"/>
    <mergeCell ref="A156:B156"/>
    <mergeCell ref="A157:B157"/>
    <mergeCell ref="A158:B158"/>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F173:H173" xr:uid="{00000000-0002-0000-0000-000003000000}">
      <formula1>"On Saleable Area,On Builtup Area,On Carpet Area,On Plot Area"</formula1>
    </dataValidation>
    <dataValidation type="list" allowBlank="1" showInputMessage="1" showErrorMessage="1" sqref="F184:H184" xr:uid="{00000000-0002-0000-0000-000004000000}">
      <formula1>OFFSET($S$131,1,MATCH($G20,$S$131:$W$131,0)-1,15,1)</formula1>
    </dataValidation>
    <dataValidation type="list" allowBlank="1" showInputMessage="1" showErrorMessage="1" sqref="B206:B207" xr:uid="{00000000-0002-0000-0000-000005000000}">
      <formula1>"Flat No. (Sale Plan),Sale / Rehab,Sale / Mhada"</formula1>
    </dataValidation>
    <dataValidation type="list" allowBlank="1" showInputMessage="1" showErrorMessage="1" sqref="C21:D21" xr:uid="{00000000-0002-0000-0000-000006000000}">
      <formula1>OFFSET($S$13,1,MATCH($G20,$S$13:$W$13,0)-1,15,1)</formula1>
    </dataValidation>
    <dataValidation type="list" allowBlank="1" showInputMessage="1" showErrorMessage="1" sqref="Y13" xr:uid="{00000000-0002-0000-0000-000007000000}">
      <formula1>$D$5:$H$5</formula1>
    </dataValidation>
    <dataValidation type="list" allowBlank="1" showInputMessage="1" showErrorMessage="1" sqref="E206:E207" xr:uid="{00000000-0002-0000-0000-000008000000}">
      <formula1>"Fungible area,Balcony Area,Chajja Area,Cornice Area,AP Area,WS Area"</formula1>
    </dataValidation>
    <dataValidation type="list" allowBlank="1" showInputMessage="1" showErrorMessage="1" sqref="H207" xr:uid="{00000000-0002-0000-0000-000009000000}">
      <formula1>".45,.50,.55,.60"</formula1>
    </dataValidation>
    <dataValidation type="list" allowBlank="1" showInputMessage="1" showErrorMessage="1" sqref="E4:H4" xr:uid="{00000000-0002-0000-0000-00000A000000}">
      <formula1>$L$3:$P$3</formula1>
    </dataValidation>
    <dataValidation type="list" allowBlank="1" showInputMessage="1" showErrorMessage="1" sqref="C49:H49" xr:uid="{00000000-0002-0000-0000-00000B000000}">
      <formula1>OFFSET($S$49,1,MATCH($G20,$S$49:$W$49,0)-1,15,1)</formula1>
    </dataValidation>
    <dataValidation type="whole" allowBlank="1" showInputMessage="1" showErrorMessage="1" sqref="C84" xr:uid="{00000000-0002-0000-0000-00000C000000}">
      <formula1>0</formula1>
      <formula2>H76</formula2>
    </dataValidation>
    <dataValidation type="list" allowBlank="1" showInputMessage="1" showErrorMessage="1" sqref="H206" xr:uid="{00000000-0002-0000-0000-00000D000000}">
      <formula1>"Saleable area Loading :,Builder Saleable Area"</formula1>
    </dataValidation>
    <dataValidation type="list" allowBlank="1" showInputMessage="1" showErrorMessage="1" sqref="D206:D207" xr:uid="{00000000-0002-0000-0000-00000E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88" max="16383" man="1"/>
    <brk id="116" max="7" man="1"/>
    <brk id="144" max="7" man="1"/>
    <brk id="302" max="7" man="1"/>
    <brk id="344" max="7" man="1"/>
    <brk id="385" max="7" man="1"/>
  </rowBreaks>
  <colBreaks count="1" manualBreakCount="1">
    <brk id="3" max="384" man="1"/>
  </col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54" t="s">
        <v>100</v>
      </c>
      <c r="C3" s="254"/>
      <c r="D3" s="254"/>
      <c r="E3" s="254"/>
      <c r="F3" s="254"/>
      <c r="G3" s="254"/>
      <c r="H3" s="254"/>
    </row>
    <row r="4" spans="1:9" x14ac:dyDescent="0.3">
      <c r="A4" s="2"/>
      <c r="B4" s="3" t="s">
        <v>101</v>
      </c>
      <c r="C4" s="3" t="s">
        <v>102</v>
      </c>
      <c r="D4" s="3" t="s">
        <v>66</v>
      </c>
      <c r="E4" s="3" t="s">
        <v>103</v>
      </c>
      <c r="F4" s="3" t="s">
        <v>109</v>
      </c>
      <c r="G4" s="3" t="s">
        <v>110</v>
      </c>
      <c r="H4" s="3" t="s">
        <v>104</v>
      </c>
    </row>
    <row r="5" spans="1:9" ht="15" customHeight="1" x14ac:dyDescent="0.3">
      <c r="A5" s="2"/>
      <c r="B5" s="5" t="s">
        <v>105</v>
      </c>
      <c r="C5" s="6"/>
      <c r="D5" s="5"/>
      <c r="E5" s="5"/>
      <c r="F5" s="7">
        <f>E5*1.6</f>
        <v>0</v>
      </c>
      <c r="G5" s="7" t="e">
        <f>H5/F5</f>
        <v>#DIV/0!</v>
      </c>
      <c r="H5" s="8"/>
    </row>
    <row r="6" spans="1:9" x14ac:dyDescent="0.3">
      <c r="A6" s="2"/>
      <c r="B6" s="5" t="s">
        <v>105</v>
      </c>
      <c r="C6" s="9"/>
      <c r="D6" s="5"/>
      <c r="E6" s="5"/>
      <c r="F6" s="7">
        <f t="shared" ref="F6:F11" si="0">E6*1.6</f>
        <v>0</v>
      </c>
      <c r="G6" s="7" t="e">
        <f t="shared" ref="G6:G11" si="1">H6/F6</f>
        <v>#DIV/0!</v>
      </c>
      <c r="H6" s="8"/>
    </row>
    <row r="7" spans="1:9" ht="15" customHeight="1" x14ac:dyDescent="0.3">
      <c r="A7" s="2"/>
      <c r="B7" s="5" t="s">
        <v>105</v>
      </c>
      <c r="C7" s="6"/>
      <c r="D7" s="5"/>
      <c r="E7" s="5"/>
      <c r="F7" s="7">
        <f t="shared" si="0"/>
        <v>0</v>
      </c>
      <c r="G7" s="7" t="e">
        <f t="shared" si="1"/>
        <v>#DIV/0!</v>
      </c>
      <c r="H7" s="8"/>
    </row>
    <row r="8" spans="1:9" x14ac:dyDescent="0.3">
      <c r="A8" s="2"/>
      <c r="B8" s="5" t="s">
        <v>105</v>
      </c>
      <c r="C8" s="9"/>
      <c r="D8" s="5"/>
      <c r="E8" s="5"/>
      <c r="F8" s="7">
        <f t="shared" si="0"/>
        <v>0</v>
      </c>
      <c r="G8" s="7" t="e">
        <f t="shared" si="1"/>
        <v>#DIV/0!</v>
      </c>
      <c r="H8" s="8"/>
    </row>
    <row r="9" spans="1:9" ht="15" customHeight="1" x14ac:dyDescent="0.3">
      <c r="A9" s="2"/>
      <c r="B9" s="5" t="s">
        <v>105</v>
      </c>
      <c r="C9" s="9"/>
      <c r="D9" s="5"/>
      <c r="E9" s="5"/>
      <c r="F9" s="7">
        <f t="shared" si="0"/>
        <v>0</v>
      </c>
      <c r="G9" s="7" t="e">
        <f t="shared" si="1"/>
        <v>#DIV/0!</v>
      </c>
      <c r="H9" s="8"/>
    </row>
    <row r="10" spans="1:9" ht="15" customHeight="1" x14ac:dyDescent="0.3">
      <c r="A10" s="2"/>
      <c r="B10" s="5" t="s">
        <v>106</v>
      </c>
      <c r="C10" s="6"/>
      <c r="D10" s="5"/>
      <c r="E10" s="5"/>
      <c r="F10" s="7">
        <f t="shared" si="0"/>
        <v>0</v>
      </c>
      <c r="G10" s="7" t="e">
        <f t="shared" si="1"/>
        <v>#DIV/0!</v>
      </c>
      <c r="H10" s="8"/>
    </row>
    <row r="11" spans="1:9" ht="15" customHeight="1" x14ac:dyDescent="0.3">
      <c r="A11" s="2"/>
      <c r="B11" s="5" t="s">
        <v>106</v>
      </c>
      <c r="C11" s="6"/>
      <c r="D11" s="5"/>
      <c r="E11" s="5"/>
      <c r="F11" s="7">
        <f t="shared" si="0"/>
        <v>0</v>
      </c>
      <c r="G11" s="7" t="e">
        <f t="shared" si="1"/>
        <v>#DIV/0!</v>
      </c>
      <c r="H11" s="8"/>
    </row>
    <row r="12" spans="1:9" ht="15" customHeight="1" x14ac:dyDescent="0.3">
      <c r="A12" s="2"/>
      <c r="B12" s="10" t="s">
        <v>107</v>
      </c>
      <c r="C12" s="5"/>
      <c r="D12" s="5"/>
      <c r="E12" s="5"/>
      <c r="F12" s="5"/>
      <c r="G12" s="11" t="e">
        <f>AVERAGE(G5:G11)</f>
        <v>#DIV/0!</v>
      </c>
      <c r="H12" s="5"/>
    </row>
    <row r="13" spans="1:9" ht="15" customHeight="1" x14ac:dyDescent="0.3">
      <c r="B13" s="10" t="s">
        <v>108</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165</v>
      </c>
      <c r="E4" s="53" t="s">
        <v>175</v>
      </c>
      <c r="F4" s="53" t="s">
        <v>161</v>
      </c>
      <c r="G4" s="53" t="s">
        <v>180</v>
      </c>
      <c r="H4" s="53" t="s">
        <v>198</v>
      </c>
      <c r="J4" t="s">
        <v>180</v>
      </c>
      <c r="K4" t="s">
        <v>196</v>
      </c>
    </row>
    <row r="5" spans="2:11" x14ac:dyDescent="0.3">
      <c r="B5" s="52"/>
      <c r="C5" s="52"/>
      <c r="D5" s="53" t="s">
        <v>166</v>
      </c>
      <c r="E5" s="53" t="s">
        <v>173</v>
      </c>
      <c r="F5" s="53" t="s">
        <v>195</v>
      </c>
      <c r="G5" s="53" t="s">
        <v>181</v>
      </c>
      <c r="H5" s="53" t="s">
        <v>199</v>
      </c>
    </row>
    <row r="6" spans="2:11" x14ac:dyDescent="0.3">
      <c r="B6" s="52"/>
      <c r="C6" s="52"/>
      <c r="D6" s="53" t="s">
        <v>167</v>
      </c>
      <c r="E6" s="53" t="s">
        <v>174</v>
      </c>
      <c r="F6" s="53" t="s">
        <v>196</v>
      </c>
      <c r="G6" s="53" t="s">
        <v>182</v>
      </c>
      <c r="H6" s="53" t="s">
        <v>212</v>
      </c>
    </row>
    <row r="7" spans="2:11" x14ac:dyDescent="0.3">
      <c r="B7" s="52"/>
      <c r="C7" s="52"/>
      <c r="D7" s="53" t="s">
        <v>168</v>
      </c>
      <c r="E7" s="53" t="s">
        <v>176</v>
      </c>
      <c r="F7" s="53" t="s">
        <v>197</v>
      </c>
      <c r="G7" s="53" t="s">
        <v>183</v>
      </c>
      <c r="H7" s="53" t="s">
        <v>200</v>
      </c>
    </row>
    <row r="8" spans="2:11" x14ac:dyDescent="0.3">
      <c r="B8" s="52"/>
      <c r="C8" s="52"/>
      <c r="D8" s="53" t="s">
        <v>169</v>
      </c>
      <c r="E8" s="53" t="s">
        <v>177</v>
      </c>
      <c r="F8" s="53"/>
      <c r="G8" s="53" t="s">
        <v>184</v>
      </c>
      <c r="H8" s="53" t="s">
        <v>201</v>
      </c>
    </row>
    <row r="9" spans="2:11" x14ac:dyDescent="0.3">
      <c r="B9" s="52"/>
      <c r="C9" s="52"/>
      <c r="D9" s="53" t="s">
        <v>170</v>
      </c>
      <c r="E9" s="53" t="s">
        <v>175</v>
      </c>
      <c r="F9" s="53"/>
      <c r="G9" s="53" t="s">
        <v>185</v>
      </c>
      <c r="H9" s="53" t="s">
        <v>202</v>
      </c>
    </row>
    <row r="10" spans="2:11" x14ac:dyDescent="0.3">
      <c r="B10" s="52"/>
      <c r="C10" s="52"/>
      <c r="D10" s="53" t="s">
        <v>171</v>
      </c>
      <c r="E10" s="53" t="s">
        <v>178</v>
      </c>
      <c r="F10" s="53"/>
      <c r="G10" s="53" t="s">
        <v>186</v>
      </c>
      <c r="H10" s="53" t="s">
        <v>203</v>
      </c>
    </row>
    <row r="11" spans="2:11" x14ac:dyDescent="0.3">
      <c r="B11" s="52"/>
      <c r="C11" s="52"/>
      <c r="D11" s="53" t="s">
        <v>172</v>
      </c>
      <c r="E11" s="53" t="s">
        <v>179</v>
      </c>
      <c r="F11" s="53"/>
      <c r="G11" s="53" t="s">
        <v>187</v>
      </c>
      <c r="H11" s="53" t="s">
        <v>204</v>
      </c>
    </row>
    <row r="12" spans="2:11" x14ac:dyDescent="0.3">
      <c r="B12" s="52"/>
      <c r="C12" s="52"/>
      <c r="D12" s="53"/>
      <c r="E12" s="53"/>
      <c r="F12" s="53"/>
      <c r="G12" s="53" t="s">
        <v>188</v>
      </c>
      <c r="H12" s="53" t="s">
        <v>205</v>
      </c>
    </row>
    <row r="13" spans="2:11" x14ac:dyDescent="0.3">
      <c r="B13" s="52"/>
      <c r="C13" s="52"/>
      <c r="D13" s="53"/>
      <c r="E13" s="53"/>
      <c r="F13" s="53"/>
      <c r="G13" s="53" t="s">
        <v>189</v>
      </c>
      <c r="H13" s="53" t="s">
        <v>206</v>
      </c>
    </row>
    <row r="14" spans="2:11" x14ac:dyDescent="0.3">
      <c r="B14" s="52"/>
      <c r="C14" s="52"/>
      <c r="D14" s="53"/>
      <c r="E14" s="53"/>
      <c r="F14" s="53"/>
      <c r="G14" s="53" t="s">
        <v>190</v>
      </c>
      <c r="H14" s="53" t="s">
        <v>207</v>
      </c>
    </row>
    <row r="15" spans="2:11" x14ac:dyDescent="0.3">
      <c r="B15" s="52"/>
      <c r="C15" s="52"/>
      <c r="D15" s="53"/>
      <c r="E15" s="53"/>
      <c r="F15" s="53"/>
      <c r="G15" s="53" t="s">
        <v>191</v>
      </c>
      <c r="H15" s="53" t="s">
        <v>208</v>
      </c>
    </row>
    <row r="16" spans="2:11" x14ac:dyDescent="0.3">
      <c r="B16" s="52"/>
      <c r="C16" s="52"/>
      <c r="D16" s="53"/>
      <c r="E16" s="53"/>
      <c r="F16" s="53"/>
      <c r="G16" s="53" t="s">
        <v>192</v>
      </c>
      <c r="H16" s="53" t="s">
        <v>209</v>
      </c>
    </row>
    <row r="17" spans="2:8" x14ac:dyDescent="0.3">
      <c r="B17" s="52"/>
      <c r="C17" s="52"/>
      <c r="D17" s="53"/>
      <c r="E17" s="53"/>
      <c r="F17" s="53"/>
      <c r="G17" s="53" t="s">
        <v>193</v>
      </c>
      <c r="H17" s="53" t="s">
        <v>210</v>
      </c>
    </row>
    <row r="18" spans="2:8" x14ac:dyDescent="0.3">
      <c r="B18" s="52"/>
      <c r="C18" s="52"/>
      <c r="D18" s="53"/>
      <c r="E18" s="53"/>
      <c r="F18" s="53"/>
      <c r="G18" s="53" t="s">
        <v>194</v>
      </c>
      <c r="H18" s="53" t="s">
        <v>211</v>
      </c>
    </row>
    <row r="24" spans="2:8" x14ac:dyDescent="0.3">
      <c r="C24" t="s">
        <v>158</v>
      </c>
    </row>
    <row r="25" spans="2:8" x14ac:dyDescent="0.3">
      <c r="C25" t="s">
        <v>213</v>
      </c>
    </row>
    <row r="26" spans="2:8" x14ac:dyDescent="0.3">
      <c r="C26" t="s">
        <v>214</v>
      </c>
    </row>
    <row r="27" spans="2:8" x14ac:dyDescent="0.3">
      <c r="C27" t="s">
        <v>215</v>
      </c>
    </row>
    <row r="28" spans="2:8" x14ac:dyDescent="0.3">
      <c r="C28" t="s">
        <v>216</v>
      </c>
    </row>
    <row r="29" spans="2:8" x14ac:dyDescent="0.3">
      <c r="C29" t="s">
        <v>217</v>
      </c>
    </row>
    <row r="30" spans="2:8" x14ac:dyDescent="0.3">
      <c r="C30" t="s">
        <v>158</v>
      </c>
    </row>
    <row r="33" spans="3:11" x14ac:dyDescent="0.3">
      <c r="J33">
        <v>1</v>
      </c>
      <c r="K33">
        <v>2</v>
      </c>
    </row>
    <row r="34" spans="3:11" x14ac:dyDescent="0.3">
      <c r="C34" s="54" t="s">
        <v>222</v>
      </c>
      <c r="D34" s="53" t="s">
        <v>220</v>
      </c>
      <c r="E34" s="53" t="s">
        <v>225</v>
      </c>
      <c r="F34" s="53" t="s">
        <v>223</v>
      </c>
      <c r="G34" s="53" t="s">
        <v>224</v>
      </c>
      <c r="H34" s="53" t="s">
        <v>226</v>
      </c>
      <c r="J34" t="s">
        <v>180</v>
      </c>
      <c r="K34" t="s">
        <v>196</v>
      </c>
    </row>
    <row r="35" spans="3:11" x14ac:dyDescent="0.3">
      <c r="C35" s="52" t="s">
        <v>221</v>
      </c>
      <c r="D35" s="53" t="s">
        <v>159</v>
      </c>
      <c r="E35" s="53" t="s">
        <v>230</v>
      </c>
      <c r="F35" s="53" t="s">
        <v>232</v>
      </c>
      <c r="G35" s="53" t="s">
        <v>234</v>
      </c>
      <c r="H35" s="53"/>
    </row>
    <row r="36" spans="3:11" x14ac:dyDescent="0.3">
      <c r="C36" s="52"/>
      <c r="D36" s="53" t="s">
        <v>227</v>
      </c>
      <c r="E36" s="53" t="s">
        <v>231</v>
      </c>
      <c r="F36" s="53" t="s">
        <v>233</v>
      </c>
      <c r="G36" s="53" t="s">
        <v>235</v>
      </c>
      <c r="H36" s="53"/>
    </row>
    <row r="37" spans="3:11" x14ac:dyDescent="0.3">
      <c r="C37" s="52"/>
      <c r="D37" s="53" t="s">
        <v>228</v>
      </c>
      <c r="E37" s="53"/>
      <c r="F37" s="53"/>
      <c r="G37" s="53" t="s">
        <v>236</v>
      </c>
      <c r="H37" s="53"/>
    </row>
    <row r="38" spans="3:11" x14ac:dyDescent="0.3">
      <c r="C38" s="52"/>
      <c r="D38" s="53" t="s">
        <v>229</v>
      </c>
      <c r="E38" s="53"/>
      <c r="F38" s="53"/>
      <c r="G38" s="53" t="s">
        <v>236</v>
      </c>
      <c r="H38" s="53"/>
    </row>
    <row r="39" spans="3:11" x14ac:dyDescent="0.3">
      <c r="C39" s="52"/>
      <c r="D39" s="53"/>
      <c r="E39" s="53"/>
      <c r="F39" s="53"/>
      <c r="G39" s="53" t="s">
        <v>237</v>
      </c>
      <c r="H39" s="53"/>
    </row>
    <row r="40" spans="3:11" x14ac:dyDescent="0.3">
      <c r="C40" s="52"/>
      <c r="D40" s="53"/>
      <c r="E40" s="53"/>
      <c r="F40" s="53"/>
      <c r="G40" s="53" t="s">
        <v>238</v>
      </c>
      <c r="H40" s="53"/>
    </row>
    <row r="41" spans="3:11" x14ac:dyDescent="0.3">
      <c r="C41" s="52"/>
      <c r="D41" s="53"/>
      <c r="E41" s="53"/>
      <c r="F41" s="53"/>
      <c r="G41" s="53"/>
      <c r="H41" s="53"/>
    </row>
    <row r="43" spans="3:11" x14ac:dyDescent="0.3">
      <c r="C43" t="s">
        <v>239</v>
      </c>
    </row>
    <row r="44" spans="3:11" x14ac:dyDescent="0.3">
      <c r="C44" t="s">
        <v>161</v>
      </c>
      <c r="D44" t="s">
        <v>240</v>
      </c>
    </row>
    <row r="45" spans="3:11" x14ac:dyDescent="0.3">
      <c r="D45" t="s">
        <v>241</v>
      </c>
    </row>
    <row r="46" spans="3:11" x14ac:dyDescent="0.3">
      <c r="D46" t="s">
        <v>242</v>
      </c>
    </row>
    <row r="47" spans="3:11" x14ac:dyDescent="0.3">
      <c r="D47" t="s">
        <v>243</v>
      </c>
    </row>
    <row r="48" spans="3:11" x14ac:dyDescent="0.3">
      <c r="D48" t="s">
        <v>244</v>
      </c>
    </row>
    <row r="49" spans="3:4" x14ac:dyDescent="0.3">
      <c r="C49" t="s">
        <v>165</v>
      </c>
      <c r="D49" t="s">
        <v>245</v>
      </c>
    </row>
    <row r="50" spans="3:4" x14ac:dyDescent="0.3">
      <c r="D50" t="s">
        <v>246</v>
      </c>
    </row>
    <row r="51" spans="3:4" x14ac:dyDescent="0.3">
      <c r="D51" t="s">
        <v>247</v>
      </c>
    </row>
    <row r="52" spans="3:4" x14ac:dyDescent="0.3">
      <c r="D52" t="s">
        <v>250</v>
      </c>
    </row>
    <row r="53" spans="3:4" x14ac:dyDescent="0.3">
      <c r="D53" t="s">
        <v>248</v>
      </c>
    </row>
    <row r="54" spans="3:4" x14ac:dyDescent="0.3">
      <c r="D54" t="s">
        <v>249</v>
      </c>
    </row>
    <row r="55" spans="3:4" x14ac:dyDescent="0.3">
      <c r="D55" t="s">
        <v>251</v>
      </c>
    </row>
    <row r="56" spans="3:4" x14ac:dyDescent="0.3">
      <c r="D56" t="s">
        <v>252</v>
      </c>
    </row>
    <row r="57" spans="3:4" x14ac:dyDescent="0.3">
      <c r="D57" t="s">
        <v>253</v>
      </c>
    </row>
    <row r="58" spans="3:4" x14ac:dyDescent="0.3">
      <c r="D58" t="s">
        <v>255</v>
      </c>
    </row>
    <row r="59" spans="3:4" x14ac:dyDescent="0.3">
      <c r="D59" t="s">
        <v>264</v>
      </c>
    </row>
    <row r="60" spans="3:4" x14ac:dyDescent="0.3">
      <c r="C60" t="s">
        <v>180</v>
      </c>
      <c r="D60" t="s">
        <v>256</v>
      </c>
    </row>
    <row r="61" spans="3:4" x14ac:dyDescent="0.3">
      <c r="D61" t="s">
        <v>254</v>
      </c>
    </row>
    <row r="62" spans="3:4" x14ac:dyDescent="0.3">
      <c r="D62" t="s">
        <v>244</v>
      </c>
    </row>
    <row r="63" spans="3:4" x14ac:dyDescent="0.3">
      <c r="D63" t="s">
        <v>257</v>
      </c>
    </row>
    <row r="64" spans="3:4" x14ac:dyDescent="0.3">
      <c r="D64" t="s">
        <v>258</v>
      </c>
    </row>
    <row r="65" spans="3:4" x14ac:dyDescent="0.3">
      <c r="D65" t="s">
        <v>259</v>
      </c>
    </row>
    <row r="66" spans="3:4" x14ac:dyDescent="0.3">
      <c r="D66" t="s">
        <v>260</v>
      </c>
    </row>
    <row r="67" spans="3:4" x14ac:dyDescent="0.3">
      <c r="C67" t="s">
        <v>175</v>
      </c>
      <c r="D67" t="s">
        <v>261</v>
      </c>
    </row>
    <row r="68" spans="3:4" x14ac:dyDescent="0.3">
      <c r="D68" t="s">
        <v>262</v>
      </c>
    </row>
    <row r="69" spans="3:4" x14ac:dyDescent="0.3">
      <c r="D69" t="s">
        <v>263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4.4" x14ac:dyDescent="0.3"/>
  <cols>
    <col min="2" max="2" width="3" bestFit="1" customWidth="1"/>
    <col min="3" max="3" width="130" customWidth="1"/>
  </cols>
  <sheetData>
    <row r="2" spans="2:3" ht="15" customHeight="1" x14ac:dyDescent="0.3">
      <c r="B2" s="55">
        <v>1</v>
      </c>
      <c r="C2" s="57" t="s">
        <v>269</v>
      </c>
    </row>
    <row r="3" spans="2:3" x14ac:dyDescent="0.3">
      <c r="B3" s="55">
        <v>2</v>
      </c>
      <c r="C3" s="56" t="s">
        <v>270</v>
      </c>
    </row>
    <row r="4" spans="2:3" x14ac:dyDescent="0.3">
      <c r="B4" s="55">
        <v>3</v>
      </c>
      <c r="C4" s="55" t="s">
        <v>271</v>
      </c>
    </row>
    <row r="5" spans="2:3" x14ac:dyDescent="0.3">
      <c r="B5" s="55">
        <v>4</v>
      </c>
      <c r="C5" s="56" t="s">
        <v>272</v>
      </c>
    </row>
    <row r="6" spans="2:3" x14ac:dyDescent="0.3">
      <c r="B6" s="55">
        <v>5</v>
      </c>
      <c r="C6" s="55" t="s">
        <v>273</v>
      </c>
    </row>
    <row r="7" spans="2:3" ht="28.8" x14ac:dyDescent="0.3">
      <c r="B7" s="55">
        <v>6</v>
      </c>
      <c r="C7" s="56" t="s">
        <v>274</v>
      </c>
    </row>
    <row r="8" spans="2:3" ht="72" x14ac:dyDescent="0.3">
      <c r="B8" s="55">
        <v>7</v>
      </c>
      <c r="C8" s="56" t="s">
        <v>275</v>
      </c>
    </row>
    <row r="9" spans="2:3" x14ac:dyDescent="0.3">
      <c r="B9" s="55">
        <v>8</v>
      </c>
      <c r="C9" s="55" t="s">
        <v>276</v>
      </c>
    </row>
    <row r="10" spans="2:3" x14ac:dyDescent="0.3">
      <c r="B10" s="55">
        <v>9</v>
      </c>
      <c r="C10" s="55" t="s">
        <v>277</v>
      </c>
    </row>
    <row r="11" spans="2:3" x14ac:dyDescent="0.3">
      <c r="B11" s="55">
        <v>10</v>
      </c>
      <c r="C11" s="55" t="s">
        <v>278</v>
      </c>
    </row>
    <row r="12" spans="2:3" x14ac:dyDescent="0.3">
      <c r="B12" s="55">
        <v>11</v>
      </c>
      <c r="C12" s="55" t="s">
        <v>279</v>
      </c>
    </row>
    <row r="13" spans="2:3" x14ac:dyDescent="0.3">
      <c r="B13" s="55">
        <v>12</v>
      </c>
      <c r="C13" s="55" t="s">
        <v>280</v>
      </c>
    </row>
    <row r="14" spans="2:3" x14ac:dyDescent="0.3">
      <c r="B14" s="55">
        <v>13</v>
      </c>
      <c r="C14" s="55" t="s">
        <v>281</v>
      </c>
    </row>
    <row r="15" spans="2:3" x14ac:dyDescent="0.3">
      <c r="B15" s="55">
        <v>14</v>
      </c>
      <c r="C15" s="55" t="s">
        <v>271</v>
      </c>
    </row>
    <row r="16" spans="2:3" x14ac:dyDescent="0.3">
      <c r="B16" s="55">
        <v>15</v>
      </c>
      <c r="C16" s="55" t="s">
        <v>283</v>
      </c>
    </row>
    <row r="17" spans="2:3" ht="31.5" customHeight="1" x14ac:dyDescent="0.3">
      <c r="B17" s="59">
        <v>16</v>
      </c>
      <c r="C17" s="61" t="s">
        <v>284</v>
      </c>
    </row>
    <row r="18" spans="2:3" x14ac:dyDescent="0.3">
      <c r="B18" s="60">
        <v>17</v>
      </c>
      <c r="C18" s="61" t="s">
        <v>285</v>
      </c>
    </row>
    <row r="19" spans="2:3" x14ac:dyDescent="0.3">
      <c r="B19" s="59">
        <v>18</v>
      </c>
      <c r="C19" s="55" t="s">
        <v>286</v>
      </c>
    </row>
    <row r="20" spans="2:3" x14ac:dyDescent="0.3">
      <c r="B20" s="60">
        <v>19</v>
      </c>
      <c r="C20" s="55"/>
    </row>
    <row r="21" spans="2:3" x14ac:dyDescent="0.3">
      <c r="B21" s="55">
        <v>20</v>
      </c>
      <c r="C21" s="55"/>
    </row>
    <row r="22" spans="2:3" x14ac:dyDescent="0.3">
      <c r="B22" s="55"/>
      <c r="C22" s="55"/>
    </row>
    <row r="23" spans="2:3" x14ac:dyDescent="0.3">
      <c r="B23" s="55"/>
      <c r="C23" s="55"/>
    </row>
    <row r="24" spans="2:3" x14ac:dyDescent="0.3">
      <c r="B24" s="55"/>
      <c r="C24" s="55"/>
    </row>
    <row r="25" spans="2:3" x14ac:dyDescent="0.3">
      <c r="B25" s="55"/>
      <c r="C25" s="55"/>
    </row>
    <row r="26" spans="2:3" x14ac:dyDescent="0.3">
      <c r="B26" s="55"/>
      <c r="C26" s="5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2025-09-14T14:34:51Z</cp:lastPrinted>
  <dcterms:created xsi:type="dcterms:W3CDTF">2019-07-16T09:29:46Z</dcterms:created>
  <dcterms:modified xsi:type="dcterms:W3CDTF">2025-09-14T14:35:32Z</dcterms:modified>
</cp:coreProperties>
</file>