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2191188A-831E-488E-8E15-62351EDA53E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F90" i="1" l="1"/>
  <c r="C60" i="1" l="1"/>
  <c r="D119" i="1" l="1"/>
  <c r="F119" i="1" s="1"/>
  <c r="D118" i="1"/>
  <c r="F118" i="1" s="1"/>
  <c r="D117" i="1"/>
  <c r="F117" i="1" s="1"/>
  <c r="A117" i="1"/>
  <c r="A118" i="1" s="1"/>
  <c r="A119" i="1" s="1"/>
  <c r="G116" i="1"/>
  <c r="D116" i="1"/>
  <c r="F116" i="1" s="1"/>
  <c r="D114" i="1"/>
  <c r="D113" i="1"/>
  <c r="D112" i="1"/>
  <c r="D111" i="1"/>
  <c r="D109" i="1"/>
  <c r="F109" i="1" s="1"/>
  <c r="D108" i="1"/>
  <c r="F108" i="1" s="1"/>
  <c r="D107" i="1"/>
  <c r="D106" i="1"/>
  <c r="A109" i="1"/>
  <c r="D104" i="1"/>
  <c r="D103" i="1"/>
  <c r="E93" i="1" l="1"/>
  <c r="C93" i="1"/>
  <c r="F114" i="1"/>
  <c r="I113" i="1" s="1"/>
  <c r="F112" i="1"/>
  <c r="I110" i="1" s="1"/>
  <c r="F113" i="1"/>
  <c r="I112" i="1" s="1"/>
  <c r="A112" i="1"/>
  <c r="A113" i="1" s="1"/>
  <c r="A114" i="1" s="1"/>
  <c r="G111" i="1"/>
  <c r="G106" i="1"/>
  <c r="F104" i="1"/>
  <c r="G103" i="1"/>
  <c r="F103" i="1"/>
  <c r="I102" i="1" l="1"/>
  <c r="F111" i="1"/>
  <c r="G47" i="1"/>
  <c r="J70" i="1" l="1"/>
  <c r="J69" i="1"/>
  <c r="H61" i="1"/>
  <c r="D66" i="1" l="1"/>
  <c r="D72" i="1"/>
  <c r="J63" i="1"/>
  <c r="D73" i="1"/>
  <c r="D69" i="1"/>
  <c r="J64" i="1"/>
  <c r="C64" i="1" s="1"/>
  <c r="J62" i="1"/>
  <c r="D68" i="1"/>
  <c r="D71" i="1"/>
  <c r="D67" i="1"/>
  <c r="J65" i="1"/>
  <c r="J66" i="1" s="1"/>
  <c r="D70" i="1"/>
  <c r="J71" i="1" l="1"/>
  <c r="D64" i="1"/>
  <c r="J67" i="1"/>
  <c r="J68" i="1" s="1"/>
  <c r="A122" i="1"/>
  <c r="A123" i="1" s="1"/>
  <c r="A124" i="1" s="1"/>
  <c r="A125" i="1" s="1"/>
  <c r="A126" i="1" s="1"/>
  <c r="A127" i="1" l="1"/>
  <c r="A128" i="1" s="1"/>
  <c r="A129" i="1" s="1"/>
  <c r="A130" i="1" s="1"/>
  <c r="J72" i="1"/>
  <c r="A107" i="1"/>
  <c r="E64" i="1" l="1"/>
  <c r="I59" i="1" s="1"/>
  <c r="D65" i="1"/>
  <c r="G64" i="1"/>
  <c r="D59" i="1" l="1"/>
  <c r="F74" i="1" s="1"/>
  <c r="C14" i="1" l="1"/>
  <c r="E41" i="1" l="1"/>
  <c r="E42" i="1" s="1"/>
  <c r="F107" i="1" l="1"/>
  <c r="F106" i="1"/>
  <c r="E3" i="1"/>
  <c r="D57" i="1" s="1"/>
  <c r="G93" i="1" l="1"/>
  <c r="E25" i="1"/>
  <c r="E23" i="1"/>
  <c r="F7" i="5" l="1"/>
  <c r="G7" i="5" s="1"/>
  <c r="F8" i="5"/>
  <c r="G8" i="5" s="1"/>
  <c r="F9" i="5"/>
  <c r="G9" i="5" s="1"/>
  <c r="F10" i="5"/>
  <c r="G10" i="5" s="1"/>
  <c r="F11" i="5"/>
  <c r="G11" i="5" s="1"/>
  <c r="G12" i="5" l="1"/>
  <c r="E7" i="1" l="1"/>
  <c r="D143" i="1" l="1"/>
  <c r="C47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<sst xmlns="http://schemas.openxmlformats.org/spreadsheetml/2006/main" count="300" uniqueCount="248">
  <si>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</si>
  <si>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</si>
  <si>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</si>
  <si>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</si>
  <si>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</si>
  <si>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</si>
  <si>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</si>
  <si>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</si>
  <si>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</si>
  <si>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</si>
  <si>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</si>
  <si>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</si>
  <si>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</si>
  <si>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</si>
  <si>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</si>
  <si>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</si>
  <si>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</si>
  <si>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</si>
  <si>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</si>
  <si>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</si>
  <si>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</si>
  <si>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</si>
  <si>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</si>
  <si>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</si>
  <si>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</si>
  <si>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</si>
  <si>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</si>
  <si>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</si>
  <si>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</si>
  <si>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</si>
  <si>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</si>
  <si>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</si>
  <si>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</si>
  <si>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</si>
  <si>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</si>
  <si>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</si>
  <si>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</si>
  <si>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</si>
  <si>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</si>
  <si>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</si>
  <si>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</si>
  <si>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</si>
  <si>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</si>
  <si>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</si>
  <si>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</si>
  <si>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</si>
  <si>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</si>
  <si>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</si>
  <si>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</si>
  <si>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</si>
  <si>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</si>
  <si>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</si>
  <si>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</si>
  <si>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</si>
  <si>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</si>
  <si>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</si>
  <si>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</si>
  <si>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</si>
  <si>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</si>
  <si>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</si>
  <si>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</si>
  <si>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</si>
  <si>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</si>
  <si>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</si>
  <si>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</si>
  <si>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</si>
  <si>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</si>
  <si>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</si>
  <si>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</si>
  <si>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</si>
  <si>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</si>
  <si>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</si>
  <si>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</si>
  <si>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</si>
  <si>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</si>
  <si>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</si>
  <si>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</si>
  <si>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</si>
  <si>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</si>
  <si>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</si>
  <si>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</si>
  <si>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</si>
  <si>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</si>
  <si>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</si>
  <si>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</si>
  <si>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</si>
  <si>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</si>
  <si>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</si>
  <si>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</si>
  <si>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</si>
  <si>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</si>
  <si>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</si>
  <si>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</si>
  <si>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</si>
  <si>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</si>
  <si>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</si>
  <si>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</si>
  <si>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</si>
  <si>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</si>
  <si>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</si>
  <si>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</si>
  <si>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</si>
  <si>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</si>
  <si>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</si>
  <si>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</si>
  <si>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</si>
  <si>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</si>
  <si>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</si>
  <si>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</si>
  <si>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</si>
  <si>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</si>
  <si>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</si>
  <si>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</si>
  <si>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</si>
  <si>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</si>
  <si>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</si>
  <si>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</si>
  <si>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</si>
  <si>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</si>
  <si>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</si>
  <si>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</si>
  <si>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</si>
  <si>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</si>
  <si>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</si>
  <si>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</si>
  <si>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</si>
  <si>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</si>
  <si>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</si>
  <si>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</si>
  <si>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</si>
  <si>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</si>
  <si>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</si>
  <si>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</si>
  <si>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</si>
  <si>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</si>
  <si>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</si>
  <si>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</si>
  <si>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</si>
  <si>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</si>
  <si>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</si>
  <si>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</si>
  <si>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</si>
  <si>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</si>
  <si>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</si>
  <si>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</si>
  <si>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</si>
  <si>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</si>
  <si>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</si>
  <si>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</si>
  <si>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</si>
  <si>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</si>
  <si>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</si>
  <si>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</si>
  <si>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</si>
  <si>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</si>
  <si>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</si>
  <si>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</si>
  <si>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</si>
  <si>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</si>
  <si>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</si>
  <si>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</si>
  <si>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</si>
  <si>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</si>
  <si>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</si>
  <si>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</si>
  <si>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</si>
  <si>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</si>
  <si>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</si>
  <si>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</si>
  <si>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</si>
  <si>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</si>
  <si>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</si>
  <si>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</si>
  <si>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</si>
  <si>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</si>
  <si>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</si>
  <si>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</si>
  <si>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</si>
  <si>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</si>
  <si>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</si>
  <si>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</si>
  <si>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</si>
  <si>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</si>
  <si>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</si>
  <si>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</si>
  <si>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</si>
  <si>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Tungwa</t>
  </si>
  <si>
    <t>Mumbai</t>
  </si>
  <si>
    <t>M/s. Larsen &amp; Turbro Ltd. (Realty Division)</t>
  </si>
  <si>
    <t>Kurla</t>
  </si>
  <si>
    <t>117A, 117A/1, 117­B Part and 117­C</t>
  </si>
  <si>
    <t>LnT Emerald Isle Tower 8</t>
  </si>
  <si>
    <t>TriStar chs</t>
  </si>
  <si>
    <t>Westend</t>
  </si>
  <si>
    <t>Internal Road</t>
  </si>
  <si>
    <t xml:space="preserve"> </t>
  </si>
  <si>
    <t>CHE/ES/1010//L/337 (NEW)</t>
  </si>
  <si>
    <t>Saki Vihar Road</t>
  </si>
  <si>
    <t>Vikhroli East</t>
  </si>
  <si>
    <t>We considered  Saleable area  as per our calculation.</t>
  </si>
  <si>
    <t>Survey No</t>
  </si>
  <si>
    <t>P51800029888</t>
  </si>
  <si>
    <t>1BHK</t>
  </si>
  <si>
    <t>Residential</t>
  </si>
  <si>
    <t>Approved Plans, CC</t>
  </si>
  <si>
    <t>We considered Gross carpet area = Net carpet.</t>
  </si>
  <si>
    <t>Veridian at Emerald Isle 12C</t>
  </si>
  <si>
    <t>Building No. 02 (T-12C)</t>
  </si>
  <si>
    <t>L&amp;T Emerald Isle Tower 8</t>
  </si>
  <si>
    <t>Stilt Floor Residental &amp; Amenities</t>
  </si>
  <si>
    <r>
      <t xml:space="preserve">Commencement Certificate No.
</t>
    </r>
    <r>
      <rPr>
        <u/>
        <sz val="12"/>
        <rFont val="Times New Roman"/>
        <family val="1"/>
      </rPr>
      <t xml:space="preserve">Valid Up to: </t>
    </r>
  </si>
  <si>
    <t>Lower &amp; Intermidiate Basement Floor Parking</t>
  </si>
  <si>
    <t>Ground Floor For Amenities &amp; Parking</t>
  </si>
  <si>
    <t>1st Podium Floor For Amenities &amp; Parking</t>
  </si>
  <si>
    <t>2nd Podium Floor Residental &amp; Amenities</t>
  </si>
  <si>
    <t>P201</t>
  </si>
  <si>
    <t>P202</t>
  </si>
  <si>
    <t>2BHK</t>
  </si>
  <si>
    <t>1st to 4th, 6th, 8th, 10th, 12th, 14th, 16th &amp; 18th Floor Residental</t>
  </si>
  <si>
    <t xml:space="preserve">We have updated revised approved floor plan (on 28/05/2022).
</t>
  </si>
  <si>
    <t>5th, 7th, 9th, 11th, 13th, 15th &amp; 17th Floor (Part Refuge Area)</t>
  </si>
  <si>
    <t>Building No. 02 (T-12C) = Gr + P1 + P2 + S + 1st to 18th Floor</t>
  </si>
  <si>
    <t>Flats - 78</t>
  </si>
  <si>
    <t>Tower 12C</t>
  </si>
  <si>
    <t>7 Km from Vikhroli Railway Station</t>
  </si>
  <si>
    <t>1 Building</t>
  </si>
  <si>
    <t>Latitude, Longitude</t>
  </si>
  <si>
    <t>Location Link</t>
  </si>
  <si>
    <t>19.120937,72.893002</t>
  </si>
  <si>
    <t>https://goo.gl/maps/XvG5aB2TSZx7GvtQA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</si>
  <si>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</si>
  <si>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Mr.Chirag 9867798744</t>
  </si>
  <si>
    <t xml:space="preserve">Site Person - Contact Details (Name &amp; Contact No.)
</t>
  </si>
  <si>
    <t>On Saleable Area</t>
  </si>
  <si>
    <t>SAME RATE FOR ALL APF (21500 + 10L PARK) BY NILESH VERBAL 09/09/2024</t>
  </si>
  <si>
    <t>Floor Rise Rate Per Sq.ft from 1st Floor</t>
  </si>
  <si>
    <t>Recommended Rates / Other charges of the Property have been revised on 09/09/2024.</t>
  </si>
  <si>
    <t>CHE/ES/1010/L/337(NEW)/FCC/7/Amend</t>
  </si>
  <si>
    <t>Full C.C. up to top of 18th upper floors (including LMR/OHT) for Wing T-12A, T-12B, T-12C, T-13A, T-13B &amp; Endorsement of full CC for wing T-11A &amp; T-11B and endorsement of further CC for wing T-14A &amp; T-14B as per the last approved amended plans dated 18.03.2024.</t>
  </si>
  <si>
    <t>We have updated latest CC from MCGM site (On 19/09/2024).</t>
  </si>
  <si>
    <t>Ganesh Wadkar</t>
  </si>
  <si>
    <t>Please provide revised approved plans.</t>
  </si>
  <si>
    <t>Since internal visit were not permitted, we were unable to determine building progress from an external visit; so, we are maintaining the same progress as in the previous report.</t>
  </si>
  <si>
    <t>CHE/ES/1010/L/337(NEW)/OCC/14/New
Approved upto :  building No.2 (i.e. part
O.C. for Wing T-11A, T-11B) comprising of Ground Floor + 1st
podium + 2nd part podium + stilt + 1st to 15th upper residential use and part O.C. for Wing T-12C comprising of Ground Floor + 1st podium + 2nd part podium +stilt + 1st to 16th upper residential use.</t>
  </si>
  <si>
    <t xml:space="preserve">Completed
</t>
  </si>
  <si>
    <t>All work completed. Please provide full OC.</t>
  </si>
  <si>
    <t>Part OC received for Building No. 02 (T12C) = Gr. + P1 + P2 + Stilt + 1st to 16th floor, and construction work for these floors can be considered as 100% completed.
Please provide Full OC.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</si>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</sst>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rgb="FFFF0000"/>
      <name val="Times New Roman"/>
      <family val="1"/>
    </font>
    <font>
      <u/>
      <sz val="12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8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14" fontId="7" fillId="0" borderId="0" xfId="1" applyNumberFormat="1" applyFont="1"/>
    <xf numFmtId="1" fontId="7" fillId="0" borderId="0" xfId="1" applyNumberFormat="1" applyFont="1"/>
    <xf numFmtId="0" fontId="7" fillId="0" borderId="11" xfId="1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left" vertical="center" wrapText="1"/>
    </xf>
    <xf numFmtId="0" fontId="15" fillId="0" borderId="0" xfId="0" applyFont="1" applyProtection="1">
      <protection hidden="1"/>
    </xf>
    <xf numFmtId="0" fontId="7" fillId="0" borderId="1" xfId="1" applyFont="1" applyBorder="1" applyAlignment="1" applyProtection="1">
      <alignment horizontal="center" wrapText="1"/>
      <protection locked="0"/>
    </xf>
    <xf numFmtId="0" fontId="15" fillId="0" borderId="13" xfId="0" applyFont="1" applyBorder="1" applyProtection="1">
      <protection hidden="1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1" fontId="21" fillId="0" borderId="13" xfId="0" applyNumberFormat="1" applyFont="1" applyBorder="1"/>
    <xf numFmtId="1" fontId="21" fillId="0" borderId="13" xfId="0" applyNumberFormat="1" applyFont="1" applyBorder="1" applyAlignment="1">
      <alignment horizontal="right"/>
    </xf>
    <xf numFmtId="0" fontId="7" fillId="0" borderId="7" xfId="1" applyFont="1" applyBorder="1" applyAlignment="1" applyProtection="1">
      <alignment horizontal="center" wrapText="1"/>
      <protection locked="0"/>
    </xf>
    <xf numFmtId="0" fontId="15" fillId="0" borderId="14" xfId="0" applyFont="1" applyBorder="1" applyProtection="1">
      <protection hidden="1"/>
    </xf>
    <xf numFmtId="1" fontId="21" fillId="0" borderId="15" xfId="0" applyNumberFormat="1" applyFont="1" applyBorder="1"/>
    <xf numFmtId="0" fontId="7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23" fillId="0" borderId="0" xfId="0" applyFont="1" applyAlignment="1">
      <alignment horizontal="center" vertical="center"/>
    </xf>
    <xf numFmtId="0" fontId="7" fillId="3" borderId="0" xfId="1" applyFont="1" applyFill="1"/>
    <xf numFmtId="0" fontId="7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25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13" fillId="0" borderId="30" xfId="1" applyFont="1" applyBorder="1" applyAlignment="1" applyProtection="1">
      <alignment horizontal="center" vertical="top"/>
      <protection locked="0"/>
    </xf>
    <xf numFmtId="0" fontId="13" fillId="0" borderId="3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5" xfId="1" applyFont="1" applyFill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3" fillId="4" borderId="9" xfId="0" applyNumberFormat="1" applyFont="1" applyFill="1" applyBorder="1" applyAlignment="1" applyProtection="1">
      <alignment vertical="top" wrapText="1"/>
      <protection locked="0"/>
    </xf>
    <xf numFmtId="1" fontId="13" fillId="4" borderId="24" xfId="0" applyNumberFormat="1" applyFont="1" applyFill="1" applyBorder="1" applyAlignment="1" applyProtection="1">
      <alignment vertical="top" wrapText="1"/>
      <protection locked="0"/>
    </xf>
    <xf numFmtId="1" fontId="13" fillId="4" borderId="10" xfId="0" applyNumberFormat="1" applyFont="1" applyFill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4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left" vertical="top"/>
      <protection locked="0"/>
    </xf>
    <xf numFmtId="0" fontId="7" fillId="0" borderId="17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/>
      <protection locked="0"/>
    </xf>
    <xf numFmtId="168" fontId="12" fillId="0" borderId="1" xfId="10" applyNumberFormat="1" applyFont="1" applyFill="1" applyBorder="1" applyAlignment="1" applyProtection="1">
      <alignment horizontal="left" vertical="top"/>
      <protection locked="0"/>
    </xf>
    <xf numFmtId="168" fontId="12" fillId="0" borderId="5" xfId="10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25" fillId="0" borderId="9" xfId="9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168" fontId="12" fillId="0" borderId="7" xfId="10" applyNumberFormat="1" applyFont="1" applyFill="1" applyBorder="1" applyAlignment="1" applyProtection="1">
      <alignment horizontal="left" vertical="top"/>
      <protection locked="0"/>
    </xf>
    <xf numFmtId="168" fontId="12" fillId="0" borderId="8" xfId="10" applyNumberFormat="1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1">
    <cellStyle name="Comma" xfId="10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9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459446</xdr:colOff>
      <xdr:row>204</xdr:row>
      <xdr:rowOff>21565</xdr:rowOff>
    </xdr:from>
    <xdr:to>
      <xdr:col>7</xdr:col>
      <xdr:colOff>382329</xdr:colOff>
      <xdr:row>220</xdr:row>
      <xdr:rowOff>34269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446" y="54751094"/>
          <a:ext cx="605250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459447</xdr:colOff>
      <xdr:row>187</xdr:row>
      <xdr:rowOff>0</xdr:rowOff>
    </xdr:from>
    <xdr:to>
      <xdr:col>7</xdr:col>
      <xdr:colOff>382330</xdr:colOff>
      <xdr:row>203</xdr:row>
      <xdr:rowOff>12706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447" y="51300529"/>
          <a:ext cx="605250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0</xdr:colOff>
      <xdr:row>145</xdr:row>
      <xdr:rowOff>0</xdr:rowOff>
    </xdr:from>
    <xdr:to>
      <xdr:col>10</xdr:col>
      <xdr:colOff>432956</xdr:colOff>
      <xdr:row>146</xdr:row>
      <xdr:rowOff>36947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64600" y="29749750"/>
          <a:ext cx="432956" cy="2337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12C</a:t>
          </a:r>
        </a:p>
      </xdr:txBody>
    </xdr:sp>
    <xdr:clientData/>
  </xdr:twoCellAnchor>
  <xdr:twoCellAnchor>
    <xdr:from>
      <xdr:col>9</xdr:col>
      <xdr:colOff>2241</xdr:colOff>
      <xdr:row>144</xdr:row>
      <xdr:rowOff>34514</xdr:rowOff>
    </xdr:from>
    <xdr:to>
      <xdr:col>20</xdr:col>
      <xdr:colOff>557156</xdr:colOff>
      <xdr:row>174</xdr:row>
      <xdr:rowOff>134583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8E35CA64-5F2C-406E-870A-3FF17C560FA4}"/>
            </a:ext>
          </a:extLst>
        </xdr:cNvPr>
        <xdr:cNvGrpSpPr/>
      </xdr:nvGrpSpPr>
      <xdr:grpSpPr>
        <a:xfrm>
          <a:off x="7896561" y="31482254"/>
          <a:ext cx="6102275" cy="6036049"/>
          <a:chOff x="430306" y="548151"/>
          <a:chExt cx="5588620" cy="4749159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EAF6528C-DBC9-4840-86F6-1E75C90487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0306" y="548151"/>
            <a:ext cx="26975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6329BA6E-2D05-4EB3-AC17-C1232ADE7A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1426" y="548151"/>
            <a:ext cx="26975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F3CAC9DA-9583-4845-8C24-F3F30CB1C6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888" y="3492352"/>
            <a:ext cx="238893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90443A42-3D2B-46F4-A8E3-61CA237B17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2438" y="3497310"/>
            <a:ext cx="179833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754380</xdr:colOff>
      <xdr:row>144</xdr:row>
      <xdr:rowOff>0</xdr:rowOff>
    </xdr:from>
    <xdr:to>
      <xdr:col>7</xdr:col>
      <xdr:colOff>108742</xdr:colOff>
      <xdr:row>180</xdr:row>
      <xdr:rowOff>10057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4F78E43-1225-A6CA-A2A9-954C7ECF20D6}"/>
            </a:ext>
          </a:extLst>
        </xdr:cNvPr>
        <xdr:cNvGrpSpPr/>
      </xdr:nvGrpSpPr>
      <xdr:grpSpPr>
        <a:xfrm>
          <a:off x="754380" y="31447740"/>
          <a:ext cx="5198902" cy="7134757"/>
          <a:chOff x="747765" y="194622"/>
          <a:chExt cx="5198902" cy="7134757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40C1DB4-4FD1-ECC0-B521-0F808FE432FD}"/>
              </a:ext>
            </a:extLst>
          </xdr:cNvPr>
          <xdr:cNvGrpSpPr/>
        </xdr:nvGrpSpPr>
        <xdr:grpSpPr>
          <a:xfrm>
            <a:off x="1171800" y="5529379"/>
            <a:ext cx="4350832" cy="1800000"/>
            <a:chOff x="876502" y="5529379"/>
            <a:chExt cx="4350832" cy="180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26A29D1F-1A3A-5A69-354E-470C84C142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76502" y="5529379"/>
              <a:ext cx="238893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58CDC374-6EDC-A305-7243-BD7EC30E6E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5529379"/>
              <a:ext cx="179833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98885BCD-F4EB-E931-DD0A-310F96B55571}"/>
              </a:ext>
            </a:extLst>
          </xdr:cNvPr>
          <xdr:cNvGrpSpPr/>
        </xdr:nvGrpSpPr>
        <xdr:grpSpPr>
          <a:xfrm>
            <a:off x="747765" y="194622"/>
            <a:ext cx="5198902" cy="5187378"/>
            <a:chOff x="747765" y="194622"/>
            <a:chExt cx="5198902" cy="5187378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71C2CB2C-8025-DF12-B535-3C3585CBF3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2862000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01B7078-12EF-A178-DC3A-CE30FA6C12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7765" y="2862000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20CAABB8-4C5E-4E85-5E79-3C426F682B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7766" y="194622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1885554A-5087-4F39-6431-49BDD563FBF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194622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521801</xdr:colOff>
      <xdr:row>14</xdr:row>
      <xdr:rowOff>0</xdr:rowOff>
    </xdr:from>
    <xdr:to>
      <xdr:col>10</xdr:col>
      <xdr:colOff>359996</xdr:colOff>
      <xdr:row>29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6105" y="2675283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372717</xdr:colOff>
      <xdr:row>14</xdr:row>
      <xdr:rowOff>0</xdr:rowOff>
    </xdr:from>
    <xdr:to>
      <xdr:col>4</xdr:col>
      <xdr:colOff>210913</xdr:colOff>
      <xdr:row>29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717" y="2675283"/>
          <a:ext cx="51225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vG5aB2TSZx7GvtQA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86"/>
  <sheetViews>
    <sheetView tabSelected="1" view="pageBreakPreview" zoomScaleNormal="100" zoomScaleSheetLayoutView="100" zoomScalePageLayoutView="96" workbookViewId="0">
      <selection activeCell="I8" sqref="I8"/>
    </sheetView>
  </sheetViews>
  <sheetFormatPr defaultColWidth="9.109375" defaultRowHeight="15.6" x14ac:dyDescent="0.3"/>
  <cols>
    <col min="1" max="1" width="11.44140625" style="15" customWidth="1"/>
    <col min="2" max="2" width="12" style="15" customWidth="1"/>
    <col min="3" max="3" width="12.6640625" style="15" customWidth="1"/>
    <col min="4" max="4" width="14.109375" style="15" customWidth="1"/>
    <col min="5" max="7" width="11.6640625" style="15" customWidth="1"/>
    <col min="8" max="8" width="12.44140625" style="15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57" t="s">
        <v>230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</row>
    <row r="3" spans="1:8" x14ac:dyDescent="0.3">
      <c r="A3" s="100" t="s">
        <v>1</v>
      </c>
      <c r="B3" s="100"/>
      <c r="C3" s="100"/>
      <c r="D3" s="100"/>
      <c r="E3" s="158" t="str">
        <f ca="1">TEXT(TODAY(),"DD/MM/YYYY")</f>
        <v>19/09/2025</v>
      </c>
      <c r="F3" s="158"/>
      <c r="G3" s="158"/>
      <c r="H3" s="158"/>
    </row>
    <row r="4" spans="1:8" ht="15" customHeight="1" x14ac:dyDescent="0.3">
      <c r="A4" s="100" t="s">
        <v>2</v>
      </c>
      <c r="B4" s="100"/>
      <c r="C4" s="100"/>
      <c r="D4" s="100"/>
      <c r="E4" s="153" t="s">
        <v>185</v>
      </c>
      <c r="F4" s="153"/>
      <c r="G4" s="153"/>
      <c r="H4" s="153"/>
    </row>
    <row r="5" spans="1:8" x14ac:dyDescent="0.3">
      <c r="A5" s="100" t="s">
        <v>3</v>
      </c>
      <c r="B5" s="100"/>
      <c r="C5" s="100"/>
      <c r="D5" s="100"/>
      <c r="E5" s="158">
        <v>45910</v>
      </c>
      <c r="F5" s="158"/>
      <c r="G5" s="158"/>
      <c r="H5" s="158"/>
    </row>
    <row r="6" spans="1:8" ht="16.5" customHeight="1" x14ac:dyDescent="0.3">
      <c r="A6" s="100" t="s">
        <v>4</v>
      </c>
      <c r="B6" s="100"/>
      <c r="C6" s="100"/>
      <c r="D6" s="100"/>
      <c r="E6" s="152" t="s">
        <v>188</v>
      </c>
      <c r="F6" s="152"/>
      <c r="G6" s="152"/>
      <c r="H6" s="152"/>
    </row>
    <row r="7" spans="1:8" ht="15" customHeight="1" x14ac:dyDescent="0.3">
      <c r="A7" s="100" t="s">
        <v>5</v>
      </c>
      <c r="B7" s="100"/>
      <c r="C7" s="100"/>
      <c r="D7" s="100"/>
      <c r="E7" s="152" t="str">
        <f>E6</f>
        <v>M/s. Larsen &amp; Turbro Ltd. (Realty Division)</v>
      </c>
      <c r="F7" s="152"/>
      <c r="G7" s="152"/>
      <c r="H7" s="152"/>
    </row>
    <row r="8" spans="1:8" x14ac:dyDescent="0.3">
      <c r="A8" s="100" t="s">
        <v>6</v>
      </c>
      <c r="B8" s="100"/>
      <c r="C8" s="100"/>
      <c r="D8" s="100"/>
      <c r="E8" s="146" t="s">
        <v>206</v>
      </c>
      <c r="F8" s="146"/>
      <c r="G8" s="146"/>
      <c r="H8" s="146"/>
    </row>
    <row r="9" spans="1:8" x14ac:dyDescent="0.3">
      <c r="A9" s="100" t="s">
        <v>157</v>
      </c>
      <c r="B9" s="100"/>
      <c r="C9" s="100"/>
      <c r="D9" s="100"/>
      <c r="E9" s="100">
        <v>9867798744</v>
      </c>
      <c r="F9" s="100"/>
      <c r="G9" s="100"/>
      <c r="H9" s="100"/>
    </row>
    <row r="10" spans="1:8" hidden="1" x14ac:dyDescent="0.3">
      <c r="A10" s="152" t="s">
        <v>232</v>
      </c>
      <c r="B10" s="100"/>
      <c r="C10" s="100"/>
      <c r="D10" s="100"/>
      <c r="E10" s="100" t="s">
        <v>231</v>
      </c>
      <c r="F10" s="100"/>
      <c r="G10" s="100"/>
      <c r="H10" s="100"/>
    </row>
    <row r="11" spans="1:8" x14ac:dyDescent="0.3">
      <c r="A11" s="100" t="s">
        <v>7</v>
      </c>
      <c r="B11" s="100"/>
      <c r="C11" s="100"/>
      <c r="D11" s="100"/>
      <c r="E11" s="100" t="s">
        <v>207</v>
      </c>
      <c r="F11" s="100"/>
      <c r="G11" s="100"/>
      <c r="H11" s="100"/>
    </row>
    <row r="12" spans="1:8" x14ac:dyDescent="0.3">
      <c r="A12" s="100" t="s">
        <v>8</v>
      </c>
      <c r="B12" s="100"/>
      <c r="C12" s="100"/>
      <c r="D12" s="100"/>
      <c r="E12" s="152" t="s">
        <v>204</v>
      </c>
      <c r="F12" s="100"/>
      <c r="G12" s="100"/>
      <c r="H12" s="100"/>
    </row>
    <row r="13" spans="1:8" x14ac:dyDescent="0.3">
      <c r="A13" s="100" t="s">
        <v>9</v>
      </c>
      <c r="B13" s="100"/>
      <c r="C13" s="100"/>
      <c r="D13" s="100"/>
      <c r="E13" s="152" t="s">
        <v>201</v>
      </c>
      <c r="F13" s="100"/>
      <c r="G13" s="100"/>
      <c r="H13" s="100"/>
    </row>
    <row r="14" spans="1:8" ht="36.75" customHeight="1" x14ac:dyDescent="0.3">
      <c r="A14" s="152" t="s">
        <v>10</v>
      </c>
      <c r="B14" s="152"/>
      <c r="C14" s="15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Veridian at Emerald Isle 12C, Survey No.117A, 117A/1, 117­B Part and 117­C, near L&amp;T Emerald Isle Tower 8, Saki Vihar Road, Tungwa, Vikhroli East, Kurla, Mumbai.</v>
      </c>
      <c r="D14" s="152"/>
      <c r="E14" s="152"/>
      <c r="F14" s="152"/>
      <c r="G14" s="152"/>
      <c r="H14" s="152"/>
    </row>
    <row r="15" spans="1:8" ht="15.75" customHeight="1" x14ac:dyDescent="0.3">
      <c r="A15" s="152" t="s">
        <v>200</v>
      </c>
      <c r="B15" s="152"/>
      <c r="C15" s="152" t="s">
        <v>190</v>
      </c>
      <c r="D15" s="152"/>
      <c r="E15" s="152"/>
      <c r="F15" s="152"/>
      <c r="G15" s="152"/>
      <c r="H15" s="152"/>
    </row>
    <row r="16" spans="1:8" x14ac:dyDescent="0.3">
      <c r="A16" s="152" t="s">
        <v>11</v>
      </c>
      <c r="B16" s="152"/>
      <c r="C16" s="100" t="s">
        <v>197</v>
      </c>
      <c r="D16" s="100"/>
      <c r="E16" s="152" t="s">
        <v>101</v>
      </c>
      <c r="F16" s="152"/>
      <c r="G16" s="152" t="s">
        <v>186</v>
      </c>
      <c r="H16" s="152"/>
    </row>
    <row r="17" spans="1:8" x14ac:dyDescent="0.3">
      <c r="A17" s="100" t="s">
        <v>13</v>
      </c>
      <c r="B17" s="100"/>
      <c r="C17" s="152" t="s">
        <v>198</v>
      </c>
      <c r="D17" s="152"/>
      <c r="E17" s="152" t="s">
        <v>12</v>
      </c>
      <c r="F17" s="152"/>
      <c r="G17" s="155" t="s">
        <v>187</v>
      </c>
      <c r="H17" s="155"/>
    </row>
    <row r="18" spans="1:8" x14ac:dyDescent="0.3">
      <c r="A18" s="100" t="s">
        <v>102</v>
      </c>
      <c r="B18" s="100"/>
      <c r="C18" s="152" t="s">
        <v>189</v>
      </c>
      <c r="D18" s="152"/>
      <c r="E18" s="152" t="s">
        <v>14</v>
      </c>
      <c r="F18" s="152"/>
      <c r="G18" s="152">
        <v>400072</v>
      </c>
      <c r="H18" s="152"/>
    </row>
    <row r="19" spans="1:8" ht="33.75" customHeight="1" x14ac:dyDescent="0.3">
      <c r="A19" s="100" t="s">
        <v>159</v>
      </c>
      <c r="B19" s="100"/>
      <c r="C19" s="156" t="s">
        <v>208</v>
      </c>
      <c r="D19" s="156"/>
      <c r="E19" s="152" t="s">
        <v>15</v>
      </c>
      <c r="F19" s="152"/>
      <c r="G19" s="152" t="s">
        <v>224</v>
      </c>
      <c r="H19" s="152"/>
    </row>
    <row r="20" spans="1:8" ht="18.75" customHeight="1" x14ac:dyDescent="0.3">
      <c r="A20" s="152" t="s">
        <v>106</v>
      </c>
      <c r="B20" s="152"/>
      <c r="C20" s="152"/>
      <c r="D20" s="152"/>
      <c r="E20" s="100" t="s">
        <v>16</v>
      </c>
      <c r="F20" s="100"/>
      <c r="G20" s="100"/>
      <c r="H20" s="100"/>
    </row>
    <row r="21" spans="1:8" ht="15" customHeight="1" x14ac:dyDescent="0.3">
      <c r="A21" s="152"/>
      <c r="B21" s="152"/>
      <c r="C21" s="152"/>
      <c r="D21" s="152"/>
      <c r="E21" s="100"/>
      <c r="F21" s="100"/>
      <c r="G21" s="100"/>
      <c r="H21" s="100"/>
    </row>
    <row r="22" spans="1:8" ht="15" customHeight="1" x14ac:dyDescent="0.3">
      <c r="A22" s="152" t="s">
        <v>17</v>
      </c>
      <c r="B22" s="152"/>
      <c r="C22" s="152"/>
      <c r="D22" s="152"/>
      <c r="E22" s="152" t="s">
        <v>18</v>
      </c>
      <c r="F22" s="152"/>
      <c r="G22" s="152"/>
      <c r="H22" s="152"/>
    </row>
    <row r="23" spans="1:8" x14ac:dyDescent="0.3">
      <c r="A23" s="100" t="s">
        <v>19</v>
      </c>
      <c r="B23" s="100"/>
      <c r="C23" s="100"/>
      <c r="D23" s="100"/>
      <c r="E23" s="152" t="str">
        <f>IF(AND(G17="Mumbai"),"Upper Class","Middle Class")</f>
        <v>Upper Class</v>
      </c>
      <c r="F23" s="152"/>
      <c r="G23" s="152"/>
      <c r="H23" s="152"/>
    </row>
    <row r="24" spans="1:8" ht="15.75" customHeight="1" x14ac:dyDescent="0.3">
      <c r="A24" s="100" t="s">
        <v>20</v>
      </c>
      <c r="B24" s="100"/>
      <c r="C24" s="100"/>
      <c r="D24" s="100"/>
      <c r="E24" s="152" t="s">
        <v>21</v>
      </c>
      <c r="F24" s="152"/>
      <c r="G24" s="152"/>
      <c r="H24" s="152"/>
    </row>
    <row r="25" spans="1:8" x14ac:dyDescent="0.3">
      <c r="A25" s="100" t="s">
        <v>22</v>
      </c>
      <c r="B25" s="100"/>
      <c r="C25" s="100"/>
      <c r="D25" s="100"/>
      <c r="E25" s="152" t="str">
        <f>IF(AND(G17="Mumbai"),"Developed","Developing")</f>
        <v>Developed</v>
      </c>
      <c r="F25" s="152"/>
      <c r="G25" s="152"/>
      <c r="H25" s="152"/>
    </row>
    <row r="26" spans="1:8" x14ac:dyDescent="0.3">
      <c r="A26" s="100" t="s">
        <v>23</v>
      </c>
      <c r="B26" s="100"/>
      <c r="C26" s="100"/>
      <c r="D26" s="100"/>
      <c r="E26" s="152" t="s">
        <v>24</v>
      </c>
      <c r="F26" s="152"/>
      <c r="G26" s="152"/>
      <c r="H26" s="152"/>
    </row>
    <row r="27" spans="1:8" ht="15" customHeight="1" x14ac:dyDescent="0.3">
      <c r="A27" s="100" t="s">
        <v>113</v>
      </c>
      <c r="B27" s="100"/>
      <c r="C27" s="100"/>
      <c r="D27" s="100"/>
      <c r="E27" s="152" t="s">
        <v>114</v>
      </c>
      <c r="F27" s="152"/>
      <c r="G27" s="152"/>
      <c r="H27" s="152"/>
    </row>
    <row r="28" spans="1:8" x14ac:dyDescent="0.3">
      <c r="A28" s="152" t="s">
        <v>33</v>
      </c>
      <c r="B28" s="152"/>
      <c r="C28" s="152"/>
      <c r="D28" s="152"/>
      <c r="E28" s="153" t="s">
        <v>203</v>
      </c>
      <c r="F28" s="153"/>
      <c r="G28" s="153"/>
      <c r="H28" s="153"/>
    </row>
    <row r="29" spans="1:8" x14ac:dyDescent="0.3">
      <c r="A29" s="152" t="s">
        <v>125</v>
      </c>
      <c r="B29" s="152"/>
      <c r="C29" s="152"/>
      <c r="D29" s="152"/>
      <c r="E29" s="152" t="s">
        <v>34</v>
      </c>
      <c r="F29" s="152"/>
      <c r="G29" s="152"/>
      <c r="H29" s="152"/>
    </row>
    <row r="30" spans="1:8" x14ac:dyDescent="0.3">
      <c r="A30" s="154" t="s">
        <v>126</v>
      </c>
      <c r="B30" s="154"/>
      <c r="C30" s="136" t="s">
        <v>29</v>
      </c>
      <c r="D30" s="136"/>
      <c r="E30" s="136"/>
      <c r="F30" s="136" t="s">
        <v>31</v>
      </c>
      <c r="G30" s="136"/>
      <c r="H30" s="136"/>
    </row>
    <row r="31" spans="1:8" x14ac:dyDescent="0.3">
      <c r="A31" s="123" t="s">
        <v>25</v>
      </c>
      <c r="B31" s="123" t="s">
        <v>30</v>
      </c>
      <c r="C31" s="124" t="s">
        <v>30</v>
      </c>
      <c r="D31" s="124"/>
      <c r="E31" s="124"/>
      <c r="F31" s="124" t="s">
        <v>193</v>
      </c>
      <c r="G31" s="124"/>
      <c r="H31" s="124"/>
    </row>
    <row r="32" spans="1:8" x14ac:dyDescent="0.3">
      <c r="A32" s="123" t="s">
        <v>26</v>
      </c>
      <c r="B32" s="123" t="s">
        <v>30</v>
      </c>
      <c r="C32" s="124" t="s">
        <v>30</v>
      </c>
      <c r="D32" s="124"/>
      <c r="E32" s="124"/>
      <c r="F32" s="124" t="s">
        <v>192</v>
      </c>
      <c r="G32" s="124"/>
      <c r="H32" s="124"/>
    </row>
    <row r="33" spans="1:10" x14ac:dyDescent="0.3">
      <c r="A33" s="123" t="s">
        <v>28</v>
      </c>
      <c r="B33" s="123" t="s">
        <v>30</v>
      </c>
      <c r="C33" s="124" t="s">
        <v>30</v>
      </c>
      <c r="D33" s="124"/>
      <c r="E33" s="124"/>
      <c r="F33" s="124" t="s">
        <v>191</v>
      </c>
      <c r="G33" s="124"/>
      <c r="H33" s="124"/>
    </row>
    <row r="34" spans="1:10" x14ac:dyDescent="0.3">
      <c r="A34" s="123" t="s">
        <v>27</v>
      </c>
      <c r="B34" s="123" t="s">
        <v>30</v>
      </c>
      <c r="C34" s="124" t="s">
        <v>30</v>
      </c>
      <c r="D34" s="124"/>
      <c r="E34" s="124"/>
      <c r="F34" s="124" t="s">
        <v>194</v>
      </c>
      <c r="G34" s="124"/>
      <c r="H34" s="124"/>
    </row>
    <row r="35" spans="1:10" ht="15.75" customHeight="1" x14ac:dyDescent="0.3">
      <c r="A35" s="100" t="s">
        <v>32</v>
      </c>
      <c r="B35" s="100"/>
      <c r="C35" s="100"/>
      <c r="D35" s="100"/>
      <c r="E35" s="100"/>
      <c r="F35" s="100"/>
      <c r="G35" s="100"/>
      <c r="H35" s="100"/>
      <c r="J35" s="49"/>
    </row>
    <row r="36" spans="1:10" ht="15.75" customHeight="1" x14ac:dyDescent="0.3">
      <c r="A36" s="136" t="s">
        <v>226</v>
      </c>
      <c r="B36" s="136"/>
      <c r="C36" s="137" t="s">
        <v>228</v>
      </c>
      <c r="D36" s="138"/>
      <c r="E36" s="138"/>
      <c r="F36" s="138"/>
      <c r="G36" s="138"/>
      <c r="H36" s="139"/>
      <c r="J36" s="49"/>
    </row>
    <row r="37" spans="1:10" x14ac:dyDescent="0.3">
      <c r="A37" s="136" t="s">
        <v>227</v>
      </c>
      <c r="B37" s="136"/>
      <c r="C37" s="145" t="s">
        <v>229</v>
      </c>
      <c r="D37" s="138"/>
      <c r="E37" s="138"/>
      <c r="F37" s="138"/>
      <c r="G37" s="138"/>
      <c r="H37" s="139"/>
    </row>
    <row r="38" spans="1:10" x14ac:dyDescent="0.3">
      <c r="A38" s="146" t="s">
        <v>35</v>
      </c>
      <c r="B38" s="146"/>
      <c r="C38" s="146"/>
      <c r="D38" s="146"/>
      <c r="E38" s="146"/>
      <c r="F38" s="146"/>
      <c r="G38" s="146"/>
      <c r="H38" s="146"/>
    </row>
    <row r="39" spans="1:10" x14ac:dyDescent="0.3">
      <c r="A39" s="100" t="s">
        <v>36</v>
      </c>
      <c r="B39" s="100"/>
      <c r="C39" s="100"/>
      <c r="D39" s="100"/>
      <c r="E39" s="101">
        <v>77004.990000000005</v>
      </c>
      <c r="F39" s="101"/>
      <c r="G39" s="101"/>
      <c r="H39" s="101"/>
    </row>
    <row r="40" spans="1:10" x14ac:dyDescent="0.3">
      <c r="A40" s="100" t="s">
        <v>37</v>
      </c>
      <c r="B40" s="100"/>
      <c r="C40" s="100"/>
      <c r="D40" s="100"/>
      <c r="E40" s="148">
        <v>1.5</v>
      </c>
      <c r="F40" s="148"/>
      <c r="G40" s="148"/>
      <c r="H40" s="148"/>
    </row>
    <row r="41" spans="1:10" x14ac:dyDescent="0.3">
      <c r="A41" s="100" t="s">
        <v>38</v>
      </c>
      <c r="B41" s="100"/>
      <c r="C41" s="100"/>
      <c r="D41" s="100"/>
      <c r="E41" s="148">
        <f>E43/E39-E40</f>
        <v>0.50384897134588291</v>
      </c>
      <c r="F41" s="148"/>
      <c r="G41" s="148"/>
      <c r="H41" s="148"/>
    </row>
    <row r="42" spans="1:10" x14ac:dyDescent="0.3">
      <c r="A42" s="100" t="s">
        <v>39</v>
      </c>
      <c r="B42" s="100"/>
      <c r="C42" s="100"/>
      <c r="D42" s="100"/>
      <c r="E42" s="148">
        <f>E40+E41</f>
        <v>2.0038489713458829</v>
      </c>
      <c r="F42" s="148"/>
      <c r="G42" s="148"/>
      <c r="H42" s="148"/>
    </row>
    <row r="43" spans="1:10" x14ac:dyDescent="0.3">
      <c r="A43" s="100" t="s">
        <v>124</v>
      </c>
      <c r="B43" s="100"/>
      <c r="C43" s="100"/>
      <c r="D43" s="100"/>
      <c r="E43" s="149">
        <v>154306.37</v>
      </c>
      <c r="F43" s="149"/>
      <c r="G43" s="149"/>
      <c r="H43" s="149"/>
    </row>
    <row r="44" spans="1:10" x14ac:dyDescent="0.3">
      <c r="A44" s="100" t="s">
        <v>40</v>
      </c>
      <c r="B44" s="100"/>
      <c r="C44" s="100"/>
      <c r="D44" s="100"/>
      <c r="E44" s="100" t="s">
        <v>225</v>
      </c>
      <c r="F44" s="100"/>
      <c r="G44" s="100"/>
      <c r="H44" s="100"/>
    </row>
    <row r="45" spans="1:10" x14ac:dyDescent="0.3">
      <c r="A45" s="169" t="s">
        <v>41</v>
      </c>
      <c r="B45" s="169"/>
      <c r="C45" s="169"/>
      <c r="D45" s="169"/>
      <c r="E45" s="169"/>
      <c r="F45" s="169"/>
      <c r="G45" s="169"/>
      <c r="H45" s="169"/>
    </row>
    <row r="46" spans="1:10" x14ac:dyDescent="0.3">
      <c r="A46" s="140" t="s">
        <v>42</v>
      </c>
      <c r="B46" s="140"/>
      <c r="C46" s="113" t="s">
        <v>196</v>
      </c>
      <c r="D46" s="113"/>
      <c r="E46" s="113"/>
      <c r="F46" s="60" t="s">
        <v>43</v>
      </c>
      <c r="G46" s="112">
        <v>44529</v>
      </c>
      <c r="H46" s="112"/>
    </row>
    <row r="47" spans="1:10" s="10" customFormat="1" x14ac:dyDescent="0.3">
      <c r="A47" s="75" t="s">
        <v>44</v>
      </c>
      <c r="B47" s="75"/>
      <c r="C47" s="113" t="str">
        <f>C46</f>
        <v>CHE/ES/1010//L/337 (NEW)</v>
      </c>
      <c r="D47" s="113"/>
      <c r="E47" s="113"/>
      <c r="F47" s="60" t="s">
        <v>43</v>
      </c>
      <c r="G47" s="112">
        <f>G46</f>
        <v>44529</v>
      </c>
      <c r="H47" s="112"/>
      <c r="I47" s="10" t="s">
        <v>195</v>
      </c>
    </row>
    <row r="48" spans="1:10" s="10" customFormat="1" ht="36" customHeight="1" x14ac:dyDescent="0.3">
      <c r="A48" s="119" t="s">
        <v>210</v>
      </c>
      <c r="B48" s="119"/>
      <c r="C48" s="113" t="s">
        <v>237</v>
      </c>
      <c r="D48" s="72"/>
      <c r="E48" s="72"/>
      <c r="F48" s="12" t="s">
        <v>43</v>
      </c>
      <c r="G48" s="112">
        <v>45443</v>
      </c>
      <c r="H48" s="112"/>
    </row>
    <row r="49" spans="1:14" ht="113.1" customHeight="1" x14ac:dyDescent="0.3">
      <c r="A49" s="119"/>
      <c r="B49" s="119"/>
      <c r="C49" s="113" t="s">
        <v>238</v>
      </c>
      <c r="D49" s="72"/>
      <c r="E49" s="72"/>
      <c r="F49" s="37" t="s">
        <v>158</v>
      </c>
      <c r="G49" s="112">
        <v>45819</v>
      </c>
      <c r="H49" s="112"/>
    </row>
    <row r="50" spans="1:14" ht="159.75" customHeight="1" x14ac:dyDescent="0.3">
      <c r="A50" s="115" t="s">
        <v>45</v>
      </c>
      <c r="B50" s="115"/>
      <c r="C50" s="116" t="s">
        <v>243</v>
      </c>
      <c r="D50" s="117"/>
      <c r="E50" s="117" t="s">
        <v>46</v>
      </c>
      <c r="F50" s="61" t="s">
        <v>43</v>
      </c>
      <c r="G50" s="114">
        <v>45747</v>
      </c>
      <c r="H50" s="114"/>
    </row>
    <row r="51" spans="1:14" x14ac:dyDescent="0.3">
      <c r="A51" s="147" t="s">
        <v>48</v>
      </c>
      <c r="B51" s="147"/>
      <c r="C51" s="147"/>
      <c r="D51" s="147"/>
      <c r="E51" s="147"/>
      <c r="F51" s="147"/>
      <c r="G51" s="147"/>
      <c r="H51" s="147"/>
    </row>
    <row r="52" spans="1:14" x14ac:dyDescent="0.3">
      <c r="A52" s="140" t="s">
        <v>123</v>
      </c>
      <c r="B52" s="140"/>
      <c r="C52" s="140"/>
      <c r="D52" s="75">
        <v>160344.78</v>
      </c>
      <c r="E52" s="75"/>
      <c r="F52" s="75"/>
      <c r="G52" s="75"/>
      <c r="H52" s="75"/>
      <c r="I52" s="39"/>
    </row>
    <row r="53" spans="1:14" ht="15.75" customHeight="1" x14ac:dyDescent="0.3">
      <c r="A53" s="119" t="s">
        <v>49</v>
      </c>
      <c r="B53" s="111"/>
      <c r="C53" s="111"/>
      <c r="D53" s="111" t="s">
        <v>222</v>
      </c>
      <c r="E53" s="111"/>
      <c r="F53" s="111"/>
      <c r="G53" s="111"/>
      <c r="H53" s="111"/>
    </row>
    <row r="54" spans="1:14" ht="15.75" customHeight="1" x14ac:dyDescent="0.3">
      <c r="A54" s="95" t="s">
        <v>50</v>
      </c>
      <c r="B54" s="96"/>
      <c r="C54" s="144"/>
      <c r="D54" s="143" t="s">
        <v>221</v>
      </c>
      <c r="E54" s="143"/>
      <c r="F54" s="143"/>
      <c r="G54" s="143"/>
      <c r="H54" s="143"/>
    </row>
    <row r="55" spans="1:14" ht="15.75" customHeight="1" x14ac:dyDescent="0.3">
      <c r="A55" s="95" t="s">
        <v>121</v>
      </c>
      <c r="B55" s="96"/>
      <c r="C55" s="96"/>
      <c r="D55" s="97" t="s">
        <v>221</v>
      </c>
      <c r="E55" s="98"/>
      <c r="F55" s="98"/>
      <c r="G55" s="98"/>
      <c r="H55" s="99"/>
      <c r="J55" s="38"/>
      <c r="K55" s="39"/>
      <c r="N55" s="39"/>
    </row>
    <row r="56" spans="1:14" ht="15.75" customHeight="1" x14ac:dyDescent="0.3">
      <c r="A56" s="75" t="s">
        <v>47</v>
      </c>
      <c r="B56" s="75"/>
      <c r="C56" s="75"/>
      <c r="D56" s="102" t="s">
        <v>244</v>
      </c>
      <c r="E56" s="102"/>
      <c r="F56" s="102"/>
      <c r="G56" s="102"/>
      <c r="H56" s="102"/>
      <c r="N56" s="39"/>
    </row>
    <row r="57" spans="1:14" ht="15.75" customHeight="1" x14ac:dyDescent="0.3">
      <c r="A57" s="75" t="s">
        <v>119</v>
      </c>
      <c r="B57" s="75"/>
      <c r="C57" s="75"/>
      <c r="D57" s="118" t="str">
        <f ca="1">(IF(G50="NA","60 Years After Completion",IF(G50&lt;&gt;"NA",""&amp;60-ROUNDDOWN((E3-G50)/360,0)&amp;" Years"," ")))</f>
        <v>60 Years</v>
      </c>
      <c r="E57" s="118"/>
      <c r="F57" s="118"/>
      <c r="G57" s="118"/>
      <c r="H57" s="118"/>
      <c r="J57" s="17"/>
      <c r="K57" s="17"/>
    </row>
    <row r="58" spans="1:14" ht="15.75" customHeight="1" thickBot="1" x14ac:dyDescent="0.35">
      <c r="A58" s="75" t="s">
        <v>120</v>
      </c>
      <c r="B58" s="75"/>
      <c r="C58" s="75"/>
      <c r="D58" s="140" t="s">
        <v>24</v>
      </c>
      <c r="E58" s="140"/>
      <c r="F58" s="140"/>
      <c r="G58" s="140"/>
      <c r="H58" s="140"/>
      <c r="J58" s="17"/>
    </row>
    <row r="59" spans="1:14" ht="15.75" customHeight="1" thickBot="1" x14ac:dyDescent="0.35">
      <c r="A59" s="150" t="s">
        <v>118</v>
      </c>
      <c r="B59" s="150"/>
      <c r="C59" s="150"/>
      <c r="D59" s="151" t="str">
        <f ca="1">(IF(G64&gt;95%,"Nothing",IF(G64&gt;0%,"Cement, Aggregate, Steel, etc",IF(G64=0%,"Work not yet Started"))))</f>
        <v>Nothing</v>
      </c>
      <c r="E59" s="151"/>
      <c r="F59" s="151"/>
      <c r="G59" s="151"/>
      <c r="H59" s="151"/>
      <c r="I59" s="40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","0")))&amp;(IF(C65=0%,"",IF(C65=J65,"Footing work is process",IF(C65=J66,"Footing work Completed",IF(C65=J67,"1st Basement Completed",IF(C65=J68,"1st &amp; 2nd Basement Completed",IF(C65=J69,"1st to 3rd Basement Completed",IF(C65=J70,"1st to 4th Basement Completed",IF(C65=J71,"Plinth work is process",IF(C65=J72,"Plinth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All work completed. Please provide OC.</v>
      </c>
      <c r="J59" s="19"/>
    </row>
    <row r="60" spans="1:14" x14ac:dyDescent="0.3">
      <c r="A60" s="171" t="s">
        <v>177</v>
      </c>
      <c r="B60" s="172"/>
      <c r="C60" s="173" t="str">
        <f>D55</f>
        <v>Building No. 02 (T-12C) = Gr + P1 + P2 + S + 1st to 18th Floor</v>
      </c>
      <c r="D60" s="174"/>
      <c r="E60" s="174"/>
      <c r="F60" s="174"/>
      <c r="G60" s="174"/>
      <c r="H60" s="175"/>
      <c r="I60" s="17"/>
      <c r="J60" s="20"/>
    </row>
    <row r="61" spans="1:14" x14ac:dyDescent="0.3">
      <c r="A61" s="41" t="s">
        <v>179</v>
      </c>
      <c r="B61" s="59">
        <v>0</v>
      </c>
      <c r="C61" s="42" t="s">
        <v>100</v>
      </c>
      <c r="D61" s="42">
        <v>1</v>
      </c>
      <c r="E61" s="42" t="s">
        <v>99</v>
      </c>
      <c r="F61" s="42">
        <v>3</v>
      </c>
      <c r="G61" s="43" t="s">
        <v>112</v>
      </c>
      <c r="H61" s="44">
        <f ca="1">--TRIM(RIGHT(SUBSTITUTE(LEFT(C60,_xlfn.AGGREGATE(16,6,FIND({0,1,2,3,4,5,6,7,8,9},C60,ROW(INDIRECT("1:"&amp;LEN(C60)))),1))," ",REPT(" ",LEN(C60))),LEN(C60)))</f>
        <v>18</v>
      </c>
      <c r="I61" s="17" t="s">
        <v>139</v>
      </c>
      <c r="J61" s="20"/>
    </row>
    <row r="62" spans="1:14" x14ac:dyDescent="0.3">
      <c r="A62" s="121" t="s">
        <v>122</v>
      </c>
      <c r="B62" s="122"/>
      <c r="C62" s="141" t="s">
        <v>245</v>
      </c>
      <c r="D62" s="141"/>
      <c r="E62" s="141"/>
      <c r="F62" s="141"/>
      <c r="G62" s="141"/>
      <c r="H62" s="142"/>
      <c r="I62" s="50" t="s">
        <v>178</v>
      </c>
      <c r="J62" s="21">
        <f ca="1">H61*25%</f>
        <v>4.5</v>
      </c>
    </row>
    <row r="63" spans="1:14" x14ac:dyDescent="0.3">
      <c r="A63" s="107" t="s">
        <v>51</v>
      </c>
      <c r="B63" s="108"/>
      <c r="C63" s="46" t="s">
        <v>176</v>
      </c>
      <c r="D63" s="46" t="s">
        <v>115</v>
      </c>
      <c r="E63" s="108" t="s">
        <v>117</v>
      </c>
      <c r="F63" s="108"/>
      <c r="G63" s="108" t="s">
        <v>116</v>
      </c>
      <c r="H63" s="120"/>
      <c r="I63" s="50" t="s">
        <v>134</v>
      </c>
      <c r="J63" s="52">
        <f ca="1">H61*50%</f>
        <v>9</v>
      </c>
    </row>
    <row r="64" spans="1:14" x14ac:dyDescent="0.3">
      <c r="A64" s="107" t="s">
        <v>165</v>
      </c>
      <c r="B64" s="108"/>
      <c r="C64" s="51">
        <f ca="1">J64</f>
        <v>18</v>
      </c>
      <c r="D64" s="47">
        <f ca="1">((100/H61)*C64)/100</f>
        <v>1</v>
      </c>
      <c r="E64" s="103">
        <f ca="1">(((C65/H61*10)+(40/(D61+F61+H61)*C66)+(7.5/(H61)*C67)+(7.5/(H61)*C68)+(10/H61*C69)+(10/H61*C70)+(5/H61*C71)+(5/H61*C72)+(5/H61*C73))/100)</f>
        <v>1</v>
      </c>
      <c r="F64" s="103"/>
      <c r="G64" s="103">
        <f ca="1">((((C64/H61)*20)+((C65/H61)*25)+(30/(H61+F61+D61)*C66)+(5/H61*C67)+(5/H61*C68)+(5/H61*C69)+(5/H61*C70)+(0/H61*C71)+(0/H61*C72)+(5/H61*C73))/100)</f>
        <v>1</v>
      </c>
      <c r="H64" s="105"/>
      <c r="I64" s="50" t="s">
        <v>135</v>
      </c>
      <c r="J64" s="52">
        <f ca="1">H61</f>
        <v>18</v>
      </c>
    </row>
    <row r="65" spans="1:10" ht="15.75" customHeight="1" x14ac:dyDescent="0.3">
      <c r="A65" s="107" t="s">
        <v>52</v>
      </c>
      <c r="B65" s="108"/>
      <c r="C65" s="53">
        <v>18</v>
      </c>
      <c r="D65" s="47">
        <f ca="1">((100/H61)*C65)/100</f>
        <v>1</v>
      </c>
      <c r="E65" s="103"/>
      <c r="F65" s="103"/>
      <c r="G65" s="103"/>
      <c r="H65" s="105"/>
      <c r="I65" s="50" t="s">
        <v>136</v>
      </c>
      <c r="J65" s="54">
        <f ca="1">(IF(B61&gt;1,(H61/(B61+2)),H61/4))</f>
        <v>4.5</v>
      </c>
    </row>
    <row r="66" spans="1:10" ht="15.75" customHeight="1" x14ac:dyDescent="0.3">
      <c r="A66" s="107" t="s">
        <v>166</v>
      </c>
      <c r="B66" s="108"/>
      <c r="C66" s="53">
        <f>F61+19</f>
        <v>22</v>
      </c>
      <c r="D66" s="47">
        <f ca="1">((100/(D61+F61+H61))*C66)/100</f>
        <v>1.0000000000000002</v>
      </c>
      <c r="E66" s="103"/>
      <c r="F66" s="103"/>
      <c r="G66" s="103"/>
      <c r="H66" s="105"/>
      <c r="I66" s="50" t="s">
        <v>137</v>
      </c>
      <c r="J66" s="54">
        <f ca="1">(IF(B61&gt;1,(H61/(B61+2)+J65),H61/4+J65))</f>
        <v>9</v>
      </c>
    </row>
    <row r="67" spans="1:10" ht="15.75" customHeight="1" x14ac:dyDescent="0.3">
      <c r="A67" s="107" t="s">
        <v>173</v>
      </c>
      <c r="B67" s="108" t="s">
        <v>167</v>
      </c>
      <c r="C67" s="53">
        <v>18</v>
      </c>
      <c r="D67" s="47">
        <f ca="1">((100/H61)*C67)/100</f>
        <v>1</v>
      </c>
      <c r="E67" s="103"/>
      <c r="F67" s="103"/>
      <c r="G67" s="103"/>
      <c r="H67" s="105"/>
      <c r="I67" s="50" t="s">
        <v>183</v>
      </c>
      <c r="J67" s="54">
        <f>(IF(B61&gt;1,(H61/(B61+2)+J66),0))</f>
        <v>0</v>
      </c>
    </row>
    <row r="68" spans="1:10" ht="15" customHeight="1" x14ac:dyDescent="0.3">
      <c r="A68" s="107" t="s">
        <v>174</v>
      </c>
      <c r="B68" s="108" t="s">
        <v>167</v>
      </c>
      <c r="C68" s="53">
        <v>18</v>
      </c>
      <c r="D68" s="47">
        <f ca="1">((100/H61)*C68)/100</f>
        <v>1</v>
      </c>
      <c r="E68" s="103"/>
      <c r="F68" s="103"/>
      <c r="G68" s="103"/>
      <c r="H68" s="105"/>
      <c r="I68" s="50" t="s">
        <v>180</v>
      </c>
      <c r="J68" s="54">
        <f>(IF(B61&gt;2,(H61/(B61+2)+J67),0))</f>
        <v>0</v>
      </c>
    </row>
    <row r="69" spans="1:10" ht="15.75" customHeight="1" x14ac:dyDescent="0.3">
      <c r="A69" s="107" t="s">
        <v>172</v>
      </c>
      <c r="B69" s="108" t="s">
        <v>169</v>
      </c>
      <c r="C69" s="53">
        <v>18</v>
      </c>
      <c r="D69" s="47">
        <f ca="1">((100/(H61))*C69)/100</f>
        <v>1</v>
      </c>
      <c r="E69" s="103"/>
      <c r="F69" s="103"/>
      <c r="G69" s="103"/>
      <c r="H69" s="105"/>
      <c r="I69" s="50" t="s">
        <v>181</v>
      </c>
      <c r="J69" s="55">
        <f>(IF(B61&gt;3,(H61/(B61+2)+J68),0))</f>
        <v>0</v>
      </c>
    </row>
    <row r="70" spans="1:10" ht="15.75" customHeight="1" x14ac:dyDescent="0.3">
      <c r="A70" s="107" t="s">
        <v>168</v>
      </c>
      <c r="B70" s="108" t="s">
        <v>168</v>
      </c>
      <c r="C70" s="51">
        <v>18</v>
      </c>
      <c r="D70" s="47">
        <f ca="1">((100/H61)*C70)/100</f>
        <v>1</v>
      </c>
      <c r="E70" s="103"/>
      <c r="F70" s="103"/>
      <c r="G70" s="103"/>
      <c r="H70" s="105"/>
      <c r="I70" s="50" t="s">
        <v>182</v>
      </c>
      <c r="J70" s="54">
        <f>(IF(B61&gt;4,(H61/(B61+2)+J69),0))</f>
        <v>0</v>
      </c>
    </row>
    <row r="71" spans="1:10" ht="15.75" customHeight="1" x14ac:dyDescent="0.3">
      <c r="A71" s="107" t="s">
        <v>175</v>
      </c>
      <c r="B71" s="108"/>
      <c r="C71" s="51">
        <v>18</v>
      </c>
      <c r="D71" s="47">
        <f ca="1">((100/H61)*C71)/100</f>
        <v>1</v>
      </c>
      <c r="E71" s="103"/>
      <c r="F71" s="103"/>
      <c r="G71" s="103"/>
      <c r="H71" s="105"/>
      <c r="I71" s="50" t="s">
        <v>184</v>
      </c>
      <c r="J71" s="54">
        <f ca="1">(IF(B61=1,(H61/(B61+3)+J66),IF(B61=0,(H61/4+J66),IF(B61&gt;1,0))))</f>
        <v>13.5</v>
      </c>
    </row>
    <row r="72" spans="1:10" ht="16.2" thickBot="1" x14ac:dyDescent="0.35">
      <c r="A72" s="107" t="s">
        <v>170</v>
      </c>
      <c r="B72" s="108" t="s">
        <v>170</v>
      </c>
      <c r="C72" s="51">
        <v>18</v>
      </c>
      <c r="D72" s="47">
        <f ca="1">((100/(H61))*C72)/100</f>
        <v>1</v>
      </c>
      <c r="E72" s="103"/>
      <c r="F72" s="103"/>
      <c r="G72" s="103"/>
      <c r="H72" s="105"/>
      <c r="I72" s="57" t="s">
        <v>138</v>
      </c>
      <c r="J72" s="58">
        <f ca="1">(IF(B61&gt;1.5,(H61/(B61+2)+J66+MAX(0,J67-J66)+MAX(0,J68-J67)+MAX(0,J69-J68)+MAX(0,J70-J69)+MAX(0,J71-J70)),IF(B61=1,(H61/(B61+3)+J71),IF(B61=0,H61/4+J71))))</f>
        <v>18</v>
      </c>
    </row>
    <row r="73" spans="1:10" ht="16.2" thickBot="1" x14ac:dyDescent="0.35">
      <c r="A73" s="109" t="s">
        <v>171</v>
      </c>
      <c r="B73" s="110"/>
      <c r="C73" s="56">
        <v>18</v>
      </c>
      <c r="D73" s="48">
        <f ca="1">((100/(H61))*C73)/100</f>
        <v>1</v>
      </c>
      <c r="E73" s="104"/>
      <c r="F73" s="104"/>
      <c r="G73" s="104"/>
      <c r="H73" s="106"/>
    </row>
    <row r="74" spans="1:10" x14ac:dyDescent="0.3">
      <c r="A74" s="130" t="s">
        <v>153</v>
      </c>
      <c r="B74" s="131"/>
      <c r="C74" s="131"/>
      <c r="D74" s="131"/>
      <c r="E74" s="132"/>
      <c r="F74" s="130" t="str">
        <f ca="1">(IF(D59="Nothing","Yes",IF(D59="Cement, Aggregate, Steel, etc","Under Construction",IF(D59="Work not yet Started","Work not yet Started"))))</f>
        <v>Yes</v>
      </c>
      <c r="G74" s="131"/>
      <c r="H74" s="132"/>
    </row>
    <row r="75" spans="1:10" ht="15" customHeight="1" x14ac:dyDescent="0.3">
      <c r="A75" s="75" t="s">
        <v>53</v>
      </c>
      <c r="B75" s="75"/>
      <c r="C75" s="75"/>
      <c r="D75" s="75"/>
      <c r="E75" s="75"/>
      <c r="F75" s="75"/>
      <c r="G75" s="75"/>
      <c r="H75" s="75"/>
    </row>
    <row r="76" spans="1:10" ht="16.2" thickBot="1" x14ac:dyDescent="0.35">
      <c r="A76" s="122" t="s">
        <v>103</v>
      </c>
      <c r="B76" s="122"/>
      <c r="C76" s="141" t="s">
        <v>104</v>
      </c>
      <c r="D76" s="141"/>
      <c r="E76" s="141"/>
      <c r="F76" s="141"/>
      <c r="G76" s="141"/>
      <c r="H76" s="141"/>
    </row>
    <row r="77" spans="1:10" x14ac:dyDescent="0.3">
      <c r="A77" s="67" t="s">
        <v>54</v>
      </c>
      <c r="B77" s="68"/>
      <c r="C77" s="68"/>
      <c r="D77" s="68"/>
      <c r="E77" s="69"/>
      <c r="F77" s="70" t="s">
        <v>233</v>
      </c>
      <c r="G77" s="70"/>
      <c r="H77" s="71"/>
    </row>
    <row r="78" spans="1:10" x14ac:dyDescent="0.3">
      <c r="A78" s="74" t="s">
        <v>105</v>
      </c>
      <c r="B78" s="75"/>
      <c r="C78" s="75"/>
      <c r="D78" s="75"/>
      <c r="E78" s="75"/>
      <c r="F78" s="133">
        <v>21500</v>
      </c>
      <c r="G78" s="133"/>
      <c r="H78" s="134"/>
      <c r="I78" s="63" t="s">
        <v>234</v>
      </c>
    </row>
    <row r="79" spans="1:10" hidden="1" x14ac:dyDescent="0.3">
      <c r="A79" s="74" t="s">
        <v>110</v>
      </c>
      <c r="B79" s="75"/>
      <c r="C79" s="75"/>
      <c r="D79" s="75"/>
      <c r="E79" s="75"/>
      <c r="F79" s="72"/>
      <c r="G79" s="72"/>
      <c r="H79" s="73"/>
    </row>
    <row r="80" spans="1:10" s="11" customFormat="1" hidden="1" x14ac:dyDescent="0.3">
      <c r="A80" s="74" t="s">
        <v>111</v>
      </c>
      <c r="B80" s="75"/>
      <c r="C80" s="75"/>
      <c r="D80" s="75"/>
      <c r="E80" s="75"/>
      <c r="F80" s="72"/>
      <c r="G80" s="72"/>
      <c r="H80" s="73"/>
      <c r="I80" s="8"/>
    </row>
    <row r="81" spans="1:9" s="11" customFormat="1" hidden="1" x14ac:dyDescent="0.25">
      <c r="A81" s="74" t="s">
        <v>235</v>
      </c>
      <c r="B81" s="75"/>
      <c r="C81" s="75"/>
      <c r="D81" s="75"/>
      <c r="E81" s="75"/>
      <c r="F81" s="133"/>
      <c r="G81" s="133"/>
      <c r="H81" s="134"/>
    </row>
    <row r="82" spans="1:9" s="11" customFormat="1" hidden="1" x14ac:dyDescent="0.25">
      <c r="A82" s="74" t="s">
        <v>127</v>
      </c>
      <c r="B82" s="75"/>
      <c r="C82" s="75"/>
      <c r="D82" s="75"/>
      <c r="E82" s="75"/>
      <c r="F82" s="72"/>
      <c r="G82" s="72"/>
      <c r="H82" s="73"/>
    </row>
    <row r="83" spans="1:9" s="11" customFormat="1" hidden="1" x14ac:dyDescent="0.25">
      <c r="A83" s="74" t="s">
        <v>128</v>
      </c>
      <c r="B83" s="75"/>
      <c r="C83" s="75"/>
      <c r="D83" s="75"/>
      <c r="E83" s="75"/>
      <c r="F83" s="72"/>
      <c r="G83" s="72"/>
      <c r="H83" s="73"/>
    </row>
    <row r="84" spans="1:9" s="11" customFormat="1" hidden="1" x14ac:dyDescent="0.25">
      <c r="A84" s="74" t="s">
        <v>129</v>
      </c>
      <c r="B84" s="75"/>
      <c r="C84" s="75"/>
      <c r="D84" s="75"/>
      <c r="E84" s="75"/>
      <c r="F84" s="72"/>
      <c r="G84" s="72"/>
      <c r="H84" s="73"/>
    </row>
    <row r="85" spans="1:9" s="11" customFormat="1" hidden="1" x14ac:dyDescent="0.25">
      <c r="A85" s="74" t="s">
        <v>130</v>
      </c>
      <c r="B85" s="75"/>
      <c r="C85" s="75"/>
      <c r="D85" s="75"/>
      <c r="E85" s="75"/>
      <c r="F85" s="72"/>
      <c r="G85" s="72"/>
      <c r="H85" s="73"/>
    </row>
    <row r="86" spans="1:9" s="11" customFormat="1" hidden="1" x14ac:dyDescent="0.25">
      <c r="A86" s="74" t="s">
        <v>131</v>
      </c>
      <c r="B86" s="75"/>
      <c r="C86" s="75"/>
      <c r="D86" s="75"/>
      <c r="E86" s="75"/>
      <c r="F86" s="72"/>
      <c r="G86" s="72"/>
      <c r="H86" s="73"/>
    </row>
    <row r="87" spans="1:9" s="11" customFormat="1" hidden="1" x14ac:dyDescent="0.25">
      <c r="A87" s="74" t="s">
        <v>132</v>
      </c>
      <c r="B87" s="75"/>
      <c r="C87" s="75"/>
      <c r="D87" s="75"/>
      <c r="E87" s="75"/>
      <c r="F87" s="72"/>
      <c r="G87" s="72"/>
      <c r="H87" s="73"/>
    </row>
    <row r="88" spans="1:9" hidden="1" x14ac:dyDescent="0.3">
      <c r="A88" s="74" t="s">
        <v>133</v>
      </c>
      <c r="B88" s="75"/>
      <c r="C88" s="75"/>
      <c r="D88" s="75"/>
      <c r="E88" s="75"/>
      <c r="F88" s="72"/>
      <c r="G88" s="72"/>
      <c r="H88" s="73"/>
      <c r="I88" s="11"/>
    </row>
    <row r="89" spans="1:9" s="9" customFormat="1" x14ac:dyDescent="0.3">
      <c r="A89" s="74" t="s">
        <v>55</v>
      </c>
      <c r="B89" s="75"/>
      <c r="C89" s="75"/>
      <c r="D89" s="75"/>
      <c r="E89" s="75"/>
      <c r="F89" s="133">
        <v>1000000</v>
      </c>
      <c r="G89" s="133"/>
      <c r="H89" s="134"/>
      <c r="I89" s="8"/>
    </row>
    <row r="90" spans="1:9" s="1" customFormat="1" ht="16.2" thickBot="1" x14ac:dyDescent="0.35">
      <c r="A90" s="178" t="s">
        <v>56</v>
      </c>
      <c r="B90" s="179"/>
      <c r="C90" s="179"/>
      <c r="D90" s="179"/>
      <c r="E90" s="179"/>
      <c r="F90" s="180">
        <f>F78*0.8</f>
        <v>17200</v>
      </c>
      <c r="G90" s="180"/>
      <c r="H90" s="181"/>
      <c r="I90" s="9"/>
    </row>
    <row r="91" spans="1:9" s="1" customFormat="1" ht="15.75" customHeight="1" x14ac:dyDescent="0.3">
      <c r="A91" s="177" t="s">
        <v>98</v>
      </c>
      <c r="B91" s="177"/>
      <c r="C91" s="177"/>
      <c r="D91" s="177"/>
      <c r="E91" s="177"/>
      <c r="F91" s="177"/>
      <c r="G91" s="177"/>
      <c r="H91" s="177"/>
    </row>
    <row r="92" spans="1:9" s="1" customFormat="1" x14ac:dyDescent="0.3">
      <c r="A92" s="82" t="s">
        <v>57</v>
      </c>
      <c r="B92" s="82"/>
      <c r="C92" s="170" t="s">
        <v>108</v>
      </c>
      <c r="D92" s="170"/>
      <c r="E92" s="176" t="s">
        <v>58</v>
      </c>
      <c r="F92" s="176"/>
      <c r="G92" s="82" t="s">
        <v>59</v>
      </c>
      <c r="H92" s="82"/>
    </row>
    <row r="93" spans="1:9" s="9" customFormat="1" x14ac:dyDescent="0.3">
      <c r="A93" s="135" t="s">
        <v>223</v>
      </c>
      <c r="B93" s="135"/>
      <c r="C93" s="128">
        <f>COUNT(D103:D104)+COUNT(D106:D109)+COUNT(D111:D114)*11+COUNT(D116:D119)*7</f>
        <v>78</v>
      </c>
      <c r="D93" s="129"/>
      <c r="E93" s="125">
        <f>SUM(D103:D104)+SUM(D106:D109)+SUM(D111:D114)*11+SUM(D116:D119)*7</f>
        <v>50533.858439999996</v>
      </c>
      <c r="F93" s="126"/>
      <c r="G93" s="125">
        <f>SUM(F103:F104)+SUM(F106:F109)+SUM(F111:F114)*11+SUM(F116:F119)*7</f>
        <v>80854.173504000006</v>
      </c>
      <c r="H93" s="126"/>
    </row>
    <row r="94" spans="1:9" x14ac:dyDescent="0.3">
      <c r="A94" s="127" t="s">
        <v>62</v>
      </c>
      <c r="B94" s="127"/>
      <c r="C94" s="127"/>
      <c r="D94" s="127"/>
      <c r="E94" s="127"/>
      <c r="F94" s="127"/>
      <c r="G94" s="127"/>
      <c r="H94" s="127"/>
    </row>
    <row r="95" spans="1:9" x14ac:dyDescent="0.3">
      <c r="A95" s="127" t="s">
        <v>63</v>
      </c>
      <c r="B95" s="127"/>
      <c r="C95" s="127"/>
      <c r="D95" s="127"/>
      <c r="E95" s="127"/>
      <c r="F95" s="127"/>
      <c r="G95" s="127"/>
      <c r="H95" s="127"/>
      <c r="I95" s="35"/>
    </row>
    <row r="96" spans="1:9" s="2" customFormat="1" ht="46.8" x14ac:dyDescent="0.3">
      <c r="A96" s="87" t="s">
        <v>155</v>
      </c>
      <c r="B96" s="87" t="s">
        <v>156</v>
      </c>
      <c r="C96" s="83" t="s">
        <v>64</v>
      </c>
      <c r="D96" s="83" t="s">
        <v>65</v>
      </c>
      <c r="E96" s="85" t="s">
        <v>66</v>
      </c>
      <c r="F96" s="36" t="s">
        <v>154</v>
      </c>
      <c r="G96" s="87" t="s">
        <v>67</v>
      </c>
      <c r="H96" s="88"/>
      <c r="I96" s="35"/>
    </row>
    <row r="97" spans="1:14" s="2" customFormat="1" x14ac:dyDescent="0.3">
      <c r="A97" s="89"/>
      <c r="B97" s="89"/>
      <c r="C97" s="84"/>
      <c r="D97" s="84"/>
      <c r="E97" s="86"/>
      <c r="F97" s="34">
        <v>0.6</v>
      </c>
      <c r="G97" s="89"/>
      <c r="H97" s="90"/>
      <c r="I97" s="35"/>
      <c r="L97" s="65"/>
      <c r="M97" s="65"/>
    </row>
    <row r="98" spans="1:14" s="2" customFormat="1" x14ac:dyDescent="0.3">
      <c r="A98" s="94" t="s">
        <v>207</v>
      </c>
      <c r="B98" s="94"/>
      <c r="C98" s="94"/>
      <c r="D98" s="94"/>
      <c r="E98" s="94"/>
      <c r="F98" s="94"/>
      <c r="G98" s="94"/>
      <c r="H98" s="94"/>
      <c r="I98" s="35"/>
      <c r="L98" s="65"/>
      <c r="M98" s="65"/>
    </row>
    <row r="99" spans="1:14" s="2" customFormat="1" x14ac:dyDescent="0.3">
      <c r="A99" s="94" t="s">
        <v>211</v>
      </c>
      <c r="B99" s="94"/>
      <c r="C99" s="94"/>
      <c r="D99" s="94"/>
      <c r="E99" s="94"/>
      <c r="F99" s="94"/>
      <c r="G99" s="94"/>
      <c r="H99" s="94"/>
      <c r="I99" s="35"/>
      <c r="L99" s="65"/>
      <c r="M99" s="65"/>
    </row>
    <row r="100" spans="1:14" s="2" customFormat="1" x14ac:dyDescent="0.3">
      <c r="A100" s="94" t="s">
        <v>212</v>
      </c>
      <c r="B100" s="94"/>
      <c r="C100" s="94"/>
      <c r="D100" s="94"/>
      <c r="E100" s="94"/>
      <c r="F100" s="94"/>
      <c r="G100" s="94"/>
      <c r="H100" s="94"/>
      <c r="I100" s="35"/>
      <c r="L100" s="65"/>
      <c r="M100" s="65"/>
    </row>
    <row r="101" spans="1:14" s="2" customFormat="1" x14ac:dyDescent="0.3">
      <c r="A101" s="94" t="s">
        <v>213</v>
      </c>
      <c r="B101" s="94"/>
      <c r="C101" s="94"/>
      <c r="D101" s="94"/>
      <c r="E101" s="94"/>
      <c r="F101" s="94"/>
      <c r="G101" s="94"/>
      <c r="H101" s="94"/>
      <c r="I101" s="35"/>
      <c r="L101" s="65"/>
      <c r="M101" s="65"/>
    </row>
    <row r="102" spans="1:14" s="2" customFormat="1" ht="15.75" customHeight="1" x14ac:dyDescent="0.3">
      <c r="A102" s="94" t="s">
        <v>214</v>
      </c>
      <c r="B102" s="94"/>
      <c r="C102" s="94"/>
      <c r="D102" s="94"/>
      <c r="E102" s="94"/>
      <c r="F102" s="94"/>
      <c r="G102" s="94"/>
      <c r="H102" s="94"/>
      <c r="I102" s="35">
        <f>11800000/F103</f>
        <v>19946.265437057158</v>
      </c>
      <c r="N102" s="35"/>
    </row>
    <row r="103" spans="1:14" s="2" customFormat="1" ht="15.75" customHeight="1" x14ac:dyDescent="0.3">
      <c r="A103" s="66" t="s">
        <v>215</v>
      </c>
      <c r="B103" s="66"/>
      <c r="C103" s="18" t="s">
        <v>202</v>
      </c>
      <c r="D103" s="18">
        <f>(34.35)*10.764</f>
        <v>369.74340000000001</v>
      </c>
      <c r="E103" s="18">
        <v>0</v>
      </c>
      <c r="F103" s="18">
        <f>D103*(($F$97)+1)+E103</f>
        <v>591.58944000000008</v>
      </c>
      <c r="G103" s="159" t="str">
        <f>A102</f>
        <v>2nd Podium Floor Residental &amp; Amenities</v>
      </c>
      <c r="H103" s="160"/>
      <c r="I103" s="35"/>
      <c r="N103" s="35"/>
    </row>
    <row r="104" spans="1:14" s="2" customFormat="1" x14ac:dyDescent="0.3">
      <c r="A104" s="66" t="s">
        <v>216</v>
      </c>
      <c r="B104" s="66"/>
      <c r="C104" s="18" t="s">
        <v>202</v>
      </c>
      <c r="D104" s="18">
        <f>(33.53)*10.764</f>
        <v>360.91692</v>
      </c>
      <c r="E104" s="18">
        <v>0</v>
      </c>
      <c r="F104" s="18">
        <f>D104*(($F$97)+1)+E104</f>
        <v>577.46707200000003</v>
      </c>
      <c r="G104" s="161"/>
      <c r="H104" s="162"/>
      <c r="I104" s="35"/>
      <c r="L104" s="65"/>
      <c r="M104" s="65"/>
    </row>
    <row r="105" spans="1:14" s="2" customFormat="1" ht="15.75" customHeight="1" x14ac:dyDescent="0.3">
      <c r="A105" s="94" t="s">
        <v>209</v>
      </c>
      <c r="B105" s="94"/>
      <c r="C105" s="94"/>
      <c r="D105" s="94"/>
      <c r="E105" s="94"/>
      <c r="F105" s="94"/>
      <c r="G105" s="94"/>
      <c r="H105" s="94"/>
      <c r="I105" s="35"/>
      <c r="N105" s="35"/>
    </row>
    <row r="106" spans="1:14" s="2" customFormat="1" ht="15.75" customHeight="1" x14ac:dyDescent="0.3">
      <c r="A106" s="66">
        <v>1</v>
      </c>
      <c r="B106" s="66"/>
      <c r="C106" s="18" t="s">
        <v>202</v>
      </c>
      <c r="D106" s="18">
        <f>(34.35)*10.764</f>
        <v>369.74340000000001</v>
      </c>
      <c r="E106" s="18">
        <v>0</v>
      </c>
      <c r="F106" s="18">
        <f>D106*(($F$97)+1)+E106</f>
        <v>591.58944000000008</v>
      </c>
      <c r="G106" s="159" t="str">
        <f>A105</f>
        <v>Stilt Floor Residental &amp; Amenities</v>
      </c>
      <c r="H106" s="160"/>
      <c r="I106" s="35"/>
      <c r="N106" s="35"/>
    </row>
    <row r="107" spans="1:14" s="2" customFormat="1" ht="15.75" customHeight="1" x14ac:dyDescent="0.3">
      <c r="A107" s="66">
        <f>A106+1</f>
        <v>2</v>
      </c>
      <c r="B107" s="66"/>
      <c r="C107" s="18" t="s">
        <v>202</v>
      </c>
      <c r="D107" s="18">
        <f>(33.53)*10.764</f>
        <v>360.91692</v>
      </c>
      <c r="E107" s="18">
        <v>0</v>
      </c>
      <c r="F107" s="18">
        <f>D107*(($F$97)+1)+E107</f>
        <v>577.46707200000003</v>
      </c>
      <c r="G107" s="167"/>
      <c r="H107" s="168"/>
      <c r="I107" s="35"/>
      <c r="N107" s="35"/>
    </row>
    <row r="108" spans="1:14" s="2" customFormat="1" ht="15.75" customHeight="1" x14ac:dyDescent="0.3">
      <c r="A108" s="66">
        <v>3</v>
      </c>
      <c r="B108" s="66"/>
      <c r="C108" s="18" t="s">
        <v>147</v>
      </c>
      <c r="D108" s="18">
        <f>85.66*10.764</f>
        <v>922.04423999999995</v>
      </c>
      <c r="E108" s="18">
        <v>0</v>
      </c>
      <c r="F108" s="18">
        <f>D108*(($F$97)+1)+E108</f>
        <v>1475.270784</v>
      </c>
      <c r="G108" s="167"/>
      <c r="H108" s="168"/>
      <c r="I108" s="35"/>
      <c r="N108" s="35"/>
    </row>
    <row r="109" spans="1:14" s="2" customFormat="1" x14ac:dyDescent="0.3">
      <c r="A109" s="66">
        <f>A108+1</f>
        <v>4</v>
      </c>
      <c r="B109" s="66"/>
      <c r="C109" s="18" t="s">
        <v>217</v>
      </c>
      <c r="D109" s="18">
        <f>71.21*10.764</f>
        <v>766.50443999999993</v>
      </c>
      <c r="E109" s="18">
        <v>0</v>
      </c>
      <c r="F109" s="18">
        <f>D109*(($F$97)+1)+E109</f>
        <v>1226.4071039999999</v>
      </c>
      <c r="G109" s="161"/>
      <c r="H109" s="162"/>
      <c r="I109" s="35"/>
      <c r="L109" s="65"/>
      <c r="M109" s="65"/>
    </row>
    <row r="110" spans="1:14" s="2" customFormat="1" ht="15.75" customHeight="1" x14ac:dyDescent="0.3">
      <c r="A110" s="94" t="s">
        <v>218</v>
      </c>
      <c r="B110" s="94"/>
      <c r="C110" s="94"/>
      <c r="D110" s="94"/>
      <c r="E110" s="94"/>
      <c r="F110" s="94"/>
      <c r="G110" s="94"/>
      <c r="H110" s="94"/>
      <c r="I110" s="35">
        <f>12000000/F112</f>
        <v>20780.405640167824</v>
      </c>
      <c r="N110" s="35"/>
    </row>
    <row r="111" spans="1:14" s="2" customFormat="1" ht="15.75" customHeight="1" x14ac:dyDescent="0.3">
      <c r="A111" s="66">
        <v>1</v>
      </c>
      <c r="B111" s="66"/>
      <c r="C111" s="18" t="s">
        <v>202</v>
      </c>
      <c r="D111" s="18">
        <f>(34.35)*10.764</f>
        <v>369.74340000000001</v>
      </c>
      <c r="E111" s="18">
        <v>0</v>
      </c>
      <c r="F111" s="18">
        <f>D111*(($F$97)+1)+E111</f>
        <v>591.58944000000008</v>
      </c>
      <c r="G111" s="159" t="str">
        <f>A110</f>
        <v>1st to 4th, 6th, 8th, 10th, 12th, 14th, 16th &amp; 18th Floor Residental</v>
      </c>
      <c r="H111" s="160"/>
      <c r="I111" s="35"/>
      <c r="N111" s="35"/>
    </row>
    <row r="112" spans="1:14" s="2" customFormat="1" ht="15.75" customHeight="1" x14ac:dyDescent="0.3">
      <c r="A112" s="66">
        <f>A111+1</f>
        <v>2</v>
      </c>
      <c r="B112" s="66"/>
      <c r="C112" s="18" t="s">
        <v>202</v>
      </c>
      <c r="D112" s="18">
        <f>(33.53)*10.764</f>
        <v>360.91692</v>
      </c>
      <c r="E112" s="18">
        <v>0</v>
      </c>
      <c r="F112" s="18">
        <f>D112*(($F$97)+1)+E112</f>
        <v>577.46707200000003</v>
      </c>
      <c r="G112" s="167"/>
      <c r="H112" s="168"/>
      <c r="I112" s="35">
        <f>32500000/F113</f>
        <v>21361.526994407857</v>
      </c>
      <c r="N112" s="35"/>
    </row>
    <row r="113" spans="1:14" s="2" customFormat="1" ht="15.75" customHeight="1" x14ac:dyDescent="0.3">
      <c r="A113" s="66">
        <f>A112+1</f>
        <v>3</v>
      </c>
      <c r="B113" s="66"/>
      <c r="C113" s="18" t="s">
        <v>147</v>
      </c>
      <c r="D113" s="18">
        <f>88.34*10.764</f>
        <v>950.89175999999998</v>
      </c>
      <c r="E113" s="18">
        <v>0</v>
      </c>
      <c r="F113" s="18">
        <f>D113*(($F$97)+1)+E113</f>
        <v>1521.4268160000001</v>
      </c>
      <c r="G113" s="167"/>
      <c r="H113" s="168"/>
      <c r="I113" s="35">
        <f>32500000/F114</f>
        <v>21361.526994407857</v>
      </c>
      <c r="N113" s="35"/>
    </row>
    <row r="114" spans="1:14" s="2" customFormat="1" x14ac:dyDescent="0.3">
      <c r="A114" s="66">
        <f>A113+1</f>
        <v>4</v>
      </c>
      <c r="B114" s="66"/>
      <c r="C114" s="18" t="s">
        <v>147</v>
      </c>
      <c r="D114" s="18">
        <f>88.34*10.764</f>
        <v>950.89175999999998</v>
      </c>
      <c r="E114" s="18">
        <v>0</v>
      </c>
      <c r="F114" s="18">
        <f>D114*(($F$97)+1)+E114</f>
        <v>1521.4268160000001</v>
      </c>
      <c r="G114" s="161"/>
      <c r="H114" s="162"/>
      <c r="I114" s="35"/>
      <c r="L114" s="65"/>
      <c r="M114" s="65"/>
    </row>
    <row r="115" spans="1:14" s="2" customFormat="1" ht="15.75" customHeight="1" x14ac:dyDescent="0.3">
      <c r="A115" s="94" t="s">
        <v>220</v>
      </c>
      <c r="B115" s="94"/>
      <c r="C115" s="94"/>
      <c r="D115" s="94"/>
      <c r="E115" s="94"/>
      <c r="F115" s="94"/>
      <c r="G115" s="94"/>
      <c r="H115" s="94"/>
      <c r="I115" s="35"/>
      <c r="N115" s="35"/>
    </row>
    <row r="116" spans="1:14" s="2" customFormat="1" ht="15.75" customHeight="1" x14ac:dyDescent="0.3">
      <c r="A116" s="66">
        <v>1</v>
      </c>
      <c r="B116" s="66"/>
      <c r="C116" s="18" t="s">
        <v>202</v>
      </c>
      <c r="D116" s="18">
        <f>(34.35)*10.764</f>
        <v>369.74340000000001</v>
      </c>
      <c r="E116" s="18">
        <v>0</v>
      </c>
      <c r="F116" s="18">
        <f>D116*(($F$97)+1)+E116</f>
        <v>591.58944000000008</v>
      </c>
      <c r="G116" s="159" t="str">
        <f>A115</f>
        <v>5th, 7th, 9th, 11th, 13th, 15th &amp; 17th Floor (Part Refuge Area)</v>
      </c>
      <c r="H116" s="160"/>
      <c r="I116" s="35"/>
      <c r="N116" s="35"/>
    </row>
    <row r="117" spans="1:14" s="2" customFormat="1" ht="15.75" customHeight="1" x14ac:dyDescent="0.3">
      <c r="A117" s="66">
        <f>A116+1</f>
        <v>2</v>
      </c>
      <c r="B117" s="66"/>
      <c r="C117" s="18" t="s">
        <v>202</v>
      </c>
      <c r="D117" s="18">
        <f>(33.53)*10.764</f>
        <v>360.91692</v>
      </c>
      <c r="E117" s="18">
        <v>0</v>
      </c>
      <c r="F117" s="18">
        <f>D117*(($F$97)+1)+E117</f>
        <v>577.46707200000003</v>
      </c>
      <c r="G117" s="167"/>
      <c r="H117" s="168"/>
      <c r="I117" s="35"/>
      <c r="N117" s="35"/>
    </row>
    <row r="118" spans="1:14" s="2" customFormat="1" ht="15.75" customHeight="1" x14ac:dyDescent="0.3">
      <c r="A118" s="66">
        <f>A117+1</f>
        <v>3</v>
      </c>
      <c r="B118" s="66"/>
      <c r="C118" s="18" t="s">
        <v>147</v>
      </c>
      <c r="D118" s="18">
        <f>88.34*10.764</f>
        <v>950.89175999999998</v>
      </c>
      <c r="E118" s="18">
        <v>0</v>
      </c>
      <c r="F118" s="18">
        <f>D118*(($F$97)+1)+E118</f>
        <v>1521.4268160000001</v>
      </c>
      <c r="G118" s="167"/>
      <c r="H118" s="168"/>
      <c r="I118" s="35"/>
      <c r="N118" s="35"/>
    </row>
    <row r="119" spans="1:14" s="1" customFormat="1" x14ac:dyDescent="0.3">
      <c r="A119" s="66">
        <f>A118+1</f>
        <v>4</v>
      </c>
      <c r="B119" s="66"/>
      <c r="C119" s="18" t="s">
        <v>147</v>
      </c>
      <c r="D119" s="18">
        <f>88.34*10.764</f>
        <v>950.89175999999998</v>
      </c>
      <c r="E119" s="18">
        <v>0</v>
      </c>
      <c r="F119" s="18">
        <f>D119*(($F$97)+1)+E119</f>
        <v>1521.4268160000001</v>
      </c>
      <c r="G119" s="161"/>
      <c r="H119" s="162"/>
    </row>
    <row r="120" spans="1:14" s="1" customFormat="1" x14ac:dyDescent="0.3">
      <c r="A120" s="166" t="s">
        <v>75</v>
      </c>
      <c r="B120" s="166"/>
      <c r="C120" s="166"/>
      <c r="D120" s="166"/>
      <c r="E120" s="166"/>
      <c r="F120" s="166"/>
      <c r="G120" s="166"/>
      <c r="H120" s="166"/>
    </row>
    <row r="121" spans="1:14" s="1" customFormat="1" ht="52.5" customHeight="1" x14ac:dyDescent="0.3">
      <c r="A121" s="45">
        <v>1</v>
      </c>
      <c r="B121" s="79" t="s">
        <v>246</v>
      </c>
      <c r="C121" s="80"/>
      <c r="D121" s="80"/>
      <c r="E121" s="80"/>
      <c r="F121" s="80"/>
      <c r="G121" s="80"/>
      <c r="H121" s="81"/>
      <c r="I121" s="64" t="s">
        <v>242</v>
      </c>
      <c r="J121" s="64"/>
    </row>
    <row r="122" spans="1:14" s="1" customFormat="1" x14ac:dyDescent="0.3">
      <c r="A122" s="45">
        <f t="shared" ref="A122:A130" si="0">A121+1</f>
        <v>2</v>
      </c>
      <c r="B122" s="79" t="s">
        <v>199</v>
      </c>
      <c r="C122" s="80"/>
      <c r="D122" s="80"/>
      <c r="E122" s="80"/>
      <c r="F122" s="80"/>
      <c r="G122" s="80"/>
      <c r="H122" s="81"/>
    </row>
    <row r="123" spans="1:14" s="1" customFormat="1" x14ac:dyDescent="0.3">
      <c r="A123" s="45">
        <f t="shared" si="0"/>
        <v>3</v>
      </c>
      <c r="B123" s="79" t="s">
        <v>160</v>
      </c>
      <c r="C123" s="80"/>
      <c r="D123" s="80"/>
      <c r="E123" s="80"/>
      <c r="F123" s="80"/>
      <c r="G123" s="80"/>
      <c r="H123" s="81"/>
    </row>
    <row r="124" spans="1:14" s="1" customFormat="1" x14ac:dyDescent="0.3">
      <c r="A124" s="45">
        <f t="shared" si="0"/>
        <v>4</v>
      </c>
      <c r="B124" s="79" t="s">
        <v>205</v>
      </c>
      <c r="C124" s="80"/>
      <c r="D124" s="80"/>
      <c r="E124" s="80"/>
      <c r="F124" s="80"/>
      <c r="G124" s="80"/>
      <c r="H124" s="81"/>
    </row>
    <row r="125" spans="1:14" s="1" customFormat="1" x14ac:dyDescent="0.3">
      <c r="A125" s="45">
        <f t="shared" si="0"/>
        <v>5</v>
      </c>
      <c r="B125" s="79" t="s">
        <v>161</v>
      </c>
      <c r="C125" s="80"/>
      <c r="D125" s="80"/>
      <c r="E125" s="80"/>
      <c r="F125" s="80"/>
      <c r="G125" s="80"/>
      <c r="H125" s="81"/>
    </row>
    <row r="126" spans="1:14" s="1" customFormat="1" x14ac:dyDescent="0.3">
      <c r="A126" s="45">
        <f t="shared" si="0"/>
        <v>6</v>
      </c>
      <c r="B126" s="79" t="s">
        <v>162</v>
      </c>
      <c r="C126" s="80"/>
      <c r="D126" s="80"/>
      <c r="E126" s="80"/>
      <c r="F126" s="80"/>
      <c r="G126" s="80"/>
      <c r="H126" s="81"/>
    </row>
    <row r="127" spans="1:14" s="62" customFormat="1" x14ac:dyDescent="0.3">
      <c r="A127" s="45">
        <f t="shared" si="0"/>
        <v>7</v>
      </c>
      <c r="B127" s="91" t="s">
        <v>219</v>
      </c>
      <c r="C127" s="92"/>
      <c r="D127" s="92"/>
      <c r="E127" s="92"/>
      <c r="F127" s="92"/>
      <c r="G127" s="92"/>
      <c r="H127" s="93"/>
    </row>
    <row r="128" spans="1:14" x14ac:dyDescent="0.3">
      <c r="A128" s="45">
        <f t="shared" si="0"/>
        <v>8</v>
      </c>
      <c r="B128" s="76" t="s">
        <v>236</v>
      </c>
      <c r="C128" s="77"/>
      <c r="D128" s="77"/>
      <c r="E128" s="77"/>
      <c r="F128" s="77"/>
      <c r="G128" s="77"/>
      <c r="H128" s="78"/>
    </row>
    <row r="129" spans="1:8" x14ac:dyDescent="0.3">
      <c r="A129" s="45">
        <f t="shared" si="0"/>
        <v>9</v>
      </c>
      <c r="B129" s="91" t="s">
        <v>239</v>
      </c>
      <c r="C129" s="92"/>
      <c r="D129" s="92"/>
      <c r="E129" s="92"/>
      <c r="F129" s="92"/>
      <c r="G129" s="92"/>
      <c r="H129" s="93"/>
    </row>
    <row r="130" spans="1:8" x14ac:dyDescent="0.3">
      <c r="A130" s="45">
        <f t="shared" si="0"/>
        <v>10</v>
      </c>
      <c r="B130" s="91" t="s">
        <v>241</v>
      </c>
      <c r="C130" s="92"/>
      <c r="D130" s="92"/>
      <c r="E130" s="92"/>
      <c r="F130" s="92"/>
      <c r="G130" s="92"/>
      <c r="H130" s="93"/>
    </row>
    <row r="131" spans="1:8" x14ac:dyDescent="0.3">
      <c r="A131" s="147" t="s">
        <v>68</v>
      </c>
      <c r="B131" s="147"/>
      <c r="C131" s="147"/>
      <c r="D131" s="147"/>
      <c r="E131" s="147"/>
      <c r="F131" s="147"/>
      <c r="G131" s="147"/>
      <c r="H131" s="147"/>
    </row>
    <row r="132" spans="1:8" ht="15.75" customHeight="1" x14ac:dyDescent="0.3">
      <c r="A132" s="75" t="s">
        <v>69</v>
      </c>
      <c r="B132" s="75"/>
      <c r="C132" s="75"/>
      <c r="D132" s="75"/>
      <c r="E132" s="75"/>
      <c r="F132" s="75"/>
      <c r="G132" s="75"/>
      <c r="H132" s="75"/>
    </row>
    <row r="133" spans="1:8" x14ac:dyDescent="0.3">
      <c r="A133" s="165" t="s">
        <v>70</v>
      </c>
      <c r="B133" s="165"/>
      <c r="C133" s="165"/>
      <c r="D133" s="165"/>
      <c r="E133" s="165"/>
      <c r="F133" s="165"/>
      <c r="G133" s="165"/>
      <c r="H133" s="165"/>
    </row>
    <row r="134" spans="1:8" x14ac:dyDescent="0.3">
      <c r="A134" s="75" t="s">
        <v>71</v>
      </c>
      <c r="B134" s="75"/>
      <c r="C134" s="75"/>
      <c r="D134" s="75"/>
      <c r="E134" s="75"/>
      <c r="F134" s="75"/>
      <c r="G134" s="75"/>
      <c r="H134" s="75"/>
    </row>
    <row r="135" spans="1:8" x14ac:dyDescent="0.3">
      <c r="A135" s="75" t="s">
        <v>72</v>
      </c>
      <c r="B135" s="75"/>
      <c r="C135" s="75"/>
      <c r="D135" s="75"/>
      <c r="E135" s="75"/>
      <c r="F135" s="75"/>
      <c r="G135" s="75"/>
      <c r="H135" s="75"/>
    </row>
    <row r="136" spans="1:8" x14ac:dyDescent="0.3">
      <c r="A136" s="75" t="s">
        <v>163</v>
      </c>
      <c r="B136" s="75"/>
      <c r="C136" s="75"/>
      <c r="D136" s="75"/>
      <c r="E136" s="75"/>
      <c r="F136" s="75"/>
      <c r="G136" s="75"/>
      <c r="H136" s="75"/>
    </row>
    <row r="137" spans="1:8" x14ac:dyDescent="0.3">
      <c r="A137" s="140" t="s">
        <v>164</v>
      </c>
      <c r="B137" s="140"/>
      <c r="C137" s="140"/>
      <c r="D137" s="140"/>
      <c r="E137" s="140"/>
      <c r="F137" s="140"/>
      <c r="G137" s="140"/>
      <c r="H137" s="140"/>
    </row>
    <row r="138" spans="1:8" x14ac:dyDescent="0.3">
      <c r="A138" s="164" t="s">
        <v>107</v>
      </c>
      <c r="B138" s="164"/>
      <c r="C138" s="164" t="s">
        <v>240</v>
      </c>
      <c r="D138" s="164"/>
      <c r="E138" s="164" t="s">
        <v>140</v>
      </c>
      <c r="F138" s="164"/>
      <c r="G138" s="164" t="s">
        <v>247</v>
      </c>
      <c r="H138" s="164"/>
    </row>
    <row r="139" spans="1:8" x14ac:dyDescent="0.3">
      <c r="A139" s="163" t="s">
        <v>109</v>
      </c>
      <c r="B139" s="163"/>
      <c r="C139" s="163"/>
      <c r="D139" s="163"/>
      <c r="E139" s="163"/>
      <c r="F139" s="163"/>
      <c r="G139" s="163"/>
      <c r="H139" s="163"/>
    </row>
    <row r="140" spans="1:8" x14ac:dyDescent="0.3">
      <c r="A140" s="163"/>
      <c r="B140" s="163"/>
      <c r="C140" s="163"/>
      <c r="D140" s="163"/>
      <c r="E140" s="163"/>
      <c r="F140" s="163"/>
      <c r="G140" s="163"/>
      <c r="H140" s="163"/>
    </row>
    <row r="141" spans="1:8" x14ac:dyDescent="0.3">
      <c r="A141" s="163"/>
      <c r="B141" s="163"/>
      <c r="C141" s="163"/>
      <c r="D141" s="163"/>
      <c r="E141" s="163"/>
      <c r="F141" s="163"/>
      <c r="G141" s="163"/>
      <c r="H141" s="163"/>
    </row>
    <row r="142" spans="1:8" x14ac:dyDescent="0.3">
      <c r="A142" s="163"/>
      <c r="B142" s="163"/>
      <c r="C142" s="163"/>
      <c r="D142" s="163"/>
      <c r="E142" s="163"/>
      <c r="F142" s="163"/>
      <c r="G142" s="163"/>
      <c r="H142" s="163"/>
    </row>
    <row r="143" spans="1:8" x14ac:dyDescent="0.3">
      <c r="A143" s="13" t="s">
        <v>73</v>
      </c>
      <c r="B143" s="14"/>
      <c r="C143" s="14"/>
      <c r="D143" s="13" t="str">
        <f>E8</f>
        <v>Veridian at Emerald Isle 12C</v>
      </c>
      <c r="F143" s="14"/>
      <c r="G143" s="14"/>
      <c r="H143" s="14"/>
    </row>
    <row r="144" spans="1:8" x14ac:dyDescent="0.3">
      <c r="A144" s="14"/>
      <c r="B144" s="14"/>
      <c r="C144" s="14"/>
      <c r="D144" s="14"/>
      <c r="E144" s="14"/>
      <c r="F144" s="14"/>
      <c r="G144" s="14"/>
      <c r="H144" s="14"/>
    </row>
    <row r="145" spans="1:8" ht="15" customHeight="1" x14ac:dyDescent="0.3">
      <c r="A145" s="14"/>
      <c r="B145" s="14"/>
      <c r="C145" s="14"/>
      <c r="D145" s="14"/>
      <c r="E145" s="14"/>
      <c r="F145" s="14"/>
      <c r="G145" s="14"/>
      <c r="H145" s="14"/>
    </row>
    <row r="186" spans="1:1" x14ac:dyDescent="0.3">
      <c r="A186" s="16" t="s">
        <v>74</v>
      </c>
    </row>
  </sheetData>
  <mergeCells count="253">
    <mergeCell ref="B130:H130"/>
    <mergeCell ref="F78:H78"/>
    <mergeCell ref="A75:H75"/>
    <mergeCell ref="A76:B76"/>
    <mergeCell ref="C76:H76"/>
    <mergeCell ref="F79:H79"/>
    <mergeCell ref="A79:E79"/>
    <mergeCell ref="E93:F93"/>
    <mergeCell ref="A60:B60"/>
    <mergeCell ref="C60:H60"/>
    <mergeCell ref="A87:E87"/>
    <mergeCell ref="E92:F92"/>
    <mergeCell ref="F80:H80"/>
    <mergeCell ref="A84:E84"/>
    <mergeCell ref="A86:E86"/>
    <mergeCell ref="A85:E85"/>
    <mergeCell ref="F87:H87"/>
    <mergeCell ref="G92:H92"/>
    <mergeCell ref="F84:H84"/>
    <mergeCell ref="A91:H91"/>
    <mergeCell ref="A89:E89"/>
    <mergeCell ref="F89:H89"/>
    <mergeCell ref="A90:E90"/>
    <mergeCell ref="F90:H90"/>
    <mergeCell ref="A58:C58"/>
    <mergeCell ref="C49:E49"/>
    <mergeCell ref="G49:H49"/>
    <mergeCell ref="G47:H47"/>
    <mergeCell ref="A48:B49"/>
    <mergeCell ref="B129:H129"/>
    <mergeCell ref="E40:H40"/>
    <mergeCell ref="A40:D40"/>
    <mergeCell ref="A46:B46"/>
    <mergeCell ref="C46:E46"/>
    <mergeCell ref="A42:D42"/>
    <mergeCell ref="G46:H46"/>
    <mergeCell ref="A43:D43"/>
    <mergeCell ref="A44:D44"/>
    <mergeCell ref="A45:H45"/>
    <mergeCell ref="A78:E78"/>
    <mergeCell ref="A81:E81"/>
    <mergeCell ref="A70:B70"/>
    <mergeCell ref="A63:B63"/>
    <mergeCell ref="A66:B66"/>
    <mergeCell ref="A80:E80"/>
    <mergeCell ref="A69:B69"/>
    <mergeCell ref="A82:E82"/>
    <mergeCell ref="C92:D92"/>
    <mergeCell ref="A120:H120"/>
    <mergeCell ref="B96:B97"/>
    <mergeCell ref="A115:H115"/>
    <mergeCell ref="A107:B107"/>
    <mergeCell ref="A119:B119"/>
    <mergeCell ref="A117:B117"/>
    <mergeCell ref="A102:H102"/>
    <mergeCell ref="A98:H98"/>
    <mergeCell ref="G106:H109"/>
    <mergeCell ref="G111:H114"/>
    <mergeCell ref="G116:H119"/>
    <mergeCell ref="A99:H99"/>
    <mergeCell ref="A110:H110"/>
    <mergeCell ref="A111:B111"/>
    <mergeCell ref="A116:B116"/>
    <mergeCell ref="A113:B113"/>
    <mergeCell ref="A100:H100"/>
    <mergeCell ref="A139:H142"/>
    <mergeCell ref="A138:B138"/>
    <mergeCell ref="E138:F138"/>
    <mergeCell ref="C138:D138"/>
    <mergeCell ref="G138:H138"/>
    <mergeCell ref="A137:H137"/>
    <mergeCell ref="A135:H135"/>
    <mergeCell ref="A136:H136"/>
    <mergeCell ref="A131:H131"/>
    <mergeCell ref="A132:H132"/>
    <mergeCell ref="A134:H134"/>
    <mergeCell ref="A133:H133"/>
    <mergeCell ref="B125:H12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112:B112"/>
    <mergeCell ref="G103:H104"/>
    <mergeCell ref="A118:B118"/>
    <mergeCell ref="A96:A97"/>
    <mergeCell ref="C96:C97"/>
    <mergeCell ref="A103:B103"/>
    <mergeCell ref="A106:B106"/>
    <mergeCell ref="A7:D7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11:D11"/>
    <mergeCell ref="E11:H11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0:H30"/>
    <mergeCell ref="A31:B31"/>
    <mergeCell ref="A30:B30"/>
    <mergeCell ref="C31:E31"/>
    <mergeCell ref="F34:H34"/>
    <mergeCell ref="A36:B36"/>
    <mergeCell ref="C36:H36"/>
    <mergeCell ref="D58:H58"/>
    <mergeCell ref="A68:B68"/>
    <mergeCell ref="C62:H62"/>
    <mergeCell ref="A65:B65"/>
    <mergeCell ref="A67:B67"/>
    <mergeCell ref="E63:F63"/>
    <mergeCell ref="D54:H54"/>
    <mergeCell ref="A54:C54"/>
    <mergeCell ref="C37:H37"/>
    <mergeCell ref="A38:H38"/>
    <mergeCell ref="A37:B37"/>
    <mergeCell ref="A47:B47"/>
    <mergeCell ref="A51:H51"/>
    <mergeCell ref="A52:C52"/>
    <mergeCell ref="A41:D41"/>
    <mergeCell ref="E41:H41"/>
    <mergeCell ref="E42:H42"/>
    <mergeCell ref="E43:H43"/>
    <mergeCell ref="E44:H44"/>
    <mergeCell ref="A59:C59"/>
    <mergeCell ref="D59:H59"/>
    <mergeCell ref="A32:B32"/>
    <mergeCell ref="C32:E32"/>
    <mergeCell ref="A35:H35"/>
    <mergeCell ref="A34:B34"/>
    <mergeCell ref="C34:E34"/>
    <mergeCell ref="L114:M114"/>
    <mergeCell ref="G93:H93"/>
    <mergeCell ref="A94:H94"/>
    <mergeCell ref="A95:H95"/>
    <mergeCell ref="A101:H101"/>
    <mergeCell ref="A108:B108"/>
    <mergeCell ref="A109:B109"/>
    <mergeCell ref="A88:E88"/>
    <mergeCell ref="F82:H82"/>
    <mergeCell ref="A71:B71"/>
    <mergeCell ref="C93:D93"/>
    <mergeCell ref="A74:E74"/>
    <mergeCell ref="F74:H74"/>
    <mergeCell ref="F85:H85"/>
    <mergeCell ref="F81:H81"/>
    <mergeCell ref="F88:H88"/>
    <mergeCell ref="A93:B93"/>
    <mergeCell ref="L104:M104"/>
    <mergeCell ref="L109:M109"/>
    <mergeCell ref="A55:C55"/>
    <mergeCell ref="D55:H55"/>
    <mergeCell ref="A39:D39"/>
    <mergeCell ref="E39:H39"/>
    <mergeCell ref="A56:C56"/>
    <mergeCell ref="A57:C57"/>
    <mergeCell ref="D56:H56"/>
    <mergeCell ref="E64:F73"/>
    <mergeCell ref="G64:H73"/>
    <mergeCell ref="A72:B72"/>
    <mergeCell ref="A73:B73"/>
    <mergeCell ref="D53:H53"/>
    <mergeCell ref="G48:H48"/>
    <mergeCell ref="D52:H52"/>
    <mergeCell ref="C48:E48"/>
    <mergeCell ref="G50:H50"/>
    <mergeCell ref="C47:E47"/>
    <mergeCell ref="A50:B50"/>
    <mergeCell ref="C50:E50"/>
    <mergeCell ref="D57:H57"/>
    <mergeCell ref="A53:C53"/>
    <mergeCell ref="A64:B64"/>
    <mergeCell ref="G63:H63"/>
    <mergeCell ref="A62:B62"/>
    <mergeCell ref="L101:M101"/>
    <mergeCell ref="A104:B104"/>
    <mergeCell ref="A77:E77"/>
    <mergeCell ref="F77:H77"/>
    <mergeCell ref="F86:H86"/>
    <mergeCell ref="A83:E83"/>
    <mergeCell ref="F83:H83"/>
    <mergeCell ref="B128:H128"/>
    <mergeCell ref="L100:M100"/>
    <mergeCell ref="B126:H126"/>
    <mergeCell ref="L99:M99"/>
    <mergeCell ref="L98:M98"/>
    <mergeCell ref="A92:B92"/>
    <mergeCell ref="D96:D97"/>
    <mergeCell ref="E96:E97"/>
    <mergeCell ref="G96:H97"/>
    <mergeCell ref="L97:M97"/>
    <mergeCell ref="B127:H127"/>
    <mergeCell ref="B121:H121"/>
    <mergeCell ref="B122:H122"/>
    <mergeCell ref="B123:H123"/>
    <mergeCell ref="B124:H124"/>
    <mergeCell ref="A114:B114"/>
    <mergeCell ref="A105:H105"/>
  </mergeCells>
  <dataValidations disablePrompts="1" count="1">
    <dataValidation type="list" allowBlank="1" showInputMessage="1" showErrorMessage="1" sqref="F77:H77" xr:uid="{00000000-0002-0000-0000-000000000000}">
      <formula1>"On Saleable Area,On Builtup Area,On Carpet Area,On Plot Area"</formula1>
    </dataValidation>
  </dataValidation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&amp;P</oddFooter>
  </headerFooter>
  <rowBreaks count="4" manualBreakCount="4">
    <brk id="37" max="7" man="1"/>
    <brk id="59" max="16383" man="1"/>
    <brk id="142" max="7" man="1"/>
    <brk id="185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76</v>
      </c>
      <c r="C2" s="182"/>
      <c r="D2" s="182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77</v>
      </c>
      <c r="B4" s="5" t="s">
        <v>78</v>
      </c>
      <c r="C4" s="183" t="s">
        <v>79</v>
      </c>
      <c r="D4" s="183"/>
      <c r="E4" s="183"/>
      <c r="F4" s="6"/>
      <c r="G4" s="183" t="s">
        <v>80</v>
      </c>
      <c r="H4" s="183"/>
      <c r="I4" s="183"/>
      <c r="J4" s="183" t="s">
        <v>81</v>
      </c>
      <c r="K4" s="183"/>
      <c r="L4" s="183"/>
    </row>
    <row r="5" spans="1:12" x14ac:dyDescent="0.3">
      <c r="A5" s="3">
        <v>202</v>
      </c>
      <c r="B5" s="5"/>
      <c r="C5" s="5" t="s">
        <v>82</v>
      </c>
      <c r="D5" s="5" t="s">
        <v>83</v>
      </c>
      <c r="E5" s="5" t="s">
        <v>60</v>
      </c>
      <c r="F5" s="5"/>
      <c r="G5" s="5" t="s">
        <v>82</v>
      </c>
      <c r="H5" s="5" t="s">
        <v>83</v>
      </c>
      <c r="I5" s="5" t="s">
        <v>60</v>
      </c>
      <c r="J5" s="5" t="s">
        <v>82</v>
      </c>
      <c r="K5" s="5" t="s">
        <v>83</v>
      </c>
      <c r="L5" s="5" t="s">
        <v>60</v>
      </c>
    </row>
    <row r="6" spans="1:12" x14ac:dyDescent="0.3">
      <c r="B6" s="7" t="s">
        <v>84</v>
      </c>
      <c r="C6" s="7"/>
      <c r="D6" s="7"/>
      <c r="E6" s="7">
        <f>C6*D6</f>
        <v>0</v>
      </c>
      <c r="F6" s="7" t="s">
        <v>85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87</v>
      </c>
      <c r="C9" s="7"/>
      <c r="D9" s="7"/>
      <c r="E9" s="7">
        <f t="shared" si="0"/>
        <v>0</v>
      </c>
      <c r="F9" s="7" t="s">
        <v>85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88</v>
      </c>
      <c r="C13" s="7"/>
      <c r="D13" s="7"/>
      <c r="E13" s="7">
        <f t="shared" si="0"/>
        <v>0</v>
      </c>
      <c r="F13" s="7" t="s">
        <v>85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89</v>
      </c>
      <c r="C17" s="7"/>
      <c r="D17" s="7"/>
      <c r="E17" s="7">
        <f t="shared" si="0"/>
        <v>0</v>
      </c>
      <c r="F17" s="7" t="s">
        <v>85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89</v>
      </c>
      <c r="C20" s="7"/>
      <c r="D20" s="7"/>
      <c r="E20" s="7">
        <f t="shared" si="0"/>
        <v>0</v>
      </c>
      <c r="F20" s="7" t="s">
        <v>85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90</v>
      </c>
      <c r="C23" s="7"/>
      <c r="D23" s="7"/>
      <c r="E23" s="7">
        <f t="shared" si="0"/>
        <v>0</v>
      </c>
      <c r="F23" s="7" t="s">
        <v>91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92</v>
      </c>
      <c r="C24" s="7"/>
      <c r="D24" s="7"/>
      <c r="E24" s="7">
        <f t="shared" si="0"/>
        <v>0</v>
      </c>
      <c r="F24" s="7" t="s">
        <v>91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93</v>
      </c>
      <c r="C25" s="7"/>
      <c r="D25" s="7"/>
      <c r="E25" s="7">
        <f t="shared" si="0"/>
        <v>0</v>
      </c>
      <c r="F25" s="7" t="s">
        <v>91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95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61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I9" sqref="I9"/>
    </sheetView>
  </sheetViews>
  <sheetFormatPr defaultColWidth="8.6640625" defaultRowHeight="14.4" x14ac:dyDescent="0.3"/>
  <cols>
    <col min="1" max="1" width="8.6640625" style="22"/>
    <col min="2" max="2" width="22.109375" style="22" customWidth="1"/>
    <col min="3" max="3" width="37" style="22" customWidth="1"/>
    <col min="4" max="5" width="11.44140625" style="22" customWidth="1"/>
    <col min="6" max="6" width="14" style="22" customWidth="1"/>
    <col min="7" max="7" width="20" style="22" customWidth="1"/>
    <col min="8" max="8" width="16.44140625" style="22" customWidth="1"/>
    <col min="9" max="16384" width="8.6640625" style="22"/>
  </cols>
  <sheetData>
    <row r="1" spans="1:9" ht="15" customHeight="1" x14ac:dyDescent="0.3"/>
    <row r="2" spans="1:9" ht="15" customHeight="1" x14ac:dyDescent="0.3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3">
      <c r="A3" s="23"/>
      <c r="B3" s="184" t="s">
        <v>141</v>
      </c>
      <c r="C3" s="184"/>
      <c r="D3" s="184"/>
      <c r="E3" s="184"/>
      <c r="F3" s="184"/>
      <c r="G3" s="184"/>
      <c r="H3" s="184"/>
    </row>
    <row r="4" spans="1:9" x14ac:dyDescent="0.3">
      <c r="A4" s="23"/>
      <c r="B4" s="24" t="s">
        <v>142</v>
      </c>
      <c r="C4" s="24" t="s">
        <v>143</v>
      </c>
      <c r="D4" s="24" t="s">
        <v>77</v>
      </c>
      <c r="E4" s="24" t="s">
        <v>144</v>
      </c>
      <c r="F4" s="24" t="s">
        <v>151</v>
      </c>
      <c r="G4" s="24" t="s">
        <v>152</v>
      </c>
      <c r="H4" s="24" t="s">
        <v>145</v>
      </c>
    </row>
    <row r="5" spans="1:9" ht="15" customHeight="1" x14ac:dyDescent="0.3">
      <c r="A5" s="23"/>
      <c r="B5" s="26" t="s">
        <v>146</v>
      </c>
      <c r="C5" s="27"/>
      <c r="D5" s="26"/>
      <c r="E5" s="26"/>
      <c r="F5" s="28"/>
      <c r="G5" s="28"/>
      <c r="H5" s="29"/>
    </row>
    <row r="6" spans="1:9" x14ac:dyDescent="0.3">
      <c r="A6" s="23"/>
      <c r="B6" s="26" t="s">
        <v>146</v>
      </c>
      <c r="C6" s="30"/>
      <c r="D6" s="26"/>
      <c r="E6" s="26"/>
      <c r="F6" s="28"/>
      <c r="G6" s="28"/>
      <c r="H6" s="29"/>
    </row>
    <row r="7" spans="1:9" ht="15" customHeight="1" x14ac:dyDescent="0.3">
      <c r="A7" s="23"/>
      <c r="B7" s="26" t="s">
        <v>146</v>
      </c>
      <c r="C7" s="27"/>
      <c r="D7" s="26"/>
      <c r="E7" s="26"/>
      <c r="F7" s="28">
        <f t="shared" ref="F7:F11" si="0">E7*1.6</f>
        <v>0</v>
      </c>
      <c r="G7" s="28" t="e">
        <f t="shared" ref="G7:G11" si="1">H7/F7</f>
        <v>#DIV/0!</v>
      </c>
      <c r="H7" s="29"/>
    </row>
    <row r="8" spans="1:9" x14ac:dyDescent="0.3">
      <c r="A8" s="23"/>
      <c r="B8" s="26" t="s">
        <v>146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3">
      <c r="A9" s="23"/>
      <c r="B9" s="26" t="s">
        <v>146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3">
      <c r="A10" s="23"/>
      <c r="B10" s="26" t="s">
        <v>148</v>
      </c>
      <c r="C10" s="27"/>
      <c r="D10" s="26" t="s">
        <v>202</v>
      </c>
      <c r="E10" s="26">
        <v>365</v>
      </c>
      <c r="F10" s="28">
        <f t="shared" si="0"/>
        <v>584</v>
      </c>
      <c r="G10" s="28">
        <f t="shared" si="1"/>
        <v>20547.945205479453</v>
      </c>
      <c r="H10" s="29">
        <v>12000000</v>
      </c>
    </row>
    <row r="11" spans="1:9" ht="15" customHeight="1" x14ac:dyDescent="0.3">
      <c r="A11" s="23"/>
      <c r="B11" s="26" t="s">
        <v>148</v>
      </c>
      <c r="C11" s="27"/>
      <c r="D11" s="26" t="s">
        <v>147</v>
      </c>
      <c r="E11" s="26">
        <v>963</v>
      </c>
      <c r="F11" s="28">
        <f t="shared" si="0"/>
        <v>1540.8000000000002</v>
      </c>
      <c r="G11" s="28">
        <f t="shared" si="1"/>
        <v>21482.346832814121</v>
      </c>
      <c r="H11" s="29">
        <v>33100000</v>
      </c>
    </row>
    <row r="12" spans="1:9" ht="15" customHeight="1" x14ac:dyDescent="0.3">
      <c r="A12" s="23"/>
      <c r="B12" s="31" t="s">
        <v>149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3">
      <c r="B13" s="31" t="s">
        <v>150</v>
      </c>
      <c r="C13" s="26"/>
      <c r="D13" s="26"/>
      <c r="E13" s="26"/>
      <c r="F13" s="33"/>
      <c r="G13" s="31"/>
      <c r="H13" s="31"/>
      <c r="I13" s="25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2025-09-19T10:53:08Z</cp:lastPrinted>
  <dcterms:created xsi:type="dcterms:W3CDTF">2019-07-16T09:29:46Z</dcterms:created>
  <dcterms:modified xsi:type="dcterms:W3CDTF">2025-09-19T10:54:31Z</dcterms:modified>
</cp:coreProperties>
</file>