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Sept 25\Dump\"/>
    </mc:Choice>
  </mc:AlternateContent>
  <xr:revisionPtr revIDLastSave="0" documentId="13_ncr:1_{CF690711-B3E4-44A9-96AD-67B98AE55CB9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J167" i="1" l="1"/>
  <c r="J165" i="1"/>
  <c r="E206" i="1" l="1"/>
  <c r="D206" i="1"/>
  <c r="D205" i="1"/>
  <c r="D204" i="1"/>
  <c r="D203" i="1"/>
  <c r="D202" i="1"/>
  <c r="D201" i="1"/>
  <c r="D197" i="1"/>
  <c r="F197" i="1" s="1"/>
  <c r="K197" i="1" s="1"/>
  <c r="D196" i="1"/>
  <c r="F196" i="1" s="1"/>
  <c r="D195" i="1"/>
  <c r="D194" i="1"/>
  <c r="D192" i="1"/>
  <c r="F192" i="1" s="1"/>
  <c r="D191" i="1"/>
  <c r="F191" i="1" s="1"/>
  <c r="D190" i="1"/>
  <c r="F190" i="1" s="1"/>
  <c r="D189" i="1"/>
  <c r="F189" i="1" s="1"/>
  <c r="D188" i="1"/>
  <c r="F188" i="1" s="1"/>
  <c r="K188" i="1" s="1"/>
  <c r="D186" i="1"/>
  <c r="D185" i="1"/>
  <c r="F185" i="1" s="1"/>
  <c r="L185" i="1" s="1"/>
  <c r="D184" i="1"/>
  <c r="F184" i="1" s="1"/>
  <c r="L184" i="1" s="1"/>
  <c r="D183" i="1"/>
  <c r="F183" i="1" s="1"/>
  <c r="L183" i="1" s="1"/>
  <c r="D182" i="1"/>
  <c r="F182" i="1" s="1"/>
  <c r="L182" i="1" s="1"/>
  <c r="D181" i="1"/>
  <c r="F181" i="1" s="1"/>
  <c r="L181" i="1" s="1"/>
  <c r="D180" i="1"/>
  <c r="F180" i="1" s="1"/>
  <c r="L180" i="1" s="1"/>
  <c r="D179" i="1"/>
  <c r="F179" i="1" s="1"/>
  <c r="D178" i="1"/>
  <c r="F178" i="1" s="1"/>
  <c r="D177" i="1"/>
  <c r="F177" i="1" s="1"/>
  <c r="L177" i="1" s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C97" i="1" s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I206" i="1"/>
  <c r="F205" i="1"/>
  <c r="F204" i="1"/>
  <c r="F203" i="1"/>
  <c r="F202" i="1"/>
  <c r="F201" i="1"/>
  <c r="A200" i="1"/>
  <c r="A201" i="1" s="1"/>
  <c r="A202" i="1" s="1"/>
  <c r="A203" i="1" s="1"/>
  <c r="A204" i="1" s="1"/>
  <c r="A205" i="1" s="1"/>
  <c r="A206" i="1" s="1"/>
  <c r="A207" i="1" s="1"/>
  <c r="A208" i="1" s="1"/>
  <c r="G199" i="1"/>
  <c r="F195" i="1"/>
  <c r="F194" i="1"/>
  <c r="A189" i="1"/>
  <c r="A190" i="1" s="1"/>
  <c r="A191" i="1" s="1"/>
  <c r="A192" i="1" s="1"/>
  <c r="A193" i="1" s="1"/>
  <c r="A194" i="1" s="1"/>
  <c r="A195" i="1" s="1"/>
  <c r="A196" i="1" s="1"/>
  <c r="A197" i="1" s="1"/>
  <c r="G188" i="1"/>
  <c r="I184" i="1"/>
  <c r="I173" i="1"/>
  <c r="I179" i="1"/>
  <c r="F186" i="1"/>
  <c r="K186" i="1" s="1"/>
  <c r="A178" i="1"/>
  <c r="A179" i="1" s="1"/>
  <c r="A180" i="1" s="1"/>
  <c r="A181" i="1" s="1"/>
  <c r="A182" i="1" s="1"/>
  <c r="A183" i="1" s="1"/>
  <c r="A184" i="1" s="1"/>
  <c r="A185" i="1" s="1"/>
  <c r="A186" i="1" s="1"/>
  <c r="G177" i="1"/>
  <c r="I174" i="1"/>
  <c r="E101" i="1" l="1"/>
  <c r="E102" i="1" s="1"/>
  <c r="C96" i="1"/>
  <c r="C98" i="1" s="1"/>
  <c r="L178" i="1"/>
  <c r="L83" i="1" s="1"/>
  <c r="J95" i="1"/>
  <c r="K182" i="1"/>
  <c r="K180" i="1"/>
  <c r="K183" i="1"/>
  <c r="K181" i="1"/>
  <c r="E96" i="1"/>
  <c r="C101" i="1"/>
  <c r="C102" i="1" s="1"/>
  <c r="E97" i="1"/>
  <c r="F206" i="1"/>
  <c r="K83" i="1" l="1"/>
  <c r="I83" i="1" s="1"/>
  <c r="E98" i="1"/>
  <c r="I166" i="1"/>
  <c r="F175" i="1"/>
  <c r="F174" i="1"/>
  <c r="F173" i="1"/>
  <c r="F172" i="1"/>
  <c r="F171" i="1"/>
  <c r="F170" i="1"/>
  <c r="F156" i="1"/>
  <c r="F155" i="1"/>
  <c r="F152" i="1"/>
  <c r="F161" i="1"/>
  <c r="F160" i="1"/>
  <c r="F159" i="1"/>
  <c r="F158" i="1"/>
  <c r="F157" i="1"/>
  <c r="F154" i="1"/>
  <c r="F153" i="1"/>
  <c r="F151" i="1"/>
  <c r="F150" i="1"/>
  <c r="F149" i="1"/>
  <c r="F148" i="1"/>
  <c r="F147" i="1"/>
  <c r="F146" i="1"/>
  <c r="A146" i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I145" i="1"/>
  <c r="G145" i="1"/>
  <c r="F145" i="1"/>
  <c r="F143" i="1"/>
  <c r="F140" i="1"/>
  <c r="F141" i="1"/>
  <c r="F139" i="1"/>
  <c r="F138" i="1"/>
  <c r="F137" i="1"/>
  <c r="F136" i="1"/>
  <c r="F135" i="1"/>
  <c r="F134" i="1"/>
  <c r="F129" i="1"/>
  <c r="F132" i="1"/>
  <c r="F133" i="1"/>
  <c r="F127" i="1"/>
  <c r="I127" i="1"/>
  <c r="F142" i="1"/>
  <c r="F131" i="1"/>
  <c r="F130" i="1"/>
  <c r="F128" i="1"/>
  <c r="A128" i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G127" i="1"/>
  <c r="F124" i="1"/>
  <c r="F125" i="1"/>
  <c r="F122" i="1"/>
  <c r="F123" i="1"/>
  <c r="F121" i="1"/>
  <c r="F120" i="1"/>
  <c r="F119" i="1"/>
  <c r="F118" i="1"/>
  <c r="F114" i="1"/>
  <c r="F115" i="1"/>
  <c r="F113" i="1"/>
  <c r="I109" i="1"/>
  <c r="F117" i="1"/>
  <c r="K117" i="1" s="1"/>
  <c r="K84" i="1" s="1"/>
  <c r="F116" i="1"/>
  <c r="G97" i="1" l="1"/>
  <c r="Z12" i="1"/>
  <c r="I14" i="1"/>
  <c r="F166" i="1" l="1"/>
  <c r="F109" i="1"/>
  <c r="E103" i="1" l="1"/>
  <c r="C103" i="1"/>
  <c r="E43" i="1" l="1"/>
  <c r="E44" i="1" s="1"/>
  <c r="E30" i="1" l="1"/>
  <c r="F167" i="1" l="1"/>
  <c r="F168" i="1"/>
  <c r="F169" i="1"/>
  <c r="J94" i="1" s="1"/>
  <c r="A167" i="1"/>
  <c r="A168" i="1" s="1"/>
  <c r="A169" i="1" s="1"/>
  <c r="G166" i="1"/>
  <c r="G101" i="1" l="1"/>
  <c r="G102" i="1" s="1"/>
  <c r="A170" i="1"/>
  <c r="A171" i="1" s="1"/>
  <c r="A172" i="1" s="1"/>
  <c r="A173" i="1" s="1"/>
  <c r="A174" i="1" s="1"/>
  <c r="A175" i="1" s="1"/>
  <c r="F93" i="1"/>
  <c r="F110" i="1" l="1"/>
  <c r="F111" i="1"/>
  <c r="F112" i="1"/>
  <c r="G96" i="1" l="1"/>
  <c r="G98" i="1" s="1"/>
  <c r="G103" i="1" s="1"/>
  <c r="B235" i="1"/>
  <c r="A216" i="1"/>
  <c r="A222" i="1"/>
  <c r="A228" i="1"/>
  <c r="F232" i="1" l="1"/>
  <c r="F231" i="1"/>
  <c r="F230" i="1"/>
  <c r="F229" i="1"/>
  <c r="F228" i="1"/>
  <c r="F226" i="1"/>
  <c r="F225" i="1"/>
  <c r="F224" i="1"/>
  <c r="F223" i="1"/>
  <c r="F222" i="1"/>
  <c r="F220" i="1"/>
  <c r="F219" i="1"/>
  <c r="F218" i="1"/>
  <c r="F217" i="1"/>
  <c r="F216" i="1"/>
  <c r="F214" i="1"/>
  <c r="F213" i="1"/>
  <c r="F211" i="1"/>
  <c r="F210" i="1"/>
  <c r="F212" i="1"/>
  <c r="A217" i="1"/>
  <c r="A229" i="1"/>
  <c r="A223" i="1"/>
  <c r="B236" i="1" l="1"/>
  <c r="A224" i="1"/>
  <c r="A218" i="1"/>
  <c r="A23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9" i="1"/>
  <c r="G228" i="1"/>
  <c r="G229" i="1" s="1"/>
  <c r="G230" i="1" s="1"/>
  <c r="G231" i="1" s="1"/>
  <c r="G232" i="1" s="1"/>
  <c r="G222" i="1"/>
  <c r="G223" i="1" s="1"/>
  <c r="G224" i="1" s="1"/>
  <c r="G225" i="1" s="1"/>
  <c r="G226" i="1" s="1"/>
  <c r="G216" i="1"/>
  <c r="G217" i="1" s="1"/>
  <c r="G218" i="1" s="1"/>
  <c r="G219" i="1" s="1"/>
  <c r="G220" i="1" s="1"/>
  <c r="G210" i="1"/>
  <c r="G211" i="1" s="1"/>
  <c r="G212" i="1" s="1"/>
  <c r="G213" i="1" s="1"/>
  <c r="G214" i="1" s="1"/>
  <c r="A210" i="1"/>
  <c r="A211" i="1" s="1"/>
  <c r="A212" i="1" s="1"/>
  <c r="A213" i="1" s="1"/>
  <c r="A214" i="1" s="1"/>
  <c r="A110" i="1"/>
  <c r="A111" i="1" s="1"/>
  <c r="A112" i="1" s="1"/>
  <c r="G109" i="1"/>
  <c r="C66" i="1"/>
  <c r="B67" i="1" s="1"/>
  <c r="D55" i="1"/>
  <c r="G50" i="1"/>
  <c r="G51" i="1" s="1"/>
  <c r="C50" i="1"/>
  <c r="E27" i="1"/>
  <c r="E25" i="1"/>
  <c r="E7" i="1"/>
  <c r="E3" i="1"/>
  <c r="A219" i="1"/>
  <c r="A225" i="1"/>
  <c r="A231" i="1"/>
  <c r="A113" i="1" l="1"/>
  <c r="A114" i="1" s="1"/>
  <c r="A115" i="1" s="1"/>
  <c r="A116" i="1" s="1"/>
  <c r="D60" i="1"/>
  <c r="A226" i="1"/>
  <c r="H67" i="1"/>
  <c r="A220" i="1"/>
  <c r="A232" i="1"/>
  <c r="A117" i="1" l="1"/>
  <c r="A118" i="1" s="1"/>
  <c r="A119" i="1" s="1"/>
  <c r="A120" i="1" s="1"/>
  <c r="D79" i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J69" i="1"/>
  <c r="J74" i="1"/>
  <c r="J75" i="1" s="1"/>
  <c r="J76" i="1" s="1"/>
  <c r="J77" i="1" s="1"/>
  <c r="D72" i="1"/>
  <c r="D70" i="1" l="1"/>
  <c r="A121" i="1"/>
  <c r="A122" i="1" s="1"/>
  <c r="A123" i="1" s="1"/>
  <c r="A124" i="1" s="1"/>
  <c r="A125" i="1" s="1"/>
  <c r="J79" i="1"/>
  <c r="C71" i="1" l="1"/>
  <c r="G70" i="1" s="1"/>
  <c r="D64" i="1" s="1"/>
  <c r="J67" i="1" l="1"/>
  <c r="E70" i="1"/>
  <c r="D71" i="1"/>
  <c r="I67" i="1" s="1"/>
  <c r="I68" i="1" s="1"/>
  <c r="D65" i="1"/>
  <c r="F65" i="1"/>
  <c r="I66" i="1" l="1"/>
  <c r="C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<sst xmlns="http://schemas.openxmlformats.org/spreadsheetml/2006/main" count="486" uniqueCount="299">
  <si>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</si>
  <si>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</si>
  <si>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</si>
  <si>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</si>
  <si>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</si>
  <si>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</si>
  <si>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</si>
  <si>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</si>
  <si>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</si>
  <si>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</si>
  <si>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</si>
  <si>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</si>
  <si>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</si>
  <si>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</si>
  <si>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</si>
  <si>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</si>
  <si>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</si>
  <si>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</si>
  <si>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</si>
  <si>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</si>
  <si>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</si>
  <si>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</si>
  <si>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</si>
  <si>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</si>
  <si>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</si>
  <si>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</si>
  <si>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</si>
  <si>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</si>
  <si>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</si>
  <si>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</si>
  <si>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</si>
  <si>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</si>
  <si>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</si>
  <si>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</si>
  <si>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</si>
  <si>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</si>
  <si>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</si>
  <si>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</si>
  <si>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</si>
  <si>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</si>
  <si>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</si>
  <si>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</si>
  <si>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</si>
  <si>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</si>
  <si>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</si>
  <si>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</si>
  <si>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</si>
  <si>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</si>
  <si>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</si>
  <si>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</si>
  <si>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</si>
  <si>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</si>
  <si>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</si>
  <si>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</si>
  <si>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</si>
  <si>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</si>
  <si>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</si>
  <si>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</si>
  <si>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</si>
  <si>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</si>
  <si>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</si>
  <si>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</si>
  <si>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</si>
  <si>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</si>
  <si>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</si>
  <si>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</si>
  <si>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</si>
  <si>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</si>
  <si>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</si>
  <si>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</si>
  <si>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</si>
  <si>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</si>
  <si>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</si>
  <si>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</si>
  <si>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</si>
  <si>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</si>
  <si>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</si>
  <si>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</si>
  <si>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</si>
  <si>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</si>
  <si>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</si>
  <si>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</si>
  <si>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</si>
  <si>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</si>
  <si>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</si>
  <si>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</si>
  <si>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</si>
  <si>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</si>
  <si>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</si>
  <si>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</si>
  <si>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</si>
  <si>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</si>
  <si>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</si>
  <si>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</si>
  <si>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</si>
  <si>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</si>
  <si>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</si>
  <si>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</si>
  <si>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</si>
  <si>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</si>
  <si>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</si>
  <si>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</si>
  <si>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</si>
  <si>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</si>
  <si>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</si>
  <si>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</si>
  <si>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</si>
  <si>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</si>
  <si>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</si>
  <si>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</si>
  <si>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</si>
  <si>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</si>
  <si>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</si>
  <si>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</si>
  <si>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</si>
  <si>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</si>
  <si>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</si>
  <si>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</si>
  <si>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</si>
  <si>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</si>
  <si>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</si>
  <si>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</si>
  <si>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</si>
  <si>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</si>
  <si>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</si>
  <si>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</si>
  <si>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</si>
  <si>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</si>
  <si>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</si>
  <si>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</si>
  <si>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</si>
  <si>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</si>
  <si>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</si>
  <si>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</si>
  <si>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</si>
  <si>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</si>
  <si>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</si>
  <si>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</si>
  <si>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</si>
  <si>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</si>
  <si>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</si>
  <si>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</si>
  <si>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</si>
  <si>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</si>
  <si>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</si>
  <si>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</si>
  <si>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</si>
  <si>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</si>
  <si>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</si>
  <si>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</si>
  <si>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</si>
  <si>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</si>
  <si>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</si>
  <si>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</si>
  <si>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</si>
  <si>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</si>
  <si>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</si>
  <si>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</si>
  <si>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</si>
  <si>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</si>
  <si>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</si>
  <si>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</si>
  <si>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</si>
  <si>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</si>
  <si>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</si>
  <si>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</si>
  <si>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</si>
  <si>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</si>
  <si>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</si>
  <si>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</si>
  <si>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</si>
  <si>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</si>
  <si>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</si>
  <si>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</si>
  <si>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</si>
  <si>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</si>
  <si>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</si>
  <si>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</si>
  <si>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</si>
  <si>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</si>
  <si>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</si>
  <si>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</si>
  <si>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</si>
  <si>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</si>
  <si>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</si>
  <si>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</si>
  <si>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</si>
  <si>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</si>
  <si>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</si>
  <si>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</si>
  <si>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</si>
  <si>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</si>
  <si>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</si>
  <si>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</si>
  <si>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</si>
  <si>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</si>
  <si>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</si>
  <si>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</si>
  <si>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</si>
  <si>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</si>
  <si>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</si>
  <si>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</si>
  <si>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</si>
  <si>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</si>
  <si>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</si>
  <si>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</si>
  <si>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</si>
  <si>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</si>
  <si>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</si>
  <si>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</si>
  <si>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</si>
  <si>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</si>
  <si>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</si>
  <si>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</si>
  <si>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</si>
  <si>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</si>
  <si>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</si>
  <si>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</si>
  <si>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</si>
  <si>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</si>
  <si>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</si>
  <si>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</si>
  <si>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</si>
  <si>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</si>
  <si>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</si>
  <si>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</si>
  <si>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</si>
  <si>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</si>
  <si>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</si>
  <si>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</si>
  <si>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</si>
  <si>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</si>
  <si>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</si>
  <si>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</si>
  <si>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</si>
  <si>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</si>
  <si>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</si>
  <si>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Innovision Estates</t>
  </si>
  <si>
    <t>The Midtown</t>
  </si>
  <si>
    <t>P99000051784</t>
  </si>
  <si>
    <t>Survey No</t>
  </si>
  <si>
    <t>Nilemore</t>
  </si>
  <si>
    <t>https://goo.gl/maps/aR9agYw8XbQXfwvz6</t>
  </si>
  <si>
    <t>19.4222164,72.80669</t>
  </si>
  <si>
    <t>Virar-Nallasopara Link Road</t>
  </si>
  <si>
    <t>Morya Nagar</t>
  </si>
  <si>
    <t>1.8 KM from Nalasopara Railway Station</t>
  </si>
  <si>
    <t>St.Anne's High school</t>
  </si>
  <si>
    <t>Open Plot</t>
  </si>
  <si>
    <t>30M Wide DP Road</t>
  </si>
  <si>
    <t>Other Plot</t>
  </si>
  <si>
    <t>Plot No.12</t>
  </si>
  <si>
    <t>Vasai Virar City Municipal Corporation (V.V.C.M.C)</t>
  </si>
  <si>
    <t>VVCMC/TP/CC/VP/0402/559/2022-23</t>
  </si>
  <si>
    <t>As per RERA - 30/06/2027</t>
  </si>
  <si>
    <t>Ground Floor for Commercial</t>
  </si>
  <si>
    <t>Shop</t>
  </si>
  <si>
    <t>1st Floor</t>
  </si>
  <si>
    <t>Office</t>
  </si>
  <si>
    <t>3rd Floor for Residential</t>
  </si>
  <si>
    <t>3BHK</t>
  </si>
  <si>
    <t>4BHK</t>
  </si>
  <si>
    <t>2BHK</t>
  </si>
  <si>
    <t>4th to 5th, 7th to 9th Floor</t>
  </si>
  <si>
    <t>Refuge Area</t>
  </si>
  <si>
    <t>6th Floor (Part Refuge Area)</t>
  </si>
  <si>
    <t>10th Floor (Part Terrace Area)</t>
  </si>
  <si>
    <t>Terrace Area</t>
  </si>
  <si>
    <t>We considered Gross carpet area = Net carpet.</t>
  </si>
  <si>
    <t>Gr/Stilt + 1st to 10th Floor</t>
  </si>
  <si>
    <t>Gr/Stilt + 1st to 18th Floor</t>
  </si>
  <si>
    <t>Flats</t>
  </si>
  <si>
    <t>Flats - 75, Shops - 17, Offices - 34</t>
  </si>
  <si>
    <t>VVCMC/TP/CC/VP-0402/559/2022-23</t>
  </si>
  <si>
    <t>Commencement-CC No</t>
  </si>
  <si>
    <t>Valid Up to : Gr/Stilt + 1st to 10th Floor</t>
  </si>
  <si>
    <t>24*7 Water Supply, Security access, Power Backup, Indoor Games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</si>
  <si>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</si>
  <si>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MIS</t>
  </si>
  <si>
    <t>Online</t>
  </si>
  <si>
    <t>Visitor</t>
  </si>
  <si>
    <t>Nalasopara  (West)</t>
  </si>
  <si>
    <t>Sheet</t>
  </si>
  <si>
    <t>P99000032307</t>
  </si>
  <si>
    <t>Narayan Heights</t>
  </si>
  <si>
    <t>149, Plot No.4,5,6,7 &amp; S.No.149(Pt)/ S.No.157(Pt)/Plot No.8 &amp; S.No.157/A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</si>
  <si>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</si>
  <si>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Development charges added by smith</t>
  </si>
  <si>
    <t>2 to 3L</t>
  </si>
  <si>
    <t>smith</t>
  </si>
  <si>
    <t>Recommended Rates/Other Charges of the Property have been revised on 28/12/2023.</t>
  </si>
  <si>
    <t>Mr.Suresh : 9167687422</t>
  </si>
  <si>
    <t>Navnath Bhatkar</t>
  </si>
  <si>
    <t>Mr. Pranit 9167687422</t>
  </si>
  <si>
    <t>Mr. Suresh (Sales) 9011014222</t>
  </si>
  <si>
    <t>Please check for Fire Noc.</t>
  </si>
  <si>
    <t>Construction work is in process at the time of Visit.</t>
  </si>
  <si>
    <t>Construction work goes beyond the CC permission. Please provide revised CC &amp; approved floor plans.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</si>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</sst>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rgb="FF27272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0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14" fontId="7" fillId="0" borderId="0" xfId="1" applyNumberFormat="1" applyFont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hidden="1"/>
    </xf>
    <xf numFmtId="0" fontId="7" fillId="0" borderId="8" xfId="1" applyFont="1" applyBorder="1" applyAlignment="1">
      <alignment horizontal="center" vertical="center"/>
    </xf>
    <xf numFmtId="0" fontId="18" fillId="0" borderId="8" xfId="0" applyFont="1" applyBorder="1" applyAlignment="1" applyProtection="1">
      <alignment horizontal="center" vertical="center"/>
      <protection hidden="1"/>
    </xf>
    <xf numFmtId="1" fontId="0" fillId="0" borderId="8" xfId="0" applyNumberFormat="1" applyBorder="1" applyAlignment="1">
      <alignment horizontal="center" vertical="center"/>
    </xf>
    <xf numFmtId="0" fontId="18" fillId="0" borderId="9" xfId="0" applyFont="1" applyBorder="1" applyAlignment="1" applyProtection="1">
      <alignment horizontal="center" vertical="center"/>
      <protection hidden="1"/>
    </xf>
    <xf numFmtId="1" fontId="0" fillId="0" borderId="10" xfId="0" applyNumberFormat="1" applyBorder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2" borderId="0" xfId="1" applyFont="1" applyFill="1" applyAlignment="1">
      <alignment horizontal="center" vertical="center"/>
    </xf>
    <xf numFmtId="14" fontId="7" fillId="2" borderId="0" xfId="1" applyNumberFormat="1" applyFont="1" applyFill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14" fontId="15" fillId="2" borderId="0" xfId="1" applyNumberFormat="1" applyFont="1" applyFill="1" applyAlignment="1">
      <alignment horizontal="center" vertical="center"/>
    </xf>
    <xf numFmtId="0" fontId="12" fillId="0" borderId="3" xfId="1" applyFont="1" applyBorder="1" applyAlignment="1" applyProtection="1">
      <alignment horizontal="center" vertical="top" wrapText="1"/>
      <protection locked="0"/>
    </xf>
    <xf numFmtId="9" fontId="12" fillId="0" borderId="3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12" fillId="0" borderId="31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6" xfId="1" applyFont="1" applyBorder="1" applyAlignment="1" applyProtection="1">
      <alignment horizontal="center" vertical="top"/>
      <protection locked="0"/>
    </xf>
    <xf numFmtId="0" fontId="12" fillId="0" borderId="19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center" vertical="top"/>
      <protection locked="0"/>
    </xf>
    <xf numFmtId="0" fontId="13" fillId="0" borderId="19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17" fillId="0" borderId="6" xfId="0" applyNumberFormat="1" applyFont="1" applyBorder="1" applyAlignment="1" applyProtection="1">
      <alignment vertical="top" wrapText="1"/>
      <protection locked="0"/>
    </xf>
    <xf numFmtId="1" fontId="17" fillId="0" borderId="19" xfId="0" applyNumberFormat="1" applyFont="1" applyBorder="1" applyAlignment="1" applyProtection="1">
      <alignment vertical="top" wrapText="1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29" xfId="0" applyNumberFormat="1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1" fontId="10" fillId="0" borderId="29" xfId="0" applyNumberFormat="1" applyFont="1" applyBorder="1" applyAlignment="1" applyProtection="1">
      <alignment horizontal="center" vertical="top" wrapText="1"/>
      <protection locked="0"/>
    </xf>
    <xf numFmtId="1" fontId="8" fillId="0" borderId="29" xfId="0" applyNumberFormat="1" applyFont="1" applyBorder="1" applyAlignment="1" applyProtection="1">
      <alignment horizontal="center" vertical="top" wrapText="1"/>
      <protection locked="0"/>
    </xf>
    <xf numFmtId="1" fontId="8" fillId="0" borderId="30" xfId="0" applyNumberFormat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8" xfId="8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233793</xdr:colOff>
      <xdr:row>347</xdr:row>
      <xdr:rowOff>69272</xdr:rowOff>
    </xdr:from>
    <xdr:to>
      <xdr:col>7</xdr:col>
      <xdr:colOff>505688</xdr:colOff>
      <xdr:row>367</xdr:row>
      <xdr:rowOff>82356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3793" y="62717795"/>
          <a:ext cx="5943600" cy="399626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216477</xdr:colOff>
      <xdr:row>327</xdr:row>
      <xdr:rowOff>13853</xdr:rowOff>
    </xdr:from>
    <xdr:to>
      <xdr:col>5</xdr:col>
      <xdr:colOff>591127</xdr:colOff>
      <xdr:row>344</xdr:row>
      <xdr:rowOff>14814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75113" y="63701467"/>
          <a:ext cx="2946400" cy="338666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301144</xdr:colOff>
      <xdr:row>303</xdr:row>
      <xdr:rowOff>69272</xdr:rowOff>
    </xdr:from>
    <xdr:to>
      <xdr:col>5</xdr:col>
      <xdr:colOff>506461</xdr:colOff>
      <xdr:row>326</xdr:row>
      <xdr:rowOff>26746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59780" y="58977067"/>
          <a:ext cx="2777067" cy="45381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724085</xdr:colOff>
      <xdr:row>332</xdr:row>
      <xdr:rowOff>124570</xdr:rowOff>
    </xdr:from>
    <xdr:to>
      <xdr:col>3</xdr:col>
      <xdr:colOff>194156</xdr:colOff>
      <xdr:row>335</xdr:row>
      <xdr:rowOff>177873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21309154">
          <a:off x="2282721" y="64807979"/>
          <a:ext cx="318662" cy="650780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720439</xdr:colOff>
      <xdr:row>309</xdr:row>
      <xdr:rowOff>191517</xdr:rowOff>
    </xdr:from>
    <xdr:to>
      <xdr:col>3</xdr:col>
      <xdr:colOff>667099</xdr:colOff>
      <xdr:row>321</xdr:row>
      <xdr:rowOff>53851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21309154">
          <a:off x="2279075" y="60294267"/>
          <a:ext cx="795251" cy="2252243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562841</xdr:colOff>
      <xdr:row>367</xdr:row>
      <xdr:rowOff>173181</xdr:rowOff>
    </xdr:from>
    <xdr:to>
      <xdr:col>7</xdr:col>
      <xdr:colOff>246137</xdr:colOff>
      <xdr:row>389</xdr:row>
      <xdr:rowOff>12700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2841" y="68511881"/>
          <a:ext cx="5639596" cy="41702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337704</xdr:colOff>
      <xdr:row>377</xdr:row>
      <xdr:rowOff>155864</xdr:rowOff>
    </xdr:from>
    <xdr:to>
      <xdr:col>3</xdr:col>
      <xdr:colOff>225136</xdr:colOff>
      <xdr:row>383</xdr:row>
      <xdr:rowOff>138546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21314569">
          <a:off x="1896340" y="71489455"/>
          <a:ext cx="736023" cy="1177636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147205</xdr:colOff>
      <xdr:row>97</xdr:row>
      <xdr:rowOff>69272</xdr:rowOff>
    </xdr:from>
    <xdr:to>
      <xdr:col>12</xdr:col>
      <xdr:colOff>151983</xdr:colOff>
      <xdr:row>101</xdr:row>
      <xdr:rowOff>172635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32864" y="19933227"/>
          <a:ext cx="3710869" cy="900000"/>
        </a:xfrm>
        <a:prstGeom prst="rect">
          <a:avLst/>
        </a:prstGeom>
      </xdr:spPr>
    </xdr:pic>
    <xdr:clientData/>
  </xdr:twoCellAnchor>
  <xdr:twoCellAnchor>
    <xdr:from>
      <xdr:col>8</xdr:col>
      <xdr:colOff>835660</xdr:colOff>
      <xdr:row>258</xdr:row>
      <xdr:rowOff>60960</xdr:rowOff>
    </xdr:from>
    <xdr:to>
      <xdr:col>15</xdr:col>
      <xdr:colOff>643181</xdr:colOff>
      <xdr:row>290</xdr:row>
      <xdr:rowOff>13371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082280" y="47998380"/>
          <a:ext cx="5956861" cy="6284631"/>
          <a:chOff x="660400" y="48056800"/>
          <a:chExt cx="6053381" cy="6245261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6470" y="5214206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60400" y="480568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64160" y="5214206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30315" y="52142061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874" y="480568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586740</xdr:colOff>
      <xdr:row>260</xdr:row>
      <xdr:rowOff>38100</xdr:rowOff>
    </xdr:from>
    <xdr:to>
      <xdr:col>7</xdr:col>
      <xdr:colOff>711430</xdr:colOff>
      <xdr:row>296</xdr:row>
      <xdr:rowOff>115960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7B6992CB-AEE6-7912-B5F9-9121907104E7}"/>
            </a:ext>
          </a:extLst>
        </xdr:cNvPr>
        <xdr:cNvGrpSpPr/>
      </xdr:nvGrpSpPr>
      <xdr:grpSpPr>
        <a:xfrm>
          <a:off x="586740" y="48371760"/>
          <a:ext cx="5984470" cy="7202560"/>
          <a:chOff x="170876" y="182880"/>
          <a:chExt cx="5984470" cy="7202560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67A6FA25-39EE-D2A3-05B2-82868781A5B7}"/>
              </a:ext>
            </a:extLst>
          </xdr:cNvPr>
          <xdr:cNvGrpSpPr/>
        </xdr:nvGrpSpPr>
        <xdr:grpSpPr>
          <a:xfrm>
            <a:off x="170876" y="182880"/>
            <a:ext cx="5984470" cy="5220000"/>
            <a:chOff x="170876" y="182880"/>
            <a:chExt cx="5984470" cy="522000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4C1C59C2-7254-F96E-4786-1CDDE25A5FA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67314" y="287528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F78CB177-F5AB-A939-ACAE-4314B73FC32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0876" y="182880"/>
              <a:ext cx="3910921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EA01B32A-301B-899E-F419-F1750950B81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67315" y="18288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2322322-2E27-F8D1-9E2E-1E0C67762ABE}"/>
              </a:ext>
            </a:extLst>
          </xdr:cNvPr>
          <xdr:cNvGrpSpPr/>
        </xdr:nvGrpSpPr>
        <xdr:grpSpPr>
          <a:xfrm>
            <a:off x="954703" y="5575280"/>
            <a:ext cx="4416816" cy="1810160"/>
            <a:chOff x="924723" y="5575280"/>
            <a:chExt cx="4416816" cy="1810160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A07840DC-747D-AEC1-4304-5B807CFF2AF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992945" y="557528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31ECB078-4597-92E3-0237-2A0CE475E77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58834" y="557528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AEF228AB-9403-B30A-9C31-D414A745FF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24723" y="558544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4</xdr:col>
      <xdr:colOff>693530</xdr:colOff>
      <xdr:row>29</xdr:row>
      <xdr:rowOff>178518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119531</xdr:colOff>
      <xdr:row>14</xdr:row>
      <xdr:rowOff>0</xdr:rowOff>
    </xdr:from>
    <xdr:to>
      <xdr:col>11</xdr:col>
      <xdr:colOff>409648</xdr:colOff>
      <xdr:row>29</xdr:row>
      <xdr:rowOff>178518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0707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14943</xdr:colOff>
      <xdr:row>14</xdr:row>
      <xdr:rowOff>0</xdr:rowOff>
    </xdr:from>
    <xdr:to>
      <xdr:col>21</xdr:col>
      <xdr:colOff>170590</xdr:colOff>
      <xdr:row>29</xdr:row>
      <xdr:rowOff>178518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58708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31</xdr:row>
      <xdr:rowOff>79913</xdr:rowOff>
    </xdr:from>
    <xdr:to>
      <xdr:col>4</xdr:col>
      <xdr:colOff>693530</xdr:colOff>
      <xdr:row>47</xdr:row>
      <xdr:rowOff>67931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5996619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119531</xdr:colOff>
      <xdr:row>31</xdr:row>
      <xdr:rowOff>79913</xdr:rowOff>
    </xdr:from>
    <xdr:to>
      <xdr:col>11</xdr:col>
      <xdr:colOff>409648</xdr:colOff>
      <xdr:row>47</xdr:row>
      <xdr:rowOff>67931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0707" y="5996619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R9agYw8XbQXfwvz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347"/>
  <sheetViews>
    <sheetView tabSelected="1" view="pageBreakPreview" zoomScaleNormal="100" zoomScaleSheetLayoutView="100" zoomScalePageLayoutView="85" workbookViewId="0">
      <selection activeCell="I5" sqref="I5"/>
    </sheetView>
  </sheetViews>
  <sheetFormatPr defaultColWidth="9.21875" defaultRowHeight="15.6" x14ac:dyDescent="0.3"/>
  <cols>
    <col min="1" max="1" width="11.44140625" style="27" customWidth="1"/>
    <col min="2" max="2" width="12" style="27" customWidth="1"/>
    <col min="3" max="3" width="12.77734375" style="27" customWidth="1"/>
    <col min="4" max="4" width="14.21875" style="27" customWidth="1"/>
    <col min="5" max="6" width="11.77734375" style="27" customWidth="1"/>
    <col min="7" max="7" width="11.44140625" style="27" customWidth="1"/>
    <col min="8" max="8" width="20.21875" style="27" customWidth="1"/>
    <col min="9" max="9" width="21.77734375" style="24" customWidth="1"/>
    <col min="10" max="10" width="11.44140625" style="24" customWidth="1"/>
    <col min="11" max="11" width="11.77734375" style="24" bestFit="1" customWidth="1"/>
    <col min="12" max="12" width="10.5546875" style="24" customWidth="1"/>
    <col min="13" max="13" width="11.77734375" style="24" customWidth="1"/>
    <col min="14" max="14" width="12.5546875" style="24" customWidth="1"/>
    <col min="15" max="15" width="9.77734375" style="24" customWidth="1"/>
    <col min="16" max="16" width="11.77734375" style="24" customWidth="1"/>
    <col min="17" max="247" width="9.21875" style="17"/>
    <col min="248" max="248" width="8.77734375" style="17" customWidth="1"/>
    <col min="249" max="249" width="9.77734375" style="17" customWidth="1"/>
    <col min="250" max="250" width="14.44140625" style="17" customWidth="1"/>
    <col min="251" max="251" width="7.21875" style="17" customWidth="1"/>
    <col min="252" max="252" width="5.5546875" style="17" customWidth="1"/>
    <col min="253" max="253" width="9" style="17" customWidth="1"/>
    <col min="254" max="255" width="9.77734375" style="17" customWidth="1"/>
    <col min="256" max="256" width="11.21875" style="17" customWidth="1"/>
    <col min="257" max="257" width="2.77734375" style="17" customWidth="1"/>
    <col min="258" max="258" width="3.5546875" style="17" customWidth="1"/>
    <col min="259" max="503" width="9.21875" style="17"/>
    <col min="504" max="504" width="8.77734375" style="17" customWidth="1"/>
    <col min="505" max="505" width="9.77734375" style="17" customWidth="1"/>
    <col min="506" max="506" width="14.44140625" style="17" customWidth="1"/>
    <col min="507" max="507" width="7.21875" style="17" customWidth="1"/>
    <col min="508" max="508" width="5.5546875" style="17" customWidth="1"/>
    <col min="509" max="509" width="9" style="17" customWidth="1"/>
    <col min="510" max="511" width="9.77734375" style="17" customWidth="1"/>
    <col min="512" max="512" width="11.21875" style="17" customWidth="1"/>
    <col min="513" max="513" width="2.77734375" style="17" customWidth="1"/>
    <col min="514" max="514" width="3.5546875" style="17" customWidth="1"/>
    <col min="515" max="759" width="9.21875" style="17"/>
    <col min="760" max="760" width="8.77734375" style="17" customWidth="1"/>
    <col min="761" max="761" width="9.77734375" style="17" customWidth="1"/>
    <col min="762" max="762" width="14.44140625" style="17" customWidth="1"/>
    <col min="763" max="763" width="7.21875" style="17" customWidth="1"/>
    <col min="764" max="764" width="5.5546875" style="17" customWidth="1"/>
    <col min="765" max="765" width="9" style="17" customWidth="1"/>
    <col min="766" max="767" width="9.77734375" style="17" customWidth="1"/>
    <col min="768" max="768" width="11.21875" style="17" customWidth="1"/>
    <col min="769" max="769" width="2.77734375" style="17" customWidth="1"/>
    <col min="770" max="770" width="3.5546875" style="17" customWidth="1"/>
    <col min="771" max="1015" width="9.21875" style="17"/>
    <col min="1016" max="1016" width="8.77734375" style="17" customWidth="1"/>
    <col min="1017" max="1017" width="9.77734375" style="17" customWidth="1"/>
    <col min="1018" max="1018" width="14.44140625" style="17" customWidth="1"/>
    <col min="1019" max="1019" width="7.21875" style="17" customWidth="1"/>
    <col min="1020" max="1020" width="5.5546875" style="17" customWidth="1"/>
    <col min="1021" max="1021" width="9" style="17" customWidth="1"/>
    <col min="1022" max="1023" width="9.77734375" style="17" customWidth="1"/>
    <col min="1024" max="1024" width="11.21875" style="17" customWidth="1"/>
    <col min="1025" max="1025" width="2.77734375" style="17" customWidth="1"/>
    <col min="1026" max="1026" width="3.5546875" style="17" customWidth="1"/>
    <col min="1027" max="1271" width="9.21875" style="17"/>
    <col min="1272" max="1272" width="8.77734375" style="17" customWidth="1"/>
    <col min="1273" max="1273" width="9.77734375" style="17" customWidth="1"/>
    <col min="1274" max="1274" width="14.44140625" style="17" customWidth="1"/>
    <col min="1275" max="1275" width="7.21875" style="17" customWidth="1"/>
    <col min="1276" max="1276" width="5.5546875" style="17" customWidth="1"/>
    <col min="1277" max="1277" width="9" style="17" customWidth="1"/>
    <col min="1278" max="1279" width="9.77734375" style="17" customWidth="1"/>
    <col min="1280" max="1280" width="11.21875" style="17" customWidth="1"/>
    <col min="1281" max="1281" width="2.77734375" style="17" customWidth="1"/>
    <col min="1282" max="1282" width="3.5546875" style="17" customWidth="1"/>
    <col min="1283" max="1527" width="9.21875" style="17"/>
    <col min="1528" max="1528" width="8.77734375" style="17" customWidth="1"/>
    <col min="1529" max="1529" width="9.77734375" style="17" customWidth="1"/>
    <col min="1530" max="1530" width="14.44140625" style="17" customWidth="1"/>
    <col min="1531" max="1531" width="7.21875" style="17" customWidth="1"/>
    <col min="1532" max="1532" width="5.5546875" style="17" customWidth="1"/>
    <col min="1533" max="1533" width="9" style="17" customWidth="1"/>
    <col min="1534" max="1535" width="9.77734375" style="17" customWidth="1"/>
    <col min="1536" max="1536" width="11.21875" style="17" customWidth="1"/>
    <col min="1537" max="1537" width="2.77734375" style="17" customWidth="1"/>
    <col min="1538" max="1538" width="3.5546875" style="17" customWidth="1"/>
    <col min="1539" max="1783" width="9.21875" style="17"/>
    <col min="1784" max="1784" width="8.77734375" style="17" customWidth="1"/>
    <col min="1785" max="1785" width="9.77734375" style="17" customWidth="1"/>
    <col min="1786" max="1786" width="14.44140625" style="17" customWidth="1"/>
    <col min="1787" max="1787" width="7.21875" style="17" customWidth="1"/>
    <col min="1788" max="1788" width="5.5546875" style="17" customWidth="1"/>
    <col min="1789" max="1789" width="9" style="17" customWidth="1"/>
    <col min="1790" max="1791" width="9.77734375" style="17" customWidth="1"/>
    <col min="1792" max="1792" width="11.21875" style="17" customWidth="1"/>
    <col min="1793" max="1793" width="2.77734375" style="17" customWidth="1"/>
    <col min="1794" max="1794" width="3.5546875" style="17" customWidth="1"/>
    <col min="1795" max="2039" width="9.21875" style="17"/>
    <col min="2040" max="2040" width="8.77734375" style="17" customWidth="1"/>
    <col min="2041" max="2041" width="9.77734375" style="17" customWidth="1"/>
    <col min="2042" max="2042" width="14.44140625" style="17" customWidth="1"/>
    <col min="2043" max="2043" width="7.21875" style="17" customWidth="1"/>
    <col min="2044" max="2044" width="5.5546875" style="17" customWidth="1"/>
    <col min="2045" max="2045" width="9" style="17" customWidth="1"/>
    <col min="2046" max="2047" width="9.77734375" style="17" customWidth="1"/>
    <col min="2048" max="2048" width="11.21875" style="17" customWidth="1"/>
    <col min="2049" max="2049" width="2.77734375" style="17" customWidth="1"/>
    <col min="2050" max="2050" width="3.5546875" style="17" customWidth="1"/>
    <col min="2051" max="2295" width="9.21875" style="17"/>
    <col min="2296" max="2296" width="8.77734375" style="17" customWidth="1"/>
    <col min="2297" max="2297" width="9.77734375" style="17" customWidth="1"/>
    <col min="2298" max="2298" width="14.44140625" style="17" customWidth="1"/>
    <col min="2299" max="2299" width="7.21875" style="17" customWidth="1"/>
    <col min="2300" max="2300" width="5.5546875" style="17" customWidth="1"/>
    <col min="2301" max="2301" width="9" style="17" customWidth="1"/>
    <col min="2302" max="2303" width="9.77734375" style="17" customWidth="1"/>
    <col min="2304" max="2304" width="11.21875" style="17" customWidth="1"/>
    <col min="2305" max="2305" width="2.77734375" style="17" customWidth="1"/>
    <col min="2306" max="2306" width="3.5546875" style="17" customWidth="1"/>
    <col min="2307" max="2551" width="9.21875" style="17"/>
    <col min="2552" max="2552" width="8.77734375" style="17" customWidth="1"/>
    <col min="2553" max="2553" width="9.77734375" style="17" customWidth="1"/>
    <col min="2554" max="2554" width="14.44140625" style="17" customWidth="1"/>
    <col min="2555" max="2555" width="7.21875" style="17" customWidth="1"/>
    <col min="2556" max="2556" width="5.5546875" style="17" customWidth="1"/>
    <col min="2557" max="2557" width="9" style="17" customWidth="1"/>
    <col min="2558" max="2559" width="9.77734375" style="17" customWidth="1"/>
    <col min="2560" max="2560" width="11.21875" style="17" customWidth="1"/>
    <col min="2561" max="2561" width="2.77734375" style="17" customWidth="1"/>
    <col min="2562" max="2562" width="3.5546875" style="17" customWidth="1"/>
    <col min="2563" max="2807" width="9.21875" style="17"/>
    <col min="2808" max="2808" width="8.77734375" style="17" customWidth="1"/>
    <col min="2809" max="2809" width="9.77734375" style="17" customWidth="1"/>
    <col min="2810" max="2810" width="14.44140625" style="17" customWidth="1"/>
    <col min="2811" max="2811" width="7.21875" style="17" customWidth="1"/>
    <col min="2812" max="2812" width="5.5546875" style="17" customWidth="1"/>
    <col min="2813" max="2813" width="9" style="17" customWidth="1"/>
    <col min="2814" max="2815" width="9.77734375" style="17" customWidth="1"/>
    <col min="2816" max="2816" width="11.21875" style="17" customWidth="1"/>
    <col min="2817" max="2817" width="2.77734375" style="17" customWidth="1"/>
    <col min="2818" max="2818" width="3.5546875" style="17" customWidth="1"/>
    <col min="2819" max="3063" width="9.21875" style="17"/>
    <col min="3064" max="3064" width="8.77734375" style="17" customWidth="1"/>
    <col min="3065" max="3065" width="9.77734375" style="17" customWidth="1"/>
    <col min="3066" max="3066" width="14.44140625" style="17" customWidth="1"/>
    <col min="3067" max="3067" width="7.21875" style="17" customWidth="1"/>
    <col min="3068" max="3068" width="5.5546875" style="17" customWidth="1"/>
    <col min="3069" max="3069" width="9" style="17" customWidth="1"/>
    <col min="3070" max="3071" width="9.77734375" style="17" customWidth="1"/>
    <col min="3072" max="3072" width="11.21875" style="17" customWidth="1"/>
    <col min="3073" max="3073" width="2.77734375" style="17" customWidth="1"/>
    <col min="3074" max="3074" width="3.5546875" style="17" customWidth="1"/>
    <col min="3075" max="3319" width="9.21875" style="17"/>
    <col min="3320" max="3320" width="8.77734375" style="17" customWidth="1"/>
    <col min="3321" max="3321" width="9.77734375" style="17" customWidth="1"/>
    <col min="3322" max="3322" width="14.44140625" style="17" customWidth="1"/>
    <col min="3323" max="3323" width="7.21875" style="17" customWidth="1"/>
    <col min="3324" max="3324" width="5.5546875" style="17" customWidth="1"/>
    <col min="3325" max="3325" width="9" style="17" customWidth="1"/>
    <col min="3326" max="3327" width="9.77734375" style="17" customWidth="1"/>
    <col min="3328" max="3328" width="11.21875" style="17" customWidth="1"/>
    <col min="3329" max="3329" width="2.77734375" style="17" customWidth="1"/>
    <col min="3330" max="3330" width="3.5546875" style="17" customWidth="1"/>
    <col min="3331" max="3575" width="9.21875" style="17"/>
    <col min="3576" max="3576" width="8.77734375" style="17" customWidth="1"/>
    <col min="3577" max="3577" width="9.77734375" style="17" customWidth="1"/>
    <col min="3578" max="3578" width="14.44140625" style="17" customWidth="1"/>
    <col min="3579" max="3579" width="7.21875" style="17" customWidth="1"/>
    <col min="3580" max="3580" width="5.5546875" style="17" customWidth="1"/>
    <col min="3581" max="3581" width="9" style="17" customWidth="1"/>
    <col min="3582" max="3583" width="9.77734375" style="17" customWidth="1"/>
    <col min="3584" max="3584" width="11.21875" style="17" customWidth="1"/>
    <col min="3585" max="3585" width="2.77734375" style="17" customWidth="1"/>
    <col min="3586" max="3586" width="3.5546875" style="17" customWidth="1"/>
    <col min="3587" max="3831" width="9.21875" style="17"/>
    <col min="3832" max="3832" width="8.77734375" style="17" customWidth="1"/>
    <col min="3833" max="3833" width="9.77734375" style="17" customWidth="1"/>
    <col min="3834" max="3834" width="14.44140625" style="17" customWidth="1"/>
    <col min="3835" max="3835" width="7.21875" style="17" customWidth="1"/>
    <col min="3836" max="3836" width="5.5546875" style="17" customWidth="1"/>
    <col min="3837" max="3837" width="9" style="17" customWidth="1"/>
    <col min="3838" max="3839" width="9.77734375" style="17" customWidth="1"/>
    <col min="3840" max="3840" width="11.21875" style="17" customWidth="1"/>
    <col min="3841" max="3841" width="2.77734375" style="17" customWidth="1"/>
    <col min="3842" max="3842" width="3.5546875" style="17" customWidth="1"/>
    <col min="3843" max="4087" width="9.21875" style="17"/>
    <col min="4088" max="4088" width="8.77734375" style="17" customWidth="1"/>
    <col min="4089" max="4089" width="9.77734375" style="17" customWidth="1"/>
    <col min="4090" max="4090" width="14.44140625" style="17" customWidth="1"/>
    <col min="4091" max="4091" width="7.21875" style="17" customWidth="1"/>
    <col min="4092" max="4092" width="5.5546875" style="17" customWidth="1"/>
    <col min="4093" max="4093" width="9" style="17" customWidth="1"/>
    <col min="4094" max="4095" width="9.77734375" style="17" customWidth="1"/>
    <col min="4096" max="4096" width="11.21875" style="17" customWidth="1"/>
    <col min="4097" max="4097" width="2.77734375" style="17" customWidth="1"/>
    <col min="4098" max="4098" width="3.5546875" style="17" customWidth="1"/>
    <col min="4099" max="4343" width="9.21875" style="17"/>
    <col min="4344" max="4344" width="8.77734375" style="17" customWidth="1"/>
    <col min="4345" max="4345" width="9.77734375" style="17" customWidth="1"/>
    <col min="4346" max="4346" width="14.44140625" style="17" customWidth="1"/>
    <col min="4347" max="4347" width="7.21875" style="17" customWidth="1"/>
    <col min="4348" max="4348" width="5.5546875" style="17" customWidth="1"/>
    <col min="4349" max="4349" width="9" style="17" customWidth="1"/>
    <col min="4350" max="4351" width="9.77734375" style="17" customWidth="1"/>
    <col min="4352" max="4352" width="11.21875" style="17" customWidth="1"/>
    <col min="4353" max="4353" width="2.77734375" style="17" customWidth="1"/>
    <col min="4354" max="4354" width="3.5546875" style="17" customWidth="1"/>
    <col min="4355" max="4599" width="9.21875" style="17"/>
    <col min="4600" max="4600" width="8.77734375" style="17" customWidth="1"/>
    <col min="4601" max="4601" width="9.77734375" style="17" customWidth="1"/>
    <col min="4602" max="4602" width="14.44140625" style="17" customWidth="1"/>
    <col min="4603" max="4603" width="7.21875" style="17" customWidth="1"/>
    <col min="4604" max="4604" width="5.5546875" style="17" customWidth="1"/>
    <col min="4605" max="4605" width="9" style="17" customWidth="1"/>
    <col min="4606" max="4607" width="9.77734375" style="17" customWidth="1"/>
    <col min="4608" max="4608" width="11.21875" style="17" customWidth="1"/>
    <col min="4609" max="4609" width="2.77734375" style="17" customWidth="1"/>
    <col min="4610" max="4610" width="3.5546875" style="17" customWidth="1"/>
    <col min="4611" max="4855" width="9.21875" style="17"/>
    <col min="4856" max="4856" width="8.77734375" style="17" customWidth="1"/>
    <col min="4857" max="4857" width="9.77734375" style="17" customWidth="1"/>
    <col min="4858" max="4858" width="14.44140625" style="17" customWidth="1"/>
    <col min="4859" max="4859" width="7.21875" style="17" customWidth="1"/>
    <col min="4860" max="4860" width="5.5546875" style="17" customWidth="1"/>
    <col min="4861" max="4861" width="9" style="17" customWidth="1"/>
    <col min="4862" max="4863" width="9.77734375" style="17" customWidth="1"/>
    <col min="4864" max="4864" width="11.21875" style="17" customWidth="1"/>
    <col min="4865" max="4865" width="2.77734375" style="17" customWidth="1"/>
    <col min="4866" max="4866" width="3.5546875" style="17" customWidth="1"/>
    <col min="4867" max="5111" width="9.21875" style="17"/>
    <col min="5112" max="5112" width="8.77734375" style="17" customWidth="1"/>
    <col min="5113" max="5113" width="9.77734375" style="17" customWidth="1"/>
    <col min="5114" max="5114" width="14.44140625" style="17" customWidth="1"/>
    <col min="5115" max="5115" width="7.21875" style="17" customWidth="1"/>
    <col min="5116" max="5116" width="5.5546875" style="17" customWidth="1"/>
    <col min="5117" max="5117" width="9" style="17" customWidth="1"/>
    <col min="5118" max="5119" width="9.77734375" style="17" customWidth="1"/>
    <col min="5120" max="5120" width="11.21875" style="17" customWidth="1"/>
    <col min="5121" max="5121" width="2.77734375" style="17" customWidth="1"/>
    <col min="5122" max="5122" width="3.5546875" style="17" customWidth="1"/>
    <col min="5123" max="5367" width="9.21875" style="17"/>
    <col min="5368" max="5368" width="8.77734375" style="17" customWidth="1"/>
    <col min="5369" max="5369" width="9.77734375" style="17" customWidth="1"/>
    <col min="5370" max="5370" width="14.44140625" style="17" customWidth="1"/>
    <col min="5371" max="5371" width="7.21875" style="17" customWidth="1"/>
    <col min="5372" max="5372" width="5.5546875" style="17" customWidth="1"/>
    <col min="5373" max="5373" width="9" style="17" customWidth="1"/>
    <col min="5374" max="5375" width="9.77734375" style="17" customWidth="1"/>
    <col min="5376" max="5376" width="11.21875" style="17" customWidth="1"/>
    <col min="5377" max="5377" width="2.77734375" style="17" customWidth="1"/>
    <col min="5378" max="5378" width="3.5546875" style="17" customWidth="1"/>
    <col min="5379" max="5623" width="9.21875" style="17"/>
    <col min="5624" max="5624" width="8.77734375" style="17" customWidth="1"/>
    <col min="5625" max="5625" width="9.77734375" style="17" customWidth="1"/>
    <col min="5626" max="5626" width="14.44140625" style="17" customWidth="1"/>
    <col min="5627" max="5627" width="7.21875" style="17" customWidth="1"/>
    <col min="5628" max="5628" width="5.5546875" style="17" customWidth="1"/>
    <col min="5629" max="5629" width="9" style="17" customWidth="1"/>
    <col min="5630" max="5631" width="9.77734375" style="17" customWidth="1"/>
    <col min="5632" max="5632" width="11.21875" style="17" customWidth="1"/>
    <col min="5633" max="5633" width="2.77734375" style="17" customWidth="1"/>
    <col min="5634" max="5634" width="3.5546875" style="17" customWidth="1"/>
    <col min="5635" max="5879" width="9.21875" style="17"/>
    <col min="5880" max="5880" width="8.77734375" style="17" customWidth="1"/>
    <col min="5881" max="5881" width="9.77734375" style="17" customWidth="1"/>
    <col min="5882" max="5882" width="14.44140625" style="17" customWidth="1"/>
    <col min="5883" max="5883" width="7.21875" style="17" customWidth="1"/>
    <col min="5884" max="5884" width="5.5546875" style="17" customWidth="1"/>
    <col min="5885" max="5885" width="9" style="17" customWidth="1"/>
    <col min="5886" max="5887" width="9.77734375" style="17" customWidth="1"/>
    <col min="5888" max="5888" width="11.21875" style="17" customWidth="1"/>
    <col min="5889" max="5889" width="2.77734375" style="17" customWidth="1"/>
    <col min="5890" max="5890" width="3.5546875" style="17" customWidth="1"/>
    <col min="5891" max="6135" width="9.21875" style="17"/>
    <col min="6136" max="6136" width="8.77734375" style="17" customWidth="1"/>
    <col min="6137" max="6137" width="9.77734375" style="17" customWidth="1"/>
    <col min="6138" max="6138" width="14.44140625" style="17" customWidth="1"/>
    <col min="6139" max="6139" width="7.21875" style="17" customWidth="1"/>
    <col min="6140" max="6140" width="5.5546875" style="17" customWidth="1"/>
    <col min="6141" max="6141" width="9" style="17" customWidth="1"/>
    <col min="6142" max="6143" width="9.77734375" style="17" customWidth="1"/>
    <col min="6144" max="6144" width="11.21875" style="17" customWidth="1"/>
    <col min="6145" max="6145" width="2.77734375" style="17" customWidth="1"/>
    <col min="6146" max="6146" width="3.5546875" style="17" customWidth="1"/>
    <col min="6147" max="6391" width="9.21875" style="17"/>
    <col min="6392" max="6392" width="8.77734375" style="17" customWidth="1"/>
    <col min="6393" max="6393" width="9.77734375" style="17" customWidth="1"/>
    <col min="6394" max="6394" width="14.44140625" style="17" customWidth="1"/>
    <col min="6395" max="6395" width="7.21875" style="17" customWidth="1"/>
    <col min="6396" max="6396" width="5.5546875" style="17" customWidth="1"/>
    <col min="6397" max="6397" width="9" style="17" customWidth="1"/>
    <col min="6398" max="6399" width="9.77734375" style="17" customWidth="1"/>
    <col min="6400" max="6400" width="11.21875" style="17" customWidth="1"/>
    <col min="6401" max="6401" width="2.77734375" style="17" customWidth="1"/>
    <col min="6402" max="6402" width="3.5546875" style="17" customWidth="1"/>
    <col min="6403" max="6647" width="9.21875" style="17"/>
    <col min="6648" max="6648" width="8.77734375" style="17" customWidth="1"/>
    <col min="6649" max="6649" width="9.77734375" style="17" customWidth="1"/>
    <col min="6650" max="6650" width="14.44140625" style="17" customWidth="1"/>
    <col min="6651" max="6651" width="7.21875" style="17" customWidth="1"/>
    <col min="6652" max="6652" width="5.5546875" style="17" customWidth="1"/>
    <col min="6653" max="6653" width="9" style="17" customWidth="1"/>
    <col min="6654" max="6655" width="9.77734375" style="17" customWidth="1"/>
    <col min="6656" max="6656" width="11.21875" style="17" customWidth="1"/>
    <col min="6657" max="6657" width="2.77734375" style="17" customWidth="1"/>
    <col min="6658" max="6658" width="3.5546875" style="17" customWidth="1"/>
    <col min="6659" max="6903" width="9.21875" style="17"/>
    <col min="6904" max="6904" width="8.77734375" style="17" customWidth="1"/>
    <col min="6905" max="6905" width="9.77734375" style="17" customWidth="1"/>
    <col min="6906" max="6906" width="14.44140625" style="17" customWidth="1"/>
    <col min="6907" max="6907" width="7.21875" style="17" customWidth="1"/>
    <col min="6908" max="6908" width="5.5546875" style="17" customWidth="1"/>
    <col min="6909" max="6909" width="9" style="17" customWidth="1"/>
    <col min="6910" max="6911" width="9.77734375" style="17" customWidth="1"/>
    <col min="6912" max="6912" width="11.21875" style="17" customWidth="1"/>
    <col min="6913" max="6913" width="2.77734375" style="17" customWidth="1"/>
    <col min="6914" max="6914" width="3.5546875" style="17" customWidth="1"/>
    <col min="6915" max="7159" width="9.21875" style="17"/>
    <col min="7160" max="7160" width="8.77734375" style="17" customWidth="1"/>
    <col min="7161" max="7161" width="9.77734375" style="17" customWidth="1"/>
    <col min="7162" max="7162" width="14.44140625" style="17" customWidth="1"/>
    <col min="7163" max="7163" width="7.21875" style="17" customWidth="1"/>
    <col min="7164" max="7164" width="5.5546875" style="17" customWidth="1"/>
    <col min="7165" max="7165" width="9" style="17" customWidth="1"/>
    <col min="7166" max="7167" width="9.77734375" style="17" customWidth="1"/>
    <col min="7168" max="7168" width="11.21875" style="17" customWidth="1"/>
    <col min="7169" max="7169" width="2.77734375" style="17" customWidth="1"/>
    <col min="7170" max="7170" width="3.5546875" style="17" customWidth="1"/>
    <col min="7171" max="7415" width="9.21875" style="17"/>
    <col min="7416" max="7416" width="8.77734375" style="17" customWidth="1"/>
    <col min="7417" max="7417" width="9.77734375" style="17" customWidth="1"/>
    <col min="7418" max="7418" width="14.44140625" style="17" customWidth="1"/>
    <col min="7419" max="7419" width="7.21875" style="17" customWidth="1"/>
    <col min="7420" max="7420" width="5.5546875" style="17" customWidth="1"/>
    <col min="7421" max="7421" width="9" style="17" customWidth="1"/>
    <col min="7422" max="7423" width="9.77734375" style="17" customWidth="1"/>
    <col min="7424" max="7424" width="11.21875" style="17" customWidth="1"/>
    <col min="7425" max="7425" width="2.77734375" style="17" customWidth="1"/>
    <col min="7426" max="7426" width="3.5546875" style="17" customWidth="1"/>
    <col min="7427" max="7671" width="9.21875" style="17"/>
    <col min="7672" max="7672" width="8.77734375" style="17" customWidth="1"/>
    <col min="7673" max="7673" width="9.77734375" style="17" customWidth="1"/>
    <col min="7674" max="7674" width="14.44140625" style="17" customWidth="1"/>
    <col min="7675" max="7675" width="7.21875" style="17" customWidth="1"/>
    <col min="7676" max="7676" width="5.5546875" style="17" customWidth="1"/>
    <col min="7677" max="7677" width="9" style="17" customWidth="1"/>
    <col min="7678" max="7679" width="9.77734375" style="17" customWidth="1"/>
    <col min="7680" max="7680" width="11.21875" style="17" customWidth="1"/>
    <col min="7681" max="7681" width="2.77734375" style="17" customWidth="1"/>
    <col min="7682" max="7682" width="3.5546875" style="17" customWidth="1"/>
    <col min="7683" max="7927" width="9.21875" style="17"/>
    <col min="7928" max="7928" width="8.77734375" style="17" customWidth="1"/>
    <col min="7929" max="7929" width="9.77734375" style="17" customWidth="1"/>
    <col min="7930" max="7930" width="14.44140625" style="17" customWidth="1"/>
    <col min="7931" max="7931" width="7.21875" style="17" customWidth="1"/>
    <col min="7932" max="7932" width="5.5546875" style="17" customWidth="1"/>
    <col min="7933" max="7933" width="9" style="17" customWidth="1"/>
    <col min="7934" max="7935" width="9.77734375" style="17" customWidth="1"/>
    <col min="7936" max="7936" width="11.21875" style="17" customWidth="1"/>
    <col min="7937" max="7937" width="2.77734375" style="17" customWidth="1"/>
    <col min="7938" max="7938" width="3.5546875" style="17" customWidth="1"/>
    <col min="7939" max="8183" width="9.21875" style="17"/>
    <col min="8184" max="8184" width="8.77734375" style="17" customWidth="1"/>
    <col min="8185" max="8185" width="9.77734375" style="17" customWidth="1"/>
    <col min="8186" max="8186" width="14.44140625" style="17" customWidth="1"/>
    <col min="8187" max="8187" width="7.21875" style="17" customWidth="1"/>
    <col min="8188" max="8188" width="5.5546875" style="17" customWidth="1"/>
    <col min="8189" max="8189" width="9" style="17" customWidth="1"/>
    <col min="8190" max="8191" width="9.77734375" style="17" customWidth="1"/>
    <col min="8192" max="8192" width="11.21875" style="17" customWidth="1"/>
    <col min="8193" max="8193" width="2.77734375" style="17" customWidth="1"/>
    <col min="8194" max="8194" width="3.5546875" style="17" customWidth="1"/>
    <col min="8195" max="8439" width="9.21875" style="17"/>
    <col min="8440" max="8440" width="8.77734375" style="17" customWidth="1"/>
    <col min="8441" max="8441" width="9.77734375" style="17" customWidth="1"/>
    <col min="8442" max="8442" width="14.44140625" style="17" customWidth="1"/>
    <col min="8443" max="8443" width="7.21875" style="17" customWidth="1"/>
    <col min="8444" max="8444" width="5.5546875" style="17" customWidth="1"/>
    <col min="8445" max="8445" width="9" style="17" customWidth="1"/>
    <col min="8446" max="8447" width="9.77734375" style="17" customWidth="1"/>
    <col min="8448" max="8448" width="11.21875" style="17" customWidth="1"/>
    <col min="8449" max="8449" width="2.77734375" style="17" customWidth="1"/>
    <col min="8450" max="8450" width="3.5546875" style="17" customWidth="1"/>
    <col min="8451" max="8695" width="9.21875" style="17"/>
    <col min="8696" max="8696" width="8.77734375" style="17" customWidth="1"/>
    <col min="8697" max="8697" width="9.77734375" style="17" customWidth="1"/>
    <col min="8698" max="8698" width="14.44140625" style="17" customWidth="1"/>
    <col min="8699" max="8699" width="7.21875" style="17" customWidth="1"/>
    <col min="8700" max="8700" width="5.5546875" style="17" customWidth="1"/>
    <col min="8701" max="8701" width="9" style="17" customWidth="1"/>
    <col min="8702" max="8703" width="9.77734375" style="17" customWidth="1"/>
    <col min="8704" max="8704" width="11.21875" style="17" customWidth="1"/>
    <col min="8705" max="8705" width="2.77734375" style="17" customWidth="1"/>
    <col min="8706" max="8706" width="3.5546875" style="17" customWidth="1"/>
    <col min="8707" max="8951" width="9.21875" style="17"/>
    <col min="8952" max="8952" width="8.77734375" style="17" customWidth="1"/>
    <col min="8953" max="8953" width="9.77734375" style="17" customWidth="1"/>
    <col min="8954" max="8954" width="14.44140625" style="17" customWidth="1"/>
    <col min="8955" max="8955" width="7.21875" style="17" customWidth="1"/>
    <col min="8956" max="8956" width="5.5546875" style="17" customWidth="1"/>
    <col min="8957" max="8957" width="9" style="17" customWidth="1"/>
    <col min="8958" max="8959" width="9.77734375" style="17" customWidth="1"/>
    <col min="8960" max="8960" width="11.21875" style="17" customWidth="1"/>
    <col min="8961" max="8961" width="2.77734375" style="17" customWidth="1"/>
    <col min="8962" max="8962" width="3.5546875" style="17" customWidth="1"/>
    <col min="8963" max="9207" width="9.21875" style="17"/>
    <col min="9208" max="9208" width="8.77734375" style="17" customWidth="1"/>
    <col min="9209" max="9209" width="9.77734375" style="17" customWidth="1"/>
    <col min="9210" max="9210" width="14.44140625" style="17" customWidth="1"/>
    <col min="9211" max="9211" width="7.21875" style="17" customWidth="1"/>
    <col min="9212" max="9212" width="5.5546875" style="17" customWidth="1"/>
    <col min="9213" max="9213" width="9" style="17" customWidth="1"/>
    <col min="9214" max="9215" width="9.77734375" style="17" customWidth="1"/>
    <col min="9216" max="9216" width="11.21875" style="17" customWidth="1"/>
    <col min="9217" max="9217" width="2.77734375" style="17" customWidth="1"/>
    <col min="9218" max="9218" width="3.5546875" style="17" customWidth="1"/>
    <col min="9219" max="9463" width="9.21875" style="17"/>
    <col min="9464" max="9464" width="8.77734375" style="17" customWidth="1"/>
    <col min="9465" max="9465" width="9.77734375" style="17" customWidth="1"/>
    <col min="9466" max="9466" width="14.44140625" style="17" customWidth="1"/>
    <col min="9467" max="9467" width="7.21875" style="17" customWidth="1"/>
    <col min="9468" max="9468" width="5.5546875" style="17" customWidth="1"/>
    <col min="9469" max="9469" width="9" style="17" customWidth="1"/>
    <col min="9470" max="9471" width="9.77734375" style="17" customWidth="1"/>
    <col min="9472" max="9472" width="11.21875" style="17" customWidth="1"/>
    <col min="9473" max="9473" width="2.77734375" style="17" customWidth="1"/>
    <col min="9474" max="9474" width="3.5546875" style="17" customWidth="1"/>
    <col min="9475" max="9719" width="9.21875" style="17"/>
    <col min="9720" max="9720" width="8.77734375" style="17" customWidth="1"/>
    <col min="9721" max="9721" width="9.77734375" style="17" customWidth="1"/>
    <col min="9722" max="9722" width="14.44140625" style="17" customWidth="1"/>
    <col min="9723" max="9723" width="7.21875" style="17" customWidth="1"/>
    <col min="9724" max="9724" width="5.5546875" style="17" customWidth="1"/>
    <col min="9725" max="9725" width="9" style="17" customWidth="1"/>
    <col min="9726" max="9727" width="9.77734375" style="17" customWidth="1"/>
    <col min="9728" max="9728" width="11.21875" style="17" customWidth="1"/>
    <col min="9729" max="9729" width="2.77734375" style="17" customWidth="1"/>
    <col min="9730" max="9730" width="3.5546875" style="17" customWidth="1"/>
    <col min="9731" max="9975" width="9.21875" style="17"/>
    <col min="9976" max="9976" width="8.77734375" style="17" customWidth="1"/>
    <col min="9977" max="9977" width="9.77734375" style="17" customWidth="1"/>
    <col min="9978" max="9978" width="14.44140625" style="17" customWidth="1"/>
    <col min="9979" max="9979" width="7.21875" style="17" customWidth="1"/>
    <col min="9980" max="9980" width="5.5546875" style="17" customWidth="1"/>
    <col min="9981" max="9981" width="9" style="17" customWidth="1"/>
    <col min="9982" max="9983" width="9.77734375" style="17" customWidth="1"/>
    <col min="9984" max="9984" width="11.21875" style="17" customWidth="1"/>
    <col min="9985" max="9985" width="2.77734375" style="17" customWidth="1"/>
    <col min="9986" max="9986" width="3.5546875" style="17" customWidth="1"/>
    <col min="9987" max="10231" width="9.21875" style="17"/>
    <col min="10232" max="10232" width="8.77734375" style="17" customWidth="1"/>
    <col min="10233" max="10233" width="9.77734375" style="17" customWidth="1"/>
    <col min="10234" max="10234" width="14.44140625" style="17" customWidth="1"/>
    <col min="10235" max="10235" width="7.21875" style="17" customWidth="1"/>
    <col min="10236" max="10236" width="5.5546875" style="17" customWidth="1"/>
    <col min="10237" max="10237" width="9" style="17" customWidth="1"/>
    <col min="10238" max="10239" width="9.77734375" style="17" customWidth="1"/>
    <col min="10240" max="10240" width="11.21875" style="17" customWidth="1"/>
    <col min="10241" max="10241" width="2.77734375" style="17" customWidth="1"/>
    <col min="10242" max="10242" width="3.5546875" style="17" customWidth="1"/>
    <col min="10243" max="10487" width="9.21875" style="17"/>
    <col min="10488" max="10488" width="8.77734375" style="17" customWidth="1"/>
    <col min="10489" max="10489" width="9.77734375" style="17" customWidth="1"/>
    <col min="10490" max="10490" width="14.44140625" style="17" customWidth="1"/>
    <col min="10491" max="10491" width="7.21875" style="17" customWidth="1"/>
    <col min="10492" max="10492" width="5.5546875" style="17" customWidth="1"/>
    <col min="10493" max="10493" width="9" style="17" customWidth="1"/>
    <col min="10494" max="10495" width="9.77734375" style="17" customWidth="1"/>
    <col min="10496" max="10496" width="11.21875" style="17" customWidth="1"/>
    <col min="10497" max="10497" width="2.77734375" style="17" customWidth="1"/>
    <col min="10498" max="10498" width="3.5546875" style="17" customWidth="1"/>
    <col min="10499" max="10743" width="9.21875" style="17"/>
    <col min="10744" max="10744" width="8.77734375" style="17" customWidth="1"/>
    <col min="10745" max="10745" width="9.77734375" style="17" customWidth="1"/>
    <col min="10746" max="10746" width="14.44140625" style="17" customWidth="1"/>
    <col min="10747" max="10747" width="7.21875" style="17" customWidth="1"/>
    <col min="10748" max="10748" width="5.5546875" style="17" customWidth="1"/>
    <col min="10749" max="10749" width="9" style="17" customWidth="1"/>
    <col min="10750" max="10751" width="9.77734375" style="17" customWidth="1"/>
    <col min="10752" max="10752" width="11.21875" style="17" customWidth="1"/>
    <col min="10753" max="10753" width="2.77734375" style="17" customWidth="1"/>
    <col min="10754" max="10754" width="3.5546875" style="17" customWidth="1"/>
    <col min="10755" max="10999" width="9.21875" style="17"/>
    <col min="11000" max="11000" width="8.77734375" style="17" customWidth="1"/>
    <col min="11001" max="11001" width="9.77734375" style="17" customWidth="1"/>
    <col min="11002" max="11002" width="14.44140625" style="17" customWidth="1"/>
    <col min="11003" max="11003" width="7.21875" style="17" customWidth="1"/>
    <col min="11004" max="11004" width="5.5546875" style="17" customWidth="1"/>
    <col min="11005" max="11005" width="9" style="17" customWidth="1"/>
    <col min="11006" max="11007" width="9.77734375" style="17" customWidth="1"/>
    <col min="11008" max="11008" width="11.21875" style="17" customWidth="1"/>
    <col min="11009" max="11009" width="2.77734375" style="17" customWidth="1"/>
    <col min="11010" max="11010" width="3.5546875" style="17" customWidth="1"/>
    <col min="11011" max="11255" width="9.21875" style="17"/>
    <col min="11256" max="11256" width="8.77734375" style="17" customWidth="1"/>
    <col min="11257" max="11257" width="9.77734375" style="17" customWidth="1"/>
    <col min="11258" max="11258" width="14.44140625" style="17" customWidth="1"/>
    <col min="11259" max="11259" width="7.21875" style="17" customWidth="1"/>
    <col min="11260" max="11260" width="5.5546875" style="17" customWidth="1"/>
    <col min="11261" max="11261" width="9" style="17" customWidth="1"/>
    <col min="11262" max="11263" width="9.77734375" style="17" customWidth="1"/>
    <col min="11264" max="11264" width="11.21875" style="17" customWidth="1"/>
    <col min="11265" max="11265" width="2.77734375" style="17" customWidth="1"/>
    <col min="11266" max="11266" width="3.5546875" style="17" customWidth="1"/>
    <col min="11267" max="11511" width="9.21875" style="17"/>
    <col min="11512" max="11512" width="8.77734375" style="17" customWidth="1"/>
    <col min="11513" max="11513" width="9.77734375" style="17" customWidth="1"/>
    <col min="11514" max="11514" width="14.44140625" style="17" customWidth="1"/>
    <col min="11515" max="11515" width="7.21875" style="17" customWidth="1"/>
    <col min="11516" max="11516" width="5.5546875" style="17" customWidth="1"/>
    <col min="11517" max="11517" width="9" style="17" customWidth="1"/>
    <col min="11518" max="11519" width="9.77734375" style="17" customWidth="1"/>
    <col min="11520" max="11520" width="11.21875" style="17" customWidth="1"/>
    <col min="11521" max="11521" width="2.77734375" style="17" customWidth="1"/>
    <col min="11522" max="11522" width="3.5546875" style="17" customWidth="1"/>
    <col min="11523" max="11767" width="9.21875" style="17"/>
    <col min="11768" max="11768" width="8.77734375" style="17" customWidth="1"/>
    <col min="11769" max="11769" width="9.77734375" style="17" customWidth="1"/>
    <col min="11770" max="11770" width="14.44140625" style="17" customWidth="1"/>
    <col min="11771" max="11771" width="7.21875" style="17" customWidth="1"/>
    <col min="11772" max="11772" width="5.5546875" style="17" customWidth="1"/>
    <col min="11773" max="11773" width="9" style="17" customWidth="1"/>
    <col min="11774" max="11775" width="9.77734375" style="17" customWidth="1"/>
    <col min="11776" max="11776" width="11.21875" style="17" customWidth="1"/>
    <col min="11777" max="11777" width="2.77734375" style="17" customWidth="1"/>
    <col min="11778" max="11778" width="3.5546875" style="17" customWidth="1"/>
    <col min="11779" max="12023" width="9.21875" style="17"/>
    <col min="12024" max="12024" width="8.77734375" style="17" customWidth="1"/>
    <col min="12025" max="12025" width="9.77734375" style="17" customWidth="1"/>
    <col min="12026" max="12026" width="14.44140625" style="17" customWidth="1"/>
    <col min="12027" max="12027" width="7.21875" style="17" customWidth="1"/>
    <col min="12028" max="12028" width="5.5546875" style="17" customWidth="1"/>
    <col min="12029" max="12029" width="9" style="17" customWidth="1"/>
    <col min="12030" max="12031" width="9.77734375" style="17" customWidth="1"/>
    <col min="12032" max="12032" width="11.21875" style="17" customWidth="1"/>
    <col min="12033" max="12033" width="2.77734375" style="17" customWidth="1"/>
    <col min="12034" max="12034" width="3.5546875" style="17" customWidth="1"/>
    <col min="12035" max="12279" width="9.21875" style="17"/>
    <col min="12280" max="12280" width="8.77734375" style="17" customWidth="1"/>
    <col min="12281" max="12281" width="9.77734375" style="17" customWidth="1"/>
    <col min="12282" max="12282" width="14.44140625" style="17" customWidth="1"/>
    <col min="12283" max="12283" width="7.21875" style="17" customWidth="1"/>
    <col min="12284" max="12284" width="5.5546875" style="17" customWidth="1"/>
    <col min="12285" max="12285" width="9" style="17" customWidth="1"/>
    <col min="12286" max="12287" width="9.77734375" style="17" customWidth="1"/>
    <col min="12288" max="12288" width="11.21875" style="17" customWidth="1"/>
    <col min="12289" max="12289" width="2.77734375" style="17" customWidth="1"/>
    <col min="12290" max="12290" width="3.5546875" style="17" customWidth="1"/>
    <col min="12291" max="12535" width="9.21875" style="17"/>
    <col min="12536" max="12536" width="8.77734375" style="17" customWidth="1"/>
    <col min="12537" max="12537" width="9.77734375" style="17" customWidth="1"/>
    <col min="12538" max="12538" width="14.44140625" style="17" customWidth="1"/>
    <col min="12539" max="12539" width="7.21875" style="17" customWidth="1"/>
    <col min="12540" max="12540" width="5.5546875" style="17" customWidth="1"/>
    <col min="12541" max="12541" width="9" style="17" customWidth="1"/>
    <col min="12542" max="12543" width="9.77734375" style="17" customWidth="1"/>
    <col min="12544" max="12544" width="11.21875" style="17" customWidth="1"/>
    <col min="12545" max="12545" width="2.77734375" style="17" customWidth="1"/>
    <col min="12546" max="12546" width="3.5546875" style="17" customWidth="1"/>
    <col min="12547" max="12791" width="9.21875" style="17"/>
    <col min="12792" max="12792" width="8.77734375" style="17" customWidth="1"/>
    <col min="12793" max="12793" width="9.77734375" style="17" customWidth="1"/>
    <col min="12794" max="12794" width="14.44140625" style="17" customWidth="1"/>
    <col min="12795" max="12795" width="7.21875" style="17" customWidth="1"/>
    <col min="12796" max="12796" width="5.5546875" style="17" customWidth="1"/>
    <col min="12797" max="12797" width="9" style="17" customWidth="1"/>
    <col min="12798" max="12799" width="9.77734375" style="17" customWidth="1"/>
    <col min="12800" max="12800" width="11.21875" style="17" customWidth="1"/>
    <col min="12801" max="12801" width="2.77734375" style="17" customWidth="1"/>
    <col min="12802" max="12802" width="3.5546875" style="17" customWidth="1"/>
    <col min="12803" max="13047" width="9.21875" style="17"/>
    <col min="13048" max="13048" width="8.77734375" style="17" customWidth="1"/>
    <col min="13049" max="13049" width="9.77734375" style="17" customWidth="1"/>
    <col min="13050" max="13050" width="14.44140625" style="17" customWidth="1"/>
    <col min="13051" max="13051" width="7.21875" style="17" customWidth="1"/>
    <col min="13052" max="13052" width="5.5546875" style="17" customWidth="1"/>
    <col min="13053" max="13053" width="9" style="17" customWidth="1"/>
    <col min="13054" max="13055" width="9.77734375" style="17" customWidth="1"/>
    <col min="13056" max="13056" width="11.21875" style="17" customWidth="1"/>
    <col min="13057" max="13057" width="2.77734375" style="17" customWidth="1"/>
    <col min="13058" max="13058" width="3.5546875" style="17" customWidth="1"/>
    <col min="13059" max="13303" width="9.21875" style="17"/>
    <col min="13304" max="13304" width="8.77734375" style="17" customWidth="1"/>
    <col min="13305" max="13305" width="9.77734375" style="17" customWidth="1"/>
    <col min="13306" max="13306" width="14.44140625" style="17" customWidth="1"/>
    <col min="13307" max="13307" width="7.21875" style="17" customWidth="1"/>
    <col min="13308" max="13308" width="5.5546875" style="17" customWidth="1"/>
    <col min="13309" max="13309" width="9" style="17" customWidth="1"/>
    <col min="13310" max="13311" width="9.77734375" style="17" customWidth="1"/>
    <col min="13312" max="13312" width="11.21875" style="17" customWidth="1"/>
    <col min="13313" max="13313" width="2.77734375" style="17" customWidth="1"/>
    <col min="13314" max="13314" width="3.5546875" style="17" customWidth="1"/>
    <col min="13315" max="13559" width="9.21875" style="17"/>
    <col min="13560" max="13560" width="8.77734375" style="17" customWidth="1"/>
    <col min="13561" max="13561" width="9.77734375" style="17" customWidth="1"/>
    <col min="13562" max="13562" width="14.44140625" style="17" customWidth="1"/>
    <col min="13563" max="13563" width="7.21875" style="17" customWidth="1"/>
    <col min="13564" max="13564" width="5.5546875" style="17" customWidth="1"/>
    <col min="13565" max="13565" width="9" style="17" customWidth="1"/>
    <col min="13566" max="13567" width="9.77734375" style="17" customWidth="1"/>
    <col min="13568" max="13568" width="11.21875" style="17" customWidth="1"/>
    <col min="13569" max="13569" width="2.77734375" style="17" customWidth="1"/>
    <col min="13570" max="13570" width="3.5546875" style="17" customWidth="1"/>
    <col min="13571" max="13815" width="9.21875" style="17"/>
    <col min="13816" max="13816" width="8.77734375" style="17" customWidth="1"/>
    <col min="13817" max="13817" width="9.77734375" style="17" customWidth="1"/>
    <col min="13818" max="13818" width="14.44140625" style="17" customWidth="1"/>
    <col min="13819" max="13819" width="7.21875" style="17" customWidth="1"/>
    <col min="13820" max="13820" width="5.5546875" style="17" customWidth="1"/>
    <col min="13821" max="13821" width="9" style="17" customWidth="1"/>
    <col min="13822" max="13823" width="9.77734375" style="17" customWidth="1"/>
    <col min="13824" max="13824" width="11.21875" style="17" customWidth="1"/>
    <col min="13825" max="13825" width="2.77734375" style="17" customWidth="1"/>
    <col min="13826" max="13826" width="3.5546875" style="17" customWidth="1"/>
    <col min="13827" max="14071" width="9.21875" style="17"/>
    <col min="14072" max="14072" width="8.77734375" style="17" customWidth="1"/>
    <col min="14073" max="14073" width="9.77734375" style="17" customWidth="1"/>
    <col min="14074" max="14074" width="14.44140625" style="17" customWidth="1"/>
    <col min="14075" max="14075" width="7.21875" style="17" customWidth="1"/>
    <col min="14076" max="14076" width="5.5546875" style="17" customWidth="1"/>
    <col min="14077" max="14077" width="9" style="17" customWidth="1"/>
    <col min="14078" max="14079" width="9.77734375" style="17" customWidth="1"/>
    <col min="14080" max="14080" width="11.21875" style="17" customWidth="1"/>
    <col min="14081" max="14081" width="2.77734375" style="17" customWidth="1"/>
    <col min="14082" max="14082" width="3.5546875" style="17" customWidth="1"/>
    <col min="14083" max="14327" width="9.21875" style="17"/>
    <col min="14328" max="14328" width="8.77734375" style="17" customWidth="1"/>
    <col min="14329" max="14329" width="9.77734375" style="17" customWidth="1"/>
    <col min="14330" max="14330" width="14.44140625" style="17" customWidth="1"/>
    <col min="14331" max="14331" width="7.21875" style="17" customWidth="1"/>
    <col min="14332" max="14332" width="5.5546875" style="17" customWidth="1"/>
    <col min="14333" max="14333" width="9" style="17" customWidth="1"/>
    <col min="14334" max="14335" width="9.77734375" style="17" customWidth="1"/>
    <col min="14336" max="14336" width="11.21875" style="17" customWidth="1"/>
    <col min="14337" max="14337" width="2.77734375" style="17" customWidth="1"/>
    <col min="14338" max="14338" width="3.5546875" style="17" customWidth="1"/>
    <col min="14339" max="14583" width="9.21875" style="17"/>
    <col min="14584" max="14584" width="8.77734375" style="17" customWidth="1"/>
    <col min="14585" max="14585" width="9.77734375" style="17" customWidth="1"/>
    <col min="14586" max="14586" width="14.44140625" style="17" customWidth="1"/>
    <col min="14587" max="14587" width="7.21875" style="17" customWidth="1"/>
    <col min="14588" max="14588" width="5.5546875" style="17" customWidth="1"/>
    <col min="14589" max="14589" width="9" style="17" customWidth="1"/>
    <col min="14590" max="14591" width="9.77734375" style="17" customWidth="1"/>
    <col min="14592" max="14592" width="11.21875" style="17" customWidth="1"/>
    <col min="14593" max="14593" width="2.77734375" style="17" customWidth="1"/>
    <col min="14594" max="14594" width="3.5546875" style="17" customWidth="1"/>
    <col min="14595" max="14839" width="9.21875" style="17"/>
    <col min="14840" max="14840" width="8.77734375" style="17" customWidth="1"/>
    <col min="14841" max="14841" width="9.77734375" style="17" customWidth="1"/>
    <col min="14842" max="14842" width="14.44140625" style="17" customWidth="1"/>
    <col min="14843" max="14843" width="7.21875" style="17" customWidth="1"/>
    <col min="14844" max="14844" width="5.5546875" style="17" customWidth="1"/>
    <col min="14845" max="14845" width="9" style="17" customWidth="1"/>
    <col min="14846" max="14847" width="9.77734375" style="17" customWidth="1"/>
    <col min="14848" max="14848" width="11.21875" style="17" customWidth="1"/>
    <col min="14849" max="14849" width="2.77734375" style="17" customWidth="1"/>
    <col min="14850" max="14850" width="3.5546875" style="17" customWidth="1"/>
    <col min="14851" max="15095" width="9.21875" style="17"/>
    <col min="15096" max="15096" width="8.77734375" style="17" customWidth="1"/>
    <col min="15097" max="15097" width="9.77734375" style="17" customWidth="1"/>
    <col min="15098" max="15098" width="14.44140625" style="17" customWidth="1"/>
    <col min="15099" max="15099" width="7.21875" style="17" customWidth="1"/>
    <col min="15100" max="15100" width="5.5546875" style="17" customWidth="1"/>
    <col min="15101" max="15101" width="9" style="17" customWidth="1"/>
    <col min="15102" max="15103" width="9.77734375" style="17" customWidth="1"/>
    <col min="15104" max="15104" width="11.21875" style="17" customWidth="1"/>
    <col min="15105" max="15105" width="2.77734375" style="17" customWidth="1"/>
    <col min="15106" max="15106" width="3.5546875" style="17" customWidth="1"/>
    <col min="15107" max="15351" width="9.21875" style="17"/>
    <col min="15352" max="15352" width="8.77734375" style="17" customWidth="1"/>
    <col min="15353" max="15353" width="9.77734375" style="17" customWidth="1"/>
    <col min="15354" max="15354" width="14.44140625" style="17" customWidth="1"/>
    <col min="15355" max="15355" width="7.21875" style="17" customWidth="1"/>
    <col min="15356" max="15356" width="5.5546875" style="17" customWidth="1"/>
    <col min="15357" max="15357" width="9" style="17" customWidth="1"/>
    <col min="15358" max="15359" width="9.77734375" style="17" customWidth="1"/>
    <col min="15360" max="15360" width="11.21875" style="17" customWidth="1"/>
    <col min="15361" max="15361" width="2.77734375" style="17" customWidth="1"/>
    <col min="15362" max="15362" width="3.5546875" style="17" customWidth="1"/>
    <col min="15363" max="15607" width="9.21875" style="17"/>
    <col min="15608" max="15608" width="8.77734375" style="17" customWidth="1"/>
    <col min="15609" max="15609" width="9.77734375" style="17" customWidth="1"/>
    <col min="15610" max="15610" width="14.44140625" style="17" customWidth="1"/>
    <col min="15611" max="15611" width="7.21875" style="17" customWidth="1"/>
    <col min="15612" max="15612" width="5.5546875" style="17" customWidth="1"/>
    <col min="15613" max="15613" width="9" style="17" customWidth="1"/>
    <col min="15614" max="15615" width="9.77734375" style="17" customWidth="1"/>
    <col min="15616" max="15616" width="11.21875" style="17" customWidth="1"/>
    <col min="15617" max="15617" width="2.77734375" style="17" customWidth="1"/>
    <col min="15618" max="15618" width="3.5546875" style="17" customWidth="1"/>
    <col min="15619" max="15863" width="9.21875" style="17"/>
    <col min="15864" max="15864" width="8.77734375" style="17" customWidth="1"/>
    <col min="15865" max="15865" width="9.77734375" style="17" customWidth="1"/>
    <col min="15866" max="15866" width="14.44140625" style="17" customWidth="1"/>
    <col min="15867" max="15867" width="7.21875" style="17" customWidth="1"/>
    <col min="15868" max="15868" width="5.5546875" style="17" customWidth="1"/>
    <col min="15869" max="15869" width="9" style="17" customWidth="1"/>
    <col min="15870" max="15871" width="9.77734375" style="17" customWidth="1"/>
    <col min="15872" max="15872" width="11.21875" style="17" customWidth="1"/>
    <col min="15873" max="15873" width="2.77734375" style="17" customWidth="1"/>
    <col min="15874" max="15874" width="3.5546875" style="17" customWidth="1"/>
    <col min="15875" max="16119" width="9.21875" style="17"/>
    <col min="16120" max="16120" width="8.77734375" style="17" customWidth="1"/>
    <col min="16121" max="16121" width="9.77734375" style="17" customWidth="1"/>
    <col min="16122" max="16122" width="14.44140625" style="17" customWidth="1"/>
    <col min="16123" max="16123" width="7.21875" style="17" customWidth="1"/>
    <col min="16124" max="16124" width="5.5546875" style="17" customWidth="1"/>
    <col min="16125" max="16125" width="9" style="17" customWidth="1"/>
    <col min="16126" max="16127" width="9.77734375" style="17" customWidth="1"/>
    <col min="16128" max="16128" width="11.21875" style="17" customWidth="1"/>
    <col min="16129" max="16129" width="2.77734375" style="17" customWidth="1"/>
    <col min="16130" max="16130" width="3.5546875" style="17" customWidth="1"/>
    <col min="16131" max="16384" width="9.21875" style="17"/>
  </cols>
  <sheetData>
    <row r="1" spans="1:26" ht="46.5" customHeight="1" x14ac:dyDescent="0.3">
      <c r="A1" s="164" t="s">
        <v>286</v>
      </c>
      <c r="B1" s="164"/>
      <c r="C1" s="164"/>
      <c r="D1" s="164"/>
      <c r="E1" s="164"/>
      <c r="F1" s="164"/>
      <c r="G1" s="164"/>
      <c r="H1" s="164"/>
    </row>
    <row r="2" spans="1:26" ht="16.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</row>
    <row r="3" spans="1:26" x14ac:dyDescent="0.3">
      <c r="A3" s="71" t="s">
        <v>1</v>
      </c>
      <c r="B3" s="71"/>
      <c r="C3" s="71"/>
      <c r="D3" s="71"/>
      <c r="E3" s="71" t="str">
        <f ca="1">TEXT(TODAY(),"DD/MM/YYYY")</f>
        <v>13/09/2025</v>
      </c>
      <c r="F3" s="71"/>
      <c r="G3" s="71"/>
      <c r="H3" s="71"/>
    </row>
    <row r="4" spans="1:26" ht="15" customHeight="1" x14ac:dyDescent="0.3">
      <c r="A4" s="71" t="s">
        <v>2</v>
      </c>
      <c r="B4" s="71"/>
      <c r="C4" s="71"/>
      <c r="D4" s="71"/>
      <c r="E4" s="71" t="s">
        <v>175</v>
      </c>
      <c r="F4" s="71"/>
      <c r="G4" s="71"/>
      <c r="H4" s="71"/>
    </row>
    <row r="5" spans="1:26" x14ac:dyDescent="0.3">
      <c r="A5" s="71" t="s">
        <v>3</v>
      </c>
      <c r="B5" s="71"/>
      <c r="C5" s="71"/>
      <c r="D5" s="71"/>
      <c r="E5" s="166">
        <v>45909</v>
      </c>
      <c r="F5" s="71"/>
      <c r="G5" s="71"/>
      <c r="H5" s="71"/>
    </row>
    <row r="6" spans="1:26" ht="16.5" customHeight="1" x14ac:dyDescent="0.3">
      <c r="A6" s="71" t="s">
        <v>4</v>
      </c>
      <c r="B6" s="71"/>
      <c r="C6" s="71"/>
      <c r="D6" s="71"/>
      <c r="E6" s="71" t="s">
        <v>237</v>
      </c>
      <c r="F6" s="71"/>
      <c r="G6" s="71"/>
      <c r="H6" s="71"/>
    </row>
    <row r="7" spans="1:26" ht="15" customHeight="1" x14ac:dyDescent="0.3">
      <c r="A7" s="71" t="s">
        <v>5</v>
      </c>
      <c r="B7" s="71"/>
      <c r="C7" s="71"/>
      <c r="D7" s="71"/>
      <c r="E7" s="71" t="str">
        <f>E6</f>
        <v>Innovision Estates</v>
      </c>
      <c r="F7" s="71"/>
      <c r="G7" s="71"/>
      <c r="H7" s="71"/>
    </row>
    <row r="8" spans="1:26" x14ac:dyDescent="0.3">
      <c r="A8" s="71" t="s">
        <v>6</v>
      </c>
      <c r="B8" s="71"/>
      <c r="C8" s="71"/>
      <c r="D8" s="71"/>
      <c r="E8" s="109" t="s">
        <v>238</v>
      </c>
      <c r="F8" s="109"/>
      <c r="G8" s="109"/>
      <c r="H8" s="109"/>
    </row>
    <row r="9" spans="1:26" x14ac:dyDescent="0.3">
      <c r="A9" s="71" t="s">
        <v>172</v>
      </c>
      <c r="B9" s="71"/>
      <c r="C9" s="71"/>
      <c r="D9" s="71"/>
      <c r="E9" s="71">
        <v>9167687422</v>
      </c>
      <c r="F9" s="71"/>
      <c r="G9" s="71"/>
      <c r="H9" s="71"/>
      <c r="I9" s="71" t="s">
        <v>293</v>
      </c>
      <c r="J9" s="71"/>
      <c r="K9" s="71"/>
      <c r="L9" s="71"/>
    </row>
    <row r="10" spans="1:26" x14ac:dyDescent="0.3">
      <c r="A10" s="71" t="s">
        <v>173</v>
      </c>
      <c r="B10" s="71"/>
      <c r="C10" s="71"/>
      <c r="D10" s="71"/>
      <c r="E10" s="71" t="s">
        <v>294</v>
      </c>
      <c r="F10" s="71"/>
      <c r="G10" s="71"/>
      <c r="H10" s="71"/>
      <c r="I10" s="71" t="s">
        <v>291</v>
      </c>
      <c r="J10" s="71"/>
      <c r="K10" s="71"/>
      <c r="L10" s="71"/>
    </row>
    <row r="11" spans="1:26" x14ac:dyDescent="0.3">
      <c r="A11" s="71" t="s">
        <v>7</v>
      </c>
      <c r="B11" s="71"/>
      <c r="C11" s="71"/>
      <c r="D11" s="71"/>
      <c r="E11" s="71" t="s">
        <v>123</v>
      </c>
      <c r="F11" s="71"/>
      <c r="G11" s="71"/>
      <c r="H11" s="71"/>
    </row>
    <row r="12" spans="1:26" ht="15.75" hidden="1" customHeight="1" x14ac:dyDescent="0.3">
      <c r="A12" s="71" t="s">
        <v>176</v>
      </c>
      <c r="B12" s="71"/>
      <c r="C12" s="71"/>
      <c r="D12" s="71"/>
      <c r="E12" s="71"/>
      <c r="F12" s="71"/>
      <c r="G12" s="71"/>
      <c r="H12" s="71"/>
      <c r="S12" s="35" t="s">
        <v>184</v>
      </c>
      <c r="T12" s="35" t="s">
        <v>194</v>
      </c>
      <c r="U12" s="35" t="s">
        <v>177</v>
      </c>
      <c r="V12" s="35" t="s">
        <v>199</v>
      </c>
      <c r="W12" s="35" t="s">
        <v>217</v>
      </c>
      <c r="X12"/>
      <c r="Y12" t="s">
        <v>199</v>
      </c>
      <c r="Z12" t="e">
        <f ca="1">OFFSET($S$12,1,MATCH($G19,$S$12:$W$12,0)-1,15,1)</f>
        <v>#VALUE!</v>
      </c>
    </row>
    <row r="13" spans="1:26" x14ac:dyDescent="0.3">
      <c r="A13" s="71" t="s">
        <v>8</v>
      </c>
      <c r="B13" s="71"/>
      <c r="C13" s="71"/>
      <c r="D13" s="71"/>
      <c r="E13" s="148" t="s">
        <v>232</v>
      </c>
      <c r="F13" s="148"/>
      <c r="G13" s="148"/>
      <c r="H13" s="148"/>
      <c r="S13" s="35" t="s">
        <v>185</v>
      </c>
      <c r="T13" s="35" t="s">
        <v>192</v>
      </c>
      <c r="U13" s="35" t="s">
        <v>214</v>
      </c>
      <c r="V13" s="35" t="s">
        <v>200</v>
      </c>
      <c r="W13" s="35" t="s">
        <v>218</v>
      </c>
      <c r="X13"/>
      <c r="Y13"/>
      <c r="Z13"/>
    </row>
    <row r="14" spans="1:26" x14ac:dyDescent="0.3">
      <c r="A14" s="71" t="s">
        <v>9</v>
      </c>
      <c r="B14" s="71"/>
      <c r="C14" s="71"/>
      <c r="D14" s="71"/>
      <c r="E14" s="148" t="s">
        <v>239</v>
      </c>
      <c r="F14" s="71"/>
      <c r="G14" s="71"/>
      <c r="H14" s="71"/>
      <c r="I14" s="45" t="e">
        <f ca="1">OFFSET($D$4,1,MATCH($J12,$D$4:$H$4,0)-1,15,1)</f>
        <v>#N/A</v>
      </c>
      <c r="S14" s="35" t="s">
        <v>186</v>
      </c>
      <c r="T14" s="35" t="s">
        <v>193</v>
      </c>
      <c r="U14" s="35" t="s">
        <v>215</v>
      </c>
      <c r="V14" s="35" t="s">
        <v>201</v>
      </c>
      <c r="W14" s="35" t="s">
        <v>231</v>
      </c>
      <c r="X14"/>
      <c r="Y14"/>
      <c r="Z14"/>
    </row>
    <row r="15" spans="1:26" ht="49.05" customHeight="1" x14ac:dyDescent="0.3">
      <c r="A15" s="148" t="s">
        <v>10</v>
      </c>
      <c r="B15" s="148"/>
      <c r="C15" s="14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The Midtown, Survey No.149, Plot No.4,5,6,7 &amp; S.No.149(Pt)/ S.No.157(Pt)/Plot No.8 &amp; S.No.157/A, near St.Anne's High school, Virar-Nallasopara Link Road, Morya Nagar, Nilemore, Nalasopara  (West), Vasai, Palghar - 401203.</v>
      </c>
      <c r="D15" s="148"/>
      <c r="E15" s="148"/>
      <c r="F15" s="148"/>
      <c r="G15" s="148"/>
      <c r="H15" s="148"/>
      <c r="S15" s="35" t="s">
        <v>187</v>
      </c>
      <c r="T15" s="35" t="s">
        <v>195</v>
      </c>
      <c r="U15" s="35" t="s">
        <v>216</v>
      </c>
      <c r="V15" s="35" t="s">
        <v>202</v>
      </c>
      <c r="W15" s="35" t="s">
        <v>219</v>
      </c>
      <c r="X15"/>
      <c r="Y15"/>
      <c r="Z15"/>
    </row>
    <row r="16" spans="1:26" x14ac:dyDescent="0.3">
      <c r="A16" s="148" t="s">
        <v>240</v>
      </c>
      <c r="B16" s="148"/>
      <c r="C16" s="71" t="s">
        <v>285</v>
      </c>
      <c r="D16" s="71"/>
      <c r="E16" s="71"/>
      <c r="F16" s="71"/>
      <c r="G16" s="71"/>
      <c r="H16" s="71"/>
      <c r="S16" s="35" t="s">
        <v>188</v>
      </c>
      <c r="T16" s="35" t="s">
        <v>196</v>
      </c>
      <c r="U16" s="35"/>
      <c r="V16" s="35" t="s">
        <v>203</v>
      </c>
      <c r="W16" s="35" t="s">
        <v>220</v>
      </c>
      <c r="X16"/>
      <c r="Y16"/>
      <c r="Z16"/>
    </row>
    <row r="17" spans="1:26" ht="15.75" customHeight="1" x14ac:dyDescent="0.3">
      <c r="A17" s="148" t="s">
        <v>168</v>
      </c>
      <c r="B17" s="148"/>
      <c r="C17" s="148" t="s">
        <v>245</v>
      </c>
      <c r="D17" s="148"/>
      <c r="E17" s="148"/>
      <c r="F17" s="148"/>
      <c r="G17" s="148"/>
      <c r="H17" s="148"/>
      <c r="S17" s="35" t="s">
        <v>189</v>
      </c>
      <c r="T17" s="35" t="s">
        <v>194</v>
      </c>
      <c r="U17" s="35"/>
      <c r="V17" s="35" t="s">
        <v>204</v>
      </c>
      <c r="W17" s="35" t="s">
        <v>221</v>
      </c>
      <c r="X17"/>
      <c r="Y17"/>
      <c r="Z17"/>
    </row>
    <row r="18" spans="1:26" x14ac:dyDescent="0.3">
      <c r="A18" s="148" t="s">
        <v>11</v>
      </c>
      <c r="B18" s="148"/>
      <c r="C18" s="148" t="s">
        <v>244</v>
      </c>
      <c r="D18" s="148"/>
      <c r="E18" s="148" t="s">
        <v>73</v>
      </c>
      <c r="F18" s="148"/>
      <c r="G18" s="148" t="s">
        <v>241</v>
      </c>
      <c r="H18" s="148"/>
      <c r="S18" s="35" t="s">
        <v>190</v>
      </c>
      <c r="T18" s="35" t="s">
        <v>197</v>
      </c>
      <c r="U18" s="35"/>
      <c r="V18" s="35" t="s">
        <v>205</v>
      </c>
      <c r="W18" s="35" t="s">
        <v>222</v>
      </c>
      <c r="X18"/>
      <c r="Y18"/>
      <c r="Z18"/>
    </row>
    <row r="19" spans="1:26" x14ac:dyDescent="0.3">
      <c r="A19" s="71" t="s">
        <v>13</v>
      </c>
      <c r="B19" s="71"/>
      <c r="C19" s="148" t="s">
        <v>281</v>
      </c>
      <c r="D19" s="148"/>
      <c r="E19" s="148" t="s">
        <v>12</v>
      </c>
      <c r="F19" s="148"/>
      <c r="G19" s="163" t="s">
        <v>194</v>
      </c>
      <c r="H19" s="163"/>
      <c r="S19" s="35" t="s">
        <v>191</v>
      </c>
      <c r="T19" s="35" t="s">
        <v>198</v>
      </c>
      <c r="U19" s="35"/>
      <c r="V19" s="35" t="s">
        <v>206</v>
      </c>
      <c r="W19" s="35" t="s">
        <v>223</v>
      </c>
      <c r="X19"/>
      <c r="Y19"/>
      <c r="Z19"/>
    </row>
    <row r="20" spans="1:26" x14ac:dyDescent="0.3">
      <c r="A20" s="71" t="s">
        <v>74</v>
      </c>
      <c r="B20" s="71"/>
      <c r="C20" s="148" t="s">
        <v>195</v>
      </c>
      <c r="D20" s="148"/>
      <c r="E20" s="148" t="s">
        <v>14</v>
      </c>
      <c r="F20" s="148"/>
      <c r="G20" s="148">
        <v>401203</v>
      </c>
      <c r="H20" s="148"/>
      <c r="S20" s="35"/>
      <c r="T20" s="35"/>
      <c r="U20" s="35"/>
      <c r="V20" s="35" t="s">
        <v>207</v>
      </c>
      <c r="W20" s="35" t="s">
        <v>224</v>
      </c>
      <c r="X20"/>
      <c r="Y20"/>
      <c r="Z20"/>
    </row>
    <row r="21" spans="1:26" ht="47.25" customHeight="1" x14ac:dyDescent="0.3">
      <c r="A21" s="139" t="s">
        <v>124</v>
      </c>
      <c r="B21" s="139"/>
      <c r="C21" s="148" t="s">
        <v>247</v>
      </c>
      <c r="D21" s="148"/>
      <c r="E21" s="140" t="s">
        <v>15</v>
      </c>
      <c r="F21" s="140"/>
      <c r="G21" s="148" t="s">
        <v>246</v>
      </c>
      <c r="H21" s="148"/>
      <c r="S21" s="35"/>
      <c r="T21" s="35"/>
      <c r="U21" s="35"/>
      <c r="V21" s="35" t="s">
        <v>208</v>
      </c>
      <c r="W21" s="35" t="s">
        <v>225</v>
      </c>
      <c r="X21"/>
      <c r="Y21"/>
      <c r="Z21"/>
    </row>
    <row r="22" spans="1:26" ht="15" customHeight="1" x14ac:dyDescent="0.3">
      <c r="A22" s="140" t="s">
        <v>76</v>
      </c>
      <c r="B22" s="140"/>
      <c r="C22" s="140"/>
      <c r="D22" s="140"/>
      <c r="E22" s="71" t="s">
        <v>16</v>
      </c>
      <c r="F22" s="71"/>
      <c r="G22" s="71"/>
      <c r="H22" s="71"/>
      <c r="S22" s="35"/>
      <c r="T22" s="35"/>
      <c r="U22" s="35"/>
      <c r="V22" s="35" t="s">
        <v>209</v>
      </c>
      <c r="W22" s="35" t="s">
        <v>226</v>
      </c>
      <c r="X22"/>
      <c r="Y22"/>
      <c r="Z22"/>
    </row>
    <row r="23" spans="1:26" ht="18.75" customHeight="1" x14ac:dyDescent="0.3">
      <c r="A23" s="140"/>
      <c r="B23" s="140"/>
      <c r="C23" s="140"/>
      <c r="D23" s="140"/>
      <c r="E23" s="71"/>
      <c r="F23" s="71"/>
      <c r="G23" s="71"/>
      <c r="H23" s="71"/>
      <c r="S23" s="35"/>
      <c r="T23" s="35"/>
      <c r="U23" s="35"/>
      <c r="V23" s="35" t="s">
        <v>210</v>
      </c>
      <c r="W23" s="35" t="s">
        <v>227</v>
      </c>
      <c r="X23"/>
      <c r="Y23"/>
      <c r="Z23"/>
    </row>
    <row r="24" spans="1:26" ht="15" customHeight="1" x14ac:dyDescent="0.3">
      <c r="A24" s="140" t="s">
        <v>17</v>
      </c>
      <c r="B24" s="140"/>
      <c r="C24" s="140"/>
      <c r="D24" s="140"/>
      <c r="E24" s="148" t="s">
        <v>18</v>
      </c>
      <c r="F24" s="148"/>
      <c r="G24" s="148"/>
      <c r="H24" s="148"/>
      <c r="S24" s="35"/>
      <c r="T24" s="35"/>
      <c r="U24" s="35"/>
      <c r="V24" s="35" t="s">
        <v>211</v>
      </c>
      <c r="W24" s="35" t="s">
        <v>228</v>
      </c>
      <c r="X24"/>
      <c r="Y24"/>
      <c r="Z24"/>
    </row>
    <row r="25" spans="1:26" ht="15" customHeight="1" x14ac:dyDescent="0.3">
      <c r="A25" s="139" t="s">
        <v>19</v>
      </c>
      <c r="B25" s="139"/>
      <c r="C25" s="139"/>
      <c r="D25" s="139"/>
      <c r="E25" s="148" t="str">
        <f>IF(AND(G19="Mumbai"),"Upper Class","Middle Class")</f>
        <v>Middle Class</v>
      </c>
      <c r="F25" s="148"/>
      <c r="G25" s="148"/>
      <c r="H25" s="148"/>
      <c r="S25" s="35"/>
      <c r="T25" s="35"/>
      <c r="U25" s="35"/>
      <c r="V25" s="35" t="s">
        <v>212</v>
      </c>
      <c r="W25" s="35" t="s">
        <v>229</v>
      </c>
      <c r="X25"/>
      <c r="Y25"/>
      <c r="Z25"/>
    </row>
    <row r="26" spans="1:26" x14ac:dyDescent="0.3">
      <c r="A26" s="139" t="s">
        <v>20</v>
      </c>
      <c r="B26" s="139"/>
      <c r="C26" s="139"/>
      <c r="D26" s="139"/>
      <c r="E26" s="148" t="s">
        <v>21</v>
      </c>
      <c r="F26" s="148"/>
      <c r="G26" s="148"/>
      <c r="H26" s="148"/>
      <c r="S26" s="35"/>
      <c r="T26" s="35"/>
      <c r="U26" s="35"/>
      <c r="V26" s="35" t="s">
        <v>213</v>
      </c>
      <c r="W26" s="35" t="s">
        <v>230</v>
      </c>
      <c r="X26"/>
      <c r="Y26"/>
      <c r="Z26"/>
    </row>
    <row r="27" spans="1:26" ht="15.75" customHeight="1" x14ac:dyDescent="0.3">
      <c r="A27" s="139" t="s">
        <v>22</v>
      </c>
      <c r="B27" s="139"/>
      <c r="C27" s="139"/>
      <c r="D27" s="139"/>
      <c r="E27" s="148" t="str">
        <f>IF(AND(G19="Mumbai"),"Developed","Developing")</f>
        <v>Developing</v>
      </c>
      <c r="F27" s="148"/>
      <c r="G27" s="148"/>
      <c r="H27" s="148"/>
    </row>
    <row r="28" spans="1:26" x14ac:dyDescent="0.3">
      <c r="A28" s="139" t="s">
        <v>23</v>
      </c>
      <c r="B28" s="139"/>
      <c r="C28" s="139"/>
      <c r="D28" s="139"/>
      <c r="E28" s="148" t="s">
        <v>24</v>
      </c>
      <c r="F28" s="148"/>
      <c r="G28" s="148"/>
      <c r="H28" s="148"/>
    </row>
    <row r="29" spans="1:26" ht="15.75" customHeight="1" x14ac:dyDescent="0.3">
      <c r="A29" s="139" t="s">
        <v>81</v>
      </c>
      <c r="B29" s="139"/>
      <c r="C29" s="139"/>
      <c r="D29" s="139"/>
      <c r="E29" s="148" t="s">
        <v>82</v>
      </c>
      <c r="F29" s="148"/>
      <c r="G29" s="148"/>
      <c r="H29" s="148"/>
    </row>
    <row r="30" spans="1:26" ht="15" customHeight="1" x14ac:dyDescent="0.3">
      <c r="A30" s="139" t="s">
        <v>32</v>
      </c>
      <c r="B30" s="139"/>
      <c r="C30" s="139"/>
      <c r="D30" s="139"/>
      <c r="E30" s="148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48"/>
      <c r="G30" s="148"/>
      <c r="H30" s="148"/>
    </row>
    <row r="31" spans="1:26" ht="15.75" customHeight="1" x14ac:dyDescent="0.3">
      <c r="A31" s="139" t="s">
        <v>93</v>
      </c>
      <c r="B31" s="139"/>
      <c r="C31" s="139"/>
      <c r="D31" s="139"/>
      <c r="E31" s="148" t="s">
        <v>33</v>
      </c>
      <c r="F31" s="148"/>
      <c r="G31" s="148"/>
      <c r="H31" s="148"/>
    </row>
    <row r="32" spans="1:26" s="18" customFormat="1" x14ac:dyDescent="0.3">
      <c r="A32" s="162" t="s">
        <v>94</v>
      </c>
      <c r="B32" s="162"/>
      <c r="C32" s="159" t="s">
        <v>178</v>
      </c>
      <c r="D32" s="160"/>
      <c r="E32" s="161"/>
      <c r="F32" s="159" t="s">
        <v>30</v>
      </c>
      <c r="G32" s="160"/>
      <c r="H32" s="161"/>
      <c r="I32" s="42"/>
      <c r="J32" s="42"/>
      <c r="K32" s="42"/>
      <c r="L32" s="42"/>
      <c r="M32" s="42"/>
      <c r="N32" s="42"/>
      <c r="O32" s="42"/>
      <c r="P32" s="42"/>
    </row>
    <row r="33" spans="1:16" s="18" customFormat="1" x14ac:dyDescent="0.3">
      <c r="A33" s="150" t="s">
        <v>25</v>
      </c>
      <c r="B33" s="150" t="s">
        <v>29</v>
      </c>
      <c r="C33" s="151" t="s">
        <v>249</v>
      </c>
      <c r="D33" s="152"/>
      <c r="E33" s="153"/>
      <c r="F33" s="151" t="s">
        <v>244</v>
      </c>
      <c r="G33" s="152"/>
      <c r="H33" s="153"/>
      <c r="I33" s="42"/>
      <c r="J33" s="42"/>
      <c r="K33" s="42"/>
      <c r="L33" s="42"/>
      <c r="M33" s="42"/>
      <c r="N33" s="42"/>
      <c r="O33" s="42"/>
      <c r="P33" s="42"/>
    </row>
    <row r="34" spans="1:16" x14ac:dyDescent="0.3">
      <c r="A34" s="150" t="s">
        <v>26</v>
      </c>
      <c r="B34" s="150" t="s">
        <v>29</v>
      </c>
      <c r="C34" s="151" t="s">
        <v>250</v>
      </c>
      <c r="D34" s="152"/>
      <c r="E34" s="153"/>
      <c r="F34" s="151" t="s">
        <v>248</v>
      </c>
      <c r="G34" s="152"/>
      <c r="H34" s="153"/>
    </row>
    <row r="35" spans="1:16" s="18" customFormat="1" x14ac:dyDescent="0.3">
      <c r="A35" s="150" t="s">
        <v>28</v>
      </c>
      <c r="B35" s="150" t="s">
        <v>29</v>
      </c>
      <c r="C35" s="151" t="s">
        <v>251</v>
      </c>
      <c r="D35" s="152"/>
      <c r="E35" s="153"/>
      <c r="F35" s="151" t="s">
        <v>248</v>
      </c>
      <c r="G35" s="152"/>
      <c r="H35" s="153"/>
      <c r="I35" s="42"/>
      <c r="J35" s="42"/>
      <c r="K35" s="42"/>
      <c r="L35" s="42"/>
      <c r="M35" s="42"/>
      <c r="N35" s="42"/>
      <c r="O35" s="42"/>
      <c r="P35" s="42"/>
    </row>
    <row r="36" spans="1:16" x14ac:dyDescent="0.3">
      <c r="A36" s="150" t="s">
        <v>27</v>
      </c>
      <c r="B36" s="150" t="s">
        <v>29</v>
      </c>
      <c r="C36" s="151" t="s">
        <v>250</v>
      </c>
      <c r="D36" s="152"/>
      <c r="E36" s="153"/>
      <c r="F36" s="151" t="s">
        <v>247</v>
      </c>
      <c r="G36" s="152"/>
      <c r="H36" s="153"/>
    </row>
    <row r="37" spans="1:16" x14ac:dyDescent="0.3">
      <c r="A37" s="139" t="s">
        <v>31</v>
      </c>
      <c r="B37" s="139"/>
      <c r="C37" s="139"/>
      <c r="D37" s="139"/>
      <c r="E37" s="139"/>
      <c r="F37" s="139"/>
      <c r="G37" s="139"/>
      <c r="H37" s="139"/>
    </row>
    <row r="38" spans="1:16" ht="15.75" customHeight="1" x14ac:dyDescent="0.3">
      <c r="A38" s="114" t="s">
        <v>170</v>
      </c>
      <c r="B38" s="114"/>
      <c r="C38" s="139" t="s">
        <v>243</v>
      </c>
      <c r="D38" s="139"/>
      <c r="E38" s="139"/>
      <c r="F38" s="139"/>
      <c r="G38" s="139"/>
      <c r="H38" s="139"/>
    </row>
    <row r="39" spans="1:16" x14ac:dyDescent="0.3">
      <c r="A39" s="114" t="s">
        <v>167</v>
      </c>
      <c r="B39" s="114"/>
      <c r="C39" s="147" t="s">
        <v>242</v>
      </c>
      <c r="D39" s="148"/>
      <c r="E39" s="148"/>
      <c r="F39" s="148"/>
      <c r="G39" s="148"/>
      <c r="H39" s="148"/>
    </row>
    <row r="40" spans="1:16" x14ac:dyDescent="0.3">
      <c r="A40" s="114" t="s">
        <v>34</v>
      </c>
      <c r="B40" s="114"/>
      <c r="C40" s="114"/>
      <c r="D40" s="114"/>
      <c r="E40" s="114"/>
      <c r="F40" s="114"/>
      <c r="G40" s="114"/>
      <c r="H40" s="114"/>
    </row>
    <row r="41" spans="1:16" x14ac:dyDescent="0.3">
      <c r="A41" s="139" t="s">
        <v>35</v>
      </c>
      <c r="B41" s="139"/>
      <c r="C41" s="139"/>
      <c r="D41" s="139"/>
      <c r="E41" s="154">
        <v>4075.56</v>
      </c>
      <c r="F41" s="154"/>
      <c r="G41" s="154"/>
      <c r="H41" s="154"/>
    </row>
    <row r="42" spans="1:16" x14ac:dyDescent="0.3">
      <c r="A42" s="139" t="s">
        <v>36</v>
      </c>
      <c r="B42" s="139"/>
      <c r="C42" s="139"/>
      <c r="D42" s="139"/>
      <c r="E42" s="145">
        <v>1.1000000000000001</v>
      </c>
      <c r="F42" s="145"/>
      <c r="G42" s="145"/>
      <c r="H42" s="145"/>
    </row>
    <row r="43" spans="1:16" x14ac:dyDescent="0.3">
      <c r="A43" s="139" t="s">
        <v>37</v>
      </c>
      <c r="B43" s="139"/>
      <c r="C43" s="139"/>
      <c r="D43" s="139"/>
      <c r="E43" s="145">
        <f>E45/E41-E42</f>
        <v>1.5423509898026282</v>
      </c>
      <c r="F43" s="145"/>
      <c r="G43" s="145"/>
      <c r="H43" s="145"/>
    </row>
    <row r="44" spans="1:16" x14ac:dyDescent="0.3">
      <c r="A44" s="139" t="s">
        <v>38</v>
      </c>
      <c r="B44" s="139"/>
      <c r="C44" s="139"/>
      <c r="D44" s="139"/>
      <c r="E44" s="145">
        <f>E42+E43</f>
        <v>2.6423509898026283</v>
      </c>
      <c r="F44" s="145"/>
      <c r="G44" s="145"/>
      <c r="H44" s="145"/>
    </row>
    <row r="45" spans="1:16" x14ac:dyDescent="0.3">
      <c r="A45" s="139" t="s">
        <v>92</v>
      </c>
      <c r="B45" s="139"/>
      <c r="C45" s="139"/>
      <c r="D45" s="139"/>
      <c r="E45" s="146">
        <v>10769.06</v>
      </c>
      <c r="F45" s="146"/>
      <c r="G45" s="146"/>
      <c r="H45" s="146"/>
    </row>
    <row r="46" spans="1:16" x14ac:dyDescent="0.3">
      <c r="A46" s="71" t="s">
        <v>39</v>
      </c>
      <c r="B46" s="71"/>
      <c r="C46" s="71"/>
      <c r="D46" s="71"/>
      <c r="E46" s="71" t="s">
        <v>123</v>
      </c>
      <c r="F46" s="71"/>
      <c r="G46" s="71"/>
      <c r="H46" s="71"/>
    </row>
    <row r="47" spans="1:16" x14ac:dyDescent="0.3">
      <c r="A47" s="114" t="s">
        <v>40</v>
      </c>
      <c r="B47" s="114"/>
      <c r="C47" s="114"/>
      <c r="D47" s="114"/>
      <c r="E47" s="114"/>
      <c r="F47" s="114"/>
      <c r="G47" s="114"/>
      <c r="H47" s="114"/>
    </row>
    <row r="48" spans="1:16" ht="33.75" customHeight="1" x14ac:dyDescent="0.3">
      <c r="A48" s="103" t="s">
        <v>156</v>
      </c>
      <c r="B48" s="104"/>
      <c r="C48" s="105" t="s">
        <v>252</v>
      </c>
      <c r="D48" s="106"/>
      <c r="E48" s="106"/>
      <c r="F48" s="106"/>
      <c r="G48" s="106"/>
      <c r="H48" s="107"/>
    </row>
    <row r="49" spans="1:16" ht="15.75" customHeight="1" x14ac:dyDescent="0.3">
      <c r="A49" s="103" t="s">
        <v>41</v>
      </c>
      <c r="B49" s="104"/>
      <c r="C49" s="103" t="s">
        <v>253</v>
      </c>
      <c r="D49" s="149"/>
      <c r="E49" s="104"/>
      <c r="F49" s="16" t="s">
        <v>42</v>
      </c>
      <c r="G49" s="120">
        <v>45016</v>
      </c>
      <c r="H49" s="104"/>
    </row>
    <row r="50" spans="1:16" x14ac:dyDescent="0.3">
      <c r="A50" s="103" t="s">
        <v>43</v>
      </c>
      <c r="B50" s="104"/>
      <c r="C50" s="103" t="str">
        <f>C49</f>
        <v>VVCMC/TP/CC/VP/0402/559/2022-23</v>
      </c>
      <c r="D50" s="149"/>
      <c r="E50" s="104"/>
      <c r="F50" s="16" t="s">
        <v>42</v>
      </c>
      <c r="G50" s="120">
        <f>G49</f>
        <v>45016</v>
      </c>
      <c r="H50" s="121"/>
    </row>
    <row r="51" spans="1:16" s="19" customFormat="1" ht="15.75" customHeight="1" x14ac:dyDescent="0.3">
      <c r="A51" s="141" t="s">
        <v>274</v>
      </c>
      <c r="B51" s="142"/>
      <c r="C51" s="103" t="s">
        <v>273</v>
      </c>
      <c r="D51" s="149"/>
      <c r="E51" s="104"/>
      <c r="F51" s="16" t="s">
        <v>42</v>
      </c>
      <c r="G51" s="120">
        <f>G50</f>
        <v>45016</v>
      </c>
      <c r="H51" s="121"/>
      <c r="I51" s="46"/>
      <c r="J51" s="46"/>
      <c r="K51" s="46"/>
      <c r="L51" s="46"/>
      <c r="M51" s="46"/>
      <c r="N51" s="46"/>
      <c r="O51" s="46"/>
      <c r="P51" s="46"/>
    </row>
    <row r="52" spans="1:16" s="19" customFormat="1" x14ac:dyDescent="0.3">
      <c r="A52" s="143"/>
      <c r="B52" s="144"/>
      <c r="C52" s="103" t="s">
        <v>275</v>
      </c>
      <c r="D52" s="149"/>
      <c r="E52" s="149"/>
      <c r="F52" s="149"/>
      <c r="G52" s="149"/>
      <c r="H52" s="104"/>
      <c r="I52" s="46"/>
      <c r="J52" s="46"/>
      <c r="K52" s="46"/>
      <c r="L52" s="46"/>
      <c r="M52" s="46"/>
      <c r="N52" s="46"/>
      <c r="O52" s="46"/>
      <c r="P52" s="46"/>
    </row>
    <row r="53" spans="1:16" x14ac:dyDescent="0.3">
      <c r="A53" s="189" t="s">
        <v>44</v>
      </c>
      <c r="B53" s="190"/>
      <c r="C53" s="189" t="s">
        <v>106</v>
      </c>
      <c r="D53" s="191"/>
      <c r="E53" s="190"/>
      <c r="F53" s="31" t="s">
        <v>42</v>
      </c>
      <c r="G53" s="157" t="s">
        <v>29</v>
      </c>
      <c r="H53" s="158"/>
    </row>
    <row r="54" spans="1:16" x14ac:dyDescent="0.3">
      <c r="A54" s="156" t="s">
        <v>46</v>
      </c>
      <c r="B54" s="156"/>
      <c r="C54" s="156"/>
      <c r="D54" s="156"/>
      <c r="E54" s="156"/>
      <c r="F54" s="156"/>
      <c r="G54" s="156"/>
      <c r="H54" s="156"/>
    </row>
    <row r="55" spans="1:16" x14ac:dyDescent="0.3">
      <c r="A55" s="140" t="s">
        <v>91</v>
      </c>
      <c r="B55" s="140"/>
      <c r="C55" s="140"/>
      <c r="D55" s="71">
        <f>E45</f>
        <v>10769.06</v>
      </c>
      <c r="E55" s="71"/>
      <c r="F55" s="71"/>
      <c r="G55" s="71"/>
      <c r="H55" s="71"/>
    </row>
    <row r="56" spans="1:16" x14ac:dyDescent="0.3">
      <c r="A56" s="148" t="s">
        <v>47</v>
      </c>
      <c r="B56" s="71"/>
      <c r="C56" s="71"/>
      <c r="D56" s="71" t="s">
        <v>272</v>
      </c>
      <c r="E56" s="71"/>
      <c r="F56" s="71"/>
      <c r="G56" s="71"/>
      <c r="H56" s="71"/>
      <c r="I56" s="23"/>
    </row>
    <row r="57" spans="1:16" x14ac:dyDescent="0.3">
      <c r="A57" s="117" t="s">
        <v>48</v>
      </c>
      <c r="B57" s="118"/>
      <c r="C57" s="119"/>
      <c r="D57" s="115" t="s">
        <v>269</v>
      </c>
      <c r="E57" s="116"/>
      <c r="F57" s="116"/>
      <c r="G57" s="116"/>
      <c r="H57" s="116"/>
    </row>
    <row r="58" spans="1:16" ht="15.75" customHeight="1" x14ac:dyDescent="0.3">
      <c r="A58" s="117" t="s">
        <v>89</v>
      </c>
      <c r="B58" s="118"/>
      <c r="C58" s="118"/>
      <c r="D58" s="148" t="s">
        <v>270</v>
      </c>
      <c r="E58" s="71"/>
      <c r="F58" s="71"/>
      <c r="G58" s="71"/>
      <c r="H58" s="71"/>
    </row>
    <row r="59" spans="1:16" ht="15.75" customHeight="1" x14ac:dyDescent="0.3">
      <c r="A59" s="139" t="s">
        <v>45</v>
      </c>
      <c r="B59" s="139"/>
      <c r="C59" s="139"/>
      <c r="D59" s="155" t="s">
        <v>254</v>
      </c>
      <c r="E59" s="155"/>
      <c r="F59" s="155"/>
      <c r="G59" s="155"/>
      <c r="H59" s="155"/>
      <c r="J59" s="47"/>
      <c r="K59" s="23"/>
      <c r="N59" s="23"/>
    </row>
    <row r="60" spans="1:16" ht="15.75" customHeight="1" x14ac:dyDescent="0.3">
      <c r="A60" s="139" t="s">
        <v>87</v>
      </c>
      <c r="B60" s="139"/>
      <c r="C60" s="139"/>
      <c r="D60" s="138" t="str">
        <f>(IF(G53="NA","60 Years After Completion",IF(G53&lt;&gt;"NA",""&amp;60-ROUNDDOWN((E3-G53)/360,0)&amp;" Years"," ")))</f>
        <v>60 Years After Completion</v>
      </c>
      <c r="E60" s="138"/>
      <c r="F60" s="138"/>
      <c r="G60" s="138"/>
      <c r="H60" s="138"/>
      <c r="N60" s="23"/>
    </row>
    <row r="61" spans="1:16" ht="15.75" customHeight="1" x14ac:dyDescent="0.3">
      <c r="A61" s="139" t="s">
        <v>88</v>
      </c>
      <c r="B61" s="139"/>
      <c r="C61" s="139"/>
      <c r="D61" s="140" t="s">
        <v>24</v>
      </c>
      <c r="E61" s="140"/>
      <c r="F61" s="140"/>
      <c r="G61" s="140"/>
      <c r="H61" s="140"/>
      <c r="J61" s="48"/>
      <c r="K61" s="48"/>
    </row>
    <row r="62" spans="1:16" ht="15.75" customHeight="1" x14ac:dyDescent="0.3">
      <c r="A62" s="71" t="s">
        <v>277</v>
      </c>
      <c r="B62" s="71"/>
      <c r="C62" s="71"/>
      <c r="D62" s="148" t="s">
        <v>276</v>
      </c>
      <c r="E62" s="140"/>
      <c r="F62" s="140"/>
      <c r="G62" s="140"/>
      <c r="H62" s="140"/>
    </row>
    <row r="63" spans="1:16" x14ac:dyDescent="0.3">
      <c r="A63" s="140" t="s">
        <v>152</v>
      </c>
      <c r="B63" s="140"/>
      <c r="C63" s="140"/>
      <c r="D63" s="140" t="s">
        <v>29</v>
      </c>
      <c r="E63" s="140"/>
      <c r="F63" s="140"/>
      <c r="G63" s="140"/>
      <c r="H63" s="140"/>
      <c r="I63" s="49"/>
      <c r="J63" s="49"/>
      <c r="K63" s="49"/>
      <c r="L63" s="49"/>
      <c r="M63" s="49"/>
      <c r="N63" s="49"/>
    </row>
    <row r="64" spans="1:16" ht="15.75" customHeight="1" x14ac:dyDescent="0.3">
      <c r="A64" s="192" t="s">
        <v>86</v>
      </c>
      <c r="B64" s="192"/>
      <c r="C64" s="192"/>
      <c r="D64" s="115" t="str">
        <f ca="1">(IF(G70&gt;95%,"Nothing",IF(G70&gt;0%,"Cement, Aggregate, Steel, etc",IF(G70=0%,"Work not yet Started"))))</f>
        <v>Cement, Aggregate, Steel, etc</v>
      </c>
      <c r="E64" s="115"/>
      <c r="F64" s="115"/>
      <c r="G64" s="115"/>
      <c r="H64" s="115"/>
      <c r="J64" s="48"/>
    </row>
    <row r="65" spans="1:14" ht="33.75" customHeight="1" thickBot="1" x14ac:dyDescent="0.35">
      <c r="A65" s="167" t="s">
        <v>119</v>
      </c>
      <c r="B65" s="167"/>
      <c r="C65" s="167"/>
      <c r="D65" s="115" t="str">
        <f ca="1">(IF(D64="Nothing","Yes",IF(D64="Cement, Aggregate, Steel, etc","Under Construction",IF(D64="Work not yet Started","Work not yet Started"))))</f>
        <v>Under Construction</v>
      </c>
      <c r="E65" s="115"/>
      <c r="F65" s="115" t="str">
        <f ca="1">(IF(D64="Nothing","Yes",IF(D64="Cement, Aggregate, Steel, etc","Under Construction",IF(D64="Work not yet Started","Work not yet Started"))))</f>
        <v>Under Construction</v>
      </c>
      <c r="G65" s="115"/>
      <c r="H65" s="115"/>
    </row>
    <row r="66" spans="1:14" ht="15.75" customHeight="1" x14ac:dyDescent="0.3">
      <c r="A66" s="112" t="s">
        <v>142</v>
      </c>
      <c r="B66" s="113"/>
      <c r="C66" s="131" t="str">
        <f>D58</f>
        <v>Gr/Stilt + 1st to 18th Floor</v>
      </c>
      <c r="D66" s="132"/>
      <c r="E66" s="132"/>
      <c r="F66" s="132"/>
      <c r="G66" s="132"/>
      <c r="H66" s="133"/>
      <c r="I66" s="50" t="str">
        <f ca="1">IF(D79=100%,"All work Completed. Possession granted to the Building.",IF(D78=100%,"All work Completed, Waiting for OC",I67&amp;""&amp;I68&amp;""&amp;J67&amp;""&amp;J66&amp;" "&amp;J68))</f>
        <v>Excavation, Plinth, RCC Slab, Brickwork Completed, Internal Plaster upto 8 Floor, External Plaster upto 5 Floor Completed</v>
      </c>
      <c r="J66" s="51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Internal Plaster upto 8 Floor, External Plaster upto 5 Floor</v>
      </c>
    </row>
    <row r="67" spans="1:14" x14ac:dyDescent="0.3">
      <c r="A67" s="14" t="s">
        <v>144</v>
      </c>
      <c r="B67" s="33">
        <f>IF(AND(ISNUMBER(SEARCH("1B",C66))),1,IF(AND(ISNUMBER(SEARCH("2B",C66))),2,IF(AND(ISNUMBER(SEARCH("3B",C66))),3,IF(AND(ISNUMBER(SEARCH("4B",C66))),4,IF(ISNUMBER(SEARCH("5B",C66)),5,0)))))</f>
        <v>0</v>
      </c>
      <c r="C67" s="33" t="s">
        <v>72</v>
      </c>
      <c r="D67" s="33">
        <v>1</v>
      </c>
      <c r="E67" s="33" t="s">
        <v>71</v>
      </c>
      <c r="F67" s="33">
        <v>0</v>
      </c>
      <c r="G67" s="33" t="s">
        <v>80</v>
      </c>
      <c r="H67" s="15">
        <f ca="1">--TRIM(RIGHT(SUBSTITUTE(LEFT(C66,_xlfn.AGGREGATE(16,6,FIND({0,1,2,3,4,5,6,7,8,9},C66,ROW(INDIRECT("1:"&amp;LEN(C66)))),1))," ",REPT(" ",LEN(C66))),LEN(C66)))</f>
        <v>18</v>
      </c>
      <c r="I67" s="52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5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4" ht="32.25" customHeight="1" x14ac:dyDescent="0.3">
      <c r="A68" s="111" t="s">
        <v>90</v>
      </c>
      <c r="B68" s="109"/>
      <c r="C68" s="93" t="str">
        <f ca="1">I66</f>
        <v>Excavation, Plinth, RCC Slab, Brickwork Completed, Internal Plaster upto 8 Floor, External Plaster upto 5 Floor Completed</v>
      </c>
      <c r="D68" s="93"/>
      <c r="E68" s="93"/>
      <c r="F68" s="93"/>
      <c r="G68" s="93"/>
      <c r="H68" s="94"/>
      <c r="I68" s="52" t="str">
        <f ca="1">IF(I67&lt;&gt;""," Completed","")</f>
        <v xml:space="preserve"> Completed</v>
      </c>
      <c r="J68" s="53" t="str">
        <f ca="1">IF(J66&lt;&gt;"","Completed","")</f>
        <v>Completed</v>
      </c>
    </row>
    <row r="69" spans="1:14" ht="15.75" customHeight="1" x14ac:dyDescent="0.3">
      <c r="A69" s="95" t="s">
        <v>49</v>
      </c>
      <c r="B69" s="96"/>
      <c r="C69" s="36" t="s">
        <v>141</v>
      </c>
      <c r="D69" s="36" t="s">
        <v>83</v>
      </c>
      <c r="E69" s="96" t="s">
        <v>85</v>
      </c>
      <c r="F69" s="96"/>
      <c r="G69" s="96" t="s">
        <v>84</v>
      </c>
      <c r="H69" s="187"/>
      <c r="I69" s="54" t="s">
        <v>143</v>
      </c>
      <c r="J69" s="55">
        <f ca="1">H67*25%</f>
        <v>4.5</v>
      </c>
    </row>
    <row r="70" spans="1:14" x14ac:dyDescent="0.3">
      <c r="A70" s="95" t="s">
        <v>130</v>
      </c>
      <c r="B70" s="96"/>
      <c r="C70" s="36">
        <f ca="1">J71</f>
        <v>18</v>
      </c>
      <c r="D70" s="37">
        <f ca="1">((100/H67)*C70)/100</f>
        <v>1</v>
      </c>
      <c r="E70" s="194">
        <f ca="1">(((C71/H67*10)+(40/(D67+F67+H67)*C72)+(7.5/(H67)*C73)+(7.5/(H67)*C74)+(10/H67*C75)+(10/H67*C76)+(5/H67*C77)+(5/H67*C78)+(5/H67*C79))/100)</f>
        <v>0.63611111111111118</v>
      </c>
      <c r="F70" s="195"/>
      <c r="G70" s="194">
        <f ca="1">((((C70/H67)*20)+((C71/H67)*25)+(30/(H67+F67+D67)*C72)+(5/H67*C73)+(5/H67*C74)+(5/H67*C75)+(5/H67*C76)+(0/H67*C77)+(0/H67*C78)+(5/H67*C79))/100)</f>
        <v>0.83611111111111114</v>
      </c>
      <c r="H70" s="198"/>
      <c r="I70" s="54" t="s">
        <v>101</v>
      </c>
      <c r="J70" s="56">
        <f ca="1">H67*50%</f>
        <v>9</v>
      </c>
    </row>
    <row r="71" spans="1:14" x14ac:dyDescent="0.3">
      <c r="A71" s="95" t="s">
        <v>50</v>
      </c>
      <c r="B71" s="96"/>
      <c r="C71" s="64">
        <f ca="1">J79</f>
        <v>18</v>
      </c>
      <c r="D71" s="37">
        <f ca="1">((100/H67)*C71)/100</f>
        <v>1</v>
      </c>
      <c r="E71" s="196"/>
      <c r="F71" s="197"/>
      <c r="G71" s="196"/>
      <c r="H71" s="199"/>
      <c r="I71" s="54" t="s">
        <v>102</v>
      </c>
      <c r="J71" s="56">
        <f ca="1">H67</f>
        <v>18</v>
      </c>
    </row>
    <row r="72" spans="1:14" ht="15.75" customHeight="1" x14ac:dyDescent="0.3">
      <c r="A72" s="95" t="s">
        <v>131</v>
      </c>
      <c r="B72" s="96"/>
      <c r="C72" s="36">
        <v>19</v>
      </c>
      <c r="D72" s="37">
        <f ca="1">((100/(D67+F67+H67))*C72)/100</f>
        <v>1</v>
      </c>
      <c r="E72" s="196"/>
      <c r="F72" s="197"/>
      <c r="G72" s="196"/>
      <c r="H72" s="199"/>
      <c r="I72" s="54" t="s">
        <v>103</v>
      </c>
      <c r="J72" s="57">
        <f ca="1">(IF(B67&gt;1,(H67/(B67+2)),H67/4))</f>
        <v>4.5</v>
      </c>
    </row>
    <row r="73" spans="1:14" ht="15.75" customHeight="1" x14ac:dyDescent="0.3">
      <c r="A73" s="95" t="s">
        <v>138</v>
      </c>
      <c r="B73" s="96" t="s">
        <v>132</v>
      </c>
      <c r="C73" s="36">
        <v>18</v>
      </c>
      <c r="D73" s="37">
        <f ca="1">((100/H67)*C73)/100</f>
        <v>1</v>
      </c>
      <c r="E73" s="196"/>
      <c r="F73" s="197"/>
      <c r="G73" s="196"/>
      <c r="H73" s="199"/>
      <c r="I73" s="54" t="s">
        <v>104</v>
      </c>
      <c r="J73" s="57">
        <f ca="1">(IF(B67&gt;1,(H67/(B67+2)+J72),H67/4+J72))</f>
        <v>9</v>
      </c>
    </row>
    <row r="74" spans="1:14" ht="15.75" customHeight="1" x14ac:dyDescent="0.3">
      <c r="A74" s="95" t="s">
        <v>139</v>
      </c>
      <c r="B74" s="96" t="s">
        <v>132</v>
      </c>
      <c r="C74" s="36">
        <v>8</v>
      </c>
      <c r="D74" s="37">
        <f ca="1">((100/H67)*C74)/100</f>
        <v>0.44444444444444442</v>
      </c>
      <c r="E74" s="196"/>
      <c r="F74" s="197"/>
      <c r="G74" s="196"/>
      <c r="H74" s="199"/>
      <c r="I74" s="54" t="s">
        <v>150</v>
      </c>
      <c r="J74" s="57">
        <f>(IF(B67&gt;1,(H67/(B67+2)+J73),0))</f>
        <v>0</v>
      </c>
    </row>
    <row r="75" spans="1:14" ht="15" customHeight="1" x14ac:dyDescent="0.3">
      <c r="A75" s="95" t="s">
        <v>137</v>
      </c>
      <c r="B75" s="96" t="s">
        <v>134</v>
      </c>
      <c r="C75" s="36">
        <v>5</v>
      </c>
      <c r="D75" s="37">
        <f ca="1">((100/(H67))*C75)/100</f>
        <v>0.27777777777777779</v>
      </c>
      <c r="E75" s="196"/>
      <c r="F75" s="197"/>
      <c r="G75" s="196"/>
      <c r="H75" s="199"/>
      <c r="I75" s="54" t="s">
        <v>145</v>
      </c>
      <c r="J75" s="57">
        <f>(IF(B67&gt;2,(H67/(B67+2)+J74),0))</f>
        <v>0</v>
      </c>
    </row>
    <row r="76" spans="1:14" ht="15.75" customHeight="1" x14ac:dyDescent="0.3">
      <c r="A76" s="95" t="s">
        <v>133</v>
      </c>
      <c r="B76" s="96" t="s">
        <v>133</v>
      </c>
      <c r="C76" s="36">
        <v>0</v>
      </c>
      <c r="D76" s="37">
        <f ca="1">((100/H67)*C76)/100</f>
        <v>0</v>
      </c>
      <c r="E76" s="196"/>
      <c r="F76" s="197"/>
      <c r="G76" s="196"/>
      <c r="H76" s="199"/>
      <c r="I76" s="54" t="s">
        <v>146</v>
      </c>
      <c r="J76" s="57">
        <f>(IF(B67&gt;3,(H67/(B67+2)+J75),0))</f>
        <v>0</v>
      </c>
    </row>
    <row r="77" spans="1:14" ht="15.75" customHeight="1" x14ac:dyDescent="0.3">
      <c r="A77" s="95" t="s">
        <v>140</v>
      </c>
      <c r="B77" s="96"/>
      <c r="C77" s="36">
        <v>0</v>
      </c>
      <c r="D77" s="37">
        <f ca="1">((100/H67)*C77)/100</f>
        <v>0</v>
      </c>
      <c r="E77" s="196"/>
      <c r="F77" s="197"/>
      <c r="G77" s="196"/>
      <c r="H77" s="199"/>
      <c r="I77" s="54" t="s">
        <v>147</v>
      </c>
      <c r="J77" s="57">
        <f>(IF(B67&gt;4,(H67/(B67+2)+J76),0))</f>
        <v>0</v>
      </c>
    </row>
    <row r="78" spans="1:14" ht="15.75" customHeight="1" x14ac:dyDescent="0.3">
      <c r="A78" s="95" t="s">
        <v>135</v>
      </c>
      <c r="B78" s="96" t="s">
        <v>135</v>
      </c>
      <c r="C78" s="36">
        <v>0</v>
      </c>
      <c r="D78" s="37">
        <f ca="1">((100/(H67))*C78)/100</f>
        <v>0</v>
      </c>
      <c r="E78" s="196"/>
      <c r="F78" s="197"/>
      <c r="G78" s="196"/>
      <c r="H78" s="199"/>
      <c r="I78" s="54" t="s">
        <v>151</v>
      </c>
      <c r="J78" s="57">
        <f ca="1">(IF(B67=1,(H67/(B67+3)+J73),IF(B67=0,(H67/4+J73),IF(B67&gt;1,0))))</f>
        <v>13.5</v>
      </c>
    </row>
    <row r="79" spans="1:14" ht="16.2" thickBot="1" x14ac:dyDescent="0.35">
      <c r="A79" s="136" t="s">
        <v>136</v>
      </c>
      <c r="B79" s="137"/>
      <c r="C79" s="69">
        <v>0</v>
      </c>
      <c r="D79" s="70">
        <f ca="1">((100/(H67))*C79)/100</f>
        <v>0</v>
      </c>
      <c r="E79" s="196"/>
      <c r="F79" s="197"/>
      <c r="G79" s="196"/>
      <c r="H79" s="199"/>
      <c r="I79" s="58" t="s">
        <v>105</v>
      </c>
      <c r="J79" s="59">
        <f ca="1">(IF(B67&gt;1.5,(H67/(B67+2)+J73+MAX(0,J74-J73)+MAX(0,J75-J74)+MAX(0,J76-J75)+MAX(0,J77-J76)+MAX(0,J78-J77)),IF(B67=1,(H67/(B67+3)+J78),IF(B67=0,H67/4+J78))))</f>
        <v>18</v>
      </c>
    </row>
    <row r="80" spans="1:14" x14ac:dyDescent="0.3">
      <c r="A80" s="109" t="s">
        <v>161</v>
      </c>
      <c r="B80" s="109"/>
      <c r="C80" s="109"/>
      <c r="D80" s="109"/>
      <c r="E80" s="109"/>
      <c r="F80" s="188" t="s">
        <v>165</v>
      </c>
      <c r="G80" s="188"/>
      <c r="H80" s="188"/>
      <c r="N80" s="42"/>
    </row>
    <row r="81" spans="1:16" x14ac:dyDescent="0.3">
      <c r="A81" s="71" t="s">
        <v>163</v>
      </c>
      <c r="B81" s="71"/>
      <c r="C81" s="71"/>
      <c r="D81" s="71"/>
      <c r="E81" s="71"/>
      <c r="F81" s="193">
        <v>6500</v>
      </c>
      <c r="G81" s="193"/>
      <c r="H81" s="193"/>
      <c r="I81" s="65" t="s">
        <v>287</v>
      </c>
      <c r="J81" s="65"/>
      <c r="K81" s="66">
        <v>45288</v>
      </c>
      <c r="L81" s="65"/>
      <c r="N81" s="42"/>
    </row>
    <row r="82" spans="1:16" x14ac:dyDescent="0.3">
      <c r="A82" s="71" t="s">
        <v>162</v>
      </c>
      <c r="B82" s="71"/>
      <c r="C82" s="71"/>
      <c r="D82" s="71"/>
      <c r="E82" s="71"/>
      <c r="F82" s="108">
        <v>12000</v>
      </c>
      <c r="G82" s="108"/>
      <c r="H82" s="108"/>
      <c r="I82" s="42"/>
      <c r="J82" s="42" t="s">
        <v>278</v>
      </c>
      <c r="K82" s="42" t="s">
        <v>279</v>
      </c>
      <c r="L82" s="42" t="s">
        <v>280</v>
      </c>
      <c r="M82" s="42"/>
      <c r="N82" s="42"/>
    </row>
    <row r="83" spans="1:16" x14ac:dyDescent="0.3">
      <c r="A83" s="71" t="s">
        <v>164</v>
      </c>
      <c r="B83" s="71"/>
      <c r="C83" s="71"/>
      <c r="D83" s="71"/>
      <c r="E83" s="71"/>
      <c r="F83" s="108">
        <v>10000</v>
      </c>
      <c r="G83" s="108"/>
      <c r="H83" s="108"/>
      <c r="I83" s="60">
        <f>AVERAGE(J83:L83)</f>
        <v>7095.6250373803823</v>
      </c>
      <c r="J83" s="42">
        <v>6200</v>
      </c>
      <c r="K83" s="60">
        <f>AVERAGE(K180:K188,K197)</f>
        <v>7541.925052802565</v>
      </c>
      <c r="L83" s="60">
        <f>AVERAGE(L177:L185)</f>
        <v>7544.9500593385837</v>
      </c>
      <c r="M83" s="42"/>
      <c r="N83" s="42"/>
    </row>
    <row r="84" spans="1:16" s="20" customFormat="1" ht="15.75" hidden="1" customHeight="1" x14ac:dyDescent="0.25">
      <c r="A84" s="71" t="s">
        <v>180</v>
      </c>
      <c r="B84" s="71"/>
      <c r="C84" s="71"/>
      <c r="D84" s="71"/>
      <c r="E84" s="71"/>
      <c r="F84" s="108"/>
      <c r="G84" s="108"/>
      <c r="H84" s="108"/>
      <c r="I84" s="42"/>
      <c r="J84" s="42"/>
      <c r="K84" s="60">
        <f>K117</f>
        <v>15994.651388575658</v>
      </c>
      <c r="L84" s="42"/>
      <c r="M84" s="42"/>
      <c r="N84" s="43"/>
      <c r="O84" s="40"/>
      <c r="P84" s="40"/>
    </row>
    <row r="85" spans="1:16" s="20" customFormat="1" ht="15.75" customHeight="1" x14ac:dyDescent="0.25">
      <c r="A85" s="71" t="s">
        <v>95</v>
      </c>
      <c r="B85" s="71"/>
      <c r="C85" s="71"/>
      <c r="D85" s="71"/>
      <c r="E85" s="71"/>
      <c r="F85" s="108">
        <v>200000</v>
      </c>
      <c r="G85" s="108"/>
      <c r="H85" s="108"/>
      <c r="I85" s="42"/>
      <c r="J85" s="42"/>
      <c r="K85" s="42"/>
      <c r="L85" s="42"/>
      <c r="M85" s="42"/>
      <c r="N85" s="43"/>
      <c r="O85" s="40"/>
      <c r="P85" s="40"/>
    </row>
    <row r="86" spans="1:16" s="20" customFormat="1" ht="15.75" hidden="1" customHeight="1" x14ac:dyDescent="0.25">
      <c r="A86" s="71" t="s">
        <v>96</v>
      </c>
      <c r="B86" s="71"/>
      <c r="C86" s="71"/>
      <c r="D86" s="71"/>
      <c r="E86" s="71"/>
      <c r="F86" s="108"/>
      <c r="G86" s="108"/>
      <c r="H86" s="108"/>
      <c r="I86" s="43"/>
      <c r="J86" s="43"/>
      <c r="K86" s="43"/>
      <c r="L86" s="43"/>
      <c r="M86" s="43"/>
      <c r="N86" s="43"/>
      <c r="O86" s="40"/>
      <c r="P86" s="40"/>
    </row>
    <row r="87" spans="1:16" s="20" customFormat="1" ht="15.75" hidden="1" customHeight="1" x14ac:dyDescent="0.25">
      <c r="A87" s="71" t="s">
        <v>166</v>
      </c>
      <c r="B87" s="71"/>
      <c r="C87" s="71"/>
      <c r="D87" s="71"/>
      <c r="E87" s="71"/>
      <c r="F87" s="108"/>
      <c r="G87" s="108"/>
      <c r="H87" s="108"/>
      <c r="I87" s="43"/>
      <c r="J87" s="43"/>
      <c r="K87" s="43"/>
      <c r="L87" s="43"/>
      <c r="M87" s="43"/>
      <c r="N87" s="43"/>
      <c r="O87" s="40"/>
      <c r="P87" s="40"/>
    </row>
    <row r="88" spans="1:16" s="20" customFormat="1" ht="15.75" hidden="1" customHeight="1" x14ac:dyDescent="0.25">
      <c r="A88" s="71" t="s">
        <v>97</v>
      </c>
      <c r="B88" s="71"/>
      <c r="C88" s="71"/>
      <c r="D88" s="71"/>
      <c r="E88" s="71"/>
      <c r="F88" s="108"/>
      <c r="G88" s="108"/>
      <c r="H88" s="108"/>
      <c r="I88" s="43"/>
      <c r="J88" s="43"/>
      <c r="K88" s="43"/>
      <c r="L88" s="43"/>
      <c r="M88" s="43"/>
      <c r="N88" s="43"/>
      <c r="O88" s="40"/>
      <c r="P88" s="40"/>
    </row>
    <row r="89" spans="1:16" s="20" customFormat="1" ht="15.75" hidden="1" customHeight="1" x14ac:dyDescent="0.25">
      <c r="A89" s="71" t="s">
        <v>98</v>
      </c>
      <c r="B89" s="71"/>
      <c r="C89" s="71"/>
      <c r="D89" s="71"/>
      <c r="E89" s="71"/>
      <c r="F89" s="108"/>
      <c r="G89" s="108"/>
      <c r="H89" s="108"/>
      <c r="I89" s="43"/>
      <c r="J89" s="43"/>
      <c r="K89" s="43"/>
      <c r="L89" s="43"/>
      <c r="M89" s="43"/>
      <c r="N89" s="43"/>
      <c r="O89" s="40"/>
      <c r="P89" s="40"/>
    </row>
    <row r="90" spans="1:16" s="20" customFormat="1" ht="15.75" hidden="1" customHeight="1" x14ac:dyDescent="0.25">
      <c r="A90" s="71" t="s">
        <v>99</v>
      </c>
      <c r="B90" s="71"/>
      <c r="C90" s="71"/>
      <c r="D90" s="71"/>
      <c r="E90" s="71"/>
      <c r="F90" s="108"/>
      <c r="G90" s="108"/>
      <c r="H90" s="108"/>
      <c r="I90" s="43"/>
      <c r="J90" s="43"/>
      <c r="K90" s="43"/>
      <c r="L90" s="43"/>
      <c r="M90" s="43"/>
      <c r="N90" s="43"/>
      <c r="O90" s="40"/>
      <c r="P90" s="40"/>
    </row>
    <row r="91" spans="1:16" s="20" customFormat="1" ht="15.75" hidden="1" customHeight="1" x14ac:dyDescent="0.25">
      <c r="A91" s="71" t="s">
        <v>100</v>
      </c>
      <c r="B91" s="71"/>
      <c r="C91" s="71"/>
      <c r="D91" s="71"/>
      <c r="E91" s="71"/>
      <c r="F91" s="108"/>
      <c r="G91" s="108"/>
      <c r="H91" s="108"/>
      <c r="I91" s="43"/>
      <c r="J91" s="43"/>
      <c r="K91" s="43"/>
      <c r="L91" s="43"/>
      <c r="M91" s="43"/>
      <c r="N91" s="43"/>
      <c r="O91" s="40"/>
      <c r="P91" s="40"/>
    </row>
    <row r="92" spans="1:16" x14ac:dyDescent="0.3">
      <c r="A92" s="71" t="s">
        <v>51</v>
      </c>
      <c r="B92" s="71"/>
      <c r="C92" s="71"/>
      <c r="D92" s="71"/>
      <c r="E92" s="71"/>
      <c r="F92" s="108">
        <v>300000</v>
      </c>
      <c r="G92" s="108"/>
      <c r="H92" s="108"/>
      <c r="I92" s="67" t="s">
        <v>288</v>
      </c>
      <c r="J92" s="67" t="s">
        <v>289</v>
      </c>
      <c r="K92" s="68">
        <v>45288</v>
      </c>
      <c r="L92" s="42"/>
      <c r="M92" s="42"/>
      <c r="N92" s="42"/>
    </row>
    <row r="93" spans="1:16" s="21" customFormat="1" x14ac:dyDescent="0.3">
      <c r="A93" s="109" t="s">
        <v>52</v>
      </c>
      <c r="B93" s="109"/>
      <c r="C93" s="109"/>
      <c r="D93" s="109"/>
      <c r="E93" s="109"/>
      <c r="F93" s="108">
        <f>F81*0.8</f>
        <v>5200</v>
      </c>
      <c r="G93" s="108"/>
      <c r="H93" s="108"/>
      <c r="I93" s="44"/>
      <c r="J93" s="62" t="s">
        <v>282</v>
      </c>
      <c r="K93" s="44"/>
      <c r="L93" s="44"/>
      <c r="M93" s="44"/>
      <c r="N93" s="44"/>
      <c r="O93" s="41"/>
      <c r="P93" s="41"/>
    </row>
    <row r="94" spans="1:16" s="22" customFormat="1" ht="15.75" customHeight="1" x14ac:dyDescent="0.3">
      <c r="A94" s="125" t="s">
        <v>75</v>
      </c>
      <c r="B94" s="125"/>
      <c r="C94" s="125"/>
      <c r="D94" s="125"/>
      <c r="E94" s="125"/>
      <c r="F94" s="125"/>
      <c r="G94" s="125"/>
      <c r="H94" s="125"/>
      <c r="J94" s="61">
        <f>6800000/F169</f>
        <v>6529.9868399158595</v>
      </c>
    </row>
    <row r="95" spans="1:16" s="22" customFormat="1" ht="15.75" customHeight="1" x14ac:dyDescent="0.3">
      <c r="A95" s="130" t="s">
        <v>53</v>
      </c>
      <c r="B95" s="130"/>
      <c r="C95" s="127" t="s">
        <v>78</v>
      </c>
      <c r="D95" s="127"/>
      <c r="E95" s="129" t="s">
        <v>54</v>
      </c>
      <c r="F95" s="129"/>
      <c r="G95" s="130" t="s">
        <v>55</v>
      </c>
      <c r="H95" s="130"/>
      <c r="J95" s="61">
        <f>12000000/F178</f>
        <v>9374.5980641080023</v>
      </c>
    </row>
    <row r="96" spans="1:16" s="22" customFormat="1" x14ac:dyDescent="0.3">
      <c r="A96" s="171" t="s">
        <v>256</v>
      </c>
      <c r="B96" s="171"/>
      <c r="C96" s="123">
        <f>COUNT(D109:D125)</f>
        <v>17</v>
      </c>
      <c r="D96" s="124"/>
      <c r="E96" s="123">
        <f>SUM(D109:D125)</f>
        <v>9126.5803199999973</v>
      </c>
      <c r="F96" s="124"/>
      <c r="G96" s="123">
        <f>SUM(F109:F125)</f>
        <v>13689.870479999994</v>
      </c>
      <c r="H96" s="124"/>
    </row>
    <row r="97" spans="1:16" s="22" customFormat="1" x14ac:dyDescent="0.3">
      <c r="A97" s="171" t="s">
        <v>258</v>
      </c>
      <c r="B97" s="171"/>
      <c r="C97" s="123">
        <f>COUNT(D127:D143)+COUNT(D145:D161)</f>
        <v>34</v>
      </c>
      <c r="D97" s="124"/>
      <c r="E97" s="123">
        <f>SUM(D127:D143)+SUM(D145:D161)</f>
        <v>18060.269759999996</v>
      </c>
      <c r="F97" s="124"/>
      <c r="G97" s="123">
        <f>SUM(F127:F143)+SUM(F145:F161)</f>
        <v>27090.404640000001</v>
      </c>
      <c r="H97" s="124"/>
    </row>
    <row r="98" spans="1:16" s="22" customFormat="1" x14ac:dyDescent="0.3">
      <c r="A98" s="125" t="s">
        <v>155</v>
      </c>
      <c r="B98" s="125"/>
      <c r="C98" s="126">
        <f>SUM(C96:C97)</f>
        <v>51</v>
      </c>
      <c r="D98" s="127"/>
      <c r="E98" s="128">
        <f>SUM(E96:E97)</f>
        <v>27186.850079999993</v>
      </c>
      <c r="F98" s="129"/>
      <c r="G98" s="130">
        <f>SUM(G96:G97)</f>
        <v>40780.275119999991</v>
      </c>
      <c r="H98" s="130"/>
    </row>
    <row r="99" spans="1:16" s="22" customFormat="1" x14ac:dyDescent="0.3">
      <c r="A99" s="125" t="s">
        <v>70</v>
      </c>
      <c r="B99" s="125"/>
      <c r="C99" s="125"/>
      <c r="D99" s="125"/>
      <c r="E99" s="125"/>
      <c r="F99" s="125"/>
      <c r="G99" s="125"/>
      <c r="H99" s="125"/>
    </row>
    <row r="100" spans="1:16" s="22" customFormat="1" ht="15.75" customHeight="1" x14ac:dyDescent="0.3">
      <c r="A100" s="130" t="s">
        <v>53</v>
      </c>
      <c r="B100" s="130"/>
      <c r="C100" s="127" t="s">
        <v>78</v>
      </c>
      <c r="D100" s="127"/>
      <c r="E100" s="129" t="s">
        <v>54</v>
      </c>
      <c r="F100" s="129"/>
      <c r="G100" s="130" t="s">
        <v>55</v>
      </c>
      <c r="H100" s="130"/>
    </row>
    <row r="101" spans="1:16" s="22" customFormat="1" x14ac:dyDescent="0.3">
      <c r="A101" s="171" t="s">
        <v>271</v>
      </c>
      <c r="B101" s="171"/>
      <c r="C101" s="123">
        <f>COUNT(D166:D175)+COUNT(D177:D186)*5+COUNT(D188:D192,D194:D197)+COUNT(D201:D206)</f>
        <v>75</v>
      </c>
      <c r="D101" s="123"/>
      <c r="E101" s="123">
        <f>SUM(D166:D175)+SUM(D177:D186)*5+SUM(D188:D192,D194:D197)+SUM(D201:D206)</f>
        <v>59761.135979999999</v>
      </c>
      <c r="F101" s="123"/>
      <c r="G101" s="123">
        <f>SUM(F166:F175)+SUM(F177:F186)*5+SUM(F188:F192,F194:F197)+SUM(F201:F206)</f>
        <v>90582.200397000008</v>
      </c>
      <c r="H101" s="123"/>
    </row>
    <row r="102" spans="1:16" s="22" customFormat="1" ht="16.2" thickBot="1" x14ac:dyDescent="0.35">
      <c r="A102" s="110" t="s">
        <v>155</v>
      </c>
      <c r="B102" s="110"/>
      <c r="C102" s="176">
        <f>SUM(C101)</f>
        <v>75</v>
      </c>
      <c r="D102" s="177"/>
      <c r="E102" s="134">
        <f>SUM(E101)</f>
        <v>59761.135979999999</v>
      </c>
      <c r="F102" s="135"/>
      <c r="G102" s="122">
        <f>SUM(G101)</f>
        <v>90582.200397000008</v>
      </c>
      <c r="H102" s="122"/>
    </row>
    <row r="103" spans="1:16" s="22" customFormat="1" ht="16.2" thickBot="1" x14ac:dyDescent="0.35">
      <c r="A103" s="181" t="s">
        <v>171</v>
      </c>
      <c r="B103" s="182"/>
      <c r="C103" s="183">
        <f>C98+C102</f>
        <v>126</v>
      </c>
      <c r="D103" s="183"/>
      <c r="E103" s="184">
        <f>E98+E102</f>
        <v>86947.986059999996</v>
      </c>
      <c r="F103" s="184"/>
      <c r="G103" s="185">
        <f>G98+G102</f>
        <v>131362.47551700001</v>
      </c>
      <c r="H103" s="186"/>
    </row>
    <row r="104" spans="1:16" s="21" customFormat="1" x14ac:dyDescent="0.3">
      <c r="A104" s="173" t="s">
        <v>56</v>
      </c>
      <c r="B104" s="173"/>
      <c r="C104" s="173"/>
      <c r="D104" s="173"/>
      <c r="E104" s="173"/>
      <c r="F104" s="173"/>
      <c r="G104" s="173"/>
      <c r="H104" s="173"/>
      <c r="I104" s="41"/>
      <c r="J104" s="41"/>
      <c r="K104" s="41"/>
      <c r="L104" s="41"/>
      <c r="M104" s="41"/>
      <c r="N104" s="41"/>
      <c r="O104" s="41"/>
      <c r="P104" s="41"/>
    </row>
    <row r="105" spans="1:16" x14ac:dyDescent="0.3">
      <c r="A105" s="165" t="s">
        <v>179</v>
      </c>
      <c r="B105" s="165"/>
      <c r="C105" s="165"/>
      <c r="D105" s="165"/>
      <c r="E105" s="165"/>
      <c r="F105" s="165"/>
      <c r="G105" s="165"/>
      <c r="H105" s="165"/>
    </row>
    <row r="106" spans="1:16" ht="47.25" customHeight="1" x14ac:dyDescent="0.3">
      <c r="A106" s="91" t="s">
        <v>121</v>
      </c>
      <c r="B106" s="91" t="s">
        <v>181</v>
      </c>
      <c r="C106" s="91" t="s">
        <v>57</v>
      </c>
      <c r="D106" s="91" t="s">
        <v>58</v>
      </c>
      <c r="E106" s="85" t="s">
        <v>160</v>
      </c>
      <c r="F106" s="30" t="s">
        <v>153</v>
      </c>
      <c r="G106" s="87" t="s">
        <v>60</v>
      </c>
      <c r="H106" s="88"/>
      <c r="I106" s="63">
        <v>9982</v>
      </c>
      <c r="J106" s="63" t="s">
        <v>283</v>
      </c>
      <c r="K106" s="63" t="s">
        <v>284</v>
      </c>
    </row>
    <row r="107" spans="1:16" s="24" customFormat="1" x14ac:dyDescent="0.3">
      <c r="A107" s="92"/>
      <c r="B107" s="92"/>
      <c r="C107" s="92"/>
      <c r="D107" s="92"/>
      <c r="E107" s="86"/>
      <c r="F107" s="13">
        <v>0.5</v>
      </c>
      <c r="G107" s="89"/>
      <c r="H107" s="90"/>
      <c r="J107" s="23"/>
    </row>
    <row r="108" spans="1:16" s="24" customFormat="1" x14ac:dyDescent="0.3">
      <c r="A108" s="82" t="s">
        <v>255</v>
      </c>
      <c r="B108" s="83"/>
      <c r="C108" s="83"/>
      <c r="D108" s="83"/>
      <c r="E108" s="83"/>
      <c r="F108" s="83"/>
      <c r="G108" s="83"/>
      <c r="H108" s="84"/>
    </row>
    <row r="109" spans="1:16" s="24" customFormat="1" ht="15.75" customHeight="1" x14ac:dyDescent="0.3">
      <c r="A109" s="72">
        <v>1</v>
      </c>
      <c r="B109" s="73"/>
      <c r="C109" s="29" t="s">
        <v>256</v>
      </c>
      <c r="D109" s="38">
        <f>(47.24)*10.764</f>
        <v>508.49135999999999</v>
      </c>
      <c r="E109" s="29">
        <v>0</v>
      </c>
      <c r="F109" s="29">
        <f>(D109+E109)*(($F$107)+1)</f>
        <v>762.73703999999998</v>
      </c>
      <c r="G109" s="74" t="str">
        <f>A108</f>
        <v>Ground Floor for Commercial</v>
      </c>
      <c r="H109" s="75"/>
      <c r="I109" s="23">
        <f>3.65*12.35+1.35*1.45</f>
        <v>47.035000000000004</v>
      </c>
      <c r="N109" s="23"/>
    </row>
    <row r="110" spans="1:16" s="24" customFormat="1" x14ac:dyDescent="0.3">
      <c r="A110" s="72">
        <f t="shared" ref="A110:A125" si="0">A109+1</f>
        <v>2</v>
      </c>
      <c r="B110" s="73"/>
      <c r="C110" s="29" t="s">
        <v>256</v>
      </c>
      <c r="D110" s="38">
        <f t="shared" ref="D110:D115" si="1">(50.92)*10.764</f>
        <v>548.10288000000003</v>
      </c>
      <c r="E110" s="29">
        <v>0</v>
      </c>
      <c r="F110" s="29">
        <f t="shared" ref="F110:F112" si="2">(D110+E110)*(($F$107)+1)</f>
        <v>822.1543200000001</v>
      </c>
      <c r="G110" s="76"/>
      <c r="H110" s="77"/>
      <c r="I110" s="23"/>
      <c r="N110" s="23"/>
    </row>
    <row r="111" spans="1:16" s="24" customFormat="1" x14ac:dyDescent="0.3">
      <c r="A111" s="72">
        <f t="shared" si="0"/>
        <v>3</v>
      </c>
      <c r="B111" s="73"/>
      <c r="C111" s="29" t="s">
        <v>256</v>
      </c>
      <c r="D111" s="38">
        <f t="shared" si="1"/>
        <v>548.10288000000003</v>
      </c>
      <c r="E111" s="29">
        <v>0</v>
      </c>
      <c r="F111" s="29">
        <f t="shared" si="2"/>
        <v>822.1543200000001</v>
      </c>
      <c r="G111" s="76"/>
      <c r="H111" s="77"/>
      <c r="I111" s="23"/>
      <c r="N111" s="23"/>
    </row>
    <row r="112" spans="1:16" s="24" customFormat="1" x14ac:dyDescent="0.3">
      <c r="A112" s="72">
        <f t="shared" si="0"/>
        <v>4</v>
      </c>
      <c r="B112" s="73"/>
      <c r="C112" s="29" t="s">
        <v>256</v>
      </c>
      <c r="D112" s="38">
        <f t="shared" si="1"/>
        <v>548.10288000000003</v>
      </c>
      <c r="E112" s="29">
        <v>0</v>
      </c>
      <c r="F112" s="29">
        <f t="shared" si="2"/>
        <v>822.1543200000001</v>
      </c>
      <c r="G112" s="76"/>
      <c r="H112" s="77"/>
      <c r="I112" s="23"/>
      <c r="N112" s="23"/>
    </row>
    <row r="113" spans="1:14" s="24" customFormat="1" x14ac:dyDescent="0.3">
      <c r="A113" s="72">
        <f t="shared" si="0"/>
        <v>5</v>
      </c>
      <c r="B113" s="73"/>
      <c r="C113" s="29" t="s">
        <v>256</v>
      </c>
      <c r="D113" s="38">
        <f t="shared" si="1"/>
        <v>548.10288000000003</v>
      </c>
      <c r="E113" s="29">
        <v>0</v>
      </c>
      <c r="F113" s="29">
        <f>(D113+E113)*(($F$107)+1)</f>
        <v>822.1543200000001</v>
      </c>
      <c r="G113" s="76"/>
      <c r="H113" s="77"/>
      <c r="I113" s="23"/>
      <c r="N113" s="23"/>
    </row>
    <row r="114" spans="1:14" s="24" customFormat="1" x14ac:dyDescent="0.3">
      <c r="A114" s="72">
        <f t="shared" si="0"/>
        <v>6</v>
      </c>
      <c r="B114" s="73"/>
      <c r="C114" s="29" t="s">
        <v>256</v>
      </c>
      <c r="D114" s="38">
        <f t="shared" si="1"/>
        <v>548.10288000000003</v>
      </c>
      <c r="E114" s="29">
        <v>0</v>
      </c>
      <c r="F114" s="29">
        <f t="shared" ref="F114:F116" si="3">(D114+E114)*(($F$107)+1)</f>
        <v>822.1543200000001</v>
      </c>
      <c r="G114" s="76"/>
      <c r="H114" s="77"/>
      <c r="I114" s="23"/>
      <c r="N114" s="23"/>
    </row>
    <row r="115" spans="1:14" s="24" customFormat="1" x14ac:dyDescent="0.3">
      <c r="A115" s="72">
        <f t="shared" si="0"/>
        <v>7</v>
      </c>
      <c r="B115" s="73"/>
      <c r="C115" s="29" t="s">
        <v>256</v>
      </c>
      <c r="D115" s="38">
        <f t="shared" si="1"/>
        <v>548.10288000000003</v>
      </c>
      <c r="E115" s="29">
        <v>0</v>
      </c>
      <c r="F115" s="29">
        <f t="shared" si="3"/>
        <v>822.1543200000001</v>
      </c>
      <c r="G115" s="76"/>
      <c r="H115" s="77"/>
      <c r="I115" s="23"/>
      <c r="N115" s="23"/>
    </row>
    <row r="116" spans="1:14" s="24" customFormat="1" x14ac:dyDescent="0.3">
      <c r="A116" s="72">
        <f t="shared" si="0"/>
        <v>8</v>
      </c>
      <c r="B116" s="73"/>
      <c r="C116" s="29" t="s">
        <v>256</v>
      </c>
      <c r="D116" s="38">
        <f>(48.63)*10.764</f>
        <v>523.45331999999996</v>
      </c>
      <c r="E116" s="29">
        <v>0</v>
      </c>
      <c r="F116" s="29">
        <f t="shared" si="3"/>
        <v>785.17997999999989</v>
      </c>
      <c r="G116" s="76"/>
      <c r="H116" s="77"/>
      <c r="I116" s="23"/>
      <c r="N116" s="23"/>
    </row>
    <row r="117" spans="1:14" s="24" customFormat="1" x14ac:dyDescent="0.3">
      <c r="A117" s="72">
        <f t="shared" si="0"/>
        <v>9</v>
      </c>
      <c r="B117" s="73"/>
      <c r="C117" s="29" t="s">
        <v>256</v>
      </c>
      <c r="D117" s="38">
        <f>(34.85)*10.764</f>
        <v>375.12540000000001</v>
      </c>
      <c r="E117" s="29">
        <v>0</v>
      </c>
      <c r="F117" s="29">
        <f>(D117+E117)*(($F$107)+1)</f>
        <v>562.68810000000008</v>
      </c>
      <c r="G117" s="76"/>
      <c r="H117" s="77"/>
      <c r="I117" s="23"/>
      <c r="K117" s="23">
        <f>9000000/F117</f>
        <v>15994.651388575658</v>
      </c>
      <c r="N117" s="23"/>
    </row>
    <row r="118" spans="1:14" s="24" customFormat="1" x14ac:dyDescent="0.3">
      <c r="A118" s="72">
        <f t="shared" si="0"/>
        <v>10</v>
      </c>
      <c r="B118" s="73"/>
      <c r="C118" s="29" t="s">
        <v>256</v>
      </c>
      <c r="D118" s="38">
        <f>(36.2)*10.764</f>
        <v>389.65680000000003</v>
      </c>
      <c r="E118" s="29">
        <v>0</v>
      </c>
      <c r="F118" s="29">
        <f t="shared" ref="F118:F120" si="4">(D118+E118)*(($F$107)+1)</f>
        <v>584.48520000000008</v>
      </c>
      <c r="G118" s="76"/>
      <c r="H118" s="77"/>
      <c r="I118" s="23"/>
      <c r="N118" s="23"/>
    </row>
    <row r="119" spans="1:14" s="24" customFormat="1" x14ac:dyDescent="0.3">
      <c r="A119" s="72">
        <f t="shared" si="0"/>
        <v>11</v>
      </c>
      <c r="B119" s="73"/>
      <c r="C119" s="29" t="s">
        <v>256</v>
      </c>
      <c r="D119" s="38">
        <f>(44.78)*10.764</f>
        <v>482.01191999999998</v>
      </c>
      <c r="E119" s="29">
        <v>0</v>
      </c>
      <c r="F119" s="29">
        <f t="shared" si="4"/>
        <v>723.01787999999999</v>
      </c>
      <c r="G119" s="76"/>
      <c r="H119" s="77"/>
      <c r="I119" s="23"/>
      <c r="N119" s="23"/>
    </row>
    <row r="120" spans="1:14" s="24" customFormat="1" x14ac:dyDescent="0.3">
      <c r="A120" s="72">
        <f t="shared" si="0"/>
        <v>12</v>
      </c>
      <c r="B120" s="73"/>
      <c r="C120" s="29" t="s">
        <v>256</v>
      </c>
      <c r="D120" s="38">
        <f t="shared" ref="D120:D125" si="5">(55.11)*10.764</f>
        <v>593.20403999999996</v>
      </c>
      <c r="E120" s="29">
        <v>0</v>
      </c>
      <c r="F120" s="29">
        <f t="shared" si="4"/>
        <v>889.80605999999989</v>
      </c>
      <c r="G120" s="76"/>
      <c r="H120" s="77"/>
      <c r="I120" s="23"/>
      <c r="N120" s="23"/>
    </row>
    <row r="121" spans="1:14" s="24" customFormat="1" x14ac:dyDescent="0.3">
      <c r="A121" s="72">
        <f t="shared" si="0"/>
        <v>13</v>
      </c>
      <c r="B121" s="73"/>
      <c r="C121" s="29" t="s">
        <v>256</v>
      </c>
      <c r="D121" s="38">
        <f t="shared" si="5"/>
        <v>593.20403999999996</v>
      </c>
      <c r="E121" s="29">
        <v>0</v>
      </c>
      <c r="F121" s="29">
        <f>(D121+E121)*(($F$107)+1)</f>
        <v>889.80605999999989</v>
      </c>
      <c r="G121" s="76"/>
      <c r="H121" s="77"/>
      <c r="I121" s="23"/>
      <c r="N121" s="23"/>
    </row>
    <row r="122" spans="1:14" s="24" customFormat="1" x14ac:dyDescent="0.3">
      <c r="A122" s="72">
        <f t="shared" si="0"/>
        <v>14</v>
      </c>
      <c r="B122" s="73"/>
      <c r="C122" s="29" t="s">
        <v>256</v>
      </c>
      <c r="D122" s="38">
        <f t="shared" si="5"/>
        <v>593.20403999999996</v>
      </c>
      <c r="E122" s="29">
        <v>0</v>
      </c>
      <c r="F122" s="29">
        <f t="shared" ref="F122:F124" si="6">(D122+E122)*(($F$107)+1)</f>
        <v>889.80605999999989</v>
      </c>
      <c r="G122" s="76"/>
      <c r="H122" s="77"/>
      <c r="I122" s="23"/>
      <c r="N122" s="23"/>
    </row>
    <row r="123" spans="1:14" s="24" customFormat="1" x14ac:dyDescent="0.3">
      <c r="A123" s="72">
        <f t="shared" si="0"/>
        <v>15</v>
      </c>
      <c r="B123" s="73"/>
      <c r="C123" s="29" t="s">
        <v>256</v>
      </c>
      <c r="D123" s="38">
        <f t="shared" si="5"/>
        <v>593.20403999999996</v>
      </c>
      <c r="E123" s="29">
        <v>0</v>
      </c>
      <c r="F123" s="29">
        <f t="shared" si="6"/>
        <v>889.80605999999989</v>
      </c>
      <c r="G123" s="76"/>
      <c r="H123" s="77"/>
      <c r="I123" s="23"/>
      <c r="N123" s="23"/>
    </row>
    <row r="124" spans="1:14" s="24" customFormat="1" x14ac:dyDescent="0.3">
      <c r="A124" s="72">
        <f t="shared" si="0"/>
        <v>16</v>
      </c>
      <c r="B124" s="73"/>
      <c r="C124" s="29" t="s">
        <v>256</v>
      </c>
      <c r="D124" s="38">
        <f t="shared" si="5"/>
        <v>593.20403999999996</v>
      </c>
      <c r="E124" s="29">
        <v>0</v>
      </c>
      <c r="F124" s="29">
        <f t="shared" si="6"/>
        <v>889.80605999999989</v>
      </c>
      <c r="G124" s="76"/>
      <c r="H124" s="77"/>
      <c r="I124" s="23"/>
      <c r="N124" s="23"/>
    </row>
    <row r="125" spans="1:14" s="24" customFormat="1" x14ac:dyDescent="0.3">
      <c r="A125" s="72">
        <f t="shared" si="0"/>
        <v>17</v>
      </c>
      <c r="B125" s="73"/>
      <c r="C125" s="29" t="s">
        <v>256</v>
      </c>
      <c r="D125" s="38">
        <f t="shared" si="5"/>
        <v>593.20403999999996</v>
      </c>
      <c r="E125" s="29">
        <v>0</v>
      </c>
      <c r="F125" s="29">
        <f t="shared" ref="F125" si="7">(D125+E125)*(($F$107)+1)</f>
        <v>889.80605999999989</v>
      </c>
      <c r="G125" s="78"/>
      <c r="H125" s="79"/>
      <c r="I125" s="23"/>
      <c r="J125" s="23"/>
      <c r="N125" s="23"/>
    </row>
    <row r="126" spans="1:14" s="24" customFormat="1" x14ac:dyDescent="0.3">
      <c r="A126" s="170" t="s">
        <v>257</v>
      </c>
      <c r="B126" s="170"/>
      <c r="C126" s="170"/>
      <c r="D126" s="170"/>
      <c r="E126" s="170"/>
      <c r="F126" s="170"/>
      <c r="G126" s="170"/>
      <c r="H126" s="170"/>
    </row>
    <row r="127" spans="1:14" s="24" customFormat="1" ht="15.75" customHeight="1" x14ac:dyDescent="0.3">
      <c r="A127" s="81">
        <v>1</v>
      </c>
      <c r="B127" s="81"/>
      <c r="C127" s="29" t="s">
        <v>258</v>
      </c>
      <c r="D127" s="38">
        <f>(56.06)*10.764</f>
        <v>603.42984000000001</v>
      </c>
      <c r="E127" s="29">
        <v>0</v>
      </c>
      <c r="F127" s="29">
        <f>(D127+E127)*(($F$107)+1)</f>
        <v>905.14476000000002</v>
      </c>
      <c r="G127" s="81" t="str">
        <f>A126</f>
        <v>1st Floor</v>
      </c>
      <c r="H127" s="81"/>
      <c r="I127" s="23">
        <f>3.65*13.94+2*1.35+1.5*1.2</f>
        <v>55.381</v>
      </c>
      <c r="N127" s="23"/>
    </row>
    <row r="128" spans="1:14" s="24" customFormat="1" x14ac:dyDescent="0.3">
      <c r="A128" s="81">
        <f t="shared" ref="A128:A143" si="8">A127+1</f>
        <v>2</v>
      </c>
      <c r="B128" s="81"/>
      <c r="C128" s="29" t="s">
        <v>258</v>
      </c>
      <c r="D128" s="38">
        <f t="shared" ref="D128:D133" si="9">(49.65)*10.764</f>
        <v>534.43259999999998</v>
      </c>
      <c r="E128" s="29">
        <v>0</v>
      </c>
      <c r="F128" s="29">
        <f t="shared" ref="F128:F130" si="10">(D128+E128)*(($F$107)+1)</f>
        <v>801.64889999999991</v>
      </c>
      <c r="G128" s="81"/>
      <c r="H128" s="81"/>
      <c r="I128" s="23"/>
      <c r="N128" s="23"/>
    </row>
    <row r="129" spans="1:14" s="24" customFormat="1" x14ac:dyDescent="0.3">
      <c r="A129" s="81">
        <f t="shared" si="8"/>
        <v>3</v>
      </c>
      <c r="B129" s="81"/>
      <c r="C129" s="29" t="s">
        <v>258</v>
      </c>
      <c r="D129" s="38">
        <f t="shared" si="9"/>
        <v>534.43259999999998</v>
      </c>
      <c r="E129" s="29">
        <v>0</v>
      </c>
      <c r="F129" s="29">
        <f t="shared" si="10"/>
        <v>801.64889999999991</v>
      </c>
      <c r="G129" s="81"/>
      <c r="H129" s="81"/>
      <c r="I129" s="23"/>
      <c r="N129" s="23"/>
    </row>
    <row r="130" spans="1:14" s="24" customFormat="1" x14ac:dyDescent="0.3">
      <c r="A130" s="81">
        <f t="shared" si="8"/>
        <v>4</v>
      </c>
      <c r="B130" s="81"/>
      <c r="C130" s="29" t="s">
        <v>258</v>
      </c>
      <c r="D130" s="38">
        <f t="shared" si="9"/>
        <v>534.43259999999998</v>
      </c>
      <c r="E130" s="29">
        <v>0</v>
      </c>
      <c r="F130" s="29">
        <f t="shared" si="10"/>
        <v>801.64889999999991</v>
      </c>
      <c r="G130" s="81"/>
      <c r="H130" s="81"/>
      <c r="I130" s="23"/>
      <c r="N130" s="23"/>
    </row>
    <row r="131" spans="1:14" s="24" customFormat="1" x14ac:dyDescent="0.3">
      <c r="A131" s="81">
        <f t="shared" si="8"/>
        <v>5</v>
      </c>
      <c r="B131" s="81"/>
      <c r="C131" s="29" t="s">
        <v>258</v>
      </c>
      <c r="D131" s="38">
        <f t="shared" si="9"/>
        <v>534.43259999999998</v>
      </c>
      <c r="E131" s="29">
        <v>0</v>
      </c>
      <c r="F131" s="29">
        <f>(D131+E131)*(($F$107)+1)</f>
        <v>801.64889999999991</v>
      </c>
      <c r="G131" s="81"/>
      <c r="H131" s="81"/>
      <c r="I131" s="23"/>
      <c r="N131" s="23"/>
    </row>
    <row r="132" spans="1:14" s="24" customFormat="1" x14ac:dyDescent="0.3">
      <c r="A132" s="81">
        <f t="shared" si="8"/>
        <v>6</v>
      </c>
      <c r="B132" s="81"/>
      <c r="C132" s="29" t="s">
        <v>258</v>
      </c>
      <c r="D132" s="38">
        <f t="shared" si="9"/>
        <v>534.43259999999998</v>
      </c>
      <c r="E132" s="29">
        <v>0</v>
      </c>
      <c r="F132" s="29">
        <f t="shared" ref="F132:F134" si="11">(D132+E132)*(($F$107)+1)</f>
        <v>801.64889999999991</v>
      </c>
      <c r="G132" s="81"/>
      <c r="H132" s="81"/>
      <c r="I132" s="23"/>
      <c r="N132" s="23"/>
    </row>
    <row r="133" spans="1:14" s="24" customFormat="1" x14ac:dyDescent="0.3">
      <c r="A133" s="81">
        <f t="shared" si="8"/>
        <v>7</v>
      </c>
      <c r="B133" s="81"/>
      <c r="C133" s="29" t="s">
        <v>258</v>
      </c>
      <c r="D133" s="38">
        <f t="shared" si="9"/>
        <v>534.43259999999998</v>
      </c>
      <c r="E133" s="29">
        <v>0</v>
      </c>
      <c r="F133" s="29">
        <f t="shared" si="11"/>
        <v>801.64889999999991</v>
      </c>
      <c r="G133" s="81"/>
      <c r="H133" s="81"/>
      <c r="I133" s="23"/>
      <c r="N133" s="23"/>
    </row>
    <row r="134" spans="1:14" s="24" customFormat="1" x14ac:dyDescent="0.3">
      <c r="A134" s="81">
        <f t="shared" si="8"/>
        <v>8</v>
      </c>
      <c r="B134" s="81"/>
      <c r="C134" s="29" t="s">
        <v>258</v>
      </c>
      <c r="D134" s="38">
        <f>(47.43)*10.764</f>
        <v>510.53651999999994</v>
      </c>
      <c r="E134" s="29">
        <v>0</v>
      </c>
      <c r="F134" s="29">
        <f t="shared" si="11"/>
        <v>765.80477999999994</v>
      </c>
      <c r="G134" s="81"/>
      <c r="H134" s="81"/>
      <c r="I134" s="23"/>
      <c r="N134" s="23"/>
    </row>
    <row r="135" spans="1:14" s="24" customFormat="1" x14ac:dyDescent="0.3">
      <c r="A135" s="81">
        <f t="shared" si="8"/>
        <v>9</v>
      </c>
      <c r="B135" s="81"/>
      <c r="C135" s="29" t="s">
        <v>258</v>
      </c>
      <c r="D135" s="38">
        <f>(33.17)*10.764</f>
        <v>357.04187999999999</v>
      </c>
      <c r="E135" s="29">
        <v>0</v>
      </c>
      <c r="F135" s="29">
        <f>(D135+E135)*(($F$107)+1)</f>
        <v>535.56281999999999</v>
      </c>
      <c r="G135" s="81"/>
      <c r="H135" s="81"/>
      <c r="I135" s="23"/>
      <c r="N135" s="23"/>
    </row>
    <row r="136" spans="1:14" s="24" customFormat="1" x14ac:dyDescent="0.3">
      <c r="A136" s="81">
        <f t="shared" si="8"/>
        <v>10</v>
      </c>
      <c r="B136" s="81"/>
      <c r="C136" s="29" t="s">
        <v>258</v>
      </c>
      <c r="D136" s="38">
        <f>(34.53)*10.764</f>
        <v>371.68092000000001</v>
      </c>
      <c r="E136" s="29">
        <v>0</v>
      </c>
      <c r="F136" s="29">
        <f t="shared" ref="F136:F138" si="12">(D136+E136)*(($F$107)+1)</f>
        <v>557.52138000000002</v>
      </c>
      <c r="G136" s="81"/>
      <c r="H136" s="81"/>
      <c r="I136" s="23"/>
      <c r="N136" s="23"/>
    </row>
    <row r="137" spans="1:14" s="24" customFormat="1" x14ac:dyDescent="0.3">
      <c r="A137" s="81">
        <f t="shared" si="8"/>
        <v>11</v>
      </c>
      <c r="B137" s="81"/>
      <c r="C137" s="29" t="s">
        <v>258</v>
      </c>
      <c r="D137" s="38">
        <f>(51.62)*10.764</f>
        <v>555.63767999999993</v>
      </c>
      <c r="E137" s="29">
        <v>0</v>
      </c>
      <c r="F137" s="29">
        <f t="shared" si="12"/>
        <v>833.45651999999995</v>
      </c>
      <c r="G137" s="81"/>
      <c r="H137" s="81"/>
      <c r="I137" s="23"/>
      <c r="N137" s="23"/>
    </row>
    <row r="138" spans="1:14" s="24" customFormat="1" x14ac:dyDescent="0.3">
      <c r="A138" s="81">
        <f t="shared" si="8"/>
        <v>12</v>
      </c>
      <c r="B138" s="81"/>
      <c r="C138" s="29" t="s">
        <v>258</v>
      </c>
      <c r="D138" s="38">
        <f>(53.69)*10.764</f>
        <v>577.91915999999992</v>
      </c>
      <c r="E138" s="29">
        <v>0</v>
      </c>
      <c r="F138" s="29">
        <f t="shared" si="12"/>
        <v>866.87873999999988</v>
      </c>
      <c r="G138" s="81"/>
      <c r="H138" s="81"/>
      <c r="I138" s="23"/>
      <c r="N138" s="23"/>
    </row>
    <row r="139" spans="1:14" s="24" customFormat="1" x14ac:dyDescent="0.3">
      <c r="A139" s="81">
        <f t="shared" si="8"/>
        <v>13</v>
      </c>
      <c r="B139" s="81"/>
      <c r="C139" s="29" t="s">
        <v>258</v>
      </c>
      <c r="D139" s="38">
        <f>(53.69)*10.764</f>
        <v>577.91915999999992</v>
      </c>
      <c r="E139" s="29">
        <v>0</v>
      </c>
      <c r="F139" s="29">
        <f>(D139+E139)*(($F$107)+1)</f>
        <v>866.87873999999988</v>
      </c>
      <c r="G139" s="81"/>
      <c r="H139" s="81"/>
      <c r="I139" s="23"/>
      <c r="N139" s="23"/>
    </row>
    <row r="140" spans="1:14" s="24" customFormat="1" x14ac:dyDescent="0.3">
      <c r="A140" s="81">
        <f t="shared" si="8"/>
        <v>14</v>
      </c>
      <c r="B140" s="81"/>
      <c r="C140" s="29" t="s">
        <v>258</v>
      </c>
      <c r="D140" s="38">
        <f>(53.69)*10.764</f>
        <v>577.91915999999992</v>
      </c>
      <c r="E140" s="29">
        <v>0</v>
      </c>
      <c r="F140" s="29">
        <f t="shared" ref="F140:F143" si="13">(D140+E140)*(($F$107)+1)</f>
        <v>866.87873999999988</v>
      </c>
      <c r="G140" s="81"/>
      <c r="H140" s="81"/>
      <c r="I140" s="23"/>
      <c r="N140" s="23"/>
    </row>
    <row r="141" spans="1:14" s="24" customFormat="1" x14ac:dyDescent="0.3">
      <c r="A141" s="81">
        <f t="shared" si="8"/>
        <v>15</v>
      </c>
      <c r="B141" s="81"/>
      <c r="C141" s="29" t="s">
        <v>258</v>
      </c>
      <c r="D141" s="38">
        <f>(53.69)*10.764</f>
        <v>577.91915999999992</v>
      </c>
      <c r="E141" s="29">
        <v>0</v>
      </c>
      <c r="F141" s="29">
        <f t="shared" si="13"/>
        <v>866.87873999999988</v>
      </c>
      <c r="G141" s="81"/>
      <c r="H141" s="81"/>
      <c r="I141" s="23"/>
      <c r="N141" s="23"/>
    </row>
    <row r="142" spans="1:14" s="24" customFormat="1" x14ac:dyDescent="0.3">
      <c r="A142" s="81">
        <f t="shared" si="8"/>
        <v>16</v>
      </c>
      <c r="B142" s="81"/>
      <c r="C142" s="29" t="s">
        <v>258</v>
      </c>
      <c r="D142" s="38">
        <f>(53.69)*10.764</f>
        <v>577.91915999999992</v>
      </c>
      <c r="E142" s="29">
        <v>0</v>
      </c>
      <c r="F142" s="29">
        <f t="shared" si="13"/>
        <v>866.87873999999988</v>
      </c>
      <c r="G142" s="81"/>
      <c r="H142" s="81"/>
      <c r="I142" s="23"/>
      <c r="N142" s="23"/>
    </row>
    <row r="143" spans="1:14" s="24" customFormat="1" x14ac:dyDescent="0.3">
      <c r="A143" s="81">
        <f t="shared" si="8"/>
        <v>17</v>
      </c>
      <c r="B143" s="81"/>
      <c r="C143" s="29" t="s">
        <v>258</v>
      </c>
      <c r="D143" s="38">
        <f>(60.65)*10.764</f>
        <v>652.83659999999998</v>
      </c>
      <c r="E143" s="29">
        <v>0</v>
      </c>
      <c r="F143" s="29">
        <f t="shared" si="13"/>
        <v>979.25489999999991</v>
      </c>
      <c r="G143" s="81"/>
      <c r="H143" s="81"/>
      <c r="I143" s="23"/>
      <c r="J143" s="23"/>
      <c r="N143" s="23"/>
    </row>
    <row r="144" spans="1:14" s="24" customFormat="1" x14ac:dyDescent="0.3">
      <c r="A144" s="82" t="s">
        <v>120</v>
      </c>
      <c r="B144" s="83"/>
      <c r="C144" s="83"/>
      <c r="D144" s="83"/>
      <c r="E144" s="83"/>
      <c r="F144" s="83"/>
      <c r="G144" s="83"/>
      <c r="H144" s="84"/>
    </row>
    <row r="145" spans="1:14" s="24" customFormat="1" ht="15.75" customHeight="1" x14ac:dyDescent="0.3">
      <c r="A145" s="72">
        <v>1</v>
      </c>
      <c r="B145" s="73"/>
      <c r="C145" s="29" t="s">
        <v>258</v>
      </c>
      <c r="D145" s="38">
        <f>(56.06)*10.764</f>
        <v>603.42984000000001</v>
      </c>
      <c r="E145" s="29">
        <v>0</v>
      </c>
      <c r="F145" s="29">
        <f>(D145+E145)*(($F$107)+1)</f>
        <v>905.14476000000002</v>
      </c>
      <c r="G145" s="74" t="str">
        <f>A144</f>
        <v>2nd Floor</v>
      </c>
      <c r="H145" s="75"/>
      <c r="I145" s="23">
        <f>3.65*13.94+2*1.35+1.5*1.2</f>
        <v>55.381</v>
      </c>
      <c r="N145" s="23"/>
    </row>
    <row r="146" spans="1:14" s="24" customFormat="1" x14ac:dyDescent="0.3">
      <c r="A146" s="72">
        <f t="shared" ref="A146:A161" si="14">A145+1</f>
        <v>2</v>
      </c>
      <c r="B146" s="73"/>
      <c r="C146" s="29" t="s">
        <v>258</v>
      </c>
      <c r="D146" s="38">
        <f t="shared" ref="D146:D151" si="15">(49.65)*10.764</f>
        <v>534.43259999999998</v>
      </c>
      <c r="E146" s="29">
        <v>0</v>
      </c>
      <c r="F146" s="29">
        <f t="shared" ref="F146:F148" si="16">(D146+E146)*(($F$107)+1)</f>
        <v>801.64889999999991</v>
      </c>
      <c r="G146" s="76"/>
      <c r="H146" s="77"/>
      <c r="I146" s="23"/>
      <c r="N146" s="23"/>
    </row>
    <row r="147" spans="1:14" s="24" customFormat="1" x14ac:dyDescent="0.3">
      <c r="A147" s="72">
        <f t="shared" si="14"/>
        <v>3</v>
      </c>
      <c r="B147" s="73"/>
      <c r="C147" s="29" t="s">
        <v>258</v>
      </c>
      <c r="D147" s="38">
        <f t="shared" si="15"/>
        <v>534.43259999999998</v>
      </c>
      <c r="E147" s="29">
        <v>0</v>
      </c>
      <c r="F147" s="29">
        <f t="shared" si="16"/>
        <v>801.64889999999991</v>
      </c>
      <c r="G147" s="76"/>
      <c r="H147" s="77"/>
      <c r="I147" s="23"/>
      <c r="N147" s="23"/>
    </row>
    <row r="148" spans="1:14" s="24" customFormat="1" x14ac:dyDescent="0.3">
      <c r="A148" s="72">
        <f t="shared" si="14"/>
        <v>4</v>
      </c>
      <c r="B148" s="73"/>
      <c r="C148" s="29" t="s">
        <v>258</v>
      </c>
      <c r="D148" s="38">
        <f t="shared" si="15"/>
        <v>534.43259999999998</v>
      </c>
      <c r="E148" s="29">
        <v>0</v>
      </c>
      <c r="F148" s="29">
        <f t="shared" si="16"/>
        <v>801.64889999999991</v>
      </c>
      <c r="G148" s="76"/>
      <c r="H148" s="77"/>
      <c r="I148" s="23"/>
      <c r="N148" s="23"/>
    </row>
    <row r="149" spans="1:14" s="24" customFormat="1" x14ac:dyDescent="0.3">
      <c r="A149" s="72">
        <f t="shared" si="14"/>
        <v>5</v>
      </c>
      <c r="B149" s="73"/>
      <c r="C149" s="29" t="s">
        <v>258</v>
      </c>
      <c r="D149" s="38">
        <f t="shared" si="15"/>
        <v>534.43259999999998</v>
      </c>
      <c r="E149" s="29">
        <v>0</v>
      </c>
      <c r="F149" s="29">
        <f>(D149+E149)*(($F$107)+1)</f>
        <v>801.64889999999991</v>
      </c>
      <c r="G149" s="76"/>
      <c r="H149" s="77"/>
      <c r="I149" s="23"/>
      <c r="N149" s="23"/>
    </row>
    <row r="150" spans="1:14" s="24" customFormat="1" x14ac:dyDescent="0.3">
      <c r="A150" s="72">
        <f t="shared" si="14"/>
        <v>6</v>
      </c>
      <c r="B150" s="73"/>
      <c r="C150" s="29" t="s">
        <v>258</v>
      </c>
      <c r="D150" s="38">
        <f t="shared" si="15"/>
        <v>534.43259999999998</v>
      </c>
      <c r="E150" s="29">
        <v>0</v>
      </c>
      <c r="F150" s="29">
        <f t="shared" ref="F150:F152" si="17">(D150+E150)*(($F$107)+1)</f>
        <v>801.64889999999991</v>
      </c>
      <c r="G150" s="76"/>
      <c r="H150" s="77"/>
      <c r="I150" s="23"/>
      <c r="N150" s="23"/>
    </row>
    <row r="151" spans="1:14" s="24" customFormat="1" x14ac:dyDescent="0.3">
      <c r="A151" s="72">
        <f t="shared" si="14"/>
        <v>7</v>
      </c>
      <c r="B151" s="73"/>
      <c r="C151" s="29" t="s">
        <v>258</v>
      </c>
      <c r="D151" s="38">
        <f t="shared" si="15"/>
        <v>534.43259999999998</v>
      </c>
      <c r="E151" s="29">
        <v>0</v>
      </c>
      <c r="F151" s="29">
        <f t="shared" si="17"/>
        <v>801.64889999999991</v>
      </c>
      <c r="G151" s="76"/>
      <c r="H151" s="77"/>
      <c r="I151" s="23"/>
      <c r="N151" s="23"/>
    </row>
    <row r="152" spans="1:14" s="24" customFormat="1" x14ac:dyDescent="0.3">
      <c r="A152" s="72">
        <f t="shared" si="14"/>
        <v>8</v>
      </c>
      <c r="B152" s="73"/>
      <c r="C152" s="29" t="s">
        <v>258</v>
      </c>
      <c r="D152" s="38">
        <f>(25.65)*10.764</f>
        <v>276.09659999999997</v>
      </c>
      <c r="E152" s="29">
        <v>0</v>
      </c>
      <c r="F152" s="29">
        <f t="shared" si="17"/>
        <v>414.14489999999995</v>
      </c>
      <c r="G152" s="76"/>
      <c r="H152" s="77"/>
      <c r="I152" s="23"/>
      <c r="N152" s="23"/>
    </row>
    <row r="153" spans="1:14" s="24" customFormat="1" x14ac:dyDescent="0.3">
      <c r="A153" s="72">
        <f t="shared" si="14"/>
        <v>9</v>
      </c>
      <c r="B153" s="73"/>
      <c r="C153" s="29" t="s">
        <v>258</v>
      </c>
      <c r="D153" s="38">
        <f>(33.17)*10.764</f>
        <v>357.04187999999999</v>
      </c>
      <c r="E153" s="29">
        <v>0</v>
      </c>
      <c r="F153" s="29">
        <f>(D153+E153)*(($F$107)+1)</f>
        <v>535.56281999999999</v>
      </c>
      <c r="G153" s="76"/>
      <c r="H153" s="77"/>
      <c r="I153" s="23"/>
      <c r="N153" s="23"/>
    </row>
    <row r="154" spans="1:14" s="24" customFormat="1" x14ac:dyDescent="0.3">
      <c r="A154" s="72">
        <f t="shared" si="14"/>
        <v>10</v>
      </c>
      <c r="B154" s="73"/>
      <c r="C154" s="29" t="s">
        <v>258</v>
      </c>
      <c r="D154" s="38">
        <f>(34.53)*10.764</f>
        <v>371.68092000000001</v>
      </c>
      <c r="E154" s="29">
        <v>0</v>
      </c>
      <c r="F154" s="29">
        <f t="shared" ref="F154:F156" si="18">(D154+E154)*(($F$107)+1)</f>
        <v>557.52138000000002</v>
      </c>
      <c r="G154" s="76"/>
      <c r="H154" s="77"/>
      <c r="I154" s="23"/>
      <c r="N154" s="23"/>
    </row>
    <row r="155" spans="1:14" s="24" customFormat="1" x14ac:dyDescent="0.3">
      <c r="A155" s="72">
        <f t="shared" si="14"/>
        <v>11</v>
      </c>
      <c r="B155" s="73"/>
      <c r="C155" s="29" t="s">
        <v>258</v>
      </c>
      <c r="D155" s="38">
        <f>(51.62)*10.764</f>
        <v>555.63767999999993</v>
      </c>
      <c r="E155" s="29">
        <v>0</v>
      </c>
      <c r="F155" s="29">
        <f t="shared" si="18"/>
        <v>833.45651999999995</v>
      </c>
      <c r="G155" s="76"/>
      <c r="H155" s="77"/>
      <c r="I155" s="23"/>
      <c r="N155" s="23"/>
    </row>
    <row r="156" spans="1:14" s="24" customFormat="1" x14ac:dyDescent="0.3">
      <c r="A156" s="72">
        <f t="shared" si="14"/>
        <v>12</v>
      </c>
      <c r="B156" s="73"/>
      <c r="C156" s="29" t="s">
        <v>258</v>
      </c>
      <c r="D156" s="38">
        <f>(53.69)*10.764</f>
        <v>577.91915999999992</v>
      </c>
      <c r="E156" s="29">
        <v>0</v>
      </c>
      <c r="F156" s="29">
        <f t="shared" si="18"/>
        <v>866.87873999999988</v>
      </c>
      <c r="G156" s="76"/>
      <c r="H156" s="77"/>
      <c r="I156" s="23"/>
      <c r="N156" s="23"/>
    </row>
    <row r="157" spans="1:14" s="24" customFormat="1" x14ac:dyDescent="0.3">
      <c r="A157" s="72">
        <f t="shared" si="14"/>
        <v>13</v>
      </c>
      <c r="B157" s="73"/>
      <c r="C157" s="29" t="s">
        <v>258</v>
      </c>
      <c r="D157" s="38">
        <f>(53.69)*10.764</f>
        <v>577.91915999999992</v>
      </c>
      <c r="E157" s="29">
        <v>0</v>
      </c>
      <c r="F157" s="29">
        <f>(D157+E157)*(($F$107)+1)</f>
        <v>866.87873999999988</v>
      </c>
      <c r="G157" s="76"/>
      <c r="H157" s="77"/>
      <c r="I157" s="23"/>
      <c r="N157" s="23"/>
    </row>
    <row r="158" spans="1:14" s="24" customFormat="1" x14ac:dyDescent="0.3">
      <c r="A158" s="72">
        <f t="shared" si="14"/>
        <v>14</v>
      </c>
      <c r="B158" s="73"/>
      <c r="C158" s="29" t="s">
        <v>258</v>
      </c>
      <c r="D158" s="38">
        <f>(53.69)*10.764</f>
        <v>577.91915999999992</v>
      </c>
      <c r="E158" s="29">
        <v>0</v>
      </c>
      <c r="F158" s="29">
        <f t="shared" ref="F158:F161" si="19">(D158+E158)*(($F$107)+1)</f>
        <v>866.87873999999988</v>
      </c>
      <c r="G158" s="76"/>
      <c r="H158" s="77"/>
      <c r="I158" s="23"/>
      <c r="N158" s="23"/>
    </row>
    <row r="159" spans="1:14" s="24" customFormat="1" x14ac:dyDescent="0.3">
      <c r="A159" s="72">
        <f t="shared" si="14"/>
        <v>15</v>
      </c>
      <c r="B159" s="73"/>
      <c r="C159" s="29" t="s">
        <v>258</v>
      </c>
      <c r="D159" s="38">
        <f>(53.69)*10.764</f>
        <v>577.91915999999992</v>
      </c>
      <c r="E159" s="29">
        <v>0</v>
      </c>
      <c r="F159" s="29">
        <f t="shared" si="19"/>
        <v>866.87873999999988</v>
      </c>
      <c r="G159" s="76"/>
      <c r="H159" s="77"/>
      <c r="I159" s="23"/>
      <c r="N159" s="23"/>
    </row>
    <row r="160" spans="1:14" s="24" customFormat="1" x14ac:dyDescent="0.3">
      <c r="A160" s="72">
        <f t="shared" si="14"/>
        <v>16</v>
      </c>
      <c r="B160" s="73"/>
      <c r="C160" s="29" t="s">
        <v>258</v>
      </c>
      <c r="D160" s="38">
        <f>(53.69)*10.764</f>
        <v>577.91915999999992</v>
      </c>
      <c r="E160" s="29">
        <v>0</v>
      </c>
      <c r="F160" s="29">
        <f t="shared" si="19"/>
        <v>866.87873999999988</v>
      </c>
      <c r="G160" s="76"/>
      <c r="H160" s="77"/>
      <c r="I160" s="23"/>
      <c r="N160" s="23"/>
    </row>
    <row r="161" spans="1:14" s="24" customFormat="1" x14ac:dyDescent="0.3">
      <c r="A161" s="72">
        <f t="shared" si="14"/>
        <v>17</v>
      </c>
      <c r="B161" s="73"/>
      <c r="C161" s="29" t="s">
        <v>258</v>
      </c>
      <c r="D161" s="38">
        <f>(60.65)*10.764</f>
        <v>652.83659999999998</v>
      </c>
      <c r="E161" s="29">
        <v>0</v>
      </c>
      <c r="F161" s="29">
        <f t="shared" si="19"/>
        <v>979.25489999999991</v>
      </c>
      <c r="G161" s="78"/>
      <c r="H161" s="79"/>
      <c r="I161" s="23"/>
      <c r="N161" s="23"/>
    </row>
    <row r="162" spans="1:14" s="24" customFormat="1" x14ac:dyDescent="0.3">
      <c r="A162" s="72"/>
      <c r="B162" s="80"/>
      <c r="C162" s="80"/>
      <c r="D162" s="80"/>
      <c r="E162" s="80"/>
      <c r="F162" s="80"/>
      <c r="G162" s="80"/>
      <c r="H162" s="73"/>
      <c r="I162" s="23"/>
      <c r="N162" s="23"/>
    </row>
    <row r="163" spans="1:14" ht="47.25" customHeight="1" x14ac:dyDescent="0.3">
      <c r="A163" s="87" t="s">
        <v>122</v>
      </c>
      <c r="B163" s="91" t="s">
        <v>182</v>
      </c>
      <c r="C163" s="91" t="s">
        <v>57</v>
      </c>
      <c r="D163" s="91" t="s">
        <v>58</v>
      </c>
      <c r="E163" s="85" t="s">
        <v>59</v>
      </c>
      <c r="F163" s="30" t="s">
        <v>153</v>
      </c>
      <c r="G163" s="87" t="s">
        <v>60</v>
      </c>
      <c r="H163" s="175"/>
      <c r="I163" s="23"/>
    </row>
    <row r="164" spans="1:14" s="24" customFormat="1" x14ac:dyDescent="0.3">
      <c r="A164" s="89"/>
      <c r="B164" s="92"/>
      <c r="C164" s="92"/>
      <c r="D164" s="92"/>
      <c r="E164" s="86"/>
      <c r="F164" s="13">
        <v>0.5</v>
      </c>
      <c r="G164" s="89"/>
      <c r="H164" s="90"/>
      <c r="I164" s="23"/>
      <c r="J164" s="23"/>
    </row>
    <row r="165" spans="1:14" s="24" customFormat="1" x14ac:dyDescent="0.3">
      <c r="A165" s="82" t="s">
        <v>259</v>
      </c>
      <c r="B165" s="83"/>
      <c r="C165" s="83"/>
      <c r="D165" s="83"/>
      <c r="E165" s="83"/>
      <c r="F165" s="83"/>
      <c r="G165" s="83"/>
      <c r="H165" s="84"/>
      <c r="J165" s="24">
        <f>3.05*6.05+3.05*3.7+2.3*3.8+2.75*3.05+3.05*3.35+2.15*0.6+2.25*1.35+1.5*0.9+1.25*0.6+2.25*1.1+1.2*2.1+0.9*1.25+0.9*(1.2+1.1)+1.25*2.1+1*(2.3+3.05)</f>
        <v>79.674999999999983</v>
      </c>
    </row>
    <row r="166" spans="1:14" s="24" customFormat="1" ht="15.75" customHeight="1" x14ac:dyDescent="0.3">
      <c r="A166" s="72">
        <v>1</v>
      </c>
      <c r="B166" s="73"/>
      <c r="C166" s="29" t="s">
        <v>260</v>
      </c>
      <c r="D166" s="38">
        <f>(77.51)*10.764</f>
        <v>834.31763999999998</v>
      </c>
      <c r="E166" s="38">
        <f>(1.65*1.6+1*5.85+2.3*1.5+2.55*0.6+1.25*1.5)*10.764</f>
        <v>165.17357999999999</v>
      </c>
      <c r="F166" s="29">
        <f t="shared" ref="F166:F175" si="20">D166*(($F$164)+1)+(IF(E166&lt;101,E166,IF(E166&lt;201,E166/2,IF(E166&lt;=301,E166/3,E166/4))))</f>
        <v>1334.0632499999999</v>
      </c>
      <c r="G166" s="74" t="str">
        <f>A165</f>
        <v>3rd Floor for Residential</v>
      </c>
      <c r="H166" s="75"/>
      <c r="I166" s="23">
        <f>3.05*6.05+2.25*1.1+2.3*3.8+3.05*3.35+2.15*0.6+2.75*3.05+3.05*3.7+2.25*1.35+1.2*2.1+1.25*2.1+1.5*0.9+1.25*0.6+0.9*1.25+1*(3.05+2.3)</f>
        <v>77.60499999999999</v>
      </c>
      <c r="N166" s="23"/>
    </row>
    <row r="167" spans="1:14" s="24" customFormat="1" x14ac:dyDescent="0.3">
      <c r="A167" s="72">
        <f t="shared" ref="A167:A175" si="21">A166+1</f>
        <v>2</v>
      </c>
      <c r="B167" s="73"/>
      <c r="C167" s="29" t="s">
        <v>260</v>
      </c>
      <c r="D167" s="38">
        <f>(79.28)*10.764</f>
        <v>853.36991999999998</v>
      </c>
      <c r="E167" s="38">
        <f>(1.25*1.25+6.85*0.88)*10.764</f>
        <v>81.70414199999999</v>
      </c>
      <c r="F167" s="29">
        <f t="shared" si="20"/>
        <v>1361.759022</v>
      </c>
      <c r="G167" s="76"/>
      <c r="H167" s="77"/>
      <c r="I167" s="23"/>
      <c r="J167" s="24">
        <f>3.35*5.83+2.45*3.3+2.75*3.15+3.05*3.4+2.1*1.5+2.1*1.4+3.35*2.9+2*0.5+0.9*(2.1+1.5)+2.1*1.85+1.5*1.85+2.6*3.5+2.15*0.98+2.9*3.65+1.25*2.1</f>
        <v>97.769999999999982</v>
      </c>
      <c r="N167" s="23"/>
    </row>
    <row r="168" spans="1:14" s="24" customFormat="1" x14ac:dyDescent="0.3">
      <c r="A168" s="72">
        <f t="shared" si="21"/>
        <v>3</v>
      </c>
      <c r="B168" s="73"/>
      <c r="C168" s="29" t="s">
        <v>261</v>
      </c>
      <c r="D168" s="38">
        <f>(107.64)*10.764</f>
        <v>1158.63696</v>
      </c>
      <c r="E168" s="38">
        <f>(8.9*1.45+3.4*0.75+0.65*1.55+1.5*3.25)*10.764</f>
        <v>229.67684999999997</v>
      </c>
      <c r="F168" s="29">
        <f t="shared" si="20"/>
        <v>1814.5143900000003</v>
      </c>
      <c r="G168" s="76"/>
      <c r="H168" s="77"/>
      <c r="I168" s="23"/>
      <c r="N168" s="23"/>
    </row>
    <row r="169" spans="1:14" s="24" customFormat="1" x14ac:dyDescent="0.3">
      <c r="A169" s="72">
        <f t="shared" si="21"/>
        <v>4</v>
      </c>
      <c r="B169" s="73"/>
      <c r="C169" s="29" t="s">
        <v>262</v>
      </c>
      <c r="D169" s="38">
        <f>(58.58)*10.764</f>
        <v>630.55511999999999</v>
      </c>
      <c r="E169" s="38">
        <f>(3.05*1.95+2.45*1.4+2.9*1.1+2.8*1.85)*10.764</f>
        <v>191.03408999999996</v>
      </c>
      <c r="F169" s="29">
        <f t="shared" si="20"/>
        <v>1041.349725</v>
      </c>
      <c r="G169" s="76"/>
      <c r="H169" s="77"/>
      <c r="I169" s="23"/>
      <c r="N169" s="23"/>
    </row>
    <row r="170" spans="1:14" s="24" customFormat="1" x14ac:dyDescent="0.3">
      <c r="A170" s="72">
        <f t="shared" si="21"/>
        <v>5</v>
      </c>
      <c r="B170" s="73"/>
      <c r="C170" s="29" t="s">
        <v>262</v>
      </c>
      <c r="D170" s="38">
        <f>(58.58)*10.764</f>
        <v>630.55511999999999</v>
      </c>
      <c r="E170" s="38">
        <f>(3.05*1.95+2.45*1.4+2.9*1.1+2.8*1.85)*10.764</f>
        <v>191.03408999999996</v>
      </c>
      <c r="F170" s="29">
        <f t="shared" si="20"/>
        <v>1041.349725</v>
      </c>
      <c r="G170" s="76"/>
      <c r="H170" s="77"/>
      <c r="I170" s="23"/>
      <c r="N170" s="23"/>
    </row>
    <row r="171" spans="1:14" s="24" customFormat="1" x14ac:dyDescent="0.3">
      <c r="A171" s="72">
        <f t="shared" si="21"/>
        <v>6</v>
      </c>
      <c r="B171" s="73"/>
      <c r="C171" s="29" t="s">
        <v>262</v>
      </c>
      <c r="D171" s="38">
        <f>(58.58)*10.764</f>
        <v>630.55511999999999</v>
      </c>
      <c r="E171" s="38">
        <f>(3.05*1.95+2.45*1.4+2.9*1.1+2.8*1.85)*10.764</f>
        <v>191.03408999999996</v>
      </c>
      <c r="F171" s="29">
        <f t="shared" si="20"/>
        <v>1041.349725</v>
      </c>
      <c r="G171" s="76"/>
      <c r="H171" s="77"/>
      <c r="I171" s="23"/>
      <c r="N171" s="23"/>
    </row>
    <row r="172" spans="1:14" s="24" customFormat="1" x14ac:dyDescent="0.3">
      <c r="A172" s="72">
        <f t="shared" si="21"/>
        <v>7</v>
      </c>
      <c r="B172" s="73"/>
      <c r="C172" s="29" t="s">
        <v>262</v>
      </c>
      <c r="D172" s="38">
        <f>(58.58)*10.764</f>
        <v>630.55511999999999</v>
      </c>
      <c r="E172" s="38">
        <f>(3.05*1.95+2.45*1.4+2.9*1.1+2.8*1.85)*10.764</f>
        <v>191.03408999999996</v>
      </c>
      <c r="F172" s="29">
        <f t="shared" si="20"/>
        <v>1041.349725</v>
      </c>
      <c r="G172" s="76"/>
      <c r="H172" s="77"/>
      <c r="I172" s="23"/>
      <c r="N172" s="23"/>
    </row>
    <row r="173" spans="1:14" s="24" customFormat="1" x14ac:dyDescent="0.3">
      <c r="A173" s="72">
        <f t="shared" si="21"/>
        <v>8</v>
      </c>
      <c r="B173" s="73"/>
      <c r="C173" s="29" t="s">
        <v>260</v>
      </c>
      <c r="D173" s="38">
        <f>(79.99)*10.764</f>
        <v>861.01235999999994</v>
      </c>
      <c r="E173" s="38">
        <f>(8.4*2.25+1.8*0.75+2.2*1.65)*10.764</f>
        <v>257.04432000000003</v>
      </c>
      <c r="F173" s="29">
        <f t="shared" si="20"/>
        <v>1377.1999800000001</v>
      </c>
      <c r="G173" s="76"/>
      <c r="H173" s="77"/>
      <c r="I173" s="23">
        <f>3.05*6.4+2.3*3.2+2.45*3.2+2.75*3.05+2.2*3.65+2.8*2.75+1.35*2.15+2.3*1.4+1.5*2.4+1.65*1.1+0.9*4+1*(2.75+3.65)</f>
        <v>80.375</v>
      </c>
      <c r="N173" s="23"/>
    </row>
    <row r="174" spans="1:14" s="24" customFormat="1" x14ac:dyDescent="0.3">
      <c r="A174" s="72">
        <f t="shared" si="21"/>
        <v>9</v>
      </c>
      <c r="B174" s="73"/>
      <c r="C174" s="29" t="s">
        <v>260</v>
      </c>
      <c r="D174" s="38">
        <f>(3.05*6.4+2.3*3.2+2.45*3.2+2.75*3.05+2.2*3.65+2.8*2.75+1.35*2.15+2.3*1.4+1.5*2.4+1.65*1.1+0.9*4+1*(3.05+2.3+2.75+3.65))*10.764</f>
        <v>922.74389999999994</v>
      </c>
      <c r="E174" s="38">
        <f>(2.3*1.35+2.9*0.75)*10.764</f>
        <v>56.833919999999992</v>
      </c>
      <c r="F174" s="29">
        <f t="shared" si="20"/>
        <v>1440.9497699999999</v>
      </c>
      <c r="G174" s="76"/>
      <c r="H174" s="77"/>
      <c r="I174" s="23">
        <f>3.05*6.4+2.3*3.2+2.45*3.2+2.75*3.05+2.2*3.65+2.8*2.75+1.35*2.15+2.3*1.4+1.5*2.4+1.65*1.1+0.9*4+1*(3.05+2.3+2.75+3.65)</f>
        <v>85.724999999999994</v>
      </c>
      <c r="N174" s="23"/>
    </row>
    <row r="175" spans="1:14" s="24" customFormat="1" x14ac:dyDescent="0.3">
      <c r="A175" s="72">
        <f t="shared" si="21"/>
        <v>10</v>
      </c>
      <c r="B175" s="73"/>
      <c r="C175" s="29" t="s">
        <v>260</v>
      </c>
      <c r="D175" s="38">
        <f>(77.51)*10.764</f>
        <v>834.31763999999998</v>
      </c>
      <c r="E175" s="38">
        <f>(1.7*1.55+1.25*1.5+2.55*0.6+1.4*1.5+2*0.9+1*5.25)*10.764</f>
        <v>163.50515999999999</v>
      </c>
      <c r="F175" s="29">
        <f t="shared" si="20"/>
        <v>1333.2290399999999</v>
      </c>
      <c r="G175" s="78"/>
      <c r="H175" s="79"/>
      <c r="I175" s="23"/>
      <c r="J175" s="23"/>
      <c r="N175" s="23"/>
    </row>
    <row r="176" spans="1:14" s="24" customFormat="1" x14ac:dyDescent="0.3">
      <c r="A176" s="170" t="s">
        <v>263</v>
      </c>
      <c r="B176" s="170"/>
      <c r="C176" s="170"/>
      <c r="D176" s="170"/>
      <c r="E176" s="170"/>
      <c r="F176" s="170"/>
      <c r="G176" s="170"/>
      <c r="H176" s="170"/>
    </row>
    <row r="177" spans="1:14" s="24" customFormat="1" ht="15.75" customHeight="1" x14ac:dyDescent="0.3">
      <c r="A177" s="81">
        <v>1</v>
      </c>
      <c r="B177" s="81"/>
      <c r="C177" s="29" t="s">
        <v>260</v>
      </c>
      <c r="D177" s="38">
        <f>(77.51)*10.764</f>
        <v>834.31763999999998</v>
      </c>
      <c r="E177" s="29">
        <v>0</v>
      </c>
      <c r="F177" s="29">
        <f t="shared" ref="F177:F186" si="22">D177*(($F$164)+1)+(IF(E177&lt;101,E177,IF(E177&lt;201,E177/2,IF(E177&lt;=301,E177/3,E177/4))))</f>
        <v>1251.4764599999999</v>
      </c>
      <c r="G177" s="81" t="str">
        <f>A176</f>
        <v>4th to 5th, 7th to 9th Floor</v>
      </c>
      <c r="H177" s="81"/>
      <c r="I177" s="23"/>
      <c r="L177" s="23">
        <f>10000000/F177</f>
        <v>7990.5618040949812</v>
      </c>
      <c r="N177" s="23"/>
    </row>
    <row r="178" spans="1:14" s="24" customFormat="1" x14ac:dyDescent="0.3">
      <c r="A178" s="81">
        <f t="shared" ref="A178:A186" si="23">A177+1</f>
        <v>2</v>
      </c>
      <c r="B178" s="81"/>
      <c r="C178" s="29" t="s">
        <v>260</v>
      </c>
      <c r="D178" s="38">
        <f>(79.28)*10.764</f>
        <v>853.36991999999998</v>
      </c>
      <c r="E178" s="29">
        <v>0</v>
      </c>
      <c r="F178" s="29">
        <f t="shared" si="22"/>
        <v>1280.0548799999999</v>
      </c>
      <c r="G178" s="81"/>
      <c r="H178" s="81"/>
      <c r="I178" s="23"/>
      <c r="L178" s="23">
        <f>10000000/F178</f>
        <v>7812.1650534233349</v>
      </c>
      <c r="N178" s="23"/>
    </row>
    <row r="179" spans="1:14" s="24" customFormat="1" x14ac:dyDescent="0.3">
      <c r="A179" s="81">
        <f t="shared" si="23"/>
        <v>3</v>
      </c>
      <c r="B179" s="81"/>
      <c r="C179" s="29" t="s">
        <v>261</v>
      </c>
      <c r="D179" s="38">
        <f>(105.57)*10.764</f>
        <v>1136.3554799999999</v>
      </c>
      <c r="E179" s="29">
        <v>0</v>
      </c>
      <c r="F179" s="29">
        <f t="shared" si="22"/>
        <v>1704.5332199999998</v>
      </c>
      <c r="G179" s="81"/>
      <c r="H179" s="81"/>
      <c r="I179" s="23">
        <f>3.35*5.83+2.45*3.3+2.6*3.5+2.75*3.15+3.05*3.4+2.1*1.4+3.35*2.9+2*0.5+2.9*3.65+1.25*2.1+2.1*1.5+2.1*1.85+1.5*1.85+2.15*0.98+0.9*4+1*(3.35+2.45)</f>
        <v>103.92999999999999</v>
      </c>
      <c r="N179" s="23"/>
    </row>
    <row r="180" spans="1:14" s="24" customFormat="1" x14ac:dyDescent="0.3">
      <c r="A180" s="81">
        <f t="shared" si="23"/>
        <v>4</v>
      </c>
      <c r="B180" s="81"/>
      <c r="C180" s="29" t="s">
        <v>262</v>
      </c>
      <c r="D180" s="38">
        <f>(57.6)*10.764</f>
        <v>620.00639999999999</v>
      </c>
      <c r="E180" s="29">
        <v>0</v>
      </c>
      <c r="F180" s="29">
        <f t="shared" si="22"/>
        <v>930.00959999999998</v>
      </c>
      <c r="G180" s="81"/>
      <c r="H180" s="81"/>
      <c r="I180" s="23"/>
      <c r="K180" s="23">
        <f t="shared" ref="K180:K182" si="24">7500000/F180</f>
        <v>8064.4328832734636</v>
      </c>
      <c r="L180" s="23">
        <f>7000000/F180</f>
        <v>7526.8040243885653</v>
      </c>
      <c r="N180" s="23"/>
    </row>
    <row r="181" spans="1:14" s="24" customFormat="1" x14ac:dyDescent="0.3">
      <c r="A181" s="81">
        <f t="shared" si="23"/>
        <v>5</v>
      </c>
      <c r="B181" s="81"/>
      <c r="C181" s="29" t="s">
        <v>262</v>
      </c>
      <c r="D181" s="38">
        <f>(57.6)*10.764</f>
        <v>620.00639999999999</v>
      </c>
      <c r="E181" s="29">
        <v>0</v>
      </c>
      <c r="F181" s="29">
        <f t="shared" si="22"/>
        <v>930.00959999999998</v>
      </c>
      <c r="G181" s="81"/>
      <c r="H181" s="81"/>
      <c r="I181" s="23"/>
      <c r="K181" s="23">
        <f t="shared" si="24"/>
        <v>8064.4328832734636</v>
      </c>
      <c r="L181" s="23">
        <f t="shared" ref="L181:L183" si="25">7000000/F181</f>
        <v>7526.8040243885653</v>
      </c>
      <c r="N181" s="23"/>
    </row>
    <row r="182" spans="1:14" s="24" customFormat="1" x14ac:dyDescent="0.3">
      <c r="A182" s="81">
        <f t="shared" si="23"/>
        <v>6</v>
      </c>
      <c r="B182" s="81"/>
      <c r="C182" s="29" t="s">
        <v>262</v>
      </c>
      <c r="D182" s="38">
        <f>(57.6)*10.764</f>
        <v>620.00639999999999</v>
      </c>
      <c r="E182" s="29">
        <v>0</v>
      </c>
      <c r="F182" s="29">
        <f t="shared" si="22"/>
        <v>930.00959999999998</v>
      </c>
      <c r="G182" s="81"/>
      <c r="H182" s="81"/>
      <c r="I182" s="23"/>
      <c r="K182" s="23">
        <f t="shared" si="24"/>
        <v>8064.4328832734636</v>
      </c>
      <c r="L182" s="23">
        <f t="shared" si="25"/>
        <v>7526.8040243885653</v>
      </c>
      <c r="N182" s="23"/>
    </row>
    <row r="183" spans="1:14" s="24" customFormat="1" x14ac:dyDescent="0.3">
      <c r="A183" s="81">
        <f t="shared" si="23"/>
        <v>7</v>
      </c>
      <c r="B183" s="81"/>
      <c r="C183" s="29" t="s">
        <v>262</v>
      </c>
      <c r="D183" s="38">
        <f>(57.6)*10.764</f>
        <v>620.00639999999999</v>
      </c>
      <c r="E183" s="29">
        <v>0</v>
      </c>
      <c r="F183" s="29">
        <f t="shared" si="22"/>
        <v>930.00959999999998</v>
      </c>
      <c r="G183" s="81"/>
      <c r="H183" s="81"/>
      <c r="I183" s="23"/>
      <c r="K183" s="23">
        <f>7500000/F183</f>
        <v>8064.4328832734636</v>
      </c>
      <c r="L183" s="23">
        <f t="shared" si="25"/>
        <v>7526.8040243885653</v>
      </c>
      <c r="N183" s="23"/>
    </row>
    <row r="184" spans="1:14" s="24" customFormat="1" x14ac:dyDescent="0.3">
      <c r="A184" s="81">
        <f t="shared" si="23"/>
        <v>8</v>
      </c>
      <c r="B184" s="81"/>
      <c r="C184" s="29" t="s">
        <v>260</v>
      </c>
      <c r="D184" s="38">
        <f>(3.05*6.4+2.3*3.2+2.45*3.2+2.75*3.05+2.2*3.65+2.8*2.75+1.35*2.15+2.3*1.4+1.5*2.4+1.65*1.1+0.9*4+1*(3.05+2.3+2.75+3.65))*10.764</f>
        <v>922.74389999999994</v>
      </c>
      <c r="E184" s="29">
        <v>0</v>
      </c>
      <c r="F184" s="29">
        <f t="shared" si="22"/>
        <v>1384.1158499999999</v>
      </c>
      <c r="G184" s="81"/>
      <c r="H184" s="81"/>
      <c r="I184" s="23">
        <f>3.05*6.4+2.3*3.2+2.45*3.2+2.75*3.05+2.2*3.65+2.8*2.75+1.35*2.15+2.3*1.4+1.5*2.4+1.65*1.1+0.9*4+1*(3.05+2.3+2.75+3.65)</f>
        <v>85.724999999999994</v>
      </c>
      <c r="L184" s="23">
        <f>10000000/F184</f>
        <v>7224.8287598180459</v>
      </c>
      <c r="N184" s="23"/>
    </row>
    <row r="185" spans="1:14" s="24" customFormat="1" x14ac:dyDescent="0.3">
      <c r="A185" s="81">
        <f t="shared" si="23"/>
        <v>9</v>
      </c>
      <c r="B185" s="81"/>
      <c r="C185" s="29" t="s">
        <v>260</v>
      </c>
      <c r="D185" s="38">
        <f>(3.05*6.4+2.3*3.2+2.45*3.2+2.75*3.05+2.2*3.65+2.8*2.75+1.35*2.15+2.3*1.4+1.5*2.4+1.65*1.1+0.9*4+1*(3.05+2.3+2.75+3.65))*10.764</f>
        <v>922.74389999999994</v>
      </c>
      <c r="E185" s="29">
        <v>0</v>
      </c>
      <c r="F185" s="29">
        <f t="shared" si="22"/>
        <v>1384.1158499999999</v>
      </c>
      <c r="G185" s="81"/>
      <c r="H185" s="81"/>
      <c r="I185" s="23"/>
      <c r="L185" s="23">
        <f>10000000/F185</f>
        <v>7224.8287598180459</v>
      </c>
      <c r="N185" s="23"/>
    </row>
    <row r="186" spans="1:14" s="24" customFormat="1" x14ac:dyDescent="0.3">
      <c r="A186" s="81">
        <f t="shared" si="23"/>
        <v>10</v>
      </c>
      <c r="B186" s="81"/>
      <c r="C186" s="29" t="s">
        <v>260</v>
      </c>
      <c r="D186" s="38">
        <f>(77.51)*10.764</f>
        <v>834.31763999999998</v>
      </c>
      <c r="E186" s="29">
        <v>0</v>
      </c>
      <c r="F186" s="29">
        <f t="shared" si="22"/>
        <v>1251.4764599999999</v>
      </c>
      <c r="G186" s="81"/>
      <c r="H186" s="81"/>
      <c r="I186" s="23"/>
      <c r="J186" s="23"/>
      <c r="K186" s="23">
        <f>10000000/F186</f>
        <v>7990.5618040949812</v>
      </c>
      <c r="N186" s="23"/>
    </row>
    <row r="187" spans="1:14" s="24" customFormat="1" x14ac:dyDescent="0.3">
      <c r="A187" s="82" t="s">
        <v>265</v>
      </c>
      <c r="B187" s="83"/>
      <c r="C187" s="83"/>
      <c r="D187" s="83"/>
      <c r="E187" s="83"/>
      <c r="F187" s="83"/>
      <c r="G187" s="83"/>
      <c r="H187" s="84"/>
    </row>
    <row r="188" spans="1:14" s="24" customFormat="1" ht="15.75" customHeight="1" x14ac:dyDescent="0.3">
      <c r="A188" s="72">
        <v>1</v>
      </c>
      <c r="B188" s="73"/>
      <c r="C188" s="29" t="s">
        <v>260</v>
      </c>
      <c r="D188" s="38">
        <f>(77.51)*10.764</f>
        <v>834.31763999999998</v>
      </c>
      <c r="E188" s="29">
        <v>0</v>
      </c>
      <c r="F188" s="29">
        <f>D188*(($F$164)+1)+(IF(E188&lt;101,E188,IF(E188&lt;201,E188/2,IF(E188&lt;=301,E188/3,E188/4))))</f>
        <v>1251.4764599999999</v>
      </c>
      <c r="G188" s="74" t="str">
        <f>A187</f>
        <v>6th Floor (Part Refuge Area)</v>
      </c>
      <c r="H188" s="75"/>
      <c r="I188" s="23"/>
      <c r="K188" s="23">
        <f>7200000/F188</f>
        <v>5753.2044989483866</v>
      </c>
      <c r="N188" s="23"/>
    </row>
    <row r="189" spans="1:14" s="24" customFormat="1" x14ac:dyDescent="0.3">
      <c r="A189" s="72">
        <f t="shared" ref="A189:A197" si="26">A188+1</f>
        <v>2</v>
      </c>
      <c r="B189" s="73"/>
      <c r="C189" s="29" t="s">
        <v>260</v>
      </c>
      <c r="D189" s="38">
        <f>(79.28)*10.764</f>
        <v>853.36991999999998</v>
      </c>
      <c r="E189" s="29">
        <v>0</v>
      </c>
      <c r="F189" s="29">
        <f>D189*(($F$164)+1)+(IF(E189&lt;101,E189,IF(E189&lt;201,E189/2,IF(E189&lt;=301,E189/3,E189/4))))</f>
        <v>1280.0548799999999</v>
      </c>
      <c r="G189" s="76"/>
      <c r="H189" s="77"/>
      <c r="I189" s="23"/>
      <c r="N189" s="23"/>
    </row>
    <row r="190" spans="1:14" s="24" customFormat="1" x14ac:dyDescent="0.3">
      <c r="A190" s="72">
        <f t="shared" si="26"/>
        <v>3</v>
      </c>
      <c r="B190" s="73"/>
      <c r="C190" s="29" t="s">
        <v>261</v>
      </c>
      <c r="D190" s="38">
        <f>(105.57)*10.764</f>
        <v>1136.3554799999999</v>
      </c>
      <c r="E190" s="29">
        <v>0</v>
      </c>
      <c r="F190" s="29">
        <f>D190*(($F$164)+1)+(IF(E190&lt;101,E190,IF(E190&lt;201,E190/2,IF(E190&lt;=301,E190/3,E190/4))))</f>
        <v>1704.5332199999998</v>
      </c>
      <c r="G190" s="76"/>
      <c r="H190" s="77"/>
      <c r="I190" s="23"/>
      <c r="N190" s="23"/>
    </row>
    <row r="191" spans="1:14" s="24" customFormat="1" x14ac:dyDescent="0.3">
      <c r="A191" s="72">
        <f t="shared" si="26"/>
        <v>4</v>
      </c>
      <c r="B191" s="73"/>
      <c r="C191" s="29" t="s">
        <v>262</v>
      </c>
      <c r="D191" s="38">
        <f>(57.6)*10.764</f>
        <v>620.00639999999999</v>
      </c>
      <c r="E191" s="29">
        <v>0</v>
      </c>
      <c r="F191" s="29">
        <f>D191*(($F$164)+1)+(IF(E191&lt;101,E191,IF(E191&lt;201,E191/2,IF(E191&lt;=301,E191/3,E191/4))))</f>
        <v>930.00959999999998</v>
      </c>
      <c r="G191" s="76"/>
      <c r="H191" s="77"/>
      <c r="I191" s="23"/>
      <c r="N191" s="23"/>
    </row>
    <row r="192" spans="1:14" s="24" customFormat="1" x14ac:dyDescent="0.3">
      <c r="A192" s="72">
        <f t="shared" si="26"/>
        <v>5</v>
      </c>
      <c r="B192" s="73"/>
      <c r="C192" s="29" t="s">
        <v>260</v>
      </c>
      <c r="D192" s="38">
        <f>(70.25)*10.764</f>
        <v>756.17099999999994</v>
      </c>
      <c r="E192" s="29">
        <v>0</v>
      </c>
      <c r="F192" s="29">
        <f>D192*(($F$164)+1)+(IF(E192&lt;101,E192,IF(E192&lt;201,E192/2,IF(E192&lt;=301,E192/3,E192/4))))</f>
        <v>1134.2565</v>
      </c>
      <c r="G192" s="76"/>
      <c r="H192" s="77"/>
      <c r="I192" s="23"/>
      <c r="N192" s="23"/>
    </row>
    <row r="193" spans="1:14" s="24" customFormat="1" x14ac:dyDescent="0.3">
      <c r="A193" s="72">
        <f t="shared" si="26"/>
        <v>6</v>
      </c>
      <c r="B193" s="73"/>
      <c r="C193" s="72" t="s">
        <v>264</v>
      </c>
      <c r="D193" s="80"/>
      <c r="E193" s="80"/>
      <c r="F193" s="73"/>
      <c r="G193" s="76"/>
      <c r="H193" s="77"/>
      <c r="I193" s="23"/>
      <c r="N193" s="23"/>
    </row>
    <row r="194" spans="1:14" s="24" customFormat="1" x14ac:dyDescent="0.3">
      <c r="A194" s="72">
        <f t="shared" si="26"/>
        <v>7</v>
      </c>
      <c r="B194" s="73"/>
      <c r="C194" s="29" t="s">
        <v>262</v>
      </c>
      <c r="D194" s="38">
        <f>(57.6)*10.764</f>
        <v>620.00639999999999</v>
      </c>
      <c r="E194" s="29">
        <v>0</v>
      </c>
      <c r="F194" s="29">
        <f>D194*(($F$164)+1)+(IF(E194&lt;101,E194,IF(E194&lt;201,E194/2,IF(E194&lt;=301,E194/3,E194/4))))</f>
        <v>930.00959999999998</v>
      </c>
      <c r="G194" s="76"/>
      <c r="H194" s="77"/>
      <c r="I194" s="23"/>
      <c r="N194" s="23"/>
    </row>
    <row r="195" spans="1:14" s="24" customFormat="1" x14ac:dyDescent="0.3">
      <c r="A195" s="72">
        <f t="shared" si="26"/>
        <v>8</v>
      </c>
      <c r="B195" s="73"/>
      <c r="C195" s="29" t="s">
        <v>260</v>
      </c>
      <c r="D195" s="38">
        <f>(3.05*6.4+2.3*3.2+2.45*3.2+2.75*3.05+2.2*3.65+2.8*2.75+1.35*2.15+2.3*1.4+1.5*2.4+1.65*1.1+0.9*4+1*(3.05+2.3+2.75+3.65))*10.764</f>
        <v>922.74389999999994</v>
      </c>
      <c r="E195" s="29">
        <v>0</v>
      </c>
      <c r="F195" s="29">
        <f>D195*(($F$164)+1)+(IF(E195&lt;101,E195,IF(E195&lt;201,E195/2,IF(E195&lt;=301,E195/3,E195/4))))</f>
        <v>1384.1158499999999</v>
      </c>
      <c r="G195" s="76"/>
      <c r="H195" s="77"/>
      <c r="I195" s="23"/>
      <c r="N195" s="23"/>
    </row>
    <row r="196" spans="1:14" s="24" customFormat="1" x14ac:dyDescent="0.3">
      <c r="A196" s="72">
        <f t="shared" si="26"/>
        <v>9</v>
      </c>
      <c r="B196" s="73"/>
      <c r="C196" s="29" t="s">
        <v>260</v>
      </c>
      <c r="D196" s="38">
        <f>(3.05*6.4+2.3*3.2+2.45*3.2+2.75*3.05+2.2*3.65+2.8*2.75+1.35*2.15+2.3*1.4+1.5*2.4+1.65*1.1+0.9*4+1*(3.05+2.3+2.75+3.65))*10.764</f>
        <v>922.74389999999994</v>
      </c>
      <c r="E196" s="29">
        <v>0</v>
      </c>
      <c r="F196" s="29">
        <f>D196*(($F$164)+1)+(IF(E196&lt;101,E196,IF(E196&lt;201,E196/2,IF(E196&lt;=301,E196/3,E196/4))))</f>
        <v>1384.1158499999999</v>
      </c>
      <c r="G196" s="76"/>
      <c r="H196" s="77"/>
      <c r="I196" s="23"/>
      <c r="N196" s="23"/>
    </row>
    <row r="197" spans="1:14" s="24" customFormat="1" x14ac:dyDescent="0.3">
      <c r="A197" s="72">
        <f t="shared" si="26"/>
        <v>10</v>
      </c>
      <c r="B197" s="73"/>
      <c r="C197" s="29" t="s">
        <v>260</v>
      </c>
      <c r="D197" s="38">
        <f>(77.51)*10.764</f>
        <v>834.31763999999998</v>
      </c>
      <c r="E197" s="29">
        <v>0</v>
      </c>
      <c r="F197" s="29">
        <f>D197*(($F$164)+1)+(IF(E197&lt;101,E197,IF(E197&lt;201,E197/2,IF(E197&lt;=301,E197/3,E197/4))))</f>
        <v>1251.4764599999999</v>
      </c>
      <c r="G197" s="78"/>
      <c r="H197" s="79"/>
      <c r="I197" s="23"/>
      <c r="J197" s="23"/>
      <c r="K197" s="23">
        <f>8500000/F197</f>
        <v>6791.9775334807346</v>
      </c>
      <c r="N197" s="23"/>
    </row>
    <row r="198" spans="1:14" s="24" customFormat="1" x14ac:dyDescent="0.3">
      <c r="A198" s="82" t="s">
        <v>266</v>
      </c>
      <c r="B198" s="83"/>
      <c r="C198" s="83"/>
      <c r="D198" s="83"/>
      <c r="E198" s="83"/>
      <c r="F198" s="83"/>
      <c r="G198" s="83"/>
      <c r="H198" s="84"/>
    </row>
    <row r="199" spans="1:14" s="24" customFormat="1" ht="15.75" customHeight="1" x14ac:dyDescent="0.3">
      <c r="A199" s="72">
        <v>1</v>
      </c>
      <c r="B199" s="73"/>
      <c r="C199" s="74" t="s">
        <v>267</v>
      </c>
      <c r="D199" s="200"/>
      <c r="E199" s="200"/>
      <c r="F199" s="75"/>
      <c r="G199" s="74" t="str">
        <f>A198</f>
        <v>10th Floor (Part Terrace Area)</v>
      </c>
      <c r="H199" s="75"/>
      <c r="I199" s="23"/>
      <c r="N199" s="23"/>
    </row>
    <row r="200" spans="1:14" s="24" customFormat="1" x14ac:dyDescent="0.3">
      <c r="A200" s="72">
        <f t="shared" ref="A200:A208" si="27">A199+1</f>
        <v>2</v>
      </c>
      <c r="B200" s="73"/>
      <c r="C200" s="78"/>
      <c r="D200" s="201"/>
      <c r="E200" s="201"/>
      <c r="F200" s="79"/>
      <c r="G200" s="76"/>
      <c r="H200" s="77"/>
      <c r="I200" s="23"/>
      <c r="N200" s="23"/>
    </row>
    <row r="201" spans="1:14" s="24" customFormat="1" x14ac:dyDescent="0.3">
      <c r="A201" s="72">
        <f t="shared" si="27"/>
        <v>3</v>
      </c>
      <c r="B201" s="73"/>
      <c r="C201" s="29" t="s">
        <v>261</v>
      </c>
      <c r="D201" s="38">
        <f>(105.57)*10.764</f>
        <v>1136.3554799999999</v>
      </c>
      <c r="E201" s="38">
        <v>0</v>
      </c>
      <c r="F201" s="29">
        <f t="shared" ref="F201:F206" si="28">D201*(($F$164)+1)+(IF(E201&lt;101,E201,IF(E201&lt;201,E201/2,IF(E201&lt;=301,E201/3,E201/4))))</f>
        <v>1704.5332199999998</v>
      </c>
      <c r="G201" s="76"/>
      <c r="H201" s="77"/>
      <c r="I201" s="23"/>
      <c r="N201" s="23"/>
    </row>
    <row r="202" spans="1:14" s="24" customFormat="1" x14ac:dyDescent="0.3">
      <c r="A202" s="72">
        <f t="shared" si="27"/>
        <v>4</v>
      </c>
      <c r="B202" s="73"/>
      <c r="C202" s="29" t="s">
        <v>262</v>
      </c>
      <c r="D202" s="38">
        <f>(57.6)*10.764</f>
        <v>620.00639999999999</v>
      </c>
      <c r="E202" s="38">
        <v>0</v>
      </c>
      <c r="F202" s="29">
        <f t="shared" si="28"/>
        <v>930.00959999999998</v>
      </c>
      <c r="G202" s="76"/>
      <c r="H202" s="77"/>
      <c r="I202" s="23"/>
      <c r="N202" s="23"/>
    </row>
    <row r="203" spans="1:14" s="24" customFormat="1" x14ac:dyDescent="0.3">
      <c r="A203" s="72">
        <f t="shared" si="27"/>
        <v>5</v>
      </c>
      <c r="B203" s="73"/>
      <c r="C203" s="29" t="s">
        <v>262</v>
      </c>
      <c r="D203" s="38">
        <f>(57.6)*10.764</f>
        <v>620.00639999999999</v>
      </c>
      <c r="E203" s="38">
        <v>0</v>
      </c>
      <c r="F203" s="29">
        <f t="shared" si="28"/>
        <v>930.00959999999998</v>
      </c>
      <c r="G203" s="76"/>
      <c r="H203" s="77"/>
      <c r="I203" s="23"/>
      <c r="N203" s="23"/>
    </row>
    <row r="204" spans="1:14" s="24" customFormat="1" x14ac:dyDescent="0.3">
      <c r="A204" s="72">
        <f t="shared" si="27"/>
        <v>6</v>
      </c>
      <c r="B204" s="73"/>
      <c r="C204" s="29" t="s">
        <v>262</v>
      </c>
      <c r="D204" s="38">
        <f>(57.6)*10.764</f>
        <v>620.00639999999999</v>
      </c>
      <c r="E204" s="38">
        <v>0</v>
      </c>
      <c r="F204" s="29">
        <f t="shared" si="28"/>
        <v>930.00959999999998</v>
      </c>
      <c r="G204" s="76"/>
      <c r="H204" s="77"/>
      <c r="I204" s="23"/>
      <c r="N204" s="23"/>
    </row>
    <row r="205" spans="1:14" s="24" customFormat="1" x14ac:dyDescent="0.3">
      <c r="A205" s="72">
        <f t="shared" si="27"/>
        <v>7</v>
      </c>
      <c r="B205" s="73"/>
      <c r="C205" s="29" t="s">
        <v>262</v>
      </c>
      <c r="D205" s="38">
        <f>(57.6)*10.764</f>
        <v>620.00639999999999</v>
      </c>
      <c r="E205" s="38">
        <v>0</v>
      </c>
      <c r="F205" s="29">
        <f t="shared" si="28"/>
        <v>930.00959999999998</v>
      </c>
      <c r="G205" s="76"/>
      <c r="H205" s="77"/>
      <c r="I205" s="23"/>
      <c r="N205" s="23"/>
    </row>
    <row r="206" spans="1:14" s="24" customFormat="1" x14ac:dyDescent="0.3">
      <c r="A206" s="72">
        <f t="shared" si="27"/>
        <v>8</v>
      </c>
      <c r="B206" s="73"/>
      <c r="C206" s="29" t="s">
        <v>262</v>
      </c>
      <c r="D206" s="38">
        <f>(3.05*6.4+2.3*3.2+2.45*3.2+2.75*3.05+2.8*2.75+1.35*2.15+2.3*1.4+0.9*4+1*(3.05+2.3+2.75))*10.764</f>
        <v>738.73332000000005</v>
      </c>
      <c r="E206" s="38">
        <f>(4.75*3.65)*10.764</f>
        <v>186.62084999999996</v>
      </c>
      <c r="F206" s="29">
        <f t="shared" si="28"/>
        <v>1201.4104049999999</v>
      </c>
      <c r="G206" s="76"/>
      <c r="H206" s="77"/>
      <c r="I206" s="23">
        <f>3.05*6.4+2.3*3.2+2.45*3.2+2.75*3.05+2.8*2.75+1.35*2.15+2.3*1.4+0.9*4+1*(3.05+2.3+2.75)</f>
        <v>68.63000000000001</v>
      </c>
      <c r="N206" s="23"/>
    </row>
    <row r="207" spans="1:14" s="24" customFormat="1" x14ac:dyDescent="0.3">
      <c r="A207" s="72">
        <f t="shared" si="27"/>
        <v>9</v>
      </c>
      <c r="B207" s="73"/>
      <c r="C207" s="74" t="s">
        <v>267</v>
      </c>
      <c r="D207" s="200"/>
      <c r="E207" s="200"/>
      <c r="F207" s="75"/>
      <c r="G207" s="76"/>
      <c r="H207" s="77"/>
      <c r="I207" s="23"/>
      <c r="N207" s="23"/>
    </row>
    <row r="208" spans="1:14" s="24" customFormat="1" x14ac:dyDescent="0.3">
      <c r="A208" s="72">
        <f t="shared" si="27"/>
        <v>10</v>
      </c>
      <c r="B208" s="73"/>
      <c r="C208" s="78"/>
      <c r="D208" s="201"/>
      <c r="E208" s="201"/>
      <c r="F208" s="79"/>
      <c r="G208" s="78"/>
      <c r="H208" s="79"/>
      <c r="I208" s="23"/>
      <c r="N208" s="23"/>
    </row>
    <row r="209" spans="1:14" s="24" customFormat="1" ht="15.75" hidden="1" customHeight="1" x14ac:dyDescent="0.3">
      <c r="A209" s="170" t="s">
        <v>120</v>
      </c>
      <c r="B209" s="170"/>
      <c r="C209" s="170"/>
      <c r="D209" s="170"/>
      <c r="E209" s="170"/>
      <c r="F209" s="170"/>
      <c r="G209" s="170"/>
      <c r="H209" s="170"/>
      <c r="I209" s="23"/>
    </row>
    <row r="210" spans="1:14" s="24" customFormat="1" ht="15.75" hidden="1" customHeight="1" x14ac:dyDescent="0.3">
      <c r="A210" s="81">
        <f>LEFT(A209,SUM(LEN(A209)-LEN(SUBSTITUTE(A209,{"0","1","2","3","4","5","6","7","8","9"},""))))*100+1</f>
        <v>201</v>
      </c>
      <c r="B210" s="81"/>
      <c r="C210" s="29"/>
      <c r="D210" s="29"/>
      <c r="E210" s="29">
        <v>0</v>
      </c>
      <c r="F210" s="29">
        <f t="shared" ref="F210:F211" si="29">D210*(($F$164)+1)+(IF(E210&lt;101,E210,IF(E210&lt;201,E210/2,IF(E210&lt;=301,E210/3,E210/4))))</f>
        <v>0</v>
      </c>
      <c r="G210" s="81" t="str">
        <f>A209</f>
        <v>2nd Floor</v>
      </c>
      <c r="H210" s="81"/>
      <c r="I210" s="23"/>
      <c r="N210" s="23"/>
    </row>
    <row r="211" spans="1:14" s="24" customFormat="1" ht="15.75" hidden="1" customHeight="1" x14ac:dyDescent="0.3">
      <c r="A211" s="81">
        <f>A210+1</f>
        <v>202</v>
      </c>
      <c r="B211" s="81"/>
      <c r="C211" s="29"/>
      <c r="D211" s="29"/>
      <c r="E211" s="29">
        <v>0</v>
      </c>
      <c r="F211" s="29">
        <f t="shared" si="29"/>
        <v>0</v>
      </c>
      <c r="G211" s="81" t="str">
        <f>G210</f>
        <v>2nd Floor</v>
      </c>
      <c r="H211" s="81"/>
      <c r="I211" s="23"/>
      <c r="N211" s="23"/>
    </row>
    <row r="212" spans="1:14" s="24" customFormat="1" ht="15.75" hidden="1" customHeight="1" x14ac:dyDescent="0.3">
      <c r="A212" s="81">
        <f>A211+1</f>
        <v>203</v>
      </c>
      <c r="B212" s="81"/>
      <c r="C212" s="29"/>
      <c r="D212" s="29"/>
      <c r="E212" s="29">
        <v>0</v>
      </c>
      <c r="F212" s="29">
        <f>D212*(($F$164)+1)+(IF(E212&lt;101,E212,IF(E212&lt;201,E212/2,IF(E212&lt;=301,E212/3,E212/4))))</f>
        <v>0</v>
      </c>
      <c r="G212" s="81" t="str">
        <f>G211</f>
        <v>2nd Floor</v>
      </c>
      <c r="H212" s="81"/>
      <c r="I212" s="23"/>
      <c r="N212" s="23"/>
    </row>
    <row r="213" spans="1:14" s="24" customFormat="1" ht="15.75" hidden="1" customHeight="1" x14ac:dyDescent="0.3">
      <c r="A213" s="81">
        <f>A212+1</f>
        <v>204</v>
      </c>
      <c r="B213" s="81"/>
      <c r="C213" s="29"/>
      <c r="D213" s="29"/>
      <c r="E213" s="29">
        <v>0</v>
      </c>
      <c r="F213" s="29">
        <f>D213*(($F$164)+1)+(IF(E213&lt;101,E213,IF(E213&lt;201,E213/2,IF(E213&lt;=301,E213/3,E213/4))))</f>
        <v>0</v>
      </c>
      <c r="G213" s="81" t="str">
        <f>G212</f>
        <v>2nd Floor</v>
      </c>
      <c r="H213" s="81"/>
      <c r="I213" s="23"/>
      <c r="N213" s="23"/>
    </row>
    <row r="214" spans="1:14" s="24" customFormat="1" ht="15.75" hidden="1" customHeight="1" x14ac:dyDescent="0.3">
      <c r="A214" s="81">
        <f>A213+1</f>
        <v>205</v>
      </c>
      <c r="B214" s="81"/>
      <c r="C214" s="29"/>
      <c r="D214" s="29"/>
      <c r="E214" s="29">
        <v>0</v>
      </c>
      <c r="F214" s="29">
        <f>D214*(($F$164)+1)+(IF(E214&lt;101,E214,IF(E214&lt;201,E214/2,IF(E214&lt;=301,E214/3,E214/4))))</f>
        <v>0</v>
      </c>
      <c r="G214" s="81" t="str">
        <f>G213</f>
        <v>2nd Floor</v>
      </c>
      <c r="H214" s="81"/>
      <c r="I214" s="23"/>
      <c r="N214" s="23"/>
    </row>
    <row r="215" spans="1:14" s="24" customFormat="1" ht="15.75" hidden="1" customHeight="1" x14ac:dyDescent="0.3">
      <c r="A215" s="82" t="s">
        <v>154</v>
      </c>
      <c r="B215" s="83"/>
      <c r="C215" s="83"/>
      <c r="D215" s="83"/>
      <c r="E215" s="83"/>
      <c r="F215" s="83"/>
      <c r="G215" s="83"/>
      <c r="H215" s="84"/>
      <c r="I215" s="23"/>
    </row>
    <row r="216" spans="1:14" s="24" customFormat="1" ht="15.75" hidden="1" customHeight="1" x14ac:dyDescent="0.3">
      <c r="A216" s="72" t="str">
        <f ca="1">(SUMPRODUCT(MID(0&amp;(LEFT(A215,SUM(LEN(A215)-LEN(SUBSTITUTE(A215,{"0","1","2"},""))))), LARGE(INDEX(ISNUMBER(--MID((LEFT(A215,SUM(LEN(A215)-LEN(SUBSTITUTE(A215,{"0","1","2"},""))))), ROW(INDIRECT("1:"&amp;LEN((LEFT(A215,SUM(LEN(A215)-LEN(SUBSTITUTE(A215,{"0","1","2"},"")))))))), 1)) * ROW(INDIRECT("1:"&amp;LEN((LEFT(A215,SUM(LEN(A215)-LEN(SUBSTITUTE(A215,{"0","1","2"},"")))))))), 0), ROW(INDIRECT("1:"&amp;LEN((LEFT(A215,SUM(LEN(A215)-LEN(SUBSTITUTE(A215,{"0","1","2"},"")))))))))+1, 1) * 10^ROW(INDIRECT("1:"&amp;LEN((LEFT(A215,SUM(LEN(A215)-LEN(SUBSTITUTE(A215,{"0","1","2"},""))))))))/10))*100+1&amp;""&amp;" ,.., "&amp;""&amp;(SUMPRODUCT(MID(0&amp;(--TRIM(RIGHT(SUBSTITUTE(LEFT(A215,_xlfn.AGGREGATE(16,6,FIND({0,1,2,3,4,5,6,7,8,9},A215,ROW(INDIRECT("1:"&amp;LEN(A215)))),1))," ",REPT(" ",LEN(A215))),LEN(A215)))), LARGE(INDEX(ISNUMBER(--MID((--TRIM(RIGHT(SUBSTITUTE(LEFT(A215,_xlfn.AGGREGATE(16,6,FIND({0,1,2,3,4,5,6,7,8,9},A215,ROW(INDIRECT("1:"&amp;LEN(A215)))),1))," ",REPT(" ",LEN(A215))),LEN(A215)))), ROW(INDIRECT("1:"&amp;LEN((--TRIM(RIGHT(SUBSTITUTE(LEFT(A215,_xlfn.AGGREGATE(16,6,FIND({0,1,2,3,4,5,6,7,8,9},A215,ROW(INDIRECT("1:"&amp;LEN(A215)))),1))," ",REPT(" ",LEN(A215))),LEN(A215))))))), 1)) * ROW(INDIRECT("1:"&amp;LEN((--TRIM(RIGHT(SUBSTITUTE(LEFT(A215,_xlfn.AGGREGATE(16,6,FIND({0,1,2,3,4,5,6,7,8,9},A215,ROW(INDIRECT("1:"&amp;LEN(A215)))),1))," ",REPT(" ",LEN(A215))),LEN(A215))))))), 0), ROW(INDIRECT("1:"&amp;LEN((--TRIM(RIGHT(SUBSTITUTE(LEFT(A215,_xlfn.AGGREGATE(16,6,FIND({0,1,2,3,4,5,6,7,8,9},A215,ROW(INDIRECT("1:"&amp;LEN(A215)))),1))," ",REPT(" ",LEN(A215))),LEN(A215))))))))+1, 1) * 10^ROW(INDIRECT("1:"&amp;LEN((--TRIM(RIGHT(SUBSTITUTE(LEFT(A215,_xlfn.AGGREGATE(16,6,FIND({0,1,2,3,4,5,6,7,8,9},A215,ROW(INDIRECT("1:"&amp;LEN(A215)))),1))," ",REPT(" ",LEN(A215))),LEN(A215)))))))/10))*100+1</f>
        <v>301 ,.., 1501</v>
      </c>
      <c r="B216" s="73"/>
      <c r="C216" s="29"/>
      <c r="D216" s="29"/>
      <c r="E216" s="29">
        <v>0</v>
      </c>
      <c r="F216" s="29">
        <f>D216*(($F$164)+1)+(IF(E216&lt;101,E216,IF(E216&lt;201,E216/2,IF(E216&lt;=301,E216/3,E216/4))))</f>
        <v>0</v>
      </c>
      <c r="G216" s="72" t="str">
        <f>A215</f>
        <v>3rd, 5th, 7th, 9th, 11th, 13th, 15th Floor</v>
      </c>
      <c r="H216" s="73"/>
      <c r="I216" s="23"/>
    </row>
    <row r="217" spans="1:14" s="24" customFormat="1" ht="15.75" hidden="1" customHeight="1" x14ac:dyDescent="0.3">
      <c r="A217" s="72" t="str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10^ROW(INDIRECT("1:"&amp;LEN((LEFT(A216,SUM(LEN(A216)-LEN(SUBSTITUTE(A216,{"0","1","2"},""))))))))/10))*1+1&amp;""&amp;" ,.., "&amp;""&amp;(SUMPRODUCT(MID(0&amp;(--TRIM(RIGHT(SUBSTITUTE(LEFT(A216,_xlfn.AGGREGATE(16,6,FIND({0,1,2,3,4,5,6,7,8,9},A216,ROW(INDIRECT("1:"&amp;LEN(A216)))),1)),"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",LEN(A216))),LEN(A216)))))))/10))*1+1</f>
        <v>302 ,.., 1502</v>
      </c>
      <c r="B217" s="73"/>
      <c r="C217" s="29"/>
      <c r="D217" s="29"/>
      <c r="E217" s="29">
        <v>0</v>
      </c>
      <c r="F217" s="29">
        <f>D217*(($F$164)+1)+(IF(E217&lt;101,E217,IF(E217&lt;201,E217/2,IF(E217&lt;=301,E217/3,E217/4))))</f>
        <v>0</v>
      </c>
      <c r="G217" s="72" t="str">
        <f>G216</f>
        <v>3rd, 5th, 7th, 9th, 11th, 13th, 15th Floor</v>
      </c>
      <c r="H217" s="73"/>
      <c r="I217" s="23"/>
    </row>
    <row r="218" spans="1:14" s="24" customFormat="1" ht="15.75" hidden="1" customHeight="1" x14ac:dyDescent="0.3">
      <c r="A218" s="72" t="str">
        <f ca="1">(SUMPRODUCT(MID(0&amp;(LEFT(A217,SUM(LEN(A217)-LEN(SUBSTITUTE(A217,{"0","1","2"},""))))), LARGE(INDEX(ISNUMBER(--MID((LEFT(A217,SUM(LEN(A217)-LEN(SUBSTITUTE(A217,{"0","1","2"},""))))), ROW(INDIRECT("1:"&amp;LEN((LEFT(A217,SUM(LEN(A217)-LEN(SUBSTITUTE(A217,{"0","1","2"},"")))))))), 1)) * ROW(INDIRECT("1:"&amp;LEN((LEFT(A217,SUM(LEN(A217)-LEN(SUBSTITUTE(A217,{"0","1","2"},"")))))))), 0), ROW(INDIRECT("1:"&amp;LEN((LEFT(A217,SUM(LEN(A217)-LEN(SUBSTITUTE(A217,{"0","1","2"},"")))))))))+1, 1) * 10^ROW(INDIRECT("1:"&amp;LEN((LEFT(A217,SUM(LEN(A217)-LEN(SUBSTITUTE(A217,{"0","1","2"},""))))))))/10))*1+1&amp;""&amp;" ,.., "&amp;""&amp;(SUMPRODUCT(MID(0&amp;(--TRIM(RIGHT(SUBSTITUTE(LEFT(A217,_xlfn.AGGREGATE(16,6,FIND({0,1,2,3,4,5,6,7,8,9},A217,ROW(INDIRECT("1:"&amp;LEN(A217)))),1))," ",REPT(" ",LEN(A217))),LEN(A217)))), LARGE(INDEX(ISNUMBER(--MID((--TRIM(RIGHT(SUBSTITUTE(LEFT(A217,_xlfn.AGGREGATE(16,6,FIND({0,1,2,3,4,5,6,7,8,9},A217,ROW(INDIRECT("1:"&amp;LEN(A217)))),1))," ",REPT(" ",LEN(A217))),LEN(A217)))), ROW(INDIRECT("1:"&amp;LEN((--TRIM(RIGHT(SUBSTITUTE(LEFT(A217,_xlfn.AGGREGATE(16,6,FIND({0,1,2,3,4,5,6,7,8,9},A217,ROW(INDIRECT("1:"&amp;LEN(A217)))),1))," ",REPT(" ",LEN(A217))),LEN(A217))))))), 1)) * ROW(INDIRECT("1:"&amp;LEN((--TRIM(RIGHT(SUBSTITUTE(LEFT(A217,_xlfn.AGGREGATE(16,6,FIND({0,1,2,3,4,5,6,7,8,9},A217,ROW(INDIRECT("1:"&amp;LEN(A217)))),1))," ",REPT(" ",LEN(A217))),LEN(A217))))))), 0), ROW(INDIRECT("1:"&amp;LEN((--TRIM(RIGHT(SUBSTITUTE(LEFT(A217,_xlfn.AGGREGATE(16,6,FIND({0,1,2,3,4,5,6,7,8,9},A217,ROW(INDIRECT("1:"&amp;LEN(A217)))),1))," ",REPT(" ",LEN(A217))),LEN(A217))))))))+1, 1) * 10^ROW(INDIRECT("1:"&amp;LEN((--TRIM(RIGHT(SUBSTITUTE(LEFT(A217,_xlfn.AGGREGATE(16,6,FIND({0,1,2,3,4,5,6,7,8,9},A217,ROW(INDIRECT("1:"&amp;LEN(A217)))),1))," ",REPT(" ",LEN(A217))),LEN(A217)))))))/10))*1+1</f>
        <v>303 ,.., 1503</v>
      </c>
      <c r="B218" s="73"/>
      <c r="C218" s="29"/>
      <c r="D218" s="29"/>
      <c r="E218" s="29">
        <v>0</v>
      </c>
      <c r="F218" s="29">
        <f>D218*(($F$164)+1)+(IF(E218&lt;101,E218,IF(E218&lt;201,E218/2,IF(E218&lt;=301,E218/3,E218/4))))</f>
        <v>0</v>
      </c>
      <c r="G218" s="72" t="str">
        <f>G217</f>
        <v>3rd, 5th, 7th, 9th, 11th, 13th, 15th Floor</v>
      </c>
      <c r="H218" s="73"/>
      <c r="I218" s="23"/>
    </row>
    <row r="219" spans="1:14" s="24" customFormat="1" ht="15.75" hidden="1" customHeight="1" x14ac:dyDescent="0.3">
      <c r="A219" s="72" t="str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10^ROW(INDIRECT("1:"&amp;LEN((LEFT(A218,SUM(LEN(A218)-LEN(SUBSTITUTE(A218,{"0","1","2"},""))))))))/10))*1+1&amp;""&amp;" ,.., "&amp;""&amp;(SUMPRODUCT(MID(0&amp;(--TRIM(RIGHT(SUBSTITUTE(LEFT(A218,_xlfn.AGGREGATE(16,6,FIND({0,1,2,3,4,5,6,7,8,9},A218,ROW(INDIRECT("1:"&amp;LEN(A218)))),1)),"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",LEN(A218))),LEN(A218)))))))/10))*1+1</f>
        <v>304 ,.., 1504</v>
      </c>
      <c r="B219" s="73"/>
      <c r="C219" s="29"/>
      <c r="D219" s="29"/>
      <c r="E219" s="29">
        <v>0</v>
      </c>
      <c r="F219" s="29">
        <f>D219*(($F$164)+1)+(IF(E219&lt;101,E219,IF(E219&lt;201,E219/2,IF(E219&lt;=301,E219/3,E219/4))))</f>
        <v>0</v>
      </c>
      <c r="G219" s="72" t="str">
        <f>G218</f>
        <v>3rd, 5th, 7th, 9th, 11th, 13th, 15th Floor</v>
      </c>
      <c r="H219" s="73"/>
      <c r="I219" s="23"/>
    </row>
    <row r="220" spans="1:14" s="24" customFormat="1" ht="15.75" hidden="1" customHeight="1" x14ac:dyDescent="0.3">
      <c r="A220" s="72" t="str">
        <f ca="1">(SUMPRODUCT(MID(0&amp;(LEFT(A219,SUM(LEN(A219)-LEN(SUBSTITUTE(A219,{"0","1","2"},""))))), LARGE(INDEX(ISNUMBER(--MID((LEFT(A219,SUM(LEN(A219)-LEN(SUBSTITUTE(A219,{"0","1","2"},""))))), ROW(INDIRECT("1:"&amp;LEN((LEFT(A219,SUM(LEN(A219)-LEN(SUBSTITUTE(A219,{"0","1","2"},"")))))))), 1)) * ROW(INDIRECT("1:"&amp;LEN((LEFT(A219,SUM(LEN(A219)-LEN(SUBSTITUTE(A219,{"0","1","2"},"")))))))), 0), ROW(INDIRECT("1:"&amp;LEN((LEFT(A219,SUM(LEN(A219)-LEN(SUBSTITUTE(A219,{"0","1","2"},"")))))))))+1, 1) * 10^ROW(INDIRECT("1:"&amp;LEN((LEFT(A219,SUM(LEN(A219)-LEN(SUBSTITUTE(A219,{"0","1","2"},""))))))))/10))*1+1&amp;""&amp;" ,.., "&amp;""&amp;(SUMPRODUCT(MID(0&amp;(--TRIM(RIGHT(SUBSTITUTE(LEFT(A219,_xlfn.AGGREGATE(16,6,FIND({0,1,2,3,4,5,6,7,8,9},A219,ROW(INDIRECT("1:"&amp;LEN(A219)))),1))," ",REPT(" ",LEN(A219))),LEN(A219)))), LARGE(INDEX(ISNUMBER(--MID((--TRIM(RIGHT(SUBSTITUTE(LEFT(A219,_xlfn.AGGREGATE(16,6,FIND({0,1,2,3,4,5,6,7,8,9},A219,ROW(INDIRECT("1:"&amp;LEN(A219)))),1))," ",REPT(" ",LEN(A219))),LEN(A219)))), ROW(INDIRECT("1:"&amp;LEN((--TRIM(RIGHT(SUBSTITUTE(LEFT(A219,_xlfn.AGGREGATE(16,6,FIND({0,1,2,3,4,5,6,7,8,9},A219,ROW(INDIRECT("1:"&amp;LEN(A219)))),1))," ",REPT(" ",LEN(A219))),LEN(A219))))))), 1)) * ROW(INDIRECT("1:"&amp;LEN((--TRIM(RIGHT(SUBSTITUTE(LEFT(A219,_xlfn.AGGREGATE(16,6,FIND({0,1,2,3,4,5,6,7,8,9},A219,ROW(INDIRECT("1:"&amp;LEN(A219)))),1))," ",REPT(" ",LEN(A219))),LEN(A219))))))), 0), ROW(INDIRECT("1:"&amp;LEN((--TRIM(RIGHT(SUBSTITUTE(LEFT(A219,_xlfn.AGGREGATE(16,6,FIND({0,1,2,3,4,5,6,7,8,9},A219,ROW(INDIRECT("1:"&amp;LEN(A219)))),1))," ",REPT(" ",LEN(A219))),LEN(A219))))))))+1, 1) * 10^ROW(INDIRECT("1:"&amp;LEN((--TRIM(RIGHT(SUBSTITUTE(LEFT(A219,_xlfn.AGGREGATE(16,6,FIND({0,1,2,3,4,5,6,7,8,9},A219,ROW(INDIRECT("1:"&amp;LEN(A219)))),1))," ",REPT(" ",LEN(A219))),LEN(A219)))))))/10))*1+1</f>
        <v>305 ,.., 1505</v>
      </c>
      <c r="B220" s="73"/>
      <c r="C220" s="29"/>
      <c r="D220" s="29"/>
      <c r="E220" s="29">
        <v>0</v>
      </c>
      <c r="F220" s="29">
        <f>D220*(($F$164)+1)+(IF(E220&lt;101,E220,IF(E220&lt;201,E220/2,IF(E220&lt;=301,E220/3,E220/4))))</f>
        <v>0</v>
      </c>
      <c r="G220" s="72" t="str">
        <f>G219</f>
        <v>3rd, 5th, 7th, 9th, 11th, 13th, 15th Floor</v>
      </c>
      <c r="H220" s="73"/>
      <c r="I220" s="23"/>
    </row>
    <row r="221" spans="1:14" s="24" customFormat="1" ht="15.75" hidden="1" customHeight="1" x14ac:dyDescent="0.3">
      <c r="A221" s="82" t="s">
        <v>148</v>
      </c>
      <c r="B221" s="83"/>
      <c r="C221" s="83"/>
      <c r="D221" s="83"/>
      <c r="E221" s="83"/>
      <c r="F221" s="83"/>
      <c r="G221" s="83"/>
      <c r="H221" s="84"/>
      <c r="I221" s="23"/>
    </row>
    <row r="222" spans="1:14" s="24" customFormat="1" ht="15.75" hidden="1" customHeight="1" x14ac:dyDescent="0.3">
      <c r="A222" s="72" t="str">
        <f ca="1">(SUMPRODUCT(MID(0&amp;(LEFT(A221,SUM(LEN(A221)-LEN(SUBSTITUTE(A221,{"0","1","2"},""))))), LARGE(INDEX(ISNUMBER(--MID((LEFT(A221,SUM(LEN(A221)-LEN(SUBSTITUTE(A221,{"0","1","2"},""))))), ROW(INDIRECT("1:"&amp;LEN((LEFT(A221,SUM(LEN(A221)-LEN(SUBSTITUTE(A221,{"0","1","2"},"")))))))), 1)) * ROW(INDIRECT("1:"&amp;LEN((LEFT(A221,SUM(LEN(A221)-LEN(SUBSTITUTE(A221,{"0","1","2"},"")))))))), 0), ROW(INDIRECT("1:"&amp;LEN((LEFT(A221,SUM(LEN(A221)-LEN(SUBSTITUTE(A221,{"0","1","2"},"")))))))))+1, 1) * 10^ROW(INDIRECT("1:"&amp;LEN((LEFT(A221,SUM(LEN(A221)-LEN(SUBSTITUTE(A221,{"0","1","2"},""))))))))/10))*100+1&amp;""&amp;" to "&amp;""&amp;(SUMPRODUCT(MID(0&amp;(--TRIM(RIGHT(SUBSTITUTE(LEFT(A221,_xlfn.AGGREGATE(16,6,FIND({0,1,2,3,4,5,6,7,8,9},A221,ROW(INDIRECT("1:"&amp;LEN(A221)))),1))," ",REPT(" ",LEN(A221))),LEN(A221)))), LARGE(INDEX(ISNUMBER(--MID((--TRIM(RIGHT(SUBSTITUTE(LEFT(A221,_xlfn.AGGREGATE(16,6,FIND({0,1,2,3,4,5,6,7,8,9},A221,ROW(INDIRECT("1:"&amp;LEN(A221)))),1))," ",REPT(" ",LEN(A221))),LEN(A221)))), ROW(INDIRECT("1:"&amp;LEN((--TRIM(RIGHT(SUBSTITUTE(LEFT(A221,_xlfn.AGGREGATE(16,6,FIND({0,1,2,3,4,5,6,7,8,9},A221,ROW(INDIRECT("1:"&amp;LEN(A221)))),1))," ",REPT(" ",LEN(A221))),LEN(A221))))))), 1)) * ROW(INDIRECT("1:"&amp;LEN((--TRIM(RIGHT(SUBSTITUTE(LEFT(A221,_xlfn.AGGREGATE(16,6,FIND({0,1,2,3,4,5,6,7,8,9},A221,ROW(INDIRECT("1:"&amp;LEN(A221)))),1))," ",REPT(" ",LEN(A221))),LEN(A221))))))), 0), ROW(INDIRECT("1:"&amp;LEN((--TRIM(RIGHT(SUBSTITUTE(LEFT(A221,_xlfn.AGGREGATE(16,6,FIND({0,1,2,3,4,5,6,7,8,9},A221,ROW(INDIRECT("1:"&amp;LEN(A221)))),1))," ",REPT(" ",LEN(A221))),LEN(A221))))))))+1, 1) * 10^ROW(INDIRECT("1:"&amp;LEN((--TRIM(RIGHT(SUBSTITUTE(LEFT(A221,_xlfn.AGGREGATE(16,6,FIND({0,1,2,3,4,5,6,7,8,9},A221,ROW(INDIRECT("1:"&amp;LEN(A221)))),1))," ",REPT(" ",LEN(A221))),LEN(A221)))))))/10))*100+1</f>
        <v>201 to 501</v>
      </c>
      <c r="B222" s="73"/>
      <c r="C222" s="29"/>
      <c r="D222" s="29"/>
      <c r="E222" s="29">
        <v>0</v>
      </c>
      <c r="F222" s="29">
        <f>D222*(($F$164)+1)+(IF(E222&lt;101,E222,IF(E222&lt;201,E222/2,IF(E222&lt;=301,E222/3,E222/4))))</f>
        <v>0</v>
      </c>
      <c r="G222" s="72" t="str">
        <f>A221</f>
        <v>2nd to 5th Floor</v>
      </c>
      <c r="H222" s="73"/>
      <c r="I222" s="23"/>
    </row>
    <row r="223" spans="1:14" s="24" customFormat="1" ht="15.75" hidden="1" customHeight="1" x14ac:dyDescent="0.3">
      <c r="A223" s="72" t="str">
        <f ca="1">(SUMPRODUCT(MID(0&amp;(LEFT(A222,SUM(LEN(A222)-LEN(SUBSTITUTE(A222,{"0","1","2"},""))))), LARGE(INDEX(ISNUMBER(--MID((LEFT(A222,SUM(LEN(A222)-LEN(SUBSTITUTE(A222,{"0","1","2"},""))))), ROW(INDIRECT("1:"&amp;LEN((LEFT(A222,SUM(LEN(A222)-LEN(SUBSTITUTE(A222,{"0","1","2"},"")))))))), 1)) * ROW(INDIRECT("1:"&amp;LEN((LEFT(A222,SUM(LEN(A222)-LEN(SUBSTITUTE(A222,{"0","1","2"},"")))))))), 0), ROW(INDIRECT("1:"&amp;LEN((LEFT(A222,SUM(LEN(A222)-LEN(SUBSTITUTE(A222,{"0","1","2"},"")))))))))+1, 1) * 10^ROW(INDIRECT("1:"&amp;LEN((LEFT(A222,SUM(LEN(A222)-LEN(SUBSTITUTE(A222,{"0","1","2"},""))))))))/10))*1+1&amp;""&amp;" to "&amp;""&amp;(SUMPRODUCT(MID(0&amp;(--TRIM(RIGHT(SUBSTITUTE(LEFT(A222,_xlfn.AGGREGATE(16,6,FIND({0,1,2,3,4,5,6,7,8,9},A222,ROW(INDIRECT("1:"&amp;LEN(A222)))),1))," ",REPT(" ",LEN(A222))),LEN(A222)))), LARGE(INDEX(ISNUMBER(--MID((--TRIM(RIGHT(SUBSTITUTE(LEFT(A222,_xlfn.AGGREGATE(16,6,FIND({0,1,2,3,4,5,6,7,8,9},A222,ROW(INDIRECT("1:"&amp;LEN(A222)))),1))," ",REPT(" ",LEN(A222))),LEN(A222)))), ROW(INDIRECT("1:"&amp;LEN((--TRIM(RIGHT(SUBSTITUTE(LEFT(A222,_xlfn.AGGREGATE(16,6,FIND({0,1,2,3,4,5,6,7,8,9},A222,ROW(INDIRECT("1:"&amp;LEN(A222)))),1))," ",REPT(" ",LEN(A222))),LEN(A222))))))), 1)) * ROW(INDIRECT("1:"&amp;LEN((--TRIM(RIGHT(SUBSTITUTE(LEFT(A222,_xlfn.AGGREGATE(16,6,FIND({0,1,2,3,4,5,6,7,8,9},A222,ROW(INDIRECT("1:"&amp;LEN(A222)))),1))," ",REPT(" ",LEN(A222))),LEN(A222))))))), 0), ROW(INDIRECT("1:"&amp;LEN((--TRIM(RIGHT(SUBSTITUTE(LEFT(A222,_xlfn.AGGREGATE(16,6,FIND({0,1,2,3,4,5,6,7,8,9},A222,ROW(INDIRECT("1:"&amp;LEN(A222)))),1))," ",REPT(" ",LEN(A222))),LEN(A222))))))))+1, 1) * 10^ROW(INDIRECT("1:"&amp;LEN((--TRIM(RIGHT(SUBSTITUTE(LEFT(A222,_xlfn.AGGREGATE(16,6,FIND({0,1,2,3,4,5,6,7,8,9},A222,ROW(INDIRECT("1:"&amp;LEN(A222)))),1))," ",REPT(" ",LEN(A222))),LEN(A222)))))))/10))*1+1</f>
        <v>202 to 502</v>
      </c>
      <c r="B223" s="73"/>
      <c r="C223" s="29"/>
      <c r="D223" s="29"/>
      <c r="E223" s="29">
        <v>0</v>
      </c>
      <c r="F223" s="29">
        <f>D223*(($F$164)+1)+(IF(E223&lt;101,E223,IF(E223&lt;201,E223/2,IF(E223&lt;=301,E223/3,E223/4))))</f>
        <v>0</v>
      </c>
      <c r="G223" s="72" t="str">
        <f>G222</f>
        <v>2nd to 5th Floor</v>
      </c>
      <c r="H223" s="73"/>
      <c r="I223" s="23"/>
    </row>
    <row r="224" spans="1:14" s="24" customFormat="1" ht="15.75" hidden="1" customHeight="1" x14ac:dyDescent="0.3">
      <c r="A224" s="72" t="str">
        <f ca="1">(SUMPRODUCT(MID(0&amp;(LEFT(A223,SUM(LEN(A223)-LEN(SUBSTITUTE(A223,{"0","1","2"},""))))), LARGE(INDEX(ISNUMBER(--MID((LEFT(A223,SUM(LEN(A223)-LEN(SUBSTITUTE(A223,{"0","1","2"},""))))), ROW(INDIRECT("1:"&amp;LEN((LEFT(A223,SUM(LEN(A223)-LEN(SUBSTITUTE(A223,{"0","1","2"},"")))))))), 1)) * ROW(INDIRECT("1:"&amp;LEN((LEFT(A223,SUM(LEN(A223)-LEN(SUBSTITUTE(A223,{"0","1","2"},"")))))))), 0), ROW(INDIRECT("1:"&amp;LEN((LEFT(A223,SUM(LEN(A223)-LEN(SUBSTITUTE(A223,{"0","1","2"},"")))))))))+1, 1) * 10^ROW(INDIRECT("1:"&amp;LEN((LEFT(A223,SUM(LEN(A223)-LEN(SUBSTITUTE(A223,{"0","1","2"},""))))))))/10))*1+1&amp;""&amp;" to "&amp;""&amp;(SUMPRODUCT(MID(0&amp;(--TRIM(RIGHT(SUBSTITUTE(LEFT(A223,_xlfn.AGGREGATE(16,6,FIND({0,1,2,3,4,5,6,7,8,9},A223,ROW(INDIRECT("1:"&amp;LEN(A223)))),1))," ",REPT(" ",LEN(A223))),LEN(A223)))), LARGE(INDEX(ISNUMBER(--MID((--TRIM(RIGHT(SUBSTITUTE(LEFT(A223,_xlfn.AGGREGATE(16,6,FIND({0,1,2,3,4,5,6,7,8,9},A223,ROW(INDIRECT("1:"&amp;LEN(A223)))),1))," ",REPT(" ",LEN(A223))),LEN(A223)))), ROW(INDIRECT("1:"&amp;LEN((--TRIM(RIGHT(SUBSTITUTE(LEFT(A223,_xlfn.AGGREGATE(16,6,FIND({0,1,2,3,4,5,6,7,8,9},A223,ROW(INDIRECT("1:"&amp;LEN(A223)))),1))," ",REPT(" ",LEN(A223))),LEN(A223))))))), 1)) * ROW(INDIRECT("1:"&amp;LEN((--TRIM(RIGHT(SUBSTITUTE(LEFT(A223,_xlfn.AGGREGATE(16,6,FIND({0,1,2,3,4,5,6,7,8,9},A223,ROW(INDIRECT("1:"&amp;LEN(A223)))),1))," ",REPT(" ",LEN(A223))),LEN(A223))))))), 0), ROW(INDIRECT("1:"&amp;LEN((--TRIM(RIGHT(SUBSTITUTE(LEFT(A223,_xlfn.AGGREGATE(16,6,FIND({0,1,2,3,4,5,6,7,8,9},A223,ROW(INDIRECT("1:"&amp;LEN(A223)))),1))," ",REPT(" ",LEN(A223))),LEN(A223))))))))+1, 1) * 10^ROW(INDIRECT("1:"&amp;LEN((--TRIM(RIGHT(SUBSTITUTE(LEFT(A223,_xlfn.AGGREGATE(16,6,FIND({0,1,2,3,4,5,6,7,8,9},A223,ROW(INDIRECT("1:"&amp;LEN(A223)))),1))," ",REPT(" ",LEN(A223))),LEN(A223)))))))/10))*1+1</f>
        <v>203 to 503</v>
      </c>
      <c r="B224" s="73"/>
      <c r="C224" s="29"/>
      <c r="D224" s="29"/>
      <c r="E224" s="29">
        <v>0</v>
      </c>
      <c r="F224" s="29">
        <f>D224*(($F$164)+1)+(IF(E224&lt;101,E224,IF(E224&lt;201,E224/2,IF(E224&lt;=301,E224/3,E224/4))))</f>
        <v>0</v>
      </c>
      <c r="G224" s="72" t="str">
        <f>G223</f>
        <v>2nd to 5th Floor</v>
      </c>
      <c r="H224" s="73"/>
      <c r="I224" s="23"/>
    </row>
    <row r="225" spans="1:10" s="24" customFormat="1" ht="15.75" hidden="1" customHeight="1" x14ac:dyDescent="0.3">
      <c r="A225" s="72" t="str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10^ROW(INDIRECT("1:"&amp;LEN((LEFT(A224,SUM(LEN(A224)-LEN(SUBSTITUTE(A224,{"0","1","2"},""))))))))/10))*1+1&amp;""&amp;" to "&amp;""&amp;(SUMPRODUCT(MID(0&amp;(--TRIM(RIGHT(SUBSTITUTE(LEFT(A224,_xlfn.AGGREGATE(16,6,FIND({0,1,2,3,4,5,6,7,8,9},A224,ROW(INDIRECT("1:"&amp;LEN(A224)))),1)),"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",LEN(A224))),LEN(A224)))))))/10))*1+1</f>
        <v>204 to 504</v>
      </c>
      <c r="B225" s="73"/>
      <c r="C225" s="29"/>
      <c r="D225" s="29"/>
      <c r="E225" s="29">
        <v>0</v>
      </c>
      <c r="F225" s="29">
        <f>D225*(($F$164)+1)+(IF(E225&lt;101,E225,IF(E225&lt;201,E225/2,IF(E225&lt;=301,E225/3,E225/4))))</f>
        <v>0</v>
      </c>
      <c r="G225" s="72" t="str">
        <f>G224</f>
        <v>2nd to 5th Floor</v>
      </c>
      <c r="H225" s="73"/>
      <c r="I225" s="23"/>
    </row>
    <row r="226" spans="1:10" s="24" customFormat="1" ht="15.75" hidden="1" customHeight="1" x14ac:dyDescent="0.3">
      <c r="A226" s="72" t="str">
        <f ca="1">(SUMPRODUCT(MID(0&amp;(LEFT(A225,SUM(LEN(A225)-LEN(SUBSTITUTE(A225,{"0","1","2"},""))))), LARGE(INDEX(ISNUMBER(--MID((LEFT(A225,SUM(LEN(A225)-LEN(SUBSTITUTE(A225,{"0","1","2"},""))))), ROW(INDIRECT("1:"&amp;LEN((LEFT(A225,SUM(LEN(A225)-LEN(SUBSTITUTE(A225,{"0","1","2"},"")))))))), 1)) * ROW(INDIRECT("1:"&amp;LEN((LEFT(A225,SUM(LEN(A225)-LEN(SUBSTITUTE(A225,{"0","1","2"},"")))))))), 0), ROW(INDIRECT("1:"&amp;LEN((LEFT(A225,SUM(LEN(A225)-LEN(SUBSTITUTE(A225,{"0","1","2"},"")))))))))+1, 1) * 10^ROW(INDIRECT("1:"&amp;LEN((LEFT(A225,SUM(LEN(A225)-LEN(SUBSTITUTE(A225,{"0","1","2"},""))))))))/10))*1+1&amp;""&amp;" to "&amp;""&amp;(SUMPRODUCT(MID(0&amp;(--TRIM(RIGHT(SUBSTITUTE(LEFT(A225,_xlfn.AGGREGATE(16,6,FIND({0,1,2,3,4,5,6,7,8,9},A225,ROW(INDIRECT("1:"&amp;LEN(A225)))),1))," ",REPT(" ",LEN(A225))),LEN(A225)))), LARGE(INDEX(ISNUMBER(--MID((--TRIM(RIGHT(SUBSTITUTE(LEFT(A225,_xlfn.AGGREGATE(16,6,FIND({0,1,2,3,4,5,6,7,8,9},A225,ROW(INDIRECT("1:"&amp;LEN(A225)))),1))," ",REPT(" ",LEN(A225))),LEN(A225)))), ROW(INDIRECT("1:"&amp;LEN((--TRIM(RIGHT(SUBSTITUTE(LEFT(A225,_xlfn.AGGREGATE(16,6,FIND({0,1,2,3,4,5,6,7,8,9},A225,ROW(INDIRECT("1:"&amp;LEN(A225)))),1))," ",REPT(" ",LEN(A225))),LEN(A225))))))), 1)) * ROW(INDIRECT("1:"&amp;LEN((--TRIM(RIGHT(SUBSTITUTE(LEFT(A225,_xlfn.AGGREGATE(16,6,FIND({0,1,2,3,4,5,6,7,8,9},A225,ROW(INDIRECT("1:"&amp;LEN(A225)))),1))," ",REPT(" ",LEN(A225))),LEN(A225))))))), 0), ROW(INDIRECT("1:"&amp;LEN((--TRIM(RIGHT(SUBSTITUTE(LEFT(A225,_xlfn.AGGREGATE(16,6,FIND({0,1,2,3,4,5,6,7,8,9},A225,ROW(INDIRECT("1:"&amp;LEN(A225)))),1))," ",REPT(" ",LEN(A225))),LEN(A225))))))))+1, 1) * 10^ROW(INDIRECT("1:"&amp;LEN((--TRIM(RIGHT(SUBSTITUTE(LEFT(A225,_xlfn.AGGREGATE(16,6,FIND({0,1,2,3,4,5,6,7,8,9},A225,ROW(INDIRECT("1:"&amp;LEN(A225)))),1))," ",REPT(" ",LEN(A225))),LEN(A225)))))))/10))*1+1</f>
        <v>205 to 505</v>
      </c>
      <c r="B226" s="73"/>
      <c r="C226" s="29"/>
      <c r="D226" s="29"/>
      <c r="E226" s="29">
        <v>0</v>
      </c>
      <c r="F226" s="29">
        <f>D226*(($F$164)+1)+(IF(E226&lt;101,E226,IF(E226&lt;201,E226/2,IF(E226&lt;=301,E226/3,E226/4))))</f>
        <v>0</v>
      </c>
      <c r="G226" s="72" t="str">
        <f>G225</f>
        <v>2nd to 5th Floor</v>
      </c>
      <c r="H226" s="73"/>
      <c r="I226" s="23"/>
    </row>
    <row r="227" spans="1:10" s="24" customFormat="1" ht="15.75" hidden="1" customHeight="1" x14ac:dyDescent="0.3">
      <c r="A227" s="82" t="s">
        <v>149</v>
      </c>
      <c r="B227" s="83"/>
      <c r="C227" s="83"/>
      <c r="D227" s="83"/>
      <c r="E227" s="83"/>
      <c r="F227" s="83"/>
      <c r="G227" s="83"/>
      <c r="H227" s="84"/>
      <c r="I227" s="23"/>
    </row>
    <row r="228" spans="1:10" s="24" customFormat="1" ht="15.75" hidden="1" customHeight="1" x14ac:dyDescent="0.3">
      <c r="A228" s="72" t="str">
        <f ca="1">(SUMPRODUCT(MID(0&amp;(LEFT(A227,SUM(LEN(A227)-LEN(SUBSTITUTE(A227,{"0","1","2"},""))))), LARGE(INDEX(ISNUMBER(--MID((LEFT(A227,SUM(LEN(A227)-LEN(SUBSTITUTE(A227,{"0","1","2"},""))))), ROW(INDIRECT("1:"&amp;LEN((LEFT(A227,SUM(LEN(A227)-LEN(SUBSTITUTE(A227,{"0","1","2"},"")))))))), 1)) * ROW(INDIRECT("1:"&amp;LEN((LEFT(A227,SUM(LEN(A227)-LEN(SUBSTITUTE(A227,{"0","1","2"},"")))))))), 0), ROW(INDIRECT("1:"&amp;LEN((LEFT(A227,SUM(LEN(A227)-LEN(SUBSTITUTE(A227,{"0","1","2"},"")))))))))+1, 1) * 10^ROW(INDIRECT("1:"&amp;LEN((LEFT(A227,SUM(LEN(A227)-LEN(SUBSTITUTE(A227,{"0","1","2"},""))))))))/10))*100+1&amp;""&amp;" &amp; "&amp;""&amp;(SUMPRODUCT(MID(0&amp;(--TRIM(RIGHT(SUBSTITUTE(LEFT(A227,_xlfn.AGGREGATE(16,6,FIND({0,1,2,3,4,5,6,7,8,9},A227,ROW(INDIRECT("1:"&amp;LEN(A227)))),1))," ",REPT(" ",LEN(A227))),LEN(A227)))), LARGE(INDEX(ISNUMBER(--MID((--TRIM(RIGHT(SUBSTITUTE(LEFT(A227,_xlfn.AGGREGATE(16,6,FIND({0,1,2,3,4,5,6,7,8,9},A227,ROW(INDIRECT("1:"&amp;LEN(A227)))),1))," ",REPT(" ",LEN(A227))),LEN(A227)))), ROW(INDIRECT("1:"&amp;LEN((--TRIM(RIGHT(SUBSTITUTE(LEFT(A227,_xlfn.AGGREGATE(16,6,FIND({0,1,2,3,4,5,6,7,8,9},A227,ROW(INDIRECT("1:"&amp;LEN(A227)))),1))," ",REPT(" ",LEN(A227))),LEN(A227))))))), 1)) * ROW(INDIRECT("1:"&amp;LEN((--TRIM(RIGHT(SUBSTITUTE(LEFT(A227,_xlfn.AGGREGATE(16,6,FIND({0,1,2,3,4,5,6,7,8,9},A227,ROW(INDIRECT("1:"&amp;LEN(A227)))),1))," ",REPT(" ",LEN(A227))),LEN(A227))))))), 0), ROW(INDIRECT("1:"&amp;LEN((--TRIM(RIGHT(SUBSTITUTE(LEFT(A227,_xlfn.AGGREGATE(16,6,FIND({0,1,2,3,4,5,6,7,8,9},A227,ROW(INDIRECT("1:"&amp;LEN(A227)))),1))," ",REPT(" ",LEN(A227))),LEN(A227))))))))+1, 1) * 10^ROW(INDIRECT("1:"&amp;LEN((--TRIM(RIGHT(SUBSTITUTE(LEFT(A227,_xlfn.AGGREGATE(16,6,FIND({0,1,2,3,4,5,6,7,8,9},A227,ROW(INDIRECT("1:"&amp;LEN(A227)))),1))," ",REPT(" ",LEN(A227))),LEN(A227)))))))/10))*100+1</f>
        <v>201 &amp; 501</v>
      </c>
      <c r="B228" s="73"/>
      <c r="C228" s="29"/>
      <c r="D228" s="29"/>
      <c r="E228" s="29">
        <v>0</v>
      </c>
      <c r="F228" s="29">
        <f>D228*(($F$164)+1)+(IF(E228&lt;101,E228,IF(E228&lt;201,E228/2,IF(E228&lt;=301,E228/3,E228/4))))</f>
        <v>0</v>
      </c>
      <c r="G228" s="72" t="str">
        <f>A227</f>
        <v>2nd &amp; 5th Floor</v>
      </c>
      <c r="H228" s="73"/>
      <c r="I228" s="23"/>
    </row>
    <row r="229" spans="1:10" s="24" customFormat="1" ht="15.75" hidden="1" customHeight="1" x14ac:dyDescent="0.3">
      <c r="A229" s="72" t="str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10^ROW(INDIRECT("1:"&amp;LEN((LEFT(A228,SUM(LEN(A228)-LEN(SUBSTITUTE(A228,{"0","1","2"},""))))))))/10))*1+1&amp;""&amp;" &amp; "&amp;""&amp;(SUMPRODUCT(MID(0&amp;(--TRIM(RIGHT(SUBSTITUTE(LEFT(A228,_xlfn.AGGREGATE(16,6,FIND({0,1,2,3,4,5,6,7,8,9},A228,ROW(INDIRECT("1:"&amp;LEN(A228)))),1)),"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",LEN(A228))),LEN(A228)))))))/10))*1+1</f>
        <v>202 &amp; 502</v>
      </c>
      <c r="B229" s="73"/>
      <c r="C229" s="29"/>
      <c r="D229" s="29"/>
      <c r="E229" s="29">
        <v>0</v>
      </c>
      <c r="F229" s="29">
        <f>D229*(($F$164)+1)+(IF(E229&lt;101,E229,IF(E229&lt;201,E229/2,IF(E229&lt;=301,E229/3,E229/4))))</f>
        <v>0</v>
      </c>
      <c r="G229" s="72" t="str">
        <f t="shared" ref="G229:G232" si="30">G228</f>
        <v>2nd &amp; 5th Floor</v>
      </c>
      <c r="H229" s="73"/>
      <c r="I229" s="23"/>
    </row>
    <row r="230" spans="1:10" s="24" customFormat="1" ht="15.75" hidden="1" customHeight="1" x14ac:dyDescent="0.3">
      <c r="A230" s="72" t="str">
        <f ca="1">(SUMPRODUCT(MID(0&amp;(LEFT(A229,SUM(LEN(A229)-LEN(SUBSTITUTE(A229,{"0","1","2"},""))))), LARGE(INDEX(ISNUMBER(--MID((LEFT(A229,SUM(LEN(A229)-LEN(SUBSTITUTE(A229,{"0","1","2"},""))))), ROW(INDIRECT("1:"&amp;LEN((LEFT(A229,SUM(LEN(A229)-LEN(SUBSTITUTE(A229,{"0","1","2"},"")))))))), 1)) * ROW(INDIRECT("1:"&amp;LEN((LEFT(A229,SUM(LEN(A229)-LEN(SUBSTITUTE(A229,{"0","1","2"},"")))))))), 0), ROW(INDIRECT("1:"&amp;LEN((LEFT(A229,SUM(LEN(A229)-LEN(SUBSTITUTE(A229,{"0","1","2"},"")))))))))+1, 1) * 10^ROW(INDIRECT("1:"&amp;LEN((LEFT(A229,SUM(LEN(A229)-LEN(SUBSTITUTE(A229,{"0","1","2"},""))))))))/10))*1+1&amp;""&amp;" &amp; "&amp;""&amp;(SUMPRODUCT(MID(0&amp;(--TRIM(RIGHT(SUBSTITUTE(LEFT(A229,_xlfn.AGGREGATE(16,6,FIND({0,1,2,3,4,5,6,7,8,9},A229,ROW(INDIRECT("1:"&amp;LEN(A229)))),1))," ",REPT(" ",LEN(A229))),LEN(A229)))), LARGE(INDEX(ISNUMBER(--MID((--TRIM(RIGHT(SUBSTITUTE(LEFT(A229,_xlfn.AGGREGATE(16,6,FIND({0,1,2,3,4,5,6,7,8,9},A229,ROW(INDIRECT("1:"&amp;LEN(A229)))),1))," ",REPT(" ",LEN(A229))),LEN(A229)))), ROW(INDIRECT("1:"&amp;LEN((--TRIM(RIGHT(SUBSTITUTE(LEFT(A229,_xlfn.AGGREGATE(16,6,FIND({0,1,2,3,4,5,6,7,8,9},A229,ROW(INDIRECT("1:"&amp;LEN(A229)))),1))," ",REPT(" ",LEN(A229))),LEN(A229))))))), 1)) * ROW(INDIRECT("1:"&amp;LEN((--TRIM(RIGHT(SUBSTITUTE(LEFT(A229,_xlfn.AGGREGATE(16,6,FIND({0,1,2,3,4,5,6,7,8,9},A229,ROW(INDIRECT("1:"&amp;LEN(A229)))),1))," ",REPT(" ",LEN(A229))),LEN(A229))))))), 0), ROW(INDIRECT("1:"&amp;LEN((--TRIM(RIGHT(SUBSTITUTE(LEFT(A229,_xlfn.AGGREGATE(16,6,FIND({0,1,2,3,4,5,6,7,8,9},A229,ROW(INDIRECT("1:"&amp;LEN(A229)))),1))," ",REPT(" ",LEN(A229))),LEN(A229))))))))+1, 1) * 10^ROW(INDIRECT("1:"&amp;LEN((--TRIM(RIGHT(SUBSTITUTE(LEFT(A229,_xlfn.AGGREGATE(16,6,FIND({0,1,2,3,4,5,6,7,8,9},A229,ROW(INDIRECT("1:"&amp;LEN(A229)))),1))," ",REPT(" ",LEN(A229))),LEN(A229)))))))/10))*1+1</f>
        <v>203 &amp; 503</v>
      </c>
      <c r="B230" s="73"/>
      <c r="C230" s="29"/>
      <c r="D230" s="29"/>
      <c r="E230" s="29">
        <v>0</v>
      </c>
      <c r="F230" s="29">
        <f>D230*(($F$164)+1)+(IF(E230&lt;101,E230,IF(E230&lt;201,E230/2,IF(E230&lt;=301,E230/3,E230/4))))</f>
        <v>0</v>
      </c>
      <c r="G230" s="72" t="str">
        <f t="shared" si="30"/>
        <v>2nd &amp; 5th Floor</v>
      </c>
      <c r="H230" s="73"/>
      <c r="I230" s="23"/>
    </row>
    <row r="231" spans="1:10" s="24" customFormat="1" ht="15.75" hidden="1" customHeight="1" x14ac:dyDescent="0.3">
      <c r="A231" s="72" t="str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10^ROW(INDIRECT("1:"&amp;LEN((LEFT(A230,SUM(LEN(A230)-LEN(SUBSTITUTE(A230,{"0","1","2"},""))))))))/10))*1+1&amp;""&amp;" &amp; "&amp;""&amp;(SUMPRODUCT(MID(0&amp;(--TRIM(RIGHT(SUBSTITUTE(LEFT(A230,_xlfn.AGGREGATE(16,6,FIND({0,1,2,3,4,5,6,7,8,9},A230,ROW(INDIRECT("1:"&amp;LEN(A230)))),1)),"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",LEN(A230))),LEN(A230)))))))/10))*1+1</f>
        <v>204 &amp; 504</v>
      </c>
      <c r="B231" s="73"/>
      <c r="C231" s="29"/>
      <c r="D231" s="29"/>
      <c r="E231" s="29">
        <v>0</v>
      </c>
      <c r="F231" s="29">
        <f>D231*(($F$164)+1)+(IF(E231&lt;101,E231,IF(E231&lt;201,E231/2,IF(E231&lt;=301,E231/3,E231/4))))</f>
        <v>0</v>
      </c>
      <c r="G231" s="72" t="str">
        <f t="shared" si="30"/>
        <v>2nd &amp; 5th Floor</v>
      </c>
      <c r="H231" s="73"/>
      <c r="I231" s="23"/>
    </row>
    <row r="232" spans="1:10" s="24" customFormat="1" ht="15.75" hidden="1" customHeight="1" x14ac:dyDescent="0.3">
      <c r="A232" s="72" t="str">
        <f ca="1">(SUMPRODUCT(MID(0&amp;(LEFT(A231,SUM(LEN(A231)-LEN(SUBSTITUTE(A231,{"0","1","2"},""))))), LARGE(INDEX(ISNUMBER(--MID((LEFT(A231,SUM(LEN(A231)-LEN(SUBSTITUTE(A231,{"0","1","2"},""))))), ROW(INDIRECT("1:"&amp;LEN((LEFT(A231,SUM(LEN(A231)-LEN(SUBSTITUTE(A231,{"0","1","2"},"")))))))), 1)) * ROW(INDIRECT("1:"&amp;LEN((LEFT(A231,SUM(LEN(A231)-LEN(SUBSTITUTE(A231,{"0","1","2"},"")))))))), 0), ROW(INDIRECT("1:"&amp;LEN((LEFT(A231,SUM(LEN(A231)-LEN(SUBSTITUTE(A231,{"0","1","2"},"")))))))))+1, 1) * 10^ROW(INDIRECT("1:"&amp;LEN((LEFT(A231,SUM(LEN(A231)-LEN(SUBSTITUTE(A231,{"0","1","2"},""))))))))/10))*1+1&amp;""&amp;" &amp; "&amp;""&amp;(SUMPRODUCT(MID(0&amp;(--TRIM(RIGHT(SUBSTITUTE(LEFT(A231,_xlfn.AGGREGATE(16,6,FIND({0,1,2,3,4,5,6,7,8,9},A231,ROW(INDIRECT("1:"&amp;LEN(A231)))),1)),"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",LEN(A231))),LEN(A231)))))))/10))*1+1</f>
        <v>205 &amp; 505</v>
      </c>
      <c r="B232" s="73"/>
      <c r="C232" s="29"/>
      <c r="D232" s="29"/>
      <c r="E232" s="29">
        <v>0</v>
      </c>
      <c r="F232" s="29">
        <f>D232*(($F$164)+1)+(IF(E232&lt;101,E232,IF(E232&lt;201,E232/2,IF(E232&lt;=301,E232/3,E232/4))))</f>
        <v>0</v>
      </c>
      <c r="G232" s="72" t="str">
        <f t="shared" si="30"/>
        <v>2nd &amp; 5th Floor</v>
      </c>
      <c r="H232" s="73"/>
      <c r="I232" s="23"/>
      <c r="J232" s="22"/>
    </row>
    <row r="233" spans="1:10" s="22" customFormat="1" x14ac:dyDescent="0.3">
      <c r="A233" s="172" t="s">
        <v>68</v>
      </c>
      <c r="B233" s="172"/>
      <c r="C233" s="172"/>
      <c r="D233" s="172"/>
      <c r="E233" s="172"/>
      <c r="F233" s="172"/>
      <c r="G233" s="172"/>
      <c r="H233" s="172"/>
    </row>
    <row r="234" spans="1:10" s="22" customFormat="1" x14ac:dyDescent="0.3">
      <c r="A234" s="39" t="s">
        <v>158</v>
      </c>
      <c r="B234" s="97" t="s">
        <v>296</v>
      </c>
      <c r="C234" s="98"/>
      <c r="D234" s="98"/>
      <c r="E234" s="98"/>
      <c r="F234" s="98"/>
      <c r="G234" s="98"/>
      <c r="H234" s="99"/>
    </row>
    <row r="235" spans="1:10" s="22" customFormat="1" x14ac:dyDescent="0.3">
      <c r="A235" s="39" t="s">
        <v>158</v>
      </c>
      <c r="B235" s="97" t="str">
        <f>(IF(F163="Saleable area Loading :","We have considered Saleable area of Flats as per our Calculation.","We considered Saleable area of Flat as per Builder area Sheet."))</f>
        <v>We have considered Saleable area of Flats as per our Calculation.</v>
      </c>
      <c r="C235" s="98"/>
      <c r="D235" s="98"/>
      <c r="E235" s="98"/>
      <c r="F235" s="98"/>
      <c r="G235" s="98"/>
      <c r="H235" s="99"/>
    </row>
    <row r="236" spans="1:10" s="22" customFormat="1" x14ac:dyDescent="0.3">
      <c r="A236" s="39" t="s">
        <v>158</v>
      </c>
      <c r="B236" s="97" t="str">
        <f>(IF(F106="Saleable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36" s="98"/>
      <c r="D236" s="98"/>
      <c r="E236" s="98"/>
      <c r="F236" s="98"/>
      <c r="G236" s="98"/>
      <c r="H236" s="99"/>
    </row>
    <row r="237" spans="1:10" s="22" customFormat="1" x14ac:dyDescent="0.3">
      <c r="A237" s="39" t="s">
        <v>158</v>
      </c>
      <c r="B237" s="97" t="s">
        <v>125</v>
      </c>
      <c r="C237" s="98"/>
      <c r="D237" s="98"/>
      <c r="E237" s="98"/>
      <c r="F237" s="98"/>
      <c r="G237" s="98"/>
      <c r="H237" s="99"/>
    </row>
    <row r="238" spans="1:10" s="22" customFormat="1" x14ac:dyDescent="0.3">
      <c r="A238" s="39" t="s">
        <v>158</v>
      </c>
      <c r="B238" s="97" t="s">
        <v>268</v>
      </c>
      <c r="C238" s="98"/>
      <c r="D238" s="98"/>
      <c r="E238" s="98"/>
      <c r="F238" s="98"/>
      <c r="G238" s="98"/>
      <c r="H238" s="99"/>
    </row>
    <row r="239" spans="1:10" s="22" customFormat="1" x14ac:dyDescent="0.3">
      <c r="A239" s="39" t="s">
        <v>158</v>
      </c>
      <c r="B239" s="97" t="s">
        <v>157</v>
      </c>
      <c r="C239" s="98"/>
      <c r="D239" s="98"/>
      <c r="E239" s="98"/>
      <c r="F239" s="98"/>
      <c r="G239" s="98"/>
      <c r="H239" s="99"/>
    </row>
    <row r="240" spans="1:10" s="22" customFormat="1" x14ac:dyDescent="0.3">
      <c r="A240" s="32" t="s">
        <v>158</v>
      </c>
      <c r="B240" s="100" t="s">
        <v>126</v>
      </c>
      <c r="C240" s="101"/>
      <c r="D240" s="101"/>
      <c r="E240" s="101"/>
      <c r="F240" s="101"/>
      <c r="G240" s="101"/>
      <c r="H240" s="102"/>
    </row>
    <row r="241" spans="1:10" s="22" customFormat="1" ht="34.5" customHeight="1" x14ac:dyDescent="0.3">
      <c r="A241" s="32" t="s">
        <v>158</v>
      </c>
      <c r="B241" s="100" t="s">
        <v>159</v>
      </c>
      <c r="C241" s="101"/>
      <c r="D241" s="101"/>
      <c r="E241" s="101"/>
      <c r="F241" s="101"/>
      <c r="G241" s="101"/>
      <c r="H241" s="102"/>
    </row>
    <row r="242" spans="1:10" s="22" customFormat="1" x14ac:dyDescent="0.3">
      <c r="A242" s="32" t="s">
        <v>158</v>
      </c>
      <c r="B242" s="100" t="s">
        <v>127</v>
      </c>
      <c r="C242" s="101"/>
      <c r="D242" s="101"/>
      <c r="E242" s="101"/>
      <c r="F242" s="101"/>
      <c r="G242" s="101"/>
      <c r="H242" s="102"/>
    </row>
    <row r="243" spans="1:10" s="22" customFormat="1" x14ac:dyDescent="0.3">
      <c r="A243" s="32" t="s">
        <v>158</v>
      </c>
      <c r="B243" s="100" t="s">
        <v>290</v>
      </c>
      <c r="C243" s="101"/>
      <c r="D243" s="101"/>
      <c r="E243" s="101"/>
      <c r="F243" s="101"/>
      <c r="G243" s="101"/>
      <c r="H243" s="102"/>
    </row>
    <row r="244" spans="1:10" s="22" customFormat="1" ht="15.75" hidden="1" customHeight="1" x14ac:dyDescent="0.3">
      <c r="A244" s="32" t="s">
        <v>158</v>
      </c>
      <c r="B244" s="178" t="s">
        <v>183</v>
      </c>
      <c r="C244" s="179"/>
      <c r="D244" s="179"/>
      <c r="E244" s="179"/>
      <c r="F244" s="179"/>
      <c r="G244" s="179"/>
      <c r="H244" s="180"/>
      <c r="J244" s="24"/>
    </row>
    <row r="245" spans="1:10" s="22" customFormat="1" ht="32.549999999999997" customHeight="1" x14ac:dyDescent="0.3">
      <c r="A245" s="32" t="s">
        <v>158</v>
      </c>
      <c r="B245" s="100" t="s">
        <v>297</v>
      </c>
      <c r="C245" s="101"/>
      <c r="D245" s="101"/>
      <c r="E245" s="101"/>
      <c r="F245" s="101"/>
      <c r="G245" s="101"/>
      <c r="H245" s="102"/>
    </row>
    <row r="246" spans="1:10" s="22" customFormat="1" x14ac:dyDescent="0.3">
      <c r="A246" s="32" t="s">
        <v>158</v>
      </c>
      <c r="B246" s="100" t="s">
        <v>295</v>
      </c>
      <c r="C246" s="101"/>
      <c r="D246" s="101"/>
      <c r="E246" s="101"/>
      <c r="F246" s="101"/>
      <c r="G246" s="101"/>
      <c r="H246" s="102"/>
    </row>
    <row r="247" spans="1:10" x14ac:dyDescent="0.3">
      <c r="A247" s="156" t="s">
        <v>61</v>
      </c>
      <c r="B247" s="156"/>
      <c r="C247" s="156"/>
      <c r="D247" s="156"/>
      <c r="E247" s="156"/>
      <c r="F247" s="156"/>
      <c r="G247" s="156"/>
      <c r="H247" s="156"/>
    </row>
    <row r="248" spans="1:10" x14ac:dyDescent="0.3">
      <c r="A248" s="139" t="s">
        <v>62</v>
      </c>
      <c r="B248" s="139"/>
      <c r="C248" s="139"/>
      <c r="D248" s="139"/>
      <c r="E248" s="139"/>
      <c r="F248" s="139"/>
      <c r="G248" s="139"/>
      <c r="H248" s="139"/>
    </row>
    <row r="249" spans="1:10" ht="15.75" customHeight="1" x14ac:dyDescent="0.3">
      <c r="A249" s="174" t="s">
        <v>63</v>
      </c>
      <c r="B249" s="174"/>
      <c r="C249" s="174"/>
      <c r="D249" s="174"/>
      <c r="E249" s="174"/>
      <c r="F249" s="174"/>
      <c r="G249" s="174"/>
      <c r="H249" s="174"/>
    </row>
    <row r="250" spans="1:10" x14ac:dyDescent="0.3">
      <c r="A250" s="139" t="s">
        <v>64</v>
      </c>
      <c r="B250" s="139"/>
      <c r="C250" s="139"/>
      <c r="D250" s="139"/>
      <c r="E250" s="139"/>
      <c r="F250" s="139"/>
      <c r="G250" s="139"/>
      <c r="H250" s="139"/>
    </row>
    <row r="251" spans="1:10" x14ac:dyDescent="0.3">
      <c r="A251" s="139" t="s">
        <v>65</v>
      </c>
      <c r="B251" s="139"/>
      <c r="C251" s="139"/>
      <c r="D251" s="139"/>
      <c r="E251" s="139"/>
      <c r="F251" s="139"/>
      <c r="G251" s="139"/>
      <c r="H251" s="139"/>
    </row>
    <row r="252" spans="1:10" x14ac:dyDescent="0.3">
      <c r="A252" s="139" t="s">
        <v>128</v>
      </c>
      <c r="B252" s="139"/>
      <c r="C252" s="139"/>
      <c r="D252" s="139"/>
      <c r="E252" s="139"/>
      <c r="F252" s="139"/>
      <c r="G252" s="139"/>
      <c r="H252" s="139"/>
    </row>
    <row r="253" spans="1:10" ht="34.049999999999997" customHeight="1" x14ac:dyDescent="0.3">
      <c r="A253" s="140" t="s">
        <v>129</v>
      </c>
      <c r="B253" s="140"/>
      <c r="C253" s="140"/>
      <c r="D253" s="140"/>
      <c r="E253" s="140"/>
      <c r="F253" s="140"/>
      <c r="G253" s="140"/>
      <c r="H253" s="140"/>
    </row>
    <row r="254" spans="1:10" x14ac:dyDescent="0.3">
      <c r="A254" s="169" t="s">
        <v>77</v>
      </c>
      <c r="B254" s="169"/>
      <c r="C254" s="169" t="s">
        <v>292</v>
      </c>
      <c r="D254" s="169"/>
      <c r="E254" s="169" t="s">
        <v>107</v>
      </c>
      <c r="F254" s="169"/>
      <c r="G254" s="169" t="s">
        <v>298</v>
      </c>
      <c r="H254" s="169"/>
    </row>
    <row r="255" spans="1:10" x14ac:dyDescent="0.3">
      <c r="A255" s="168" t="s">
        <v>79</v>
      </c>
      <c r="B255" s="168"/>
      <c r="C255" s="168"/>
      <c r="D255" s="168"/>
      <c r="E255" s="168"/>
      <c r="F255" s="168"/>
      <c r="G255" s="168"/>
      <c r="H255" s="168"/>
    </row>
    <row r="256" spans="1:10" x14ac:dyDescent="0.3">
      <c r="A256" s="168"/>
      <c r="B256" s="168"/>
      <c r="C256" s="168"/>
      <c r="D256" s="168"/>
      <c r="E256" s="168"/>
      <c r="F256" s="168"/>
      <c r="G256" s="168"/>
      <c r="H256" s="168"/>
    </row>
    <row r="257" spans="1:8" x14ac:dyDescent="0.3">
      <c r="A257" s="168"/>
      <c r="B257" s="168"/>
      <c r="C257" s="168"/>
      <c r="D257" s="168"/>
      <c r="E257" s="168"/>
      <c r="F257" s="168"/>
      <c r="G257" s="168"/>
      <c r="H257" s="168"/>
    </row>
    <row r="258" spans="1:8" x14ac:dyDescent="0.3">
      <c r="A258" s="168"/>
      <c r="B258" s="168"/>
      <c r="C258" s="168"/>
      <c r="D258" s="168"/>
      <c r="E258" s="168"/>
      <c r="F258" s="168"/>
      <c r="G258" s="168"/>
      <c r="H258" s="168"/>
    </row>
    <row r="259" spans="1:8" x14ac:dyDescent="0.3">
      <c r="A259" s="25" t="s">
        <v>66</v>
      </c>
      <c r="B259" s="26"/>
      <c r="C259" s="26"/>
      <c r="D259" s="25" t="str">
        <f>E8</f>
        <v>The Midtown</v>
      </c>
      <c r="F259" s="26"/>
      <c r="G259" s="26"/>
      <c r="H259" s="26"/>
    </row>
    <row r="260" spans="1:8" x14ac:dyDescent="0.3">
      <c r="A260" s="26"/>
      <c r="B260" s="26"/>
      <c r="C260" s="26"/>
      <c r="D260" s="26"/>
      <c r="E260" s="26"/>
      <c r="F260" s="26"/>
      <c r="G260" s="26"/>
      <c r="H260" s="26"/>
    </row>
    <row r="261" spans="1:8" x14ac:dyDescent="0.3">
      <c r="A261" s="26"/>
      <c r="B261" s="26"/>
      <c r="C261" s="26"/>
      <c r="D261" s="26"/>
      <c r="E261" s="26"/>
      <c r="F261" s="26"/>
      <c r="G261" s="26"/>
      <c r="H261" s="26"/>
    </row>
    <row r="262" spans="1:8" ht="15" customHeight="1" x14ac:dyDescent="0.3"/>
    <row r="303" spans="1:1" x14ac:dyDescent="0.3">
      <c r="A303" s="28" t="s">
        <v>169</v>
      </c>
    </row>
    <row r="347" spans="1:1" x14ac:dyDescent="0.3">
      <c r="A347" s="28" t="s">
        <v>67</v>
      </c>
    </row>
  </sheetData>
  <mergeCells count="414">
    <mergeCell ref="I9:L9"/>
    <mergeCell ref="B246:H246"/>
    <mergeCell ref="B245:H245"/>
    <mergeCell ref="G188:H197"/>
    <mergeCell ref="A189:B189"/>
    <mergeCell ref="A181:B181"/>
    <mergeCell ref="A182:B182"/>
    <mergeCell ref="A208:B208"/>
    <mergeCell ref="C199:F200"/>
    <mergeCell ref="C207:F208"/>
    <mergeCell ref="C52:H52"/>
    <mergeCell ref="A196:B196"/>
    <mergeCell ref="A197:B197"/>
    <mergeCell ref="C193:F193"/>
    <mergeCell ref="A198:H198"/>
    <mergeCell ref="A199:B199"/>
    <mergeCell ref="G199:H208"/>
    <mergeCell ref="A200:B200"/>
    <mergeCell ref="A201:B201"/>
    <mergeCell ref="A202:B202"/>
    <mergeCell ref="A203:B203"/>
    <mergeCell ref="A204:B204"/>
    <mergeCell ref="A205:B205"/>
    <mergeCell ref="A206:B206"/>
    <mergeCell ref="D55:H55"/>
    <mergeCell ref="F90:H90"/>
    <mergeCell ref="E95:F95"/>
    <mergeCell ref="A95:B95"/>
    <mergeCell ref="A97:B97"/>
    <mergeCell ref="C100:D100"/>
    <mergeCell ref="D63:H63"/>
    <mergeCell ref="A64:C64"/>
    <mergeCell ref="F81:H81"/>
    <mergeCell ref="G96:H96"/>
    <mergeCell ref="D65:H65"/>
    <mergeCell ref="A63:C63"/>
    <mergeCell ref="E70:F79"/>
    <mergeCell ref="G70:H79"/>
    <mergeCell ref="A78:B78"/>
    <mergeCell ref="F88:H88"/>
    <mergeCell ref="D64:H64"/>
    <mergeCell ref="A70:B70"/>
    <mergeCell ref="G69:H69"/>
    <mergeCell ref="F80:H80"/>
    <mergeCell ref="G223:H223"/>
    <mergeCell ref="F91:H91"/>
    <mergeCell ref="F89:H89"/>
    <mergeCell ref="A217:B217"/>
    <mergeCell ref="A105:H105"/>
    <mergeCell ref="G95:H95"/>
    <mergeCell ref="A90:E90"/>
    <mergeCell ref="A110:B110"/>
    <mergeCell ref="A176:H176"/>
    <mergeCell ref="A177:B177"/>
    <mergeCell ref="G177:H186"/>
    <mergeCell ref="A178:B178"/>
    <mergeCell ref="A190:B190"/>
    <mergeCell ref="A191:B191"/>
    <mergeCell ref="A192:B192"/>
    <mergeCell ref="A193:B193"/>
    <mergeCell ref="A194:B194"/>
    <mergeCell ref="A195:B195"/>
    <mergeCell ref="A179:B179"/>
    <mergeCell ref="C95:D95"/>
    <mergeCell ref="A163:A164"/>
    <mergeCell ref="A104:H104"/>
    <mergeCell ref="C163:C164"/>
    <mergeCell ref="A113:B113"/>
    <mergeCell ref="A252:H252"/>
    <mergeCell ref="A249:H249"/>
    <mergeCell ref="G225:H225"/>
    <mergeCell ref="A210:B210"/>
    <mergeCell ref="A100:B100"/>
    <mergeCell ref="D163:D164"/>
    <mergeCell ref="E163:E164"/>
    <mergeCell ref="G163:H164"/>
    <mergeCell ref="C102:D102"/>
    <mergeCell ref="A165:H165"/>
    <mergeCell ref="A219:B219"/>
    <mergeCell ref="A216:B216"/>
    <mergeCell ref="G212:H212"/>
    <mergeCell ref="A109:B109"/>
    <mergeCell ref="B244:H244"/>
    <mergeCell ref="A103:B103"/>
    <mergeCell ref="C103:D103"/>
    <mergeCell ref="E103:F103"/>
    <mergeCell ref="G103:H103"/>
    <mergeCell ref="A183:B183"/>
    <mergeCell ref="A207:B207"/>
    <mergeCell ref="A248:H248"/>
    <mergeCell ref="E100:F100"/>
    <mergeCell ref="B243:H243"/>
    <mergeCell ref="B240:H240"/>
    <mergeCell ref="B236:H236"/>
    <mergeCell ref="A230:B230"/>
    <mergeCell ref="G230:H230"/>
    <mergeCell ref="G229:H229"/>
    <mergeCell ref="A227:H227"/>
    <mergeCell ref="A228:B228"/>
    <mergeCell ref="A229:B229"/>
    <mergeCell ref="A232:B232"/>
    <mergeCell ref="G232:H232"/>
    <mergeCell ref="A231:B231"/>
    <mergeCell ref="G231:H231"/>
    <mergeCell ref="B234:H234"/>
    <mergeCell ref="G228:H228"/>
    <mergeCell ref="B238:H238"/>
    <mergeCell ref="B242:H242"/>
    <mergeCell ref="A215:H215"/>
    <mergeCell ref="A169:B169"/>
    <mergeCell ref="G218:H218"/>
    <mergeCell ref="G216:H216"/>
    <mergeCell ref="A180:B180"/>
    <mergeCell ref="A251:H251"/>
    <mergeCell ref="A247:H247"/>
    <mergeCell ref="G100:H100"/>
    <mergeCell ref="G222:H222"/>
    <mergeCell ref="A220:B220"/>
    <mergeCell ref="C106:C107"/>
    <mergeCell ref="B163:B164"/>
    <mergeCell ref="A211:B211"/>
    <mergeCell ref="A212:B212"/>
    <mergeCell ref="G211:H211"/>
    <mergeCell ref="A223:B223"/>
    <mergeCell ref="A224:B224"/>
    <mergeCell ref="A213:B213"/>
    <mergeCell ref="G214:H214"/>
    <mergeCell ref="G220:H220"/>
    <mergeCell ref="G219:H219"/>
    <mergeCell ref="A222:B222"/>
    <mergeCell ref="B237:H237"/>
    <mergeCell ref="G226:H226"/>
    <mergeCell ref="A233:H233"/>
    <mergeCell ref="A225:B225"/>
    <mergeCell ref="A226:B226"/>
    <mergeCell ref="G224:H224"/>
    <mergeCell ref="A221:H221"/>
    <mergeCell ref="F85:H85"/>
    <mergeCell ref="A166:B166"/>
    <mergeCell ref="A112:B112"/>
    <mergeCell ref="A111:B111"/>
    <mergeCell ref="A86:E86"/>
    <mergeCell ref="F86:H86"/>
    <mergeCell ref="A87:E87"/>
    <mergeCell ref="A89:E89"/>
    <mergeCell ref="F83:H83"/>
    <mergeCell ref="A88:E88"/>
    <mergeCell ref="F87:H87"/>
    <mergeCell ref="G109:H125"/>
    <mergeCell ref="A126:H126"/>
    <mergeCell ref="A127:B127"/>
    <mergeCell ref="G127:H143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73:B73"/>
    <mergeCell ref="E69:F69"/>
    <mergeCell ref="A65:C65"/>
    <mergeCell ref="A255:H258"/>
    <mergeCell ref="A254:B254"/>
    <mergeCell ref="E254:F254"/>
    <mergeCell ref="C254:D254"/>
    <mergeCell ref="G254:H254"/>
    <mergeCell ref="A94:H94"/>
    <mergeCell ref="A92:E92"/>
    <mergeCell ref="F92:H92"/>
    <mergeCell ref="A93:E93"/>
    <mergeCell ref="F93:H93"/>
    <mergeCell ref="A209:H209"/>
    <mergeCell ref="A101:B101"/>
    <mergeCell ref="A218:B218"/>
    <mergeCell ref="A96:B96"/>
    <mergeCell ref="A250:H250"/>
    <mergeCell ref="A99:H99"/>
    <mergeCell ref="A253:H253"/>
    <mergeCell ref="C101:D101"/>
    <mergeCell ref="E101:F101"/>
    <mergeCell ref="G101:H101"/>
    <mergeCell ref="A214:B21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C34:E34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F33:H33"/>
    <mergeCell ref="F34:H34"/>
    <mergeCell ref="A24:D24"/>
    <mergeCell ref="E24:H24"/>
    <mergeCell ref="G53:H53"/>
    <mergeCell ref="C51:E51"/>
    <mergeCell ref="A58:C58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A43:D43"/>
    <mergeCell ref="A53:B53"/>
    <mergeCell ref="C53:E53"/>
    <mergeCell ref="C50:E50"/>
    <mergeCell ref="A62:C62"/>
    <mergeCell ref="D62:H62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F36:H36"/>
    <mergeCell ref="E42:H42"/>
    <mergeCell ref="A42:D42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E43:H43"/>
    <mergeCell ref="E44:H44"/>
    <mergeCell ref="E45:H45"/>
    <mergeCell ref="E46:H46"/>
    <mergeCell ref="A44:D44"/>
    <mergeCell ref="A38:B38"/>
    <mergeCell ref="C38:H38"/>
    <mergeCell ref="A45:D45"/>
    <mergeCell ref="A39:B39"/>
    <mergeCell ref="C39:H39"/>
    <mergeCell ref="A46:D46"/>
    <mergeCell ref="A47:H47"/>
    <mergeCell ref="D57:H57"/>
    <mergeCell ref="A57:C57"/>
    <mergeCell ref="G50:H50"/>
    <mergeCell ref="A91:E91"/>
    <mergeCell ref="G102:H102"/>
    <mergeCell ref="C97:D97"/>
    <mergeCell ref="E97:F97"/>
    <mergeCell ref="G97:H97"/>
    <mergeCell ref="A98:B98"/>
    <mergeCell ref="C98:D98"/>
    <mergeCell ref="E98:F98"/>
    <mergeCell ref="G98:H98"/>
    <mergeCell ref="C96:D96"/>
    <mergeCell ref="E96:F96"/>
    <mergeCell ref="C66:H66"/>
    <mergeCell ref="E102:F102"/>
    <mergeCell ref="A79:B79"/>
    <mergeCell ref="D60:H60"/>
    <mergeCell ref="A77:B77"/>
    <mergeCell ref="A74:B74"/>
    <mergeCell ref="A61:C61"/>
    <mergeCell ref="D61:H61"/>
    <mergeCell ref="A51:B52"/>
    <mergeCell ref="A48:B48"/>
    <mergeCell ref="C48:H48"/>
    <mergeCell ref="B239:H239"/>
    <mergeCell ref="F82:H82"/>
    <mergeCell ref="A82:E82"/>
    <mergeCell ref="G217:H217"/>
    <mergeCell ref="G213:H213"/>
    <mergeCell ref="G210:H210"/>
    <mergeCell ref="D106:D107"/>
    <mergeCell ref="A84:E84"/>
    <mergeCell ref="A83:E83"/>
    <mergeCell ref="A80:E80"/>
    <mergeCell ref="F84:H84"/>
    <mergeCell ref="A116:B116"/>
    <mergeCell ref="A85:E85"/>
    <mergeCell ref="A102:B102"/>
    <mergeCell ref="A76:B76"/>
    <mergeCell ref="A69:B69"/>
    <mergeCell ref="A72:B72"/>
    <mergeCell ref="A68:B68"/>
    <mergeCell ref="A66:B66"/>
    <mergeCell ref="A123:B123"/>
    <mergeCell ref="A75:B75"/>
    <mergeCell ref="D58:H58"/>
    <mergeCell ref="A121:B121"/>
    <mergeCell ref="A122:B122"/>
    <mergeCell ref="A117:B117"/>
    <mergeCell ref="A118:B118"/>
    <mergeCell ref="A119:B119"/>
    <mergeCell ref="A114:B114"/>
    <mergeCell ref="A115:B115"/>
    <mergeCell ref="B235:H235"/>
    <mergeCell ref="B241:H241"/>
    <mergeCell ref="A184:B184"/>
    <mergeCell ref="A185:B185"/>
    <mergeCell ref="A186:B186"/>
    <mergeCell ref="A187:H187"/>
    <mergeCell ref="A188:B188"/>
    <mergeCell ref="A81:E81"/>
    <mergeCell ref="A108:H108"/>
    <mergeCell ref="E106:E107"/>
    <mergeCell ref="G106:H107"/>
    <mergeCell ref="B106:B107"/>
    <mergeCell ref="A106:A107"/>
    <mergeCell ref="C68:H68"/>
    <mergeCell ref="A71:B71"/>
    <mergeCell ref="A145:B145"/>
    <mergeCell ref="G145:H161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60:B160"/>
    <mergeCell ref="A161:B161"/>
    <mergeCell ref="A124:B124"/>
    <mergeCell ref="A125:B125"/>
    <mergeCell ref="A120:B120"/>
    <mergeCell ref="I10:L10"/>
    <mergeCell ref="A175:B175"/>
    <mergeCell ref="G166:H175"/>
    <mergeCell ref="A172:B172"/>
    <mergeCell ref="A173:B173"/>
    <mergeCell ref="A174:B174"/>
    <mergeCell ref="A170:B170"/>
    <mergeCell ref="A171:B171"/>
    <mergeCell ref="A155:B155"/>
    <mergeCell ref="A156:B156"/>
    <mergeCell ref="A157:B157"/>
    <mergeCell ref="A158:B158"/>
    <mergeCell ref="A159:B159"/>
    <mergeCell ref="A168:B168"/>
    <mergeCell ref="A167:B167"/>
    <mergeCell ref="A162:H162"/>
    <mergeCell ref="A137:B137"/>
    <mergeCell ref="A138:B138"/>
    <mergeCell ref="A139:B139"/>
    <mergeCell ref="A140:B140"/>
    <mergeCell ref="A141:B141"/>
    <mergeCell ref="A142:B142"/>
    <mergeCell ref="A143:B143"/>
    <mergeCell ref="A144:H144"/>
  </mergeCells>
  <dataValidations count="12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06:E107" xr:uid="{00000000-0002-0000-0000-000003000000}">
      <formula1>"Attached Loft area,Attached Terrace area,Attached Mezzanine area"</formula1>
    </dataValidation>
    <dataValidation type="list" allowBlank="1" showInputMessage="1" showErrorMessage="1" sqref="F107 F164" xr:uid="{00000000-0002-0000-0000-000004000000}">
      <formula1>"45%,50%,55%,60%"</formula1>
    </dataValidation>
    <dataValidation type="list" allowBlank="1" showInputMessage="1" showErrorMessage="1" sqref="F80:H80" xr:uid="{00000000-0002-0000-0000-000005000000}">
      <formula1>"On Saleable Area,On Builtup Area,On Carpet Area,On Plot Area"</formula1>
    </dataValidation>
    <dataValidation type="list" allowBlank="1" showInputMessage="1" showErrorMessage="1" sqref="F92:H92" xr:uid="{00000000-0002-0000-0000-000006000000}">
      <formula1>"100000,150000,200000,250000,300000,350000,400000,500000,600000,700000,800000,900000,1000000,1200000,1400000,1500000"</formula1>
    </dataValidation>
    <dataValidation type="list" allowBlank="1" showInputMessage="1" showErrorMessage="1" sqref="F106 F163" xr:uid="{00000000-0002-0000-0000-000007000000}">
      <formula1>"Saleable area Loading :,Builder Saleable area"</formula1>
    </dataValidation>
    <dataValidation type="list" allowBlank="1" showInputMessage="1" showErrorMessage="1" sqref="B106:B107" xr:uid="{00000000-0002-0000-0000-000008000000}">
      <formula1>"Shop No. (Sale Plan),Sale / Rehab,Sale / Mhada"</formula1>
    </dataValidation>
    <dataValidation type="list" allowBlank="1" showInputMessage="1" showErrorMessage="1" sqref="B163:B164" xr:uid="{00000000-0002-0000-0000-000009000000}">
      <formula1>"Flat No. (Sale Plan),Sale / Rehab,Sale / Mhada"</formula1>
    </dataValidation>
    <dataValidation type="list" allowBlank="1" showInputMessage="1" showErrorMessage="1" sqref="C20:D20" xr:uid="{00000000-0002-0000-0000-00000A000000}">
      <formula1>OFFSET($S$12,1,MATCH($G19,$S$12:$W$12,0)-1,15,1)</formula1>
    </dataValidation>
    <dataValidation type="list" allowBlank="1" showInputMessage="1" showErrorMessage="1" sqref="Y12" xr:uid="{00000000-0002-0000-0000-00000B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58" max="16383" man="1"/>
    <brk id="302" max="16383" man="1"/>
    <brk id="346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25" zoomScale="85" zoomScaleNormal="85" workbookViewId="0">
      <selection activeCell="K9" sqref="K9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2" t="s">
        <v>108</v>
      </c>
      <c r="C3" s="202"/>
      <c r="D3" s="202"/>
      <c r="E3" s="202"/>
      <c r="F3" s="202"/>
      <c r="G3" s="202"/>
      <c r="H3" s="202"/>
    </row>
    <row r="4" spans="1:9" x14ac:dyDescent="0.3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34"/>
      <c r="C4" s="34" t="s">
        <v>12</v>
      </c>
      <c r="D4" s="35" t="s">
        <v>184</v>
      </c>
      <c r="E4" s="35" t="s">
        <v>194</v>
      </c>
      <c r="F4" s="35" t="s">
        <v>177</v>
      </c>
      <c r="G4" s="35" t="s">
        <v>199</v>
      </c>
      <c r="H4" s="35" t="s">
        <v>217</v>
      </c>
      <c r="J4" t="s">
        <v>199</v>
      </c>
      <c r="K4" t="s">
        <v>215</v>
      </c>
    </row>
    <row r="5" spans="2:11" x14ac:dyDescent="0.3">
      <c r="B5" s="34"/>
      <c r="C5" s="34"/>
      <c r="D5" s="35" t="s">
        <v>185</v>
      </c>
      <c r="E5" s="35" t="s">
        <v>192</v>
      </c>
      <c r="F5" s="35" t="s">
        <v>214</v>
      </c>
      <c r="G5" s="35" t="s">
        <v>200</v>
      </c>
      <c r="H5" s="35" t="s">
        <v>218</v>
      </c>
    </row>
    <row r="6" spans="2:11" x14ac:dyDescent="0.3">
      <c r="B6" s="34"/>
      <c r="C6" s="34"/>
      <c r="D6" s="35" t="s">
        <v>186</v>
      </c>
      <c r="E6" s="35" t="s">
        <v>193</v>
      </c>
      <c r="F6" s="35" t="s">
        <v>215</v>
      </c>
      <c r="G6" s="35" t="s">
        <v>201</v>
      </c>
      <c r="H6" s="35" t="s">
        <v>231</v>
      </c>
    </row>
    <row r="7" spans="2:11" x14ac:dyDescent="0.3">
      <c r="B7" s="34"/>
      <c r="C7" s="34"/>
      <c r="D7" s="35" t="s">
        <v>187</v>
      </c>
      <c r="E7" s="35" t="s">
        <v>195</v>
      </c>
      <c r="F7" s="35" t="s">
        <v>216</v>
      </c>
      <c r="G7" s="35" t="s">
        <v>202</v>
      </c>
      <c r="H7" s="35" t="s">
        <v>219</v>
      </c>
    </row>
    <row r="8" spans="2:11" x14ac:dyDescent="0.3">
      <c r="B8" s="34"/>
      <c r="C8" s="34"/>
      <c r="D8" s="35" t="s">
        <v>188</v>
      </c>
      <c r="E8" s="35" t="s">
        <v>196</v>
      </c>
      <c r="F8" s="35"/>
      <c r="G8" s="35" t="s">
        <v>203</v>
      </c>
      <c r="H8" s="35" t="s">
        <v>220</v>
      </c>
    </row>
    <row r="9" spans="2:11" x14ac:dyDescent="0.3">
      <c r="B9" s="34"/>
      <c r="C9" s="34"/>
      <c r="D9" s="35" t="s">
        <v>189</v>
      </c>
      <c r="E9" s="35" t="s">
        <v>194</v>
      </c>
      <c r="F9" s="35"/>
      <c r="G9" s="35" t="s">
        <v>204</v>
      </c>
      <c r="H9" s="35" t="s">
        <v>221</v>
      </c>
    </row>
    <row r="10" spans="2:11" x14ac:dyDescent="0.3">
      <c r="B10" s="34"/>
      <c r="C10" s="34"/>
      <c r="D10" s="35" t="s">
        <v>190</v>
      </c>
      <c r="E10" s="35" t="s">
        <v>197</v>
      </c>
      <c r="F10" s="35"/>
      <c r="G10" s="35" t="s">
        <v>205</v>
      </c>
      <c r="H10" s="35" t="s">
        <v>222</v>
      </c>
    </row>
    <row r="11" spans="2:11" x14ac:dyDescent="0.3">
      <c r="B11" s="34"/>
      <c r="C11" s="34"/>
      <c r="D11" s="35" t="s">
        <v>191</v>
      </c>
      <c r="E11" s="35" t="s">
        <v>198</v>
      </c>
      <c r="F11" s="35"/>
      <c r="G11" s="35" t="s">
        <v>206</v>
      </c>
      <c r="H11" s="35" t="s">
        <v>223</v>
      </c>
    </row>
    <row r="12" spans="2:11" x14ac:dyDescent="0.3">
      <c r="B12" s="34"/>
      <c r="C12" s="34"/>
      <c r="D12" s="35"/>
      <c r="E12" s="35"/>
      <c r="F12" s="35"/>
      <c r="G12" s="35" t="s">
        <v>207</v>
      </c>
      <c r="H12" s="35" t="s">
        <v>224</v>
      </c>
    </row>
    <row r="13" spans="2:11" x14ac:dyDescent="0.3">
      <c r="B13" s="34"/>
      <c r="C13" s="34"/>
      <c r="D13" s="35"/>
      <c r="E13" s="35"/>
      <c r="F13" s="35"/>
      <c r="G13" s="35" t="s">
        <v>208</v>
      </c>
      <c r="H13" s="35" t="s">
        <v>225</v>
      </c>
    </row>
    <row r="14" spans="2:11" x14ac:dyDescent="0.3">
      <c r="B14" s="34"/>
      <c r="C14" s="34"/>
      <c r="D14" s="35"/>
      <c r="E14" s="35"/>
      <c r="F14" s="35"/>
      <c r="G14" s="35" t="s">
        <v>209</v>
      </c>
      <c r="H14" s="35" t="s">
        <v>226</v>
      </c>
    </row>
    <row r="15" spans="2:11" x14ac:dyDescent="0.3">
      <c r="B15" s="34"/>
      <c r="C15" s="34"/>
      <c r="D15" s="35"/>
      <c r="E15" s="35"/>
      <c r="F15" s="35"/>
      <c r="G15" s="35" t="s">
        <v>210</v>
      </c>
      <c r="H15" s="35" t="s">
        <v>227</v>
      </c>
    </row>
    <row r="16" spans="2:11" x14ac:dyDescent="0.3">
      <c r="B16" s="34"/>
      <c r="C16" s="34"/>
      <c r="D16" s="35"/>
      <c r="E16" s="35"/>
      <c r="F16" s="35"/>
      <c r="G16" s="35" t="s">
        <v>211</v>
      </c>
      <c r="H16" s="35" t="s">
        <v>228</v>
      </c>
    </row>
    <row r="17" spans="2:8" x14ac:dyDescent="0.3">
      <c r="B17" s="34"/>
      <c r="C17" s="34"/>
      <c r="D17" s="35"/>
      <c r="E17" s="35"/>
      <c r="F17" s="35"/>
      <c r="G17" s="35" t="s">
        <v>212</v>
      </c>
      <c r="H17" s="35" t="s">
        <v>229</v>
      </c>
    </row>
    <row r="18" spans="2:8" x14ac:dyDescent="0.3">
      <c r="B18" s="34"/>
      <c r="C18" s="34"/>
      <c r="D18" s="35"/>
      <c r="E18" s="35"/>
      <c r="F18" s="35"/>
      <c r="G18" s="35" t="s">
        <v>213</v>
      </c>
      <c r="H18" s="35" t="s">
        <v>230</v>
      </c>
    </row>
    <row r="24" spans="2:8" x14ac:dyDescent="0.3">
      <c r="C24" t="s">
        <v>174</v>
      </c>
    </row>
    <row r="25" spans="2:8" x14ac:dyDescent="0.3">
      <c r="C25" t="s">
        <v>232</v>
      </c>
    </row>
    <row r="26" spans="2:8" x14ac:dyDescent="0.3">
      <c r="C26" t="s">
        <v>233</v>
      </c>
    </row>
    <row r="27" spans="2:8" x14ac:dyDescent="0.3">
      <c r="C27" t="s">
        <v>234</v>
      </c>
    </row>
    <row r="28" spans="2:8" x14ac:dyDescent="0.3">
      <c r="C28" t="s">
        <v>235</v>
      </c>
    </row>
    <row r="29" spans="2:8" x14ac:dyDescent="0.3">
      <c r="C29" t="s">
        <v>236</v>
      </c>
    </row>
    <row r="30" spans="2:8" x14ac:dyDescent="0.3">
      <c r="C30" t="s">
        <v>174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2025-09-13T13:56:57Z</cp:lastPrinted>
  <dcterms:created xsi:type="dcterms:W3CDTF">2019-07-16T09:29:46Z</dcterms:created>
  <dcterms:modified xsi:type="dcterms:W3CDTF">2025-09-13T13:56:57Z</dcterms:modified>
</cp:coreProperties>
</file>