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F72DBDDD-503E-4153-8E65-CEFAC649FF2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7" i="1" l="1"/>
  <c r="J194" i="1"/>
  <c r="K173" i="1"/>
  <c r="D199" i="1" l="1"/>
  <c r="D198" i="1"/>
  <c r="D197" i="1"/>
  <c r="D196" i="1"/>
  <c r="D188" i="1" l="1"/>
  <c r="D194" i="1"/>
  <c r="D187" i="1"/>
  <c r="D192" i="1"/>
  <c r="D191" i="1"/>
  <c r="D184" i="1"/>
  <c r="D177" i="1"/>
  <c r="D171" i="1"/>
  <c r="D190" i="1"/>
  <c r="D183" i="1"/>
  <c r="D176" i="1"/>
  <c r="D170" i="1"/>
  <c r="D182" i="1"/>
  <c r="D175" i="1"/>
  <c r="D169" i="1"/>
  <c r="D181" i="1"/>
  <c r="D174" i="1"/>
  <c r="D168" i="1"/>
  <c r="D149" i="1"/>
  <c r="D145" i="1"/>
  <c r="D141" i="1"/>
  <c r="D153" i="1" l="1"/>
  <c r="D157" i="1"/>
  <c r="M50" i="1"/>
  <c r="I50" i="1"/>
  <c r="I43" i="1"/>
  <c r="I44" i="1" s="1"/>
  <c r="L97" i="1" l="1"/>
  <c r="M97" i="1" l="1"/>
  <c r="F197" i="1"/>
  <c r="F196" i="1"/>
  <c r="F191" i="1"/>
  <c r="F190" i="1"/>
  <c r="J190" i="1" s="1"/>
  <c r="D189" i="1"/>
  <c r="F189" i="1" s="1"/>
  <c r="F187" i="1"/>
  <c r="F184" i="1"/>
  <c r="D178" i="1"/>
  <c r="F178" i="1" s="1"/>
  <c r="F175" i="1"/>
  <c r="F174" i="1"/>
  <c r="D173" i="1"/>
  <c r="F173" i="1" s="1"/>
  <c r="F170" i="1"/>
  <c r="F169" i="1"/>
  <c r="D165" i="1"/>
  <c r="F165" i="1" s="1"/>
  <c r="D164" i="1"/>
  <c r="F164" i="1" s="1"/>
  <c r="D163" i="1"/>
  <c r="F163" i="1" s="1"/>
  <c r="D162" i="1"/>
  <c r="F162" i="1" s="1"/>
  <c r="D156" i="1"/>
  <c r="F156" i="1" s="1"/>
  <c r="J156" i="1" s="1"/>
  <c r="D154" i="1"/>
  <c r="F154" i="1" s="1"/>
  <c r="J154" i="1" s="1"/>
  <c r="D152" i="1"/>
  <c r="F152" i="1" s="1"/>
  <c r="F149" i="1"/>
  <c r="D148" i="1"/>
  <c r="F148" i="1" s="1"/>
  <c r="D146" i="1"/>
  <c r="F146" i="1" s="1"/>
  <c r="J146" i="1" s="1"/>
  <c r="D144" i="1"/>
  <c r="F144" i="1" s="1"/>
  <c r="D142" i="1"/>
  <c r="F142" i="1" s="1"/>
  <c r="D140" i="1"/>
  <c r="D137" i="1"/>
  <c r="F137" i="1" s="1"/>
  <c r="D136" i="1"/>
  <c r="F194" i="1"/>
  <c r="F145" i="1"/>
  <c r="I136" i="1"/>
  <c r="F199" i="1"/>
  <c r="F198" i="1"/>
  <c r="A195" i="1"/>
  <c r="A196" i="1" s="1"/>
  <c r="A197" i="1" s="1"/>
  <c r="A198" i="1" s="1"/>
  <c r="A199" i="1" s="1"/>
  <c r="G194" i="1"/>
  <c r="F157" i="1"/>
  <c r="A157" i="1"/>
  <c r="A158" i="1" s="1"/>
  <c r="G156" i="1"/>
  <c r="F192" i="1"/>
  <c r="K192" i="1" s="1"/>
  <c r="F188" i="1"/>
  <c r="A188" i="1"/>
  <c r="A189" i="1" s="1"/>
  <c r="A190" i="1" s="1"/>
  <c r="A191" i="1" s="1"/>
  <c r="A192" i="1" s="1"/>
  <c r="G187" i="1"/>
  <c r="F153" i="1"/>
  <c r="A153" i="1"/>
  <c r="A154" i="1" s="1"/>
  <c r="G152" i="1"/>
  <c r="F183" i="1"/>
  <c r="F182" i="1"/>
  <c r="F181" i="1"/>
  <c r="A181" i="1"/>
  <c r="A182" i="1" s="1"/>
  <c r="A183" i="1" s="1"/>
  <c r="A184" i="1" s="1"/>
  <c r="A185" i="1" s="1"/>
  <c r="G180" i="1"/>
  <c r="A149" i="1"/>
  <c r="A150" i="1" s="1"/>
  <c r="G148" i="1"/>
  <c r="F177" i="1"/>
  <c r="F176" i="1"/>
  <c r="A174" i="1"/>
  <c r="A175" i="1" s="1"/>
  <c r="A176" i="1" s="1"/>
  <c r="A177" i="1" s="1"/>
  <c r="A178" i="1" s="1"/>
  <c r="G173" i="1"/>
  <c r="A145" i="1"/>
  <c r="A146" i="1" s="1"/>
  <c r="G144" i="1"/>
  <c r="F171" i="1"/>
  <c r="F168" i="1"/>
  <c r="A168" i="1"/>
  <c r="A169" i="1" s="1"/>
  <c r="A170" i="1" s="1"/>
  <c r="A171" i="1" s="1"/>
  <c r="G167" i="1"/>
  <c r="F141" i="1"/>
  <c r="A141" i="1"/>
  <c r="A142" i="1" s="1"/>
  <c r="G140" i="1"/>
  <c r="F140" i="1"/>
  <c r="A162" i="1"/>
  <c r="A163" i="1" s="1"/>
  <c r="A164" i="1" s="1"/>
  <c r="A165" i="1" s="1"/>
  <c r="G161" i="1"/>
  <c r="A137" i="1"/>
  <c r="A138" i="1" s="1"/>
  <c r="G136" i="1"/>
  <c r="J173" i="1" l="1"/>
  <c r="L173" i="1"/>
  <c r="L187" i="1"/>
  <c r="K187" i="1"/>
  <c r="J187" i="1"/>
  <c r="J97" i="1" s="1"/>
  <c r="I97" i="1" s="1"/>
  <c r="G118" i="1"/>
  <c r="E118" i="1"/>
  <c r="C118" i="1"/>
  <c r="F136" i="1"/>
  <c r="G117" i="1" s="1"/>
  <c r="C117" i="1"/>
  <c r="E117" i="1"/>
  <c r="Z12" i="1"/>
  <c r="I14" i="1"/>
  <c r="C119" i="1" l="1"/>
  <c r="G119" i="1"/>
  <c r="E119" i="1"/>
  <c r="F126" i="1"/>
  <c r="G120" i="1" l="1"/>
  <c r="E120" i="1"/>
  <c r="C120" i="1"/>
  <c r="E43" i="1" l="1"/>
  <c r="E44" i="1" s="1"/>
  <c r="C15" i="1" l="1"/>
  <c r="E30" i="1" l="1"/>
  <c r="F109" i="1" l="1"/>
  <c r="F127" i="1" l="1"/>
  <c r="F128" i="1"/>
  <c r="F129" i="1"/>
  <c r="B202" i="1" l="1"/>
  <c r="B20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7" i="1"/>
  <c r="A127" i="1"/>
  <c r="A128" i="1" s="1"/>
  <c r="A129" i="1" s="1"/>
  <c r="G126" i="1"/>
  <c r="G127" i="1" s="1"/>
  <c r="G128" i="1" s="1"/>
  <c r="G129" i="1" s="1"/>
  <c r="C82" i="1"/>
  <c r="B83" i="1" s="1"/>
  <c r="B69" i="1"/>
  <c r="D56" i="1"/>
  <c r="G50" i="1"/>
  <c r="C50" i="1"/>
  <c r="E27" i="1"/>
  <c r="E25" i="1"/>
  <c r="E7" i="1"/>
  <c r="E3" i="1"/>
  <c r="D62" i="1" l="1"/>
  <c r="H69" i="1"/>
  <c r="H83" i="1"/>
  <c r="J87" i="1" l="1"/>
  <c r="C86" i="1" s="1"/>
  <c r="D86" i="1" s="1"/>
  <c r="J85" i="1"/>
  <c r="J88" i="1"/>
  <c r="J89" i="1" s="1"/>
  <c r="J94" i="1" s="1"/>
  <c r="J82" i="1"/>
  <c r="J84" i="1" s="1"/>
  <c r="D90" i="1"/>
  <c r="D92" i="1"/>
  <c r="D95" i="1"/>
  <c r="D89" i="1"/>
  <c r="D93" i="1"/>
  <c r="D94" i="1"/>
  <c r="D91" i="1"/>
  <c r="J86" i="1"/>
  <c r="D81" i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D72" i="1" s="1"/>
  <c r="J71" i="1"/>
  <c r="J90" i="1"/>
  <c r="J91" i="1" s="1"/>
  <c r="J92" i="1" s="1"/>
  <c r="J93" i="1" s="1"/>
  <c r="J76" i="1"/>
  <c r="J77" i="1" s="1"/>
  <c r="J78" i="1" s="1"/>
  <c r="J79" i="1" s="1"/>
  <c r="D88" i="1"/>
  <c r="D74" i="1"/>
  <c r="J81" i="1" l="1"/>
  <c r="J95" i="1"/>
  <c r="C87" i="1" l="1"/>
  <c r="J83" i="1" s="1"/>
  <c r="C73" i="1"/>
  <c r="G72" i="1" s="1"/>
  <c r="D66" i="1" s="1"/>
  <c r="D87" i="1" l="1"/>
  <c r="I83" i="1" s="1"/>
  <c r="I84" i="1" s="1"/>
  <c r="G86" i="1"/>
  <c r="E86" i="1"/>
  <c r="D73" i="1"/>
  <c r="I69" i="1" s="1"/>
  <c r="I70" i="1" s="1"/>
  <c r="J69" i="1"/>
  <c r="D67" i="1"/>
  <c r="F67" i="1"/>
  <c r="E72" i="1"/>
  <c r="I82" i="1" l="1"/>
  <c r="C84" i="1" s="1"/>
  <c r="I68" i="1"/>
  <c r="C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<sst xmlns="http://schemas.openxmlformats.org/spreadsheetml/2006/main" count="551" uniqueCount="310">
  <si>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</si>
  <si>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</si>
  <si>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</si>
  <si>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</si>
  <si>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</si>
  <si>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</si>
  <si>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</si>
  <si>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</si>
  <si>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</si>
  <si>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</si>
  <si>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</si>
  <si>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</si>
  <si>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</si>
  <si>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</si>
  <si>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</si>
  <si>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</si>
  <si>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</si>
  <si>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</si>
  <si>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</si>
  <si>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</si>
  <si>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</si>
  <si>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</si>
  <si>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</si>
  <si>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</si>
  <si>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</si>
  <si>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</si>
  <si>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</si>
  <si>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</si>
  <si>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</si>
  <si>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</si>
  <si>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</si>
  <si>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</si>
  <si>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</si>
  <si>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</si>
  <si>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</si>
  <si>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</si>
  <si>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</si>
  <si>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</si>
  <si>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</si>
  <si>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</si>
  <si>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</si>
  <si>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</si>
  <si>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</si>
  <si>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</si>
  <si>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</si>
  <si>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</si>
  <si>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</si>
  <si>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</si>
  <si>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</si>
  <si>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</si>
  <si>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</si>
  <si>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</si>
  <si>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</si>
  <si>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</si>
  <si>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</si>
  <si>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</si>
  <si>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</si>
  <si>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</si>
  <si>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</si>
  <si>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</si>
  <si>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</si>
  <si>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</si>
  <si>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</si>
  <si>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</si>
  <si>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</si>
  <si>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</si>
  <si>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</si>
  <si>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</si>
  <si>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</si>
  <si>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</si>
  <si>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</si>
  <si>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</si>
  <si>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</si>
  <si>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</si>
  <si>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</si>
  <si>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</si>
  <si>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</si>
  <si>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</si>
  <si>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</si>
  <si>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</si>
  <si>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</si>
  <si>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</si>
  <si>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</si>
  <si>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</si>
  <si>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</si>
  <si>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</si>
  <si>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</si>
  <si>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</si>
  <si>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</si>
  <si>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</si>
  <si>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</si>
  <si>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</si>
  <si>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</si>
  <si>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</si>
  <si>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</si>
  <si>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</si>
  <si>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</si>
  <si>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</si>
  <si>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</si>
  <si>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</si>
  <si>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</si>
  <si>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</si>
  <si>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</si>
  <si>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</si>
  <si>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</si>
  <si>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</si>
  <si>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</si>
  <si>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</si>
  <si>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</si>
  <si>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</si>
  <si>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</si>
  <si>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</si>
  <si>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</si>
  <si>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</si>
  <si>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</si>
  <si>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</si>
  <si>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</si>
  <si>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</si>
  <si>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</si>
  <si>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</si>
  <si>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</si>
  <si>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</si>
  <si>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</si>
  <si>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</si>
  <si>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</si>
  <si>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</si>
  <si>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</si>
  <si>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</si>
  <si>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</si>
  <si>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</si>
  <si>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</si>
  <si>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</si>
  <si>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</si>
  <si>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</si>
  <si>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</si>
  <si>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</si>
  <si>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</si>
  <si>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</si>
  <si>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</si>
  <si>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</si>
  <si>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</si>
  <si>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</si>
  <si>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</si>
  <si>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</si>
  <si>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</si>
  <si>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</si>
  <si>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</si>
  <si>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</si>
  <si>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</si>
  <si>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</si>
  <si>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</si>
  <si>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</si>
  <si>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</si>
  <si>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</si>
  <si>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</si>
  <si>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</si>
  <si>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</si>
  <si>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</si>
  <si>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</si>
  <si>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</si>
  <si>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</si>
  <si>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</si>
  <si>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</si>
  <si>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</si>
  <si>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</si>
  <si>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</si>
  <si>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</si>
  <si>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</si>
  <si>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</si>
  <si>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</si>
  <si>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</si>
  <si>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</si>
  <si>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</si>
  <si>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</si>
  <si>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</si>
  <si>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</si>
  <si>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</si>
  <si>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</si>
  <si>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</si>
  <si>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</si>
  <si>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</si>
  <si>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</si>
  <si>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</si>
  <si>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</si>
  <si>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</si>
  <si>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</si>
  <si>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</si>
  <si>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</si>
  <si>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</si>
  <si>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</si>
  <si>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</si>
  <si>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</si>
  <si>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</si>
  <si>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</si>
  <si>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</si>
  <si>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</si>
  <si>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</si>
  <si>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</si>
  <si>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</si>
  <si>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</si>
  <si>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</si>
  <si>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</si>
  <si>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</si>
  <si>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</si>
  <si>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</si>
  <si>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</si>
  <si>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</si>
  <si>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</si>
  <si>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</si>
  <si>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</si>
  <si>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</si>
  <si>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</si>
  <si>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</si>
  <si>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</si>
  <si>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</si>
  <si>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</si>
  <si>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</si>
  <si>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</si>
  <si>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</si>
  <si>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</si>
  <si>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</si>
  <si>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</si>
  <si>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</si>
  <si>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</si>
  <si>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</si>
  <si>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</si>
  <si>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</si>
  <si>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</si>
  <si>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</si>
  <si>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</si>
  <si>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</si>
  <si>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</si>
  <si>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</si>
  <si>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</si>
  <si>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</si>
  <si>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Modirealty Ashvattha</t>
  </si>
  <si>
    <t>91 2262364422</t>
  </si>
  <si>
    <t>P51800051189</t>
  </si>
  <si>
    <t>Shailendra Nagar</t>
  </si>
  <si>
    <t>Dahisar</t>
  </si>
  <si>
    <t>Wing A &amp; B</t>
  </si>
  <si>
    <t>Shailendra Vidyalay Marg</t>
  </si>
  <si>
    <t>https://maps.app.goo.gl/xtikfARqkKJqTqTv8</t>
  </si>
  <si>
    <t>19.2463902,72.8631015</t>
  </si>
  <si>
    <t>0.75 KM from Dahisar Railway Station</t>
  </si>
  <si>
    <t>Internal Road</t>
  </si>
  <si>
    <t>Akshayanand Apartment</t>
  </si>
  <si>
    <t>Open Plot</t>
  </si>
  <si>
    <t>12.20 M Wide Existing Road</t>
  </si>
  <si>
    <t>Other Plot</t>
  </si>
  <si>
    <t>9.15 M Wide Existing Road</t>
  </si>
  <si>
    <t>Maharashtra Housing and Area Development Authority (MHADA)</t>
  </si>
  <si>
    <t>02 Wings</t>
  </si>
  <si>
    <t>Mhada-87/1264/2023</t>
  </si>
  <si>
    <t>As per RERA - 31/03/2027</t>
  </si>
  <si>
    <t>Wing A</t>
  </si>
  <si>
    <t>1st Floor for Residential</t>
  </si>
  <si>
    <t>2BHK</t>
  </si>
  <si>
    <t>Fitness Center &amp; Society Office</t>
  </si>
  <si>
    <t>Wing B</t>
  </si>
  <si>
    <t>Parking Area</t>
  </si>
  <si>
    <t>3BHK</t>
  </si>
  <si>
    <t>2nd &amp; 3rd Floor</t>
  </si>
  <si>
    <t>4th to 7th Floor</t>
  </si>
  <si>
    <t>1BHK</t>
  </si>
  <si>
    <t>8th Floor (Part Refuge Area)</t>
  </si>
  <si>
    <t>Refuge Area</t>
  </si>
  <si>
    <t>15th Floor (Part Refuge Area)</t>
  </si>
  <si>
    <t>Flats - 141</t>
  </si>
  <si>
    <t>Wing A &amp; B = Gr/Stilt + 1st to 17th Floor</t>
  </si>
  <si>
    <t>Online</t>
  </si>
  <si>
    <t>MIS</t>
  </si>
  <si>
    <t>Visitor</t>
  </si>
  <si>
    <t>Builder</t>
  </si>
  <si>
    <t>Open to Sky Gym, Mechanical Parking, Rooftop yoga &amp; meditation area, Kids Play area, Swimming Pool, Rooftop Multipurpose Turf, Rooftop Gazebo seating area, terrace garden, Tensile roof sky lounge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</si>
  <si>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</si>
  <si>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As the project is redevelopement project but rehab statement or rehab flats is not mentioned in approved layout plan &amp; floor plan.</t>
  </si>
  <si>
    <t>Mr. Girish : 7977720187</t>
  </si>
  <si>
    <t>We have refered latest CC from Mhada site.</t>
  </si>
  <si>
    <t>MH/EE/(BP)/GM/MHADA-87/1264/2025/FCC/2/Amend</t>
  </si>
  <si>
    <t xml:space="preserve">Commencement-CC No
Valid Up to: </t>
  </si>
  <si>
    <t>Wing A &amp; B = Gr/Stilt + 1st to 19th Floor</t>
  </si>
  <si>
    <t>https://www.99acres.com/modirealty-ashvattha-shailendra-nagar-mumbai-andheri-dahisar-npxid-r414526?nn_source=Performance&amp;nn_account=Google_99acres-NPGoogle-Account&amp;nn_campaign=22427354317_176440246023_744923251438&amp;nn_medium=22427354317_176440246023_744923251438&amp;nn_adtype=g_&amp;nn_keyword=&amp;nn_placement=&amp;gad_source=1&amp;gad_campaignid=22427354317&amp;gbraid=0AAAAADLswZWaFzdXhuXP5GNA1K5RgNFmt&amp;gclid=CjwKCAjw6s7CBhACEiwAuHQcki38UaGdRMsVv8sHhdD_8y1kIl7dqrR46gzBpuUgyJwzREscTbLr_RoCaAYQAvD_BwE#showModal</t>
  </si>
  <si>
    <t>9th to 14th &amp; 16th to 19th Floor</t>
  </si>
  <si>
    <t>OK</t>
  </si>
  <si>
    <t>Ajinkyatara CHSL (Building No.4)</t>
  </si>
  <si>
    <t>1663B(PT) &amp; 1665-A(PT) &amp; Redevelopment of building "Ajinkyatara CHSL (Building No.4) "</t>
  </si>
  <si>
    <t>Dahisar East</t>
  </si>
  <si>
    <t xml:space="preserve">This C.C. is Now Further extended for Wing ‘A’ &amp; ‘B’ 18th floor and 19th upper Residential Floor with total building ht.61.45 mt. including OHT from AGL upto terrace level as per last IOA plans issued by MHADA on dtd-05.03.2025
</t>
  </si>
  <si>
    <t>Ground Floor For Parking</t>
  </si>
  <si>
    <t>1st Floor For Residential, Fitness Center &amp; Society Office</t>
  </si>
  <si>
    <t>RERA Carpet area</t>
  </si>
  <si>
    <t>We considered Gross carpet area = RERA Carpet Area</t>
  </si>
  <si>
    <t>Flats - 159</t>
  </si>
  <si>
    <t>Mr. Swagat 9324502210</t>
  </si>
  <si>
    <t>We have updated Revised Approved Plans &amp; CC on 20/06/2025.</t>
  </si>
  <si>
    <t>We have referred the Approved Plan from MHADA Portal on 20/06/2025</t>
  </si>
  <si>
    <t>Wing A = Gr/Stilt + 1st to 19th Floor</t>
  </si>
  <si>
    <t>Wing B = Gr/Stilt + 1st to 19th Floor</t>
  </si>
  <si>
    <t>99 acre</t>
  </si>
  <si>
    <t>index tap</t>
  </si>
  <si>
    <t>idex tap</t>
  </si>
  <si>
    <t xml:space="preserve">vist </t>
  </si>
  <si>
    <t>Housey</t>
  </si>
  <si>
    <t xml:space="preserve">Recommended Rates of the Property have been revised as per market inquiry on 21/06/2025.
</t>
  </si>
  <si>
    <t>M/s. Modirealty Developers Pvt Ltd</t>
  </si>
  <si>
    <t>Construction work is in process at the time of Visit. (Internal photo was not allowed)</t>
  </si>
  <si>
    <t>Please check for Fire Noc. 
REMOVED Remark on 24/06/2025 as per mail</t>
  </si>
  <si>
    <t>Kunal Kadam</t>
  </si>
  <si>
    <t>Suraj Mali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</si>
</sst>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26" fillId="0" borderId="0" xfId="10"/>
    <xf numFmtId="0" fontId="15" fillId="0" borderId="0" xfId="0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10" fillId="0" borderId="0" xfId="1" applyNumberFormat="1" applyFont="1" applyAlignment="1">
      <alignment horizontal="center" vertical="center"/>
    </xf>
    <xf numFmtId="0" fontId="24" fillId="0" borderId="1" xfId="0" applyFont="1" applyBorder="1"/>
    <xf numFmtId="0" fontId="14" fillId="0" borderId="0" xfId="0" applyFont="1" applyProtection="1">
      <protection hidden="1"/>
    </xf>
    <xf numFmtId="0" fontId="14" fillId="0" borderId="10" xfId="0" applyFont="1" applyBorder="1" applyProtection="1">
      <protection hidden="1"/>
    </xf>
    <xf numFmtId="1" fontId="30" fillId="0" borderId="7" xfId="0" applyNumberFormat="1" applyFont="1" applyBorder="1" applyAlignment="1" applyProtection="1">
      <alignment vertical="top" wrapText="1"/>
      <protection locked="0"/>
    </xf>
    <xf numFmtId="1" fontId="30" fillId="0" borderId="20" xfId="0" applyNumberFormat="1" applyFont="1" applyBorder="1" applyAlignment="1" applyProtection="1">
      <alignment vertical="top" wrapText="1"/>
      <protection locked="0"/>
    </xf>
    <xf numFmtId="1" fontId="30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25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3" xfId="1" applyFont="1" applyBorder="1" applyAlignment="1" applyProtection="1">
      <alignment horizontal="left" vertical="top" wrapText="1"/>
      <protection locked="0"/>
    </xf>
    <xf numFmtId="0" fontId="6" fillId="0" borderId="34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220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6" Type="http://schemas.openxmlformats.org/officeDocument/2006/relationships/image" Target="../media/image46.png"/><Relationship Id="rId5" Type="http://schemas.openxmlformats.org/officeDocument/2006/relationships/image" Target="../media/image45.png"/><Relationship Id="rId4" Type="http://schemas.openxmlformats.org/officeDocument/2006/relationships/image" Target="../media/image4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121226</xdr:colOff>
      <xdr:row>269</xdr:row>
      <xdr:rowOff>169615</xdr:rowOff>
    </xdr:from>
    <xdr:to>
      <xdr:col>14</xdr:col>
      <xdr:colOff>640903</xdr:colOff>
      <xdr:row>308</xdr:row>
      <xdr:rowOff>19864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832666" y="50233015"/>
          <a:ext cx="4428737" cy="7576929"/>
          <a:chOff x="1073726" y="55930085"/>
          <a:chExt cx="4329677" cy="771677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030441" y="60989089"/>
            <a:ext cx="2410136" cy="26577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73726" y="55930085"/>
            <a:ext cx="4329677" cy="4806407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3</xdr:col>
      <xdr:colOff>752475</xdr:colOff>
      <xdr:row>339</xdr:row>
      <xdr:rowOff>19050</xdr:rowOff>
    </xdr:from>
    <xdr:to>
      <xdr:col>4</xdr:col>
      <xdr:colOff>390525</xdr:colOff>
      <xdr:row>340</xdr:row>
      <xdr:rowOff>190500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162300" y="67465575"/>
          <a:ext cx="581025" cy="371475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914400</xdr:colOff>
      <xdr:row>340</xdr:row>
      <xdr:rowOff>190500</xdr:rowOff>
    </xdr:from>
    <xdr:to>
      <xdr:col>4</xdr:col>
      <xdr:colOff>371475</xdr:colOff>
      <xdr:row>344</xdr:row>
      <xdr:rowOff>161925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3324225" y="67837050"/>
          <a:ext cx="400050" cy="771525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338</xdr:row>
      <xdr:rowOff>171450</xdr:rowOff>
    </xdr:from>
    <xdr:to>
      <xdr:col>3</xdr:col>
      <xdr:colOff>914400</xdr:colOff>
      <xdr:row>344</xdr:row>
      <xdr:rowOff>171450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 flipV="1">
          <a:off x="3133725" y="67417950"/>
          <a:ext cx="190500" cy="1200150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235164</xdr:colOff>
      <xdr:row>49</xdr:row>
      <xdr:rowOff>142875</xdr:rowOff>
    </xdr:from>
    <xdr:to>
      <xdr:col>20</xdr:col>
      <xdr:colOff>503521</xdr:colOff>
      <xdr:row>63</xdr:row>
      <xdr:rowOff>34771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2864" y="11782425"/>
          <a:ext cx="7183507" cy="3559021"/>
        </a:xfrm>
        <a:prstGeom prst="rect">
          <a:avLst/>
        </a:prstGeom>
      </xdr:spPr>
    </xdr:pic>
    <xdr:clientData/>
  </xdr:twoCellAnchor>
  <xdr:oneCellAnchor>
    <xdr:from>
      <xdr:col>10</xdr:col>
      <xdr:colOff>622887</xdr:colOff>
      <xdr:row>55</xdr:row>
      <xdr:rowOff>39140</xdr:rowOff>
    </xdr:from>
    <xdr:ext cx="7238095" cy="3580952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587" y="13888490"/>
          <a:ext cx="7238095" cy="3580952"/>
        </a:xfrm>
        <a:prstGeom prst="rect">
          <a:avLst/>
        </a:prstGeom>
      </xdr:spPr>
    </xdr:pic>
    <xdr:clientData/>
  </xdr:oneCellAnchor>
  <xdr:twoCellAnchor editAs="oneCell">
    <xdr:from>
      <xdr:col>11</xdr:col>
      <xdr:colOff>263338</xdr:colOff>
      <xdr:row>62</xdr:row>
      <xdr:rowOff>52027</xdr:rowOff>
    </xdr:from>
    <xdr:to>
      <xdr:col>17</xdr:col>
      <xdr:colOff>70222</xdr:colOff>
      <xdr:row>115</xdr:row>
      <xdr:rowOff>94750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0456" y="19617498"/>
          <a:ext cx="4199590" cy="6022647"/>
        </a:xfrm>
        <a:prstGeom prst="rect">
          <a:avLst/>
        </a:prstGeom>
      </xdr:spPr>
    </xdr:pic>
    <xdr:clientData/>
  </xdr:twoCellAnchor>
  <xdr:twoCellAnchor>
    <xdr:from>
      <xdr:col>12</xdr:col>
      <xdr:colOff>425905</xdr:colOff>
      <xdr:row>133</xdr:row>
      <xdr:rowOff>129268</xdr:rowOff>
    </xdr:from>
    <xdr:to>
      <xdr:col>21</xdr:col>
      <xdr:colOff>289831</xdr:colOff>
      <xdr:row>162</xdr:row>
      <xdr:rowOff>14968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10370005" y="23179768"/>
          <a:ext cx="6142806" cy="5631180"/>
          <a:chOff x="0" y="0"/>
          <a:chExt cx="9124949" cy="9463088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0" y="0"/>
            <a:ext cx="3686175" cy="37623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0" y="3774282"/>
            <a:ext cx="3200400" cy="39433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686175" y="0"/>
            <a:ext cx="4533900" cy="33813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3019424" y="3290888"/>
            <a:ext cx="6105525" cy="24193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3200400" y="5710238"/>
            <a:ext cx="5019675" cy="375285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390525</xdr:colOff>
      <xdr:row>118</xdr:row>
      <xdr:rowOff>133350</xdr:rowOff>
    </xdr:from>
    <xdr:to>
      <xdr:col>15</xdr:col>
      <xdr:colOff>475537</xdr:colOff>
      <xdr:row>130</xdr:row>
      <xdr:rowOff>399943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25888950"/>
          <a:ext cx="5704762" cy="866667"/>
        </a:xfrm>
        <a:prstGeom prst="rect">
          <a:avLst/>
        </a:prstGeom>
      </xdr:spPr>
    </xdr:pic>
    <xdr:clientData/>
  </xdr:twoCellAnchor>
  <xdr:twoCellAnchor>
    <xdr:from>
      <xdr:col>0</xdr:col>
      <xdr:colOff>188259</xdr:colOff>
      <xdr:row>270</xdr:row>
      <xdr:rowOff>7621</xdr:rowOff>
    </xdr:from>
    <xdr:to>
      <xdr:col>7</xdr:col>
      <xdr:colOff>487680</xdr:colOff>
      <xdr:row>305</xdr:row>
      <xdr:rowOff>45720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188259" y="50269141"/>
          <a:ext cx="6090621" cy="6972299"/>
          <a:chOff x="495300" y="-17585"/>
          <a:chExt cx="6120000" cy="9358268"/>
        </a:xfrm>
      </xdr:grpSpPr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GrpSpPr/>
        </xdr:nvGrpSpPr>
        <xdr:grpSpPr>
          <a:xfrm>
            <a:off x="495300" y="-17585"/>
            <a:ext cx="6120000" cy="5940000"/>
            <a:chOff x="0" y="0"/>
            <a:chExt cx="6858000" cy="5942865"/>
          </a:xfrm>
        </xdr:grpSpPr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0" y="0"/>
              <a:ext cx="6858000" cy="594286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3" name="Freeform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1158239" y="2571750"/>
              <a:ext cx="4128135" cy="1924050"/>
            </a:xfrm>
            <a:custGeom>
              <a:avLst/>
              <a:gdLst>
                <a:gd name="connsiteX0" fmla="*/ 1723073 w 4128135"/>
                <a:gd name="connsiteY0" fmla="*/ 0 h 1924050"/>
                <a:gd name="connsiteX1" fmla="*/ 2446974 w 4128135"/>
                <a:gd name="connsiteY1" fmla="*/ 0 h 1924050"/>
                <a:gd name="connsiteX2" fmla="*/ 2446974 w 4128135"/>
                <a:gd name="connsiteY2" fmla="*/ 776288 h 1924050"/>
                <a:gd name="connsiteX3" fmla="*/ 1723073 w 4128135"/>
                <a:gd name="connsiteY3" fmla="*/ 776288 h 1924050"/>
                <a:gd name="connsiteX4" fmla="*/ 1723073 w 4128135"/>
                <a:gd name="connsiteY4" fmla="*/ 1195388 h 1924050"/>
                <a:gd name="connsiteX5" fmla="*/ 4128135 w 4128135"/>
                <a:gd name="connsiteY5" fmla="*/ 1195388 h 1924050"/>
                <a:gd name="connsiteX6" fmla="*/ 4128135 w 4128135"/>
                <a:gd name="connsiteY6" fmla="*/ 1924050 h 1924050"/>
                <a:gd name="connsiteX7" fmla="*/ 0 w 4128135"/>
                <a:gd name="connsiteY7" fmla="*/ 1924050 h 1924050"/>
                <a:gd name="connsiteX8" fmla="*/ 0 w 4128135"/>
                <a:gd name="connsiteY8" fmla="*/ 1195388 h 1924050"/>
                <a:gd name="connsiteX9" fmla="*/ 65724 w 4128135"/>
                <a:gd name="connsiteY9" fmla="*/ 1195388 h 1924050"/>
                <a:gd name="connsiteX10" fmla="*/ 65724 w 4128135"/>
                <a:gd name="connsiteY10" fmla="*/ 90488 h 1924050"/>
                <a:gd name="connsiteX11" fmla="*/ 1723073 w 4128135"/>
                <a:gd name="connsiteY11" fmla="*/ 90488 h 19240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</a:cxnLst>
              <a:rect l="l" t="t" r="r" b="b"/>
              <a:pathLst>
                <a:path w="4128135" h="1924050">
                  <a:moveTo>
                    <a:pt x="1723073" y="0"/>
                  </a:moveTo>
                  <a:lnTo>
                    <a:pt x="2446974" y="0"/>
                  </a:lnTo>
                  <a:lnTo>
                    <a:pt x="2446974" y="776288"/>
                  </a:lnTo>
                  <a:lnTo>
                    <a:pt x="1723073" y="776288"/>
                  </a:lnTo>
                  <a:lnTo>
                    <a:pt x="1723073" y="1195388"/>
                  </a:lnTo>
                  <a:lnTo>
                    <a:pt x="4128135" y="1195388"/>
                  </a:lnTo>
                  <a:lnTo>
                    <a:pt x="4128135" y="1924050"/>
                  </a:lnTo>
                  <a:lnTo>
                    <a:pt x="0" y="1924050"/>
                  </a:lnTo>
                  <a:lnTo>
                    <a:pt x="0" y="1195388"/>
                  </a:lnTo>
                  <a:lnTo>
                    <a:pt x="65724" y="1195388"/>
                  </a:lnTo>
                  <a:lnTo>
                    <a:pt x="65724" y="90488"/>
                  </a:lnTo>
                  <a:lnTo>
                    <a:pt x="1723073" y="90488"/>
                  </a:lnTo>
                  <a:close/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4" name="Freeform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3405188" y="866773"/>
              <a:ext cx="2143124" cy="2488406"/>
            </a:xfrm>
            <a:custGeom>
              <a:avLst/>
              <a:gdLst>
                <a:gd name="connsiteX0" fmla="*/ 1042986 w 2143124"/>
                <a:gd name="connsiteY0" fmla="*/ 0 h 2488406"/>
                <a:gd name="connsiteX1" fmla="*/ 2143124 w 2143124"/>
                <a:gd name="connsiteY1" fmla="*/ 0 h 2488406"/>
                <a:gd name="connsiteX2" fmla="*/ 2143124 w 2143124"/>
                <a:gd name="connsiteY2" fmla="*/ 1762125 h 2488406"/>
                <a:gd name="connsiteX3" fmla="*/ 2038349 w 2143124"/>
                <a:gd name="connsiteY3" fmla="*/ 1762125 h 2488406"/>
                <a:gd name="connsiteX4" fmla="*/ 2038349 w 2143124"/>
                <a:gd name="connsiteY4" fmla="*/ 2488406 h 2488406"/>
                <a:gd name="connsiteX5" fmla="*/ 1262062 w 2143124"/>
                <a:gd name="connsiteY5" fmla="*/ 2488406 h 2488406"/>
                <a:gd name="connsiteX6" fmla="*/ 1262062 w 2143124"/>
                <a:gd name="connsiteY6" fmla="*/ 1762125 h 2488406"/>
                <a:gd name="connsiteX7" fmla="*/ 1042986 w 2143124"/>
                <a:gd name="connsiteY7" fmla="*/ 1762125 h 2488406"/>
                <a:gd name="connsiteX8" fmla="*/ 1042986 w 2143124"/>
                <a:gd name="connsiteY8" fmla="*/ 1704977 h 2488406"/>
                <a:gd name="connsiteX9" fmla="*/ 0 w 2143124"/>
                <a:gd name="connsiteY9" fmla="*/ 1704977 h 2488406"/>
                <a:gd name="connsiteX10" fmla="*/ 0 w 2143124"/>
                <a:gd name="connsiteY10" fmla="*/ 581027 h 2488406"/>
                <a:gd name="connsiteX11" fmla="*/ 1042986 w 2143124"/>
                <a:gd name="connsiteY11" fmla="*/ 581027 h 248840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</a:cxnLst>
              <a:rect l="l" t="t" r="r" b="b"/>
              <a:pathLst>
                <a:path w="2143124" h="2488406">
                  <a:moveTo>
                    <a:pt x="1042986" y="0"/>
                  </a:moveTo>
                  <a:lnTo>
                    <a:pt x="2143124" y="0"/>
                  </a:lnTo>
                  <a:lnTo>
                    <a:pt x="2143124" y="1762125"/>
                  </a:lnTo>
                  <a:lnTo>
                    <a:pt x="2038349" y="1762125"/>
                  </a:lnTo>
                  <a:lnTo>
                    <a:pt x="2038349" y="2488406"/>
                  </a:lnTo>
                  <a:lnTo>
                    <a:pt x="1262062" y="2488406"/>
                  </a:lnTo>
                  <a:lnTo>
                    <a:pt x="1262062" y="1762125"/>
                  </a:lnTo>
                  <a:lnTo>
                    <a:pt x="1042986" y="1762125"/>
                  </a:lnTo>
                  <a:lnTo>
                    <a:pt x="1042986" y="1704977"/>
                  </a:lnTo>
                  <a:lnTo>
                    <a:pt x="0" y="1704977"/>
                  </a:lnTo>
                  <a:lnTo>
                    <a:pt x="0" y="581027"/>
                  </a:lnTo>
                  <a:lnTo>
                    <a:pt x="1042986" y="581027"/>
                  </a:lnTo>
                  <a:close/>
                </a:path>
              </a:pathLst>
            </a:custGeom>
            <a:noFill/>
            <a:ln w="38100">
              <a:solidFill>
                <a:srgbClr val="220EB2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5" name="TextBox 3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818773" y="4570175"/>
              <a:ext cx="1228942" cy="533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400" b="1">
                  <a:solidFill>
                    <a:srgbClr val="FF0000"/>
                  </a:solidFill>
                </a:rPr>
                <a:t>Wing B</a:t>
              </a:r>
              <a:endParaRPr lang="en-IN" sz="2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6" name="TextBox 30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 txBox="1"/>
          </xdr:nvSpPr>
          <xdr:spPr>
            <a:xfrm>
              <a:off x="3184842" y="936972"/>
              <a:ext cx="1349650" cy="533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400" b="1">
                  <a:solidFill>
                    <a:srgbClr val="220EB2"/>
                  </a:solidFill>
                </a:rPr>
                <a:t>Wing A</a:t>
              </a:r>
              <a:endParaRPr lang="en-IN" sz="2400" b="1">
                <a:solidFill>
                  <a:srgbClr val="220EB2"/>
                </a:solidFill>
              </a:endParaRPr>
            </a:p>
          </xdr:txBody>
        </xdr:sp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3859016">
              <a:off x="4636320" y="4723835"/>
              <a:ext cx="1080000" cy="1080000"/>
            </a:xfrm>
            <a:prstGeom prst="rect">
              <a:avLst/>
            </a:prstGeom>
          </xdr:spPr>
        </xdr:pic>
      </xdr:grpSp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888769" y="6051534"/>
            <a:ext cx="3208488" cy="3289149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572956</xdr:colOff>
      <xdr:row>312</xdr:row>
      <xdr:rowOff>45720</xdr:rowOff>
    </xdr:from>
    <xdr:to>
      <xdr:col>7</xdr:col>
      <xdr:colOff>53340</xdr:colOff>
      <xdr:row>348</xdr:row>
      <xdr:rowOff>167516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572956" y="58628280"/>
          <a:ext cx="5271584" cy="7254116"/>
          <a:chOff x="1090221" y="686531"/>
          <a:chExt cx="4680000" cy="8077748"/>
        </a:xfrm>
      </xdr:grpSpPr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90221" y="686531"/>
            <a:ext cx="468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40" name="Group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GrpSpPr/>
        </xdr:nvGrpSpPr>
        <xdr:grpSpPr>
          <a:xfrm>
            <a:off x="1090221" y="4804279"/>
            <a:ext cx="4680000" cy="3960000"/>
            <a:chOff x="1090221" y="4786694"/>
            <a:chExt cx="4680000" cy="3960000"/>
          </a:xfrm>
        </xdr:grpSpPr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5"/>
            <a:srcRect l="23563" t="19304" r="5086" b="21147"/>
            <a:stretch/>
          </xdr:blipFill>
          <xdr:spPr>
            <a:xfrm>
              <a:off x="1090221" y="4786694"/>
              <a:ext cx="4680000" cy="39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2" name="Isosceles Triangl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>
            <a:xfrm rot="17747002" flipH="1">
              <a:off x="2094402" y="6771840"/>
              <a:ext cx="1563284" cy="1037645"/>
            </a:xfrm>
            <a:prstGeom prst="triangle">
              <a:avLst>
                <a:gd name="adj" fmla="val 0"/>
              </a:avLst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3" name="TextBox 19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 txBox="1"/>
          </xdr:nvSpPr>
          <xdr:spPr>
            <a:xfrm rot="1488786">
              <a:off x="2264992" y="6283891"/>
              <a:ext cx="225933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FF00"/>
                  </a:solidFill>
                </a:rPr>
                <a:t>Modirealty Ashvattha</a:t>
              </a:r>
              <a:endParaRPr lang="en-IN" b="1">
                <a:solidFill>
                  <a:srgbClr val="FFFF00"/>
                </a:solidFill>
              </a:endParaRPr>
            </a:p>
          </xdr:txBody>
        </xdr:sp>
      </xdr:grpSp>
    </xdr:grpSp>
    <xdr:clientData/>
  </xdr:twoCellAnchor>
  <xdr:twoCellAnchor editAs="oneCell">
    <xdr:from>
      <xdr:col>8</xdr:col>
      <xdr:colOff>437029</xdr:colOff>
      <xdr:row>44</xdr:row>
      <xdr:rowOff>56030</xdr:rowOff>
    </xdr:from>
    <xdr:to>
      <xdr:col>15</xdr:col>
      <xdr:colOff>440057</xdr:colOff>
      <xdr:row>49</xdr:row>
      <xdr:rowOff>336416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90764" y="10331824"/>
          <a:ext cx="5639587" cy="1714739"/>
        </a:xfrm>
        <a:prstGeom prst="rect">
          <a:avLst/>
        </a:prstGeom>
      </xdr:spPr>
    </xdr:pic>
    <xdr:clientData/>
  </xdr:twoCellAnchor>
  <xdr:twoCellAnchor editAs="oneCell">
    <xdr:from>
      <xdr:col>12</xdr:col>
      <xdr:colOff>616403</xdr:colOff>
      <xdr:row>147</xdr:row>
      <xdr:rowOff>14968</xdr:rowOff>
    </xdr:from>
    <xdr:to>
      <xdr:col>23</xdr:col>
      <xdr:colOff>33599</xdr:colOff>
      <xdr:row>167</xdr:row>
      <xdr:rowOff>148895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77474" y="26671361"/>
          <a:ext cx="6765054" cy="4216070"/>
        </a:xfrm>
        <a:prstGeom prst="rect">
          <a:avLst/>
        </a:prstGeom>
      </xdr:spPr>
    </xdr:pic>
    <xdr:clientData/>
  </xdr:twoCellAnchor>
  <xdr:twoCellAnchor editAs="oneCell">
    <xdr:from>
      <xdr:col>13</xdr:col>
      <xdr:colOff>610710</xdr:colOff>
      <xdr:row>160</xdr:row>
      <xdr:rowOff>130135</xdr:rowOff>
    </xdr:from>
    <xdr:to>
      <xdr:col>24</xdr:col>
      <xdr:colOff>603418</xdr:colOff>
      <xdr:row>184</xdr:row>
      <xdr:rowOff>128097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088210" y="29848135"/>
          <a:ext cx="7110481" cy="4985598"/>
        </a:xfrm>
        <a:prstGeom prst="rect">
          <a:avLst/>
        </a:prstGeom>
      </xdr:spPr>
    </xdr:pic>
    <xdr:clientData/>
  </xdr:twoCellAnchor>
  <xdr:twoCellAnchor>
    <xdr:from>
      <xdr:col>8</xdr:col>
      <xdr:colOff>979171</xdr:colOff>
      <xdr:row>227</xdr:row>
      <xdr:rowOff>160020</xdr:rowOff>
    </xdr:from>
    <xdr:to>
      <xdr:col>17</xdr:col>
      <xdr:colOff>1</xdr:colOff>
      <xdr:row>267</xdr:row>
      <xdr:rowOff>0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7494271" y="41910000"/>
          <a:ext cx="6229350" cy="7757160"/>
          <a:chOff x="495792" y="798013"/>
          <a:chExt cx="6265289" cy="7671711"/>
        </a:xfrm>
      </xdr:grpSpPr>
      <xdr:pic>
        <xdr:nvPicPr>
          <xdr:cNvPr id="45" name="Picture 44" descr="https://vsjcllp.vsjadon.com/upload/insp-238042-1525.jpg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90627" y="7219949"/>
            <a:ext cx="1657912" cy="1249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38042-843.jpg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5792" y="798013"/>
            <a:ext cx="3070454" cy="4082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38042-844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14379" y="4970256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38042-847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90627" y="798013"/>
            <a:ext cx="3070454" cy="4082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38042-862.jp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0579" y="4970256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38042-925.jp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47828" y="7219949"/>
            <a:ext cx="1664052" cy="1249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8042-845.jp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0719" y="4970256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17</xdr:col>
      <xdr:colOff>113477</xdr:colOff>
      <xdr:row>190</xdr:row>
      <xdr:rowOff>150026</xdr:rowOff>
    </xdr:from>
    <xdr:to>
      <xdr:col>29</xdr:col>
      <xdr:colOff>24299</xdr:colOff>
      <xdr:row>207</xdr:row>
      <xdr:rowOff>361101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465795" y="36102571"/>
          <a:ext cx="7184459" cy="3547372"/>
        </a:xfrm>
        <a:prstGeom prst="rect">
          <a:avLst/>
        </a:prstGeom>
      </xdr:spPr>
    </xdr:pic>
    <xdr:clientData/>
  </xdr:twoCellAnchor>
  <xdr:twoCellAnchor editAs="oneCell">
    <xdr:from>
      <xdr:col>21</xdr:col>
      <xdr:colOff>465169</xdr:colOff>
      <xdr:row>199</xdr:row>
      <xdr:rowOff>161036</xdr:rowOff>
    </xdr:from>
    <xdr:to>
      <xdr:col>28</xdr:col>
      <xdr:colOff>421757</xdr:colOff>
      <xdr:row>209</xdr:row>
      <xdr:rowOff>56282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603951">
          <a:off x="17593215" y="34372740"/>
          <a:ext cx="1847872" cy="4290463"/>
        </a:xfrm>
        <a:prstGeom prst="rect">
          <a:avLst/>
        </a:prstGeom>
      </xdr:spPr>
    </xdr:pic>
    <xdr:clientData/>
  </xdr:twoCellAnchor>
  <xdr:twoCellAnchor editAs="oneCell">
    <xdr:from>
      <xdr:col>20</xdr:col>
      <xdr:colOff>195667</xdr:colOff>
      <xdr:row>173</xdr:row>
      <xdr:rowOff>92631</xdr:rowOff>
    </xdr:from>
    <xdr:to>
      <xdr:col>32</xdr:col>
      <xdr:colOff>244831</xdr:colOff>
      <xdr:row>188</xdr:row>
      <xdr:rowOff>39258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367631" y="32055810"/>
          <a:ext cx="7397021" cy="3008234"/>
        </a:xfrm>
        <a:prstGeom prst="rect">
          <a:avLst/>
        </a:prstGeom>
      </xdr:spPr>
    </xdr:pic>
    <xdr:clientData/>
  </xdr:twoCellAnchor>
  <xdr:twoCellAnchor editAs="oneCell">
    <xdr:from>
      <xdr:col>15</xdr:col>
      <xdr:colOff>481011</xdr:colOff>
      <xdr:row>69</xdr:row>
      <xdr:rowOff>74901</xdr:rowOff>
    </xdr:from>
    <xdr:to>
      <xdr:col>24</xdr:col>
      <xdr:colOff>249379</xdr:colOff>
      <xdr:row>164</xdr:row>
      <xdr:rowOff>2178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444411" y="17467551"/>
          <a:ext cx="5426218" cy="11978307"/>
        </a:xfrm>
        <a:prstGeom prst="rect">
          <a:avLst/>
        </a:prstGeom>
      </xdr:spPr>
    </xdr:pic>
    <xdr:clientData/>
  </xdr:twoCellAnchor>
  <xdr:twoCellAnchor editAs="oneCell">
    <xdr:from>
      <xdr:col>19</xdr:col>
      <xdr:colOff>306653</xdr:colOff>
      <xdr:row>140</xdr:row>
      <xdr:rowOff>83128</xdr:rowOff>
    </xdr:from>
    <xdr:to>
      <xdr:col>28</xdr:col>
      <xdr:colOff>265151</xdr:colOff>
      <xdr:row>200</xdr:row>
      <xdr:rowOff>62964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871244" y="25644764"/>
          <a:ext cx="5413725" cy="12448927"/>
        </a:xfrm>
        <a:prstGeom prst="rect">
          <a:avLst/>
        </a:prstGeom>
      </xdr:spPr>
    </xdr:pic>
    <xdr:clientData/>
  </xdr:twoCellAnchor>
  <xdr:twoCellAnchor editAs="oneCell">
    <xdr:from>
      <xdr:col>13</xdr:col>
      <xdr:colOff>478417</xdr:colOff>
      <xdr:row>196</xdr:row>
      <xdr:rowOff>10823</xdr:rowOff>
    </xdr:from>
    <xdr:to>
      <xdr:col>29</xdr:col>
      <xdr:colOff>303605</xdr:colOff>
      <xdr:row>210</xdr:row>
      <xdr:rowOff>138437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955917" y="37210278"/>
          <a:ext cx="9973643" cy="3068393"/>
        </a:xfrm>
        <a:prstGeom prst="rect">
          <a:avLst/>
        </a:prstGeom>
      </xdr:spPr>
    </xdr:pic>
    <xdr:clientData/>
  </xdr:twoCellAnchor>
  <xdr:twoCellAnchor editAs="oneCell">
    <xdr:from>
      <xdr:col>15</xdr:col>
      <xdr:colOff>493567</xdr:colOff>
      <xdr:row>201</xdr:row>
      <xdr:rowOff>164523</xdr:rowOff>
    </xdr:from>
    <xdr:to>
      <xdr:col>30</xdr:col>
      <xdr:colOff>589382</xdr:colOff>
      <xdr:row>222</xdr:row>
      <xdr:rowOff>6013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460431" y="38403068"/>
          <a:ext cx="9361042" cy="4245402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214</xdr:row>
      <xdr:rowOff>38101</xdr:rowOff>
    </xdr:from>
    <xdr:to>
      <xdr:col>12</xdr:col>
      <xdr:colOff>609150</xdr:colOff>
      <xdr:row>223</xdr:row>
      <xdr:rowOff>124852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53250" y="39738301"/>
          <a:ext cx="3600000" cy="1473591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228</xdr:row>
      <xdr:rowOff>15240</xdr:rowOff>
    </xdr:from>
    <xdr:to>
      <xdr:col>7</xdr:col>
      <xdr:colOff>414520</xdr:colOff>
      <xdr:row>257</xdr:row>
      <xdr:rowOff>111963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B8B50700-1B99-D606-22FF-324FD742CF34}"/>
            </a:ext>
          </a:extLst>
        </xdr:cNvPr>
        <xdr:cNvGrpSpPr/>
      </xdr:nvGrpSpPr>
      <xdr:grpSpPr>
        <a:xfrm>
          <a:off x="281940" y="41963340"/>
          <a:ext cx="5923780" cy="5834583"/>
          <a:chOff x="443961" y="184709"/>
          <a:chExt cx="5923780" cy="5834583"/>
        </a:xfrm>
      </xdr:grpSpPr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54B7A722-254D-FE13-761D-32D7549A8A83}"/>
              </a:ext>
            </a:extLst>
          </xdr:cNvPr>
          <xdr:cNvGrpSpPr/>
        </xdr:nvGrpSpPr>
        <xdr:grpSpPr>
          <a:xfrm>
            <a:off x="443961" y="184709"/>
            <a:ext cx="5923780" cy="3840000"/>
            <a:chOff x="443961" y="184709"/>
            <a:chExt cx="5923780" cy="3840000"/>
          </a:xfrm>
        </xdr:grpSpPr>
        <xdr:pic>
          <xdr:nvPicPr>
            <xdr:cNvPr id="69" name="Picture 68">
              <a:extLst>
                <a:ext uri="{FF2B5EF4-FFF2-40B4-BE49-F238E27FC236}">
                  <a16:creationId xmlns:a16="http://schemas.microsoft.com/office/drawing/2014/main" id="{43EDF2D4-A739-19A8-0ED2-EA325FB68E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43961" y="184709"/>
              <a:ext cx="2880000" cy="38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id="{4415BF8C-AB2C-C1AF-0C52-F15B821F82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87741" y="184709"/>
              <a:ext cx="2880000" cy="38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2" name="Group 61">
            <a:extLst>
              <a:ext uri="{FF2B5EF4-FFF2-40B4-BE49-F238E27FC236}">
                <a16:creationId xmlns:a16="http://schemas.microsoft.com/office/drawing/2014/main" id="{D0F6A823-C73E-7A36-9873-CFA93858000F}"/>
              </a:ext>
            </a:extLst>
          </xdr:cNvPr>
          <xdr:cNvGrpSpPr/>
        </xdr:nvGrpSpPr>
        <xdr:grpSpPr>
          <a:xfrm>
            <a:off x="1217071" y="4219292"/>
            <a:ext cx="4377560" cy="1800000"/>
            <a:chOff x="460181" y="4219292"/>
            <a:chExt cx="4377560" cy="1800000"/>
          </a:xfrm>
        </xdr:grpSpPr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35134D7F-FC29-371E-9103-F36DB8CD91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973961" y="4219292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AAF93BAE-8CF1-6573-BCF8-9EC536E2DD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87741" y="4219292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8" name="Picture 67">
              <a:extLst>
                <a:ext uri="{FF2B5EF4-FFF2-40B4-BE49-F238E27FC236}">
                  <a16:creationId xmlns:a16="http://schemas.microsoft.com/office/drawing/2014/main" id="{8DACDEA8-04D0-3990-07A1-1A1B4F16ED5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0181" y="4219292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63" name="TextBox 16">
            <a:extLst>
              <a:ext uri="{FF2B5EF4-FFF2-40B4-BE49-F238E27FC236}">
                <a16:creationId xmlns:a16="http://schemas.microsoft.com/office/drawing/2014/main" id="{47CBB020-3BAB-9F62-24F8-DD7EF914B27B}"/>
              </a:ext>
            </a:extLst>
          </xdr:cNvPr>
          <xdr:cNvSpPr txBox="1"/>
        </xdr:nvSpPr>
        <xdr:spPr>
          <a:xfrm>
            <a:off x="2301613" y="746760"/>
            <a:ext cx="530915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/>
              <a:t>Wing A</a:t>
            </a:r>
            <a:endParaRPr lang="en-IN" sz="900" b="1"/>
          </a:p>
        </xdr:txBody>
      </xdr:sp>
      <xdr:sp macro="" textlink="">
        <xdr:nvSpPr>
          <xdr:cNvPr id="64" name="TextBox 17">
            <a:extLst>
              <a:ext uri="{FF2B5EF4-FFF2-40B4-BE49-F238E27FC236}">
                <a16:creationId xmlns:a16="http://schemas.microsoft.com/office/drawing/2014/main" id="{DCE297A9-7DA9-A7B4-C9E3-4E0FEE9DE7B8}"/>
              </a:ext>
            </a:extLst>
          </xdr:cNvPr>
          <xdr:cNvSpPr txBox="1"/>
        </xdr:nvSpPr>
        <xdr:spPr>
          <a:xfrm>
            <a:off x="757293" y="977592"/>
            <a:ext cx="530915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/>
              <a:t>Wing B</a:t>
            </a:r>
            <a:endParaRPr lang="en-IN" sz="900" b="1"/>
          </a:p>
        </xdr:txBody>
      </xdr:sp>
      <xdr:sp macro="" textlink="">
        <xdr:nvSpPr>
          <xdr:cNvPr id="65" name="TextBox 18">
            <a:extLst>
              <a:ext uri="{FF2B5EF4-FFF2-40B4-BE49-F238E27FC236}">
                <a16:creationId xmlns:a16="http://schemas.microsoft.com/office/drawing/2014/main" id="{C3C21EBF-9772-BB46-E6D7-3DCE48AFDA27}"/>
              </a:ext>
            </a:extLst>
          </xdr:cNvPr>
          <xdr:cNvSpPr txBox="1"/>
        </xdr:nvSpPr>
        <xdr:spPr>
          <a:xfrm>
            <a:off x="4150733" y="403552"/>
            <a:ext cx="530915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/>
              <a:t>Wing B</a:t>
            </a:r>
            <a:endParaRPr lang="en-IN" sz="9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693530</xdr:colOff>
      <xdr:row>29</xdr:row>
      <xdr:rowOff>178518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94997</xdr:colOff>
      <xdr:row>14</xdr:row>
      <xdr:rowOff>0</xdr:rowOff>
    </xdr:from>
    <xdr:to>
      <xdr:col>11</xdr:col>
      <xdr:colOff>385114</xdr:colOff>
      <xdr:row>29</xdr:row>
      <xdr:rowOff>178518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6173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548581</xdr:colOff>
      <xdr:row>14</xdr:row>
      <xdr:rowOff>0</xdr:rowOff>
    </xdr:from>
    <xdr:to>
      <xdr:col>21</xdr:col>
      <xdr:colOff>121522</xdr:colOff>
      <xdr:row>29</xdr:row>
      <xdr:rowOff>178518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09640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31</xdr:row>
      <xdr:rowOff>23643</xdr:rowOff>
    </xdr:from>
    <xdr:to>
      <xdr:col>4</xdr:col>
      <xdr:colOff>693530</xdr:colOff>
      <xdr:row>47</xdr:row>
      <xdr:rowOff>11661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940349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94997</xdr:colOff>
      <xdr:row>30</xdr:row>
      <xdr:rowOff>186267</xdr:rowOff>
    </xdr:from>
    <xdr:to>
      <xdr:col>11</xdr:col>
      <xdr:colOff>385114</xdr:colOff>
      <xdr:row>46</xdr:row>
      <xdr:rowOff>174285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6173" y="5912473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548581</xdr:colOff>
      <xdr:row>30</xdr:row>
      <xdr:rowOff>186267</xdr:rowOff>
    </xdr:from>
    <xdr:to>
      <xdr:col>21</xdr:col>
      <xdr:colOff>121522</xdr:colOff>
      <xdr:row>46</xdr:row>
      <xdr:rowOff>174285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09640" y="5912473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xtikfARqkKJqTqTv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11"/>
  <sheetViews>
    <sheetView tabSelected="1" showWhiteSpace="0" view="pageBreakPreview" zoomScaleNormal="100" zoomScaleSheetLayoutView="100" zoomScalePageLayoutView="85" workbookViewId="0">
      <selection activeCell="J6" sqref="J6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6" width="11.6640625" style="38" customWidth="1"/>
    <col min="7" max="7" width="10.88671875" style="38" customWidth="1"/>
    <col min="8" max="8" width="10.55468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26" ht="46.5" customHeight="1" x14ac:dyDescent="0.3">
      <c r="A1" s="161" t="s">
        <v>167</v>
      </c>
      <c r="B1" s="161"/>
      <c r="C1" s="161"/>
      <c r="D1" s="161"/>
      <c r="E1" s="161"/>
      <c r="F1" s="161"/>
      <c r="G1" s="161"/>
      <c r="H1" s="161"/>
    </row>
    <row r="2" spans="1:26" ht="16.5" customHeight="1" x14ac:dyDescent="0.3">
      <c r="A2" s="162" t="s">
        <v>0</v>
      </c>
      <c r="B2" s="162"/>
      <c r="C2" s="162"/>
      <c r="D2" s="162"/>
      <c r="E2" s="162"/>
      <c r="F2" s="162"/>
      <c r="G2" s="162"/>
      <c r="H2" s="162"/>
    </row>
    <row r="3" spans="1:26" x14ac:dyDescent="0.3">
      <c r="A3" s="93" t="s">
        <v>1</v>
      </c>
      <c r="B3" s="93"/>
      <c r="C3" s="93"/>
      <c r="D3" s="93"/>
      <c r="E3" s="93" t="str">
        <f ca="1">TEXT(TODAY(),"DD/MM/YYYY")</f>
        <v>15/09/2025</v>
      </c>
      <c r="F3" s="93"/>
      <c r="G3" s="93"/>
      <c r="H3" s="93"/>
    </row>
    <row r="4" spans="1:26" ht="15" customHeight="1" x14ac:dyDescent="0.3">
      <c r="A4" s="93" t="s">
        <v>2</v>
      </c>
      <c r="B4" s="93"/>
      <c r="C4" s="93"/>
      <c r="D4" s="93"/>
      <c r="E4" s="93" t="s">
        <v>173</v>
      </c>
      <c r="F4" s="93"/>
      <c r="G4" s="93"/>
      <c r="H4" s="93"/>
    </row>
    <row r="5" spans="1:26" x14ac:dyDescent="0.3">
      <c r="A5" s="93" t="s">
        <v>3</v>
      </c>
      <c r="B5" s="93"/>
      <c r="C5" s="93"/>
      <c r="D5" s="93"/>
      <c r="E5" s="163">
        <v>45908</v>
      </c>
      <c r="F5" s="93"/>
      <c r="G5" s="93"/>
      <c r="H5" s="93"/>
    </row>
    <row r="6" spans="1:26" ht="16.5" customHeight="1" x14ac:dyDescent="0.3">
      <c r="A6" s="93" t="s">
        <v>4</v>
      </c>
      <c r="B6" s="93"/>
      <c r="C6" s="93"/>
      <c r="D6" s="93"/>
      <c r="E6" s="93" t="s">
        <v>305</v>
      </c>
      <c r="F6" s="93"/>
      <c r="G6" s="93"/>
      <c r="H6" s="93"/>
    </row>
    <row r="7" spans="1:26" ht="15" customHeight="1" x14ac:dyDescent="0.3">
      <c r="A7" s="93" t="s">
        <v>5</v>
      </c>
      <c r="B7" s="93"/>
      <c r="C7" s="93"/>
      <c r="D7" s="93"/>
      <c r="E7" s="93" t="str">
        <f>E6</f>
        <v>M/s. Modirealty Developers Pvt Ltd</v>
      </c>
      <c r="F7" s="93"/>
      <c r="G7" s="93"/>
      <c r="H7" s="93"/>
    </row>
    <row r="8" spans="1:26" x14ac:dyDescent="0.3">
      <c r="A8" s="93" t="s">
        <v>6</v>
      </c>
      <c r="B8" s="93"/>
      <c r="C8" s="93"/>
      <c r="D8" s="93"/>
      <c r="E8" s="100" t="s">
        <v>235</v>
      </c>
      <c r="F8" s="100"/>
      <c r="G8" s="100"/>
      <c r="H8" s="100"/>
    </row>
    <row r="9" spans="1:26" x14ac:dyDescent="0.3">
      <c r="A9" s="93" t="s">
        <v>170</v>
      </c>
      <c r="B9" s="93"/>
      <c r="C9" s="93"/>
      <c r="D9" s="93"/>
      <c r="E9" s="93" t="s">
        <v>236</v>
      </c>
      <c r="F9" s="93"/>
      <c r="G9" s="93"/>
      <c r="H9" s="93"/>
    </row>
    <row r="10" spans="1:26" x14ac:dyDescent="0.3">
      <c r="A10" s="93" t="s">
        <v>171</v>
      </c>
      <c r="B10" s="93"/>
      <c r="C10" s="93"/>
      <c r="D10" s="93"/>
      <c r="E10" s="93" t="s">
        <v>294</v>
      </c>
      <c r="F10" s="93"/>
      <c r="G10" s="93"/>
      <c r="H10" s="93"/>
      <c r="I10" s="93" t="s">
        <v>277</v>
      </c>
      <c r="J10" s="93"/>
      <c r="K10" s="93"/>
      <c r="L10" s="93"/>
    </row>
    <row r="11" spans="1:26" x14ac:dyDescent="0.3">
      <c r="A11" s="93" t="s">
        <v>7</v>
      </c>
      <c r="B11" s="93"/>
      <c r="C11" s="93"/>
      <c r="D11" s="93"/>
      <c r="E11" s="93" t="s">
        <v>240</v>
      </c>
      <c r="F11" s="93"/>
      <c r="G11" s="93"/>
      <c r="H11" s="93"/>
    </row>
    <row r="12" spans="1:26" x14ac:dyDescent="0.3">
      <c r="A12" s="93" t="s">
        <v>174</v>
      </c>
      <c r="B12" s="93"/>
      <c r="C12" s="93"/>
      <c r="D12" s="93"/>
      <c r="E12" s="93" t="s">
        <v>285</v>
      </c>
      <c r="F12" s="93"/>
      <c r="G12" s="93"/>
      <c r="H12" s="93"/>
      <c r="S12" s="50" t="s">
        <v>182</v>
      </c>
      <c r="T12" s="50" t="s">
        <v>192</v>
      </c>
      <c r="U12" s="50" t="s">
        <v>175</v>
      </c>
      <c r="V12" s="50" t="s">
        <v>197</v>
      </c>
      <c r="W12" s="50" t="s">
        <v>215</v>
      </c>
      <c r="X12"/>
      <c r="Y12" t="s">
        <v>197</v>
      </c>
      <c r="Z12" t="e">
        <f ca="1">OFFSET($S$12,1,MATCH($G19,$S$12:$W$12,0)-1,15,1)</f>
        <v>#VALUE!</v>
      </c>
    </row>
    <row r="13" spans="1:26" x14ac:dyDescent="0.3">
      <c r="A13" s="113" t="s">
        <v>8</v>
      </c>
      <c r="B13" s="113"/>
      <c r="C13" s="113"/>
      <c r="D13" s="113"/>
      <c r="E13" s="155" t="s">
        <v>230</v>
      </c>
      <c r="F13" s="155"/>
      <c r="G13" s="155"/>
      <c r="H13" s="155"/>
      <c r="S13" s="50" t="s">
        <v>183</v>
      </c>
      <c r="T13" s="50" t="s">
        <v>190</v>
      </c>
      <c r="U13" s="50" t="s">
        <v>212</v>
      </c>
      <c r="V13" s="50" t="s">
        <v>198</v>
      </c>
      <c r="W13" s="50" t="s">
        <v>216</v>
      </c>
      <c r="X13"/>
      <c r="Y13"/>
      <c r="Z13"/>
    </row>
    <row r="14" spans="1:26" x14ac:dyDescent="0.3">
      <c r="A14" s="113" t="s">
        <v>9</v>
      </c>
      <c r="B14" s="113"/>
      <c r="C14" s="113"/>
      <c r="D14" s="113"/>
      <c r="E14" s="155" t="s">
        <v>237</v>
      </c>
      <c r="F14" s="93"/>
      <c r="G14" s="93"/>
      <c r="H14" s="93"/>
      <c r="I14" s="129" t="e">
        <f ca="1">OFFSET($D$4,1,MATCH($J12,$D$4:$H$4,0)-1,15,1)</f>
        <v>#N/A</v>
      </c>
      <c r="J14" s="130"/>
      <c r="K14" s="130"/>
      <c r="L14" s="130"/>
      <c r="M14" s="130"/>
      <c r="N14" s="130"/>
      <c r="O14" s="130"/>
      <c r="P14" s="130"/>
      <c r="S14" s="50" t="s">
        <v>184</v>
      </c>
      <c r="T14" s="50" t="s">
        <v>191</v>
      </c>
      <c r="U14" s="50" t="s">
        <v>213</v>
      </c>
      <c r="V14" s="50" t="s">
        <v>199</v>
      </c>
      <c r="W14" s="50" t="s">
        <v>229</v>
      </c>
      <c r="X14"/>
      <c r="Y14"/>
      <c r="Z14"/>
    </row>
    <row r="15" spans="1:26" ht="63.75" customHeight="1" x14ac:dyDescent="0.3">
      <c r="A15" s="155" t="s">
        <v>10</v>
      </c>
      <c r="B15" s="155"/>
      <c r="C15" s="15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Modirealty Ashvattha, CTS No.1663B(PT) &amp; 1665-A(PT) &amp; Redevelopment of building "Ajinkyatara CHSL (Building No.4) ", near Akshayanand Apartment, Shailendra Vidyalay Marg, Shailendra Nagar, Dahisar, Dahisar East, Borivali, Mumbai - 400068.</v>
      </c>
      <c r="D15" s="155"/>
      <c r="E15" s="155"/>
      <c r="F15" s="155"/>
      <c r="G15" s="155"/>
      <c r="H15" s="155"/>
      <c r="S15" s="50" t="s">
        <v>185</v>
      </c>
      <c r="T15" s="50" t="s">
        <v>193</v>
      </c>
      <c r="U15" s="50" t="s">
        <v>214</v>
      </c>
      <c r="V15" s="50" t="s">
        <v>200</v>
      </c>
      <c r="W15" s="50" t="s">
        <v>217</v>
      </c>
      <c r="X15"/>
      <c r="Y15"/>
      <c r="Z15"/>
    </row>
    <row r="16" spans="1:26" ht="31.5" customHeight="1" x14ac:dyDescent="0.3">
      <c r="A16" s="155" t="s">
        <v>179</v>
      </c>
      <c r="B16" s="155"/>
      <c r="C16" s="155" t="s">
        <v>286</v>
      </c>
      <c r="D16" s="155"/>
      <c r="E16" s="155"/>
      <c r="F16" s="155"/>
      <c r="G16" s="155"/>
      <c r="H16" s="155"/>
      <c r="S16" s="50" t="s">
        <v>186</v>
      </c>
      <c r="T16" s="50" t="s">
        <v>194</v>
      </c>
      <c r="U16" s="50"/>
      <c r="V16" s="50" t="s">
        <v>201</v>
      </c>
      <c r="W16" s="50" t="s">
        <v>218</v>
      </c>
      <c r="X16"/>
      <c r="Y16"/>
      <c r="Z16"/>
    </row>
    <row r="17" spans="1:26" ht="15.75" customHeight="1" x14ac:dyDescent="0.3">
      <c r="A17" s="155" t="s">
        <v>165</v>
      </c>
      <c r="B17" s="155"/>
      <c r="C17" s="155" t="s">
        <v>238</v>
      </c>
      <c r="D17" s="155"/>
      <c r="E17" s="155"/>
      <c r="F17" s="155"/>
      <c r="G17" s="155"/>
      <c r="H17" s="155"/>
      <c r="S17" s="50" t="s">
        <v>187</v>
      </c>
      <c r="T17" s="50" t="s">
        <v>192</v>
      </c>
      <c r="U17" s="50"/>
      <c r="V17" s="50" t="s">
        <v>202</v>
      </c>
      <c r="W17" s="50" t="s">
        <v>219</v>
      </c>
      <c r="X17"/>
      <c r="Y17"/>
      <c r="Z17"/>
    </row>
    <row r="18" spans="1:26" ht="15.75" customHeight="1" x14ac:dyDescent="0.3">
      <c r="A18" s="155" t="s">
        <v>11</v>
      </c>
      <c r="B18" s="155"/>
      <c r="C18" s="93" t="s">
        <v>241</v>
      </c>
      <c r="D18" s="93"/>
      <c r="E18" s="155" t="s">
        <v>73</v>
      </c>
      <c r="F18" s="155"/>
      <c r="G18" s="155" t="s">
        <v>239</v>
      </c>
      <c r="H18" s="155"/>
      <c r="S18" s="50" t="s">
        <v>188</v>
      </c>
      <c r="T18" s="50" t="s">
        <v>195</v>
      </c>
      <c r="U18" s="50"/>
      <c r="V18" s="50" t="s">
        <v>203</v>
      </c>
      <c r="W18" s="50" t="s">
        <v>220</v>
      </c>
      <c r="X18"/>
      <c r="Y18"/>
      <c r="Z18"/>
    </row>
    <row r="19" spans="1:26" x14ac:dyDescent="0.3">
      <c r="A19" s="93" t="s">
        <v>13</v>
      </c>
      <c r="B19" s="93"/>
      <c r="C19" s="155" t="s">
        <v>287</v>
      </c>
      <c r="D19" s="155"/>
      <c r="E19" s="155" t="s">
        <v>12</v>
      </c>
      <c r="F19" s="155"/>
      <c r="G19" s="164" t="s">
        <v>175</v>
      </c>
      <c r="H19" s="164"/>
      <c r="S19" s="50" t="s">
        <v>189</v>
      </c>
      <c r="T19" s="50" t="s">
        <v>196</v>
      </c>
      <c r="U19" s="50"/>
      <c r="V19" s="50" t="s">
        <v>204</v>
      </c>
      <c r="W19" s="50" t="s">
        <v>221</v>
      </c>
      <c r="X19"/>
      <c r="Y19"/>
      <c r="Z19"/>
    </row>
    <row r="20" spans="1:26" x14ac:dyDescent="0.3">
      <c r="A20" s="93" t="s">
        <v>74</v>
      </c>
      <c r="B20" s="93"/>
      <c r="C20" s="155" t="s">
        <v>213</v>
      </c>
      <c r="D20" s="155"/>
      <c r="E20" s="155" t="s">
        <v>14</v>
      </c>
      <c r="F20" s="155"/>
      <c r="G20" s="155">
        <v>400068</v>
      </c>
      <c r="H20" s="155"/>
      <c r="S20" s="50"/>
      <c r="T20" s="50"/>
      <c r="U20" s="50"/>
      <c r="V20" s="50" t="s">
        <v>205</v>
      </c>
      <c r="W20" s="50" t="s">
        <v>222</v>
      </c>
      <c r="X20"/>
      <c r="Y20"/>
      <c r="Z20"/>
    </row>
    <row r="21" spans="1:26" ht="32.25" customHeight="1" x14ac:dyDescent="0.3">
      <c r="A21" s="93" t="s">
        <v>124</v>
      </c>
      <c r="B21" s="93"/>
      <c r="C21" s="155" t="s">
        <v>246</v>
      </c>
      <c r="D21" s="155"/>
      <c r="E21" s="155" t="s">
        <v>15</v>
      </c>
      <c r="F21" s="155"/>
      <c r="G21" s="155" t="s">
        <v>244</v>
      </c>
      <c r="H21" s="155"/>
      <c r="S21" s="50"/>
      <c r="T21" s="50"/>
      <c r="U21" s="50"/>
      <c r="V21" s="50" t="s">
        <v>206</v>
      </c>
      <c r="W21" s="50" t="s">
        <v>223</v>
      </c>
      <c r="X21"/>
      <c r="Y21"/>
      <c r="Z21"/>
    </row>
    <row r="22" spans="1:26" ht="15" customHeight="1" x14ac:dyDescent="0.3">
      <c r="A22" s="116" t="s">
        <v>76</v>
      </c>
      <c r="B22" s="116"/>
      <c r="C22" s="116"/>
      <c r="D22" s="116"/>
      <c r="E22" s="93" t="s">
        <v>16</v>
      </c>
      <c r="F22" s="93"/>
      <c r="G22" s="93"/>
      <c r="H22" s="93"/>
      <c r="S22" s="50"/>
      <c r="T22" s="50"/>
      <c r="U22" s="50"/>
      <c r="V22" s="50" t="s">
        <v>207</v>
      </c>
      <c r="W22" s="50" t="s">
        <v>224</v>
      </c>
      <c r="X22"/>
      <c r="Y22"/>
      <c r="Z22"/>
    </row>
    <row r="23" spans="1:26" ht="18.75" customHeight="1" x14ac:dyDescent="0.3">
      <c r="A23" s="116"/>
      <c r="B23" s="116"/>
      <c r="C23" s="116"/>
      <c r="D23" s="116"/>
      <c r="E23" s="93"/>
      <c r="F23" s="93"/>
      <c r="G23" s="93"/>
      <c r="H23" s="93"/>
      <c r="S23" s="50"/>
      <c r="T23" s="50"/>
      <c r="U23" s="50"/>
      <c r="V23" s="50" t="s">
        <v>208</v>
      </c>
      <c r="W23" s="50" t="s">
        <v>225</v>
      </c>
      <c r="X23"/>
      <c r="Y23"/>
      <c r="Z23"/>
    </row>
    <row r="24" spans="1:26" ht="15" customHeight="1" x14ac:dyDescent="0.3">
      <c r="A24" s="116" t="s">
        <v>17</v>
      </c>
      <c r="B24" s="116"/>
      <c r="C24" s="116"/>
      <c r="D24" s="116"/>
      <c r="E24" s="155" t="s">
        <v>18</v>
      </c>
      <c r="F24" s="155"/>
      <c r="G24" s="155"/>
      <c r="H24" s="155"/>
      <c r="S24" s="50"/>
      <c r="T24" s="50"/>
      <c r="U24" s="50"/>
      <c r="V24" s="50" t="s">
        <v>209</v>
      </c>
      <c r="W24" s="50" t="s">
        <v>226</v>
      </c>
      <c r="X24"/>
      <c r="Y24"/>
      <c r="Z24"/>
    </row>
    <row r="25" spans="1:26" ht="15" customHeight="1" x14ac:dyDescent="0.3">
      <c r="A25" s="113" t="s">
        <v>19</v>
      </c>
      <c r="B25" s="113"/>
      <c r="C25" s="113"/>
      <c r="D25" s="113"/>
      <c r="E25" s="155" t="str">
        <f>IF(AND(G19="Mumbai"),"Upper Class","Middle Class")</f>
        <v>Upper Class</v>
      </c>
      <c r="F25" s="155"/>
      <c r="G25" s="155"/>
      <c r="H25" s="155"/>
      <c r="S25" s="50"/>
      <c r="T25" s="50"/>
      <c r="U25" s="50"/>
      <c r="V25" s="50" t="s">
        <v>210</v>
      </c>
      <c r="W25" s="50" t="s">
        <v>227</v>
      </c>
      <c r="X25"/>
      <c r="Y25"/>
      <c r="Z25"/>
    </row>
    <row r="26" spans="1:26" x14ac:dyDescent="0.3">
      <c r="A26" s="113" t="s">
        <v>20</v>
      </c>
      <c r="B26" s="113"/>
      <c r="C26" s="113"/>
      <c r="D26" s="113"/>
      <c r="E26" s="155" t="s">
        <v>21</v>
      </c>
      <c r="F26" s="155"/>
      <c r="G26" s="155"/>
      <c r="H26" s="155"/>
      <c r="S26" s="50"/>
      <c r="T26" s="50"/>
      <c r="U26" s="50"/>
      <c r="V26" s="50" t="s">
        <v>211</v>
      </c>
      <c r="W26" s="50" t="s">
        <v>228</v>
      </c>
      <c r="X26"/>
      <c r="Y26"/>
      <c r="Z26"/>
    </row>
    <row r="27" spans="1:26" ht="15.75" customHeight="1" x14ac:dyDescent="0.3">
      <c r="A27" s="113" t="s">
        <v>22</v>
      </c>
      <c r="B27" s="113"/>
      <c r="C27" s="113"/>
      <c r="D27" s="113"/>
      <c r="E27" s="155" t="str">
        <f>IF(AND(G19="Mumbai"),"Developed","Developing")</f>
        <v>Developed</v>
      </c>
      <c r="F27" s="155"/>
      <c r="G27" s="155"/>
      <c r="H27" s="155"/>
    </row>
    <row r="28" spans="1:26" x14ac:dyDescent="0.3">
      <c r="A28" s="113" t="s">
        <v>23</v>
      </c>
      <c r="B28" s="113"/>
      <c r="C28" s="113"/>
      <c r="D28" s="113"/>
      <c r="E28" s="155" t="s">
        <v>24</v>
      </c>
      <c r="F28" s="155"/>
      <c r="G28" s="155"/>
      <c r="H28" s="155"/>
    </row>
    <row r="29" spans="1:26" ht="15.75" customHeight="1" x14ac:dyDescent="0.3">
      <c r="A29" s="113" t="s">
        <v>81</v>
      </c>
      <c r="B29" s="113"/>
      <c r="C29" s="113"/>
      <c r="D29" s="113"/>
      <c r="E29" s="155" t="s">
        <v>82</v>
      </c>
      <c r="F29" s="155"/>
      <c r="G29" s="155"/>
      <c r="H29" s="155"/>
    </row>
    <row r="30" spans="1:26" ht="15" customHeight="1" x14ac:dyDescent="0.3">
      <c r="A30" s="113" t="s">
        <v>32</v>
      </c>
      <c r="B30" s="113"/>
      <c r="C30" s="113"/>
      <c r="D30" s="113"/>
      <c r="E30" s="15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30" s="155"/>
      <c r="G30" s="155"/>
      <c r="H30" s="155"/>
    </row>
    <row r="31" spans="1:26" ht="15.75" customHeight="1" x14ac:dyDescent="0.3">
      <c r="A31" s="113" t="s">
        <v>93</v>
      </c>
      <c r="B31" s="113"/>
      <c r="C31" s="113"/>
      <c r="D31" s="113"/>
      <c r="E31" s="155" t="s">
        <v>33</v>
      </c>
      <c r="F31" s="155"/>
      <c r="G31" s="155"/>
      <c r="H31" s="155"/>
    </row>
    <row r="32" spans="1:26" s="20" customFormat="1" x14ac:dyDescent="0.3">
      <c r="A32" s="172" t="s">
        <v>94</v>
      </c>
      <c r="B32" s="172"/>
      <c r="C32" s="165" t="s">
        <v>176</v>
      </c>
      <c r="D32" s="166"/>
      <c r="E32" s="167"/>
      <c r="F32" s="165" t="s">
        <v>30</v>
      </c>
      <c r="G32" s="166"/>
      <c r="H32" s="167"/>
    </row>
    <row r="33" spans="1:12" s="20" customFormat="1" x14ac:dyDescent="0.3">
      <c r="A33" s="171" t="s">
        <v>25</v>
      </c>
      <c r="B33" s="171" t="s">
        <v>29</v>
      </c>
      <c r="C33" s="168" t="s">
        <v>250</v>
      </c>
      <c r="D33" s="169"/>
      <c r="E33" s="170"/>
      <c r="F33" s="168" t="s">
        <v>245</v>
      </c>
      <c r="G33" s="169"/>
      <c r="H33" s="170"/>
    </row>
    <row r="34" spans="1:12" x14ac:dyDescent="0.3">
      <c r="A34" s="171" t="s">
        <v>26</v>
      </c>
      <c r="B34" s="171" t="s">
        <v>29</v>
      </c>
      <c r="C34" s="168" t="s">
        <v>249</v>
      </c>
      <c r="D34" s="169"/>
      <c r="E34" s="170"/>
      <c r="F34" s="168" t="s">
        <v>246</v>
      </c>
      <c r="G34" s="169"/>
      <c r="H34" s="170"/>
    </row>
    <row r="35" spans="1:12" s="20" customFormat="1" x14ac:dyDescent="0.3">
      <c r="A35" s="171" t="s">
        <v>28</v>
      </c>
      <c r="B35" s="171" t="s">
        <v>29</v>
      </c>
      <c r="C35" s="168" t="s">
        <v>248</v>
      </c>
      <c r="D35" s="169"/>
      <c r="E35" s="170"/>
      <c r="F35" s="168" t="s">
        <v>241</v>
      </c>
      <c r="G35" s="169"/>
      <c r="H35" s="170"/>
    </row>
    <row r="36" spans="1:12" x14ac:dyDescent="0.3">
      <c r="A36" s="171" t="s">
        <v>27</v>
      </c>
      <c r="B36" s="171" t="s">
        <v>29</v>
      </c>
      <c r="C36" s="168" t="s">
        <v>249</v>
      </c>
      <c r="D36" s="169"/>
      <c r="E36" s="170"/>
      <c r="F36" s="168" t="s">
        <v>247</v>
      </c>
      <c r="G36" s="169"/>
      <c r="H36" s="170"/>
    </row>
    <row r="37" spans="1:12" x14ac:dyDescent="0.3">
      <c r="A37" s="113" t="s">
        <v>31</v>
      </c>
      <c r="B37" s="113"/>
      <c r="C37" s="113"/>
      <c r="D37" s="113"/>
      <c r="E37" s="113"/>
      <c r="F37" s="113"/>
      <c r="G37" s="113"/>
      <c r="H37" s="113"/>
    </row>
    <row r="38" spans="1:12" ht="15.75" customHeight="1" x14ac:dyDescent="0.3">
      <c r="A38" s="113" t="s">
        <v>168</v>
      </c>
      <c r="B38" s="113"/>
      <c r="C38" s="174" t="s">
        <v>243</v>
      </c>
      <c r="D38" s="174"/>
      <c r="E38" s="174"/>
      <c r="F38" s="174"/>
      <c r="G38" s="174"/>
      <c r="H38" s="174"/>
    </row>
    <row r="39" spans="1:12" x14ac:dyDescent="0.3">
      <c r="A39" s="113" t="s">
        <v>164</v>
      </c>
      <c r="B39" s="113"/>
      <c r="C39" s="173" t="s">
        <v>242</v>
      </c>
      <c r="D39" s="155"/>
      <c r="E39" s="155"/>
      <c r="F39" s="155"/>
      <c r="G39" s="155"/>
      <c r="H39" s="155"/>
    </row>
    <row r="40" spans="1:12" x14ac:dyDescent="0.3">
      <c r="A40" s="174" t="s">
        <v>34</v>
      </c>
      <c r="B40" s="174"/>
      <c r="C40" s="174"/>
      <c r="D40" s="174"/>
      <c r="E40" s="174"/>
      <c r="F40" s="174"/>
      <c r="G40" s="174"/>
      <c r="H40" s="174"/>
    </row>
    <row r="41" spans="1:12" x14ac:dyDescent="0.3">
      <c r="A41" s="113" t="s">
        <v>35</v>
      </c>
      <c r="B41" s="113"/>
      <c r="C41" s="113"/>
      <c r="D41" s="113"/>
      <c r="E41" s="181">
        <v>1327.3</v>
      </c>
      <c r="F41" s="181"/>
      <c r="G41" s="181"/>
      <c r="H41" s="181"/>
      <c r="I41" s="181">
        <v>1327.3</v>
      </c>
      <c r="J41" s="181"/>
      <c r="K41" s="181"/>
      <c r="L41" s="181"/>
    </row>
    <row r="42" spans="1:12" x14ac:dyDescent="0.3">
      <c r="A42" s="113" t="s">
        <v>36</v>
      </c>
      <c r="B42" s="113"/>
      <c r="C42" s="113"/>
      <c r="D42" s="113"/>
      <c r="E42" s="182">
        <v>3</v>
      </c>
      <c r="F42" s="182"/>
      <c r="G42" s="182"/>
      <c r="H42" s="182"/>
      <c r="I42" s="182">
        <v>3</v>
      </c>
      <c r="J42" s="182"/>
      <c r="K42" s="182"/>
      <c r="L42" s="182"/>
    </row>
    <row r="43" spans="1:12" x14ac:dyDescent="0.3">
      <c r="A43" s="113" t="s">
        <v>37</v>
      </c>
      <c r="B43" s="113"/>
      <c r="C43" s="113"/>
      <c r="D43" s="113"/>
      <c r="E43" s="182">
        <f>E45/E41-E42</f>
        <v>4.4883748964062384</v>
      </c>
      <c r="F43" s="182"/>
      <c r="G43" s="182"/>
      <c r="H43" s="182"/>
      <c r="I43" s="182">
        <f>I45/I41-I42</f>
        <v>3.6682814736683493</v>
      </c>
      <c r="J43" s="182"/>
      <c r="K43" s="182"/>
      <c r="L43" s="182"/>
    </row>
    <row r="44" spans="1:12" x14ac:dyDescent="0.3">
      <c r="A44" s="113" t="s">
        <v>38</v>
      </c>
      <c r="B44" s="113"/>
      <c r="C44" s="113"/>
      <c r="D44" s="113"/>
      <c r="E44" s="182">
        <f>E42+E43</f>
        <v>7.4883748964062384</v>
      </c>
      <c r="F44" s="182"/>
      <c r="G44" s="182"/>
      <c r="H44" s="182"/>
      <c r="I44" s="182">
        <f>I42+I43</f>
        <v>6.6682814736683493</v>
      </c>
      <c r="J44" s="182"/>
      <c r="K44" s="182"/>
      <c r="L44" s="182"/>
    </row>
    <row r="45" spans="1:12" x14ac:dyDescent="0.3">
      <c r="A45" s="113" t="s">
        <v>92</v>
      </c>
      <c r="B45" s="113"/>
      <c r="C45" s="113"/>
      <c r="D45" s="113"/>
      <c r="E45" s="185">
        <v>9939.32</v>
      </c>
      <c r="F45" s="185"/>
      <c r="G45" s="185"/>
      <c r="H45" s="185"/>
      <c r="I45" s="185">
        <v>8850.81</v>
      </c>
      <c r="J45" s="185"/>
      <c r="K45" s="185"/>
      <c r="L45" s="185"/>
    </row>
    <row r="46" spans="1:12" x14ac:dyDescent="0.3">
      <c r="A46" s="93" t="s">
        <v>39</v>
      </c>
      <c r="B46" s="93"/>
      <c r="C46" s="93"/>
      <c r="D46" s="93"/>
      <c r="E46" s="93" t="s">
        <v>252</v>
      </c>
      <c r="F46" s="93"/>
      <c r="G46" s="93"/>
      <c r="H46" s="93"/>
      <c r="I46" s="93" t="s">
        <v>252</v>
      </c>
      <c r="J46" s="93"/>
      <c r="K46" s="93"/>
      <c r="L46" s="93"/>
    </row>
    <row r="47" spans="1:12" x14ac:dyDescent="0.3">
      <c r="A47" s="174" t="s">
        <v>40</v>
      </c>
      <c r="B47" s="174"/>
      <c r="C47" s="174"/>
      <c r="D47" s="174"/>
      <c r="E47" s="174"/>
      <c r="F47" s="174"/>
      <c r="G47" s="174"/>
      <c r="H47" s="174"/>
    </row>
    <row r="48" spans="1:12" ht="33.75" customHeight="1" x14ac:dyDescent="0.3">
      <c r="A48" s="126" t="s">
        <v>153</v>
      </c>
      <c r="B48" s="128"/>
      <c r="C48" s="195" t="s">
        <v>251</v>
      </c>
      <c r="D48" s="196"/>
      <c r="E48" s="196"/>
      <c r="F48" s="196"/>
      <c r="G48" s="196"/>
      <c r="H48" s="197"/>
    </row>
    <row r="49" spans="1:14" ht="31.5" customHeight="1" x14ac:dyDescent="0.3">
      <c r="A49" s="126" t="s">
        <v>41</v>
      </c>
      <c r="B49" s="128"/>
      <c r="C49" s="126" t="s">
        <v>279</v>
      </c>
      <c r="D49" s="127"/>
      <c r="E49" s="128"/>
      <c r="F49" s="18" t="s">
        <v>42</v>
      </c>
      <c r="G49" s="179">
        <v>45721</v>
      </c>
      <c r="H49" s="180"/>
      <c r="I49" s="126" t="s">
        <v>253</v>
      </c>
      <c r="J49" s="127"/>
      <c r="K49" s="128"/>
      <c r="L49" s="18" t="s">
        <v>42</v>
      </c>
      <c r="M49" s="179">
        <v>45021</v>
      </c>
      <c r="N49" s="180"/>
    </row>
    <row r="50" spans="1:14" ht="31.5" customHeight="1" x14ac:dyDescent="0.3">
      <c r="A50" s="126" t="s">
        <v>43</v>
      </c>
      <c r="B50" s="128"/>
      <c r="C50" s="126" t="str">
        <f>C49</f>
        <v>MH/EE/(BP)/GM/MHADA-87/1264/2025/FCC/2/Amend</v>
      </c>
      <c r="D50" s="127"/>
      <c r="E50" s="128"/>
      <c r="F50" s="18" t="s">
        <v>42</v>
      </c>
      <c r="G50" s="179">
        <f>G49</f>
        <v>45721</v>
      </c>
      <c r="H50" s="180"/>
      <c r="I50" s="126" t="str">
        <f>I49</f>
        <v>Mhada-87/1264/2023</v>
      </c>
      <c r="J50" s="127"/>
      <c r="K50" s="128"/>
      <c r="L50" s="18" t="s">
        <v>42</v>
      </c>
      <c r="M50" s="179">
        <f>M49</f>
        <v>45021</v>
      </c>
      <c r="N50" s="180"/>
    </row>
    <row r="51" spans="1:14" s="21" customFormat="1" x14ac:dyDescent="0.3">
      <c r="A51" s="203" t="s">
        <v>280</v>
      </c>
      <c r="B51" s="204"/>
      <c r="C51" s="203" t="s">
        <v>279</v>
      </c>
      <c r="D51" s="209"/>
      <c r="E51" s="204"/>
      <c r="F51" s="62" t="s">
        <v>42</v>
      </c>
      <c r="G51" s="201">
        <v>45723</v>
      </c>
      <c r="H51" s="202"/>
      <c r="I51" s="19"/>
      <c r="J51" s="19"/>
      <c r="K51" s="19"/>
      <c r="L51" s="19"/>
      <c r="M51" s="19"/>
      <c r="N51" s="19"/>
    </row>
    <row r="52" spans="1:14" s="21" customFormat="1" ht="31.2" x14ac:dyDescent="0.3">
      <c r="A52" s="205"/>
      <c r="B52" s="206"/>
      <c r="C52" s="207"/>
      <c r="D52" s="210"/>
      <c r="E52" s="208"/>
      <c r="F52" s="62" t="s">
        <v>123</v>
      </c>
      <c r="G52" s="201">
        <v>46139</v>
      </c>
      <c r="H52" s="202"/>
      <c r="I52" s="19"/>
      <c r="J52" s="19"/>
      <c r="K52" s="19"/>
      <c r="L52" s="19"/>
      <c r="M52" s="19"/>
      <c r="N52" s="19"/>
    </row>
    <row r="53" spans="1:14" s="21" customFormat="1" ht="52.5" customHeight="1" x14ac:dyDescent="0.3">
      <c r="A53" s="207"/>
      <c r="B53" s="208"/>
      <c r="C53" s="126" t="s">
        <v>288</v>
      </c>
      <c r="D53" s="127"/>
      <c r="E53" s="127"/>
      <c r="F53" s="127"/>
      <c r="G53" s="127"/>
      <c r="H53" s="128"/>
      <c r="I53" s="19"/>
      <c r="J53" s="19"/>
      <c r="K53" s="19"/>
      <c r="L53" s="19"/>
      <c r="M53" s="19"/>
      <c r="N53" s="19"/>
    </row>
    <row r="54" spans="1:14" x14ac:dyDescent="0.3">
      <c r="A54" s="110" t="s">
        <v>44</v>
      </c>
      <c r="B54" s="111"/>
      <c r="C54" s="110" t="s">
        <v>106</v>
      </c>
      <c r="D54" s="112"/>
      <c r="E54" s="111"/>
      <c r="F54" s="42" t="s">
        <v>42</v>
      </c>
      <c r="G54" s="186" t="s">
        <v>29</v>
      </c>
      <c r="H54" s="187"/>
    </row>
    <row r="55" spans="1:14" x14ac:dyDescent="0.3">
      <c r="A55" s="154" t="s">
        <v>46</v>
      </c>
      <c r="B55" s="154"/>
      <c r="C55" s="154"/>
      <c r="D55" s="154"/>
      <c r="E55" s="154"/>
      <c r="F55" s="154"/>
      <c r="G55" s="154"/>
      <c r="H55" s="154"/>
    </row>
    <row r="56" spans="1:14" x14ac:dyDescent="0.3">
      <c r="A56" s="116" t="s">
        <v>91</v>
      </c>
      <c r="B56" s="116"/>
      <c r="C56" s="116"/>
      <c r="D56" s="113">
        <f>E45</f>
        <v>9939.32</v>
      </c>
      <c r="E56" s="113"/>
      <c r="F56" s="113"/>
      <c r="G56" s="113"/>
      <c r="H56" s="113"/>
    </row>
    <row r="57" spans="1:14" x14ac:dyDescent="0.3">
      <c r="A57" s="155" t="s">
        <v>47</v>
      </c>
      <c r="B57" s="93"/>
      <c r="C57" s="93"/>
      <c r="D57" s="93" t="s">
        <v>293</v>
      </c>
      <c r="E57" s="93"/>
      <c r="F57" s="93"/>
      <c r="G57" s="93"/>
      <c r="H57" s="93"/>
      <c r="I57" s="93" t="s">
        <v>268</v>
      </c>
      <c r="J57" s="93"/>
      <c r="K57" s="93"/>
      <c r="L57" s="93"/>
      <c r="M57" s="93"/>
    </row>
    <row r="58" spans="1:14" x14ac:dyDescent="0.3">
      <c r="A58" s="176" t="s">
        <v>48</v>
      </c>
      <c r="B58" s="177"/>
      <c r="C58" s="178"/>
      <c r="D58" s="157" t="s">
        <v>281</v>
      </c>
      <c r="E58" s="175"/>
      <c r="F58" s="175"/>
      <c r="G58" s="175"/>
      <c r="H58" s="175"/>
      <c r="I58" s="157" t="s">
        <v>269</v>
      </c>
      <c r="J58" s="175"/>
      <c r="K58" s="175"/>
      <c r="L58" s="175"/>
      <c r="M58" s="175"/>
    </row>
    <row r="59" spans="1:14" ht="15.75" customHeight="1" x14ac:dyDescent="0.3">
      <c r="A59" s="176" t="s">
        <v>89</v>
      </c>
      <c r="B59" s="177"/>
      <c r="C59" s="178"/>
      <c r="D59" s="93" t="s">
        <v>297</v>
      </c>
      <c r="E59" s="93"/>
      <c r="F59" s="93"/>
      <c r="G59" s="93"/>
      <c r="H59" s="93"/>
      <c r="I59" s="93" t="s">
        <v>269</v>
      </c>
      <c r="J59" s="93"/>
      <c r="K59" s="93"/>
      <c r="L59" s="93"/>
      <c r="M59" s="93"/>
    </row>
    <row r="60" spans="1:14" ht="15.75" customHeight="1" x14ac:dyDescent="0.3">
      <c r="A60" s="198"/>
      <c r="B60" s="199"/>
      <c r="C60" s="200"/>
      <c r="D60" s="93" t="s">
        <v>298</v>
      </c>
      <c r="E60" s="93"/>
      <c r="F60" s="93"/>
      <c r="G60" s="93"/>
      <c r="H60" s="93"/>
    </row>
    <row r="61" spans="1:14" ht="15.75" customHeight="1" x14ac:dyDescent="0.3">
      <c r="A61" s="113" t="s">
        <v>45</v>
      </c>
      <c r="B61" s="113"/>
      <c r="C61" s="113"/>
      <c r="D61" s="183" t="s">
        <v>254</v>
      </c>
      <c r="E61" s="183"/>
      <c r="F61" s="183"/>
      <c r="G61" s="183"/>
      <c r="H61" s="183"/>
      <c r="J61" s="23"/>
      <c r="K61" s="22"/>
      <c r="N61" s="22"/>
    </row>
    <row r="62" spans="1:14" ht="15.75" customHeight="1" x14ac:dyDescent="0.3">
      <c r="A62" s="113" t="s">
        <v>87</v>
      </c>
      <c r="B62" s="113"/>
      <c r="C62" s="113"/>
      <c r="D62" s="184" t="str">
        <f>(IF(G54="NA","60 Years After Completion",IF(G54&lt;&gt;"NA",""&amp;60-ROUNDDOWN((E3-G54)/360,0)&amp;" Years"," ")))</f>
        <v>60 Years After Completion</v>
      </c>
      <c r="E62" s="184"/>
      <c r="F62" s="184"/>
      <c r="G62" s="184"/>
      <c r="H62" s="184"/>
      <c r="N62" s="22"/>
    </row>
    <row r="63" spans="1:14" ht="15.75" customHeight="1" x14ac:dyDescent="0.3">
      <c r="A63" s="113" t="s">
        <v>88</v>
      </c>
      <c r="B63" s="113"/>
      <c r="C63" s="113"/>
      <c r="D63" s="116" t="s">
        <v>24</v>
      </c>
      <c r="E63" s="116"/>
      <c r="F63" s="116"/>
      <c r="G63" s="116"/>
      <c r="H63" s="116"/>
      <c r="J63" s="24"/>
      <c r="K63" s="24"/>
    </row>
    <row r="64" spans="1:14" ht="67.5" customHeight="1" x14ac:dyDescent="0.3">
      <c r="A64" s="93" t="s">
        <v>275</v>
      </c>
      <c r="B64" s="93"/>
      <c r="C64" s="93"/>
      <c r="D64" s="155" t="s">
        <v>274</v>
      </c>
      <c r="E64" s="116"/>
      <c r="F64" s="116"/>
      <c r="G64" s="116"/>
      <c r="H64" s="116"/>
    </row>
    <row r="65" spans="1:18" x14ac:dyDescent="0.3">
      <c r="A65" s="116" t="s">
        <v>150</v>
      </c>
      <c r="B65" s="116"/>
      <c r="C65" s="116"/>
      <c r="D65" s="116" t="s">
        <v>29</v>
      </c>
      <c r="E65" s="116"/>
      <c r="F65" s="116"/>
      <c r="G65" s="116"/>
      <c r="H65" s="116"/>
      <c r="I65" s="25"/>
      <c r="J65" s="25"/>
      <c r="K65" s="25"/>
      <c r="L65" s="25"/>
      <c r="M65" s="25"/>
      <c r="N65" s="25"/>
    </row>
    <row r="66" spans="1:18" ht="15.75" customHeight="1" x14ac:dyDescent="0.3">
      <c r="A66" s="117" t="s">
        <v>86</v>
      </c>
      <c r="B66" s="117"/>
      <c r="C66" s="117"/>
      <c r="D66" s="157" t="str">
        <f ca="1">(IF(G72&gt;95%,"Nothing",IF(G72&gt;0%,"Cement, Aggregate, Steel, etc",IF(G72=0%,"Work not yet Started"))))</f>
        <v>Cement, Aggregate, Steel, etc</v>
      </c>
      <c r="E66" s="157"/>
      <c r="F66" s="157"/>
      <c r="G66" s="157"/>
      <c r="H66" s="157"/>
      <c r="J66" s="24"/>
    </row>
    <row r="67" spans="1:18" ht="33.75" customHeight="1" thickBot="1" x14ac:dyDescent="0.35">
      <c r="A67" s="156" t="s">
        <v>119</v>
      </c>
      <c r="B67" s="156"/>
      <c r="C67" s="156"/>
      <c r="D67" s="157" t="str">
        <f ca="1">(IF(D66="Nothing","Yes",IF(D66="Cement, Aggregate, Steel, etc","Under Construction",IF(D66="Work not yet Started","Work not yet Started"))))</f>
        <v>Under Construction</v>
      </c>
      <c r="E67" s="157"/>
      <c r="F67" s="157" t="str">
        <f ca="1">(IF(D66="Nothing","Yes",IF(D66="Cement, Aggregate, Steel, etc","Under Construction",IF(D66="Work not yet Started","Work not yet Started"))))</f>
        <v>Under Construction</v>
      </c>
      <c r="G67" s="157"/>
      <c r="H67" s="157"/>
    </row>
    <row r="68" spans="1:18" ht="15.75" customHeight="1" x14ac:dyDescent="0.3">
      <c r="A68" s="121" t="s">
        <v>142</v>
      </c>
      <c r="B68" s="122"/>
      <c r="C68" s="123" t="s">
        <v>281</v>
      </c>
      <c r="D68" s="124"/>
      <c r="E68" s="124"/>
      <c r="F68" s="124"/>
      <c r="G68" s="124"/>
      <c r="H68" s="125"/>
      <c r="I68" s="44" t="str">
        <f ca="1">IF(D81=100%,"All work Completed. Possession granted to the Building.",IF(D80=100%,"All work Completed, Waiting for OC",I69&amp;""&amp;I70&amp;""&amp;J69&amp;""&amp;J68&amp;" "&amp;J70))</f>
        <v>Excavation, Plinth, RCC Slab, Brickwork Completed, Internal Plaster upto 15 Floor, External Plaster upto 15 Floor, Flooring upto 10 Floor Completed</v>
      </c>
      <c r="J68" s="45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15 Floor, External Plaster upto 15 Floor, Flooring upto 10 Floor</v>
      </c>
    </row>
    <row r="69" spans="1:18" x14ac:dyDescent="0.3">
      <c r="A69" s="16" t="s">
        <v>144</v>
      </c>
      <c r="B69" s="48">
        <f>IF(AND(ISNUMBER(SEARCH("1B",C68))),1,IF(AND(ISNUMBER(SEARCH("2B",C68))),2,IF(AND(ISNUMBER(SEARCH("3B",C68))),3,IF(AND(ISNUMBER(SEARCH("4B",C68))),4,IF(ISNUMBER(SEARCH("5B",C68)),5,0)))))</f>
        <v>0</v>
      </c>
      <c r="C69" s="48" t="s">
        <v>72</v>
      </c>
      <c r="D69" s="48">
        <v>1</v>
      </c>
      <c r="E69" s="48" t="s">
        <v>71</v>
      </c>
      <c r="F69" s="48">
        <v>0</v>
      </c>
      <c r="G69" s="48" t="s">
        <v>80</v>
      </c>
      <c r="H69" s="17">
        <f ca="1">--TRIM(RIGHT(SUBSTITUTE(LEFT(C68,_xlfn.AGGREGATE(16,6,FIND({0,1,2,3,4,5,6,7,8,9},C68,ROW(INDIRECT("1:"&amp;LEN(C68)))),1))," ",REPT(" ",LEN(C68))),LEN(C68)))</f>
        <v>19</v>
      </c>
      <c r="I69" s="67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47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  <c r="R69" s="58" t="s">
        <v>282</v>
      </c>
    </row>
    <row r="70" spans="1:18" ht="35.4" customHeight="1" x14ac:dyDescent="0.3">
      <c r="A70" s="99" t="s">
        <v>90</v>
      </c>
      <c r="B70" s="100"/>
      <c r="C70" s="101" t="str">
        <f ca="1">I68</f>
        <v>Excavation, Plinth, RCC Slab, Brickwork Completed, Internal Plaster upto 15 Floor, External Plaster upto 15 Floor, Flooring upto 10 Floor Completed</v>
      </c>
      <c r="D70" s="101"/>
      <c r="E70" s="101"/>
      <c r="F70" s="101"/>
      <c r="G70" s="101"/>
      <c r="H70" s="102"/>
      <c r="I70" s="67" t="str">
        <f ca="1">IF(I69&lt;&gt;""," Completed","")</f>
        <v xml:space="preserve"> Completed</v>
      </c>
      <c r="J70" s="47" t="str">
        <f ca="1">IF(J68&lt;&gt;"","Completed","")</f>
        <v>Completed</v>
      </c>
    </row>
    <row r="71" spans="1:18" ht="15.75" customHeight="1" x14ac:dyDescent="0.3">
      <c r="A71" s="95" t="s">
        <v>49</v>
      </c>
      <c r="B71" s="96"/>
      <c r="C71" s="60" t="s">
        <v>141</v>
      </c>
      <c r="D71" s="60" t="s">
        <v>83</v>
      </c>
      <c r="E71" s="96" t="s">
        <v>85</v>
      </c>
      <c r="F71" s="96"/>
      <c r="G71" s="96" t="s">
        <v>84</v>
      </c>
      <c r="H71" s="145"/>
      <c r="I71" s="68" t="s">
        <v>143</v>
      </c>
      <c r="J71" s="26">
        <f ca="1">H69*25%</f>
        <v>4.75</v>
      </c>
    </row>
    <row r="72" spans="1:18" x14ac:dyDescent="0.3">
      <c r="A72" s="95" t="s">
        <v>130</v>
      </c>
      <c r="B72" s="96"/>
      <c r="C72" s="60">
        <f ca="1">J73</f>
        <v>19</v>
      </c>
      <c r="D72" s="56">
        <f ca="1">((100/H69)*C72)/100</f>
        <v>1</v>
      </c>
      <c r="E72" s="146">
        <f ca="1">(((C73/H69*10)+(40/(D69+F69+H69)*C74)+(7.5/(H69)*C75)+(7.5/(H69)*C76)+(10/H69*C77)+(10/H69*C78)+(5/H69*C79)+(5/H69*C80)+(5/H69*C81))/100)</f>
        <v>0.76578947368421035</v>
      </c>
      <c r="F72" s="147"/>
      <c r="G72" s="146">
        <f ca="1">((((C72/H69)*20)+((C73/H69)*25)+(30/(H69+F69+D69)*C74)+(5/H69*C75)+(5/H69*C76)+(5/H69*C77)+(5/H69*C78)+(0/H69*C79)+(0/H69*C80)+(5/H69*C81))/100)</f>
        <v>0.90526315789473688</v>
      </c>
      <c r="H72" s="158"/>
      <c r="I72" s="68" t="s">
        <v>101</v>
      </c>
      <c r="J72" s="27">
        <f ca="1">H69*50%</f>
        <v>9.5</v>
      </c>
    </row>
    <row r="73" spans="1:18" x14ac:dyDescent="0.3">
      <c r="A73" s="95" t="s">
        <v>50</v>
      </c>
      <c r="B73" s="96"/>
      <c r="C73" s="65">
        <f ca="1">J81</f>
        <v>19</v>
      </c>
      <c r="D73" s="56">
        <f ca="1">((100/H69)*C73)/100</f>
        <v>1</v>
      </c>
      <c r="E73" s="148"/>
      <c r="F73" s="149"/>
      <c r="G73" s="148"/>
      <c r="H73" s="159"/>
      <c r="I73" s="68" t="s">
        <v>102</v>
      </c>
      <c r="J73" s="27">
        <f ca="1">H69</f>
        <v>19</v>
      </c>
    </row>
    <row r="74" spans="1:18" ht="15.75" customHeight="1" x14ac:dyDescent="0.3">
      <c r="A74" s="95" t="s">
        <v>131</v>
      </c>
      <c r="B74" s="96"/>
      <c r="C74" s="60">
        <v>20</v>
      </c>
      <c r="D74" s="56">
        <f ca="1">((100/(D69+F69+H69))*C74)/100</f>
        <v>1</v>
      </c>
      <c r="E74" s="148"/>
      <c r="F74" s="149"/>
      <c r="G74" s="148"/>
      <c r="H74" s="159"/>
      <c r="I74" s="68" t="s">
        <v>103</v>
      </c>
      <c r="J74" s="28">
        <f ca="1">(IF(B69&gt;1,(H69/(B69+2)),H69/4))</f>
        <v>4.75</v>
      </c>
    </row>
    <row r="75" spans="1:18" ht="15.75" customHeight="1" x14ac:dyDescent="0.3">
      <c r="A75" s="95" t="s">
        <v>138</v>
      </c>
      <c r="B75" s="96" t="s">
        <v>132</v>
      </c>
      <c r="C75" s="60">
        <v>19</v>
      </c>
      <c r="D75" s="56">
        <f ca="1">((100/H69)*C75)/100</f>
        <v>1</v>
      </c>
      <c r="E75" s="148"/>
      <c r="F75" s="149"/>
      <c r="G75" s="148"/>
      <c r="H75" s="159"/>
      <c r="I75" s="68" t="s">
        <v>104</v>
      </c>
      <c r="J75" s="28">
        <f ca="1">(IF(B69&gt;1,(H69/(B69+2)+J74),H69/4+J74))</f>
        <v>9.5</v>
      </c>
    </row>
    <row r="76" spans="1:18" ht="15.75" customHeight="1" x14ac:dyDescent="0.3">
      <c r="A76" s="95" t="s">
        <v>139</v>
      </c>
      <c r="B76" s="96" t="s">
        <v>132</v>
      </c>
      <c r="C76" s="60">
        <v>15</v>
      </c>
      <c r="D76" s="56">
        <f ca="1">((100/H69)*C76)/100</f>
        <v>0.78947368421052633</v>
      </c>
      <c r="E76" s="148"/>
      <c r="F76" s="149"/>
      <c r="G76" s="148"/>
      <c r="H76" s="159"/>
      <c r="I76" s="68" t="s">
        <v>148</v>
      </c>
      <c r="J76" s="28">
        <f>(IF(B69&gt;1,(H69/(B69+2)+J75),0))</f>
        <v>0</v>
      </c>
    </row>
    <row r="77" spans="1:18" ht="15" customHeight="1" x14ac:dyDescent="0.3">
      <c r="A77" s="95" t="s">
        <v>137</v>
      </c>
      <c r="B77" s="96" t="s">
        <v>134</v>
      </c>
      <c r="C77" s="60">
        <v>15</v>
      </c>
      <c r="D77" s="56">
        <f ca="1">((100/(H69))*C77)/100</f>
        <v>0.78947368421052633</v>
      </c>
      <c r="E77" s="148"/>
      <c r="F77" s="149"/>
      <c r="G77" s="148"/>
      <c r="H77" s="159"/>
      <c r="I77" s="68" t="s">
        <v>145</v>
      </c>
      <c r="J77" s="28">
        <f>(IF(B69&gt;2,(H69/(B69+2)+J76),0))</f>
        <v>0</v>
      </c>
    </row>
    <row r="78" spans="1:18" ht="15.75" customHeight="1" x14ac:dyDescent="0.3">
      <c r="A78" s="95" t="s">
        <v>133</v>
      </c>
      <c r="B78" s="96" t="s">
        <v>133</v>
      </c>
      <c r="C78" s="60">
        <v>10</v>
      </c>
      <c r="D78" s="56">
        <f ca="1">((100/H69)*C78)/100</f>
        <v>0.52631578947368429</v>
      </c>
      <c r="E78" s="148"/>
      <c r="F78" s="149"/>
      <c r="G78" s="148"/>
      <c r="H78" s="159"/>
      <c r="I78" s="68" t="s">
        <v>146</v>
      </c>
      <c r="J78" s="29">
        <f>(IF(B69&gt;3,(H69/(B69+2)+J77),0))</f>
        <v>0</v>
      </c>
    </row>
    <row r="79" spans="1:18" ht="15.75" customHeight="1" x14ac:dyDescent="0.3">
      <c r="A79" s="95" t="s">
        <v>140</v>
      </c>
      <c r="B79" s="96"/>
      <c r="C79" s="60">
        <v>0</v>
      </c>
      <c r="D79" s="56">
        <f ca="1">((100/H69)*C79)/100</f>
        <v>0</v>
      </c>
      <c r="E79" s="148"/>
      <c r="F79" s="149"/>
      <c r="G79" s="148"/>
      <c r="H79" s="159"/>
      <c r="I79" s="68" t="s">
        <v>147</v>
      </c>
      <c r="J79" s="28">
        <f>(IF(B69&gt;4,(H69/(B69+2)+J78),0))</f>
        <v>0</v>
      </c>
    </row>
    <row r="80" spans="1:18" ht="15.75" customHeight="1" x14ac:dyDescent="0.3">
      <c r="A80" s="95" t="s">
        <v>135</v>
      </c>
      <c r="B80" s="96" t="s">
        <v>135</v>
      </c>
      <c r="C80" s="60">
        <v>0</v>
      </c>
      <c r="D80" s="56">
        <f ca="1">((100/(H69))*C80)/100</f>
        <v>0</v>
      </c>
      <c r="E80" s="148"/>
      <c r="F80" s="149"/>
      <c r="G80" s="148"/>
      <c r="H80" s="159"/>
      <c r="I80" s="68" t="s">
        <v>149</v>
      </c>
      <c r="J80" s="28">
        <f ca="1">(IF(B69=1,(H69/(B69+3)+J75),IF(B69=0,(H69/4+J75),IF(B69&gt;1,0))))</f>
        <v>14.25</v>
      </c>
    </row>
    <row r="81" spans="1:14" ht="16.2" thickBot="1" x14ac:dyDescent="0.35">
      <c r="A81" s="97" t="s">
        <v>136</v>
      </c>
      <c r="B81" s="98"/>
      <c r="C81" s="61">
        <v>0</v>
      </c>
      <c r="D81" s="57">
        <f ca="1">((100/(H69))*C81)/100</f>
        <v>0</v>
      </c>
      <c r="E81" s="150"/>
      <c r="F81" s="151"/>
      <c r="G81" s="150"/>
      <c r="H81" s="160"/>
      <c r="I81" s="69" t="s">
        <v>105</v>
      </c>
      <c r="J81" s="30">
        <f ca="1">(IF(B69&gt;1.5,(H69/(B69+2)+J75+MAX(0,J76-J75)+MAX(0,J77-J76)+MAX(0,J78-J77)+MAX(0,J79-J78)+MAX(0,J80-J79)),IF(B69=1,(H69/(B69+3)+J80),IF(B69=0,H69/4+J80))))</f>
        <v>19</v>
      </c>
    </row>
    <row r="82" spans="1:14" ht="15.75" hidden="1" customHeight="1" x14ac:dyDescent="0.3">
      <c r="A82" s="121" t="s">
        <v>142</v>
      </c>
      <c r="B82" s="122"/>
      <c r="C82" s="123" t="str">
        <f>D60</f>
        <v>Wing B = Gr/Stilt + 1st to 19th Floor</v>
      </c>
      <c r="D82" s="124"/>
      <c r="E82" s="124"/>
      <c r="F82" s="124"/>
      <c r="G82" s="124"/>
      <c r="H82" s="125"/>
      <c r="I82" s="44" t="str">
        <f ca="1">IF(D95=100%,"All work Completed. Possession granted to the Building.",IF(D94=100%,"All work Completed, Waiting for OC",I83&amp;""&amp;I84&amp;""&amp;J83&amp;""&amp;J82&amp;" "&amp;J84))</f>
        <v xml:space="preserve">Excavation, Plinth Completed </v>
      </c>
      <c r="J82" s="45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4" hidden="1" x14ac:dyDescent="0.3">
      <c r="A83" s="16" t="s">
        <v>144</v>
      </c>
      <c r="B83" s="48">
        <f>IF(AND(ISNUMBER(SEARCH("1B",C82))),1,IF(AND(ISNUMBER(SEARCH("2B",C82))),2,IF(AND(ISNUMBER(SEARCH("3B",C82))),3,IF(AND(ISNUMBER(SEARCH("4B",C82))),4,IF(ISNUMBER(SEARCH("5B",C82)),5,0)))))</f>
        <v>0</v>
      </c>
      <c r="C83" s="48" t="s">
        <v>72</v>
      </c>
      <c r="D83" s="48">
        <v>1</v>
      </c>
      <c r="E83" s="48" t="s">
        <v>71</v>
      </c>
      <c r="F83" s="48">
        <v>0</v>
      </c>
      <c r="G83" s="48" t="s">
        <v>80</v>
      </c>
      <c r="H83" s="17">
        <f ca="1">--TRIM(RIGHT(SUBSTITUTE(LEFT(C82,_xlfn.AGGREGATE(16,6,FIND({0,1,2,3,4,5,6,7,8,9},C82,ROW(INDIRECT("1:"&amp;LEN(C82)))),1))," ",REPT(" ",LEN(C82))),LEN(C82)))</f>
        <v>19</v>
      </c>
      <c r="I83" s="46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47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4" hidden="1" x14ac:dyDescent="0.3">
      <c r="A84" s="99" t="s">
        <v>90</v>
      </c>
      <c r="B84" s="100"/>
      <c r="C84" s="101" t="str">
        <f ca="1">(IF($G$54="NA",I82,"All work Completed. OC Received."))</f>
        <v xml:space="preserve">Excavation, Plinth Completed </v>
      </c>
      <c r="D84" s="101"/>
      <c r="E84" s="101"/>
      <c r="F84" s="101"/>
      <c r="G84" s="101"/>
      <c r="H84" s="102"/>
      <c r="I84" s="46" t="str">
        <f ca="1">IF(I83&lt;&gt;""," Completed","")</f>
        <v xml:space="preserve"> Completed</v>
      </c>
      <c r="J84" s="47" t="str">
        <f ca="1">IF(J82&lt;&gt;"","Completed","")</f>
        <v/>
      </c>
    </row>
    <row r="85" spans="1:14" ht="15.75" hidden="1" customHeight="1" x14ac:dyDescent="0.3">
      <c r="A85" s="95" t="s">
        <v>49</v>
      </c>
      <c r="B85" s="96"/>
      <c r="C85" s="60" t="s">
        <v>141</v>
      </c>
      <c r="D85" s="60" t="s">
        <v>83</v>
      </c>
      <c r="E85" s="96" t="s">
        <v>85</v>
      </c>
      <c r="F85" s="96"/>
      <c r="G85" s="96" t="s">
        <v>84</v>
      </c>
      <c r="H85" s="145"/>
      <c r="I85" s="14" t="s">
        <v>143</v>
      </c>
      <c r="J85" s="26">
        <f ca="1">H83*25%</f>
        <v>4.75</v>
      </c>
    </row>
    <row r="86" spans="1:14" hidden="1" x14ac:dyDescent="0.3">
      <c r="A86" s="95" t="s">
        <v>130</v>
      </c>
      <c r="B86" s="96"/>
      <c r="C86" s="60">
        <f ca="1">J87</f>
        <v>19</v>
      </c>
      <c r="D86" s="56">
        <f ca="1">((100/H83)*C86)/100</f>
        <v>1</v>
      </c>
      <c r="E86" s="146">
        <f ca="1">(((C87/H83*10)+(40/(D83+F83+H83)*C88)+(7.5/(H83)*C89)+(7.5/(H83)*C90)+(10/H83*C91)+(10/H83*C92)+(5/H83*C93)+(5/H83*C94)+(5/H83*C95))/100)</f>
        <v>0.1</v>
      </c>
      <c r="F86" s="147"/>
      <c r="G86" s="146">
        <f ca="1">((((C86/H83)*20)+((C87/H83)*25)+(30/(H83+F83+D83)*C88)+(5/H83*C89)+(5/H83*C90)+(5/H83*C91)+(5/H83*C92)+(0/H83*C93)+(0/H83*C94)+(5/H83*C95))/100)</f>
        <v>0.45</v>
      </c>
      <c r="H86" s="158"/>
      <c r="I86" s="14" t="s">
        <v>101</v>
      </c>
      <c r="J86" s="27">
        <f ca="1">H83*50%</f>
        <v>9.5</v>
      </c>
    </row>
    <row r="87" spans="1:14" hidden="1" x14ac:dyDescent="0.3">
      <c r="A87" s="95" t="s">
        <v>50</v>
      </c>
      <c r="B87" s="96"/>
      <c r="C87" s="65">
        <f ca="1">J95</f>
        <v>19</v>
      </c>
      <c r="D87" s="56">
        <f ca="1">((100/H83)*C87)/100</f>
        <v>1</v>
      </c>
      <c r="E87" s="148"/>
      <c r="F87" s="149"/>
      <c r="G87" s="148"/>
      <c r="H87" s="159"/>
      <c r="I87" s="14" t="s">
        <v>102</v>
      </c>
      <c r="J87" s="27">
        <f ca="1">H83</f>
        <v>19</v>
      </c>
    </row>
    <row r="88" spans="1:14" ht="15.75" hidden="1" customHeight="1" x14ac:dyDescent="0.3">
      <c r="A88" s="95" t="s">
        <v>131</v>
      </c>
      <c r="B88" s="96"/>
      <c r="C88" s="60">
        <v>0</v>
      </c>
      <c r="D88" s="56">
        <f ca="1">((100/(D83+F83+H83))*C88)/100</f>
        <v>0</v>
      </c>
      <c r="E88" s="148"/>
      <c r="F88" s="149"/>
      <c r="G88" s="148"/>
      <c r="H88" s="159"/>
      <c r="I88" s="14" t="s">
        <v>103</v>
      </c>
      <c r="J88" s="28">
        <f ca="1">(IF(B83&gt;1,(H83/(B83+2)),H83/4))</f>
        <v>4.75</v>
      </c>
    </row>
    <row r="89" spans="1:14" ht="15.75" hidden="1" customHeight="1" x14ac:dyDescent="0.3">
      <c r="A89" s="95" t="s">
        <v>138</v>
      </c>
      <c r="B89" s="96" t="s">
        <v>132</v>
      </c>
      <c r="C89" s="60">
        <v>0</v>
      </c>
      <c r="D89" s="56">
        <f ca="1">((100/H83)*C89)/100</f>
        <v>0</v>
      </c>
      <c r="E89" s="148"/>
      <c r="F89" s="149"/>
      <c r="G89" s="148"/>
      <c r="H89" s="159"/>
      <c r="I89" s="14" t="s">
        <v>104</v>
      </c>
      <c r="J89" s="28">
        <f ca="1">(IF(B83&gt;1,(H83/(B83+2)+J88),H83/4+J88))</f>
        <v>9.5</v>
      </c>
    </row>
    <row r="90" spans="1:14" ht="15.75" hidden="1" customHeight="1" x14ac:dyDescent="0.3">
      <c r="A90" s="95" t="s">
        <v>139</v>
      </c>
      <c r="B90" s="96" t="s">
        <v>132</v>
      </c>
      <c r="C90" s="60">
        <v>0</v>
      </c>
      <c r="D90" s="56">
        <f ca="1">((100/H83)*C90)/100</f>
        <v>0</v>
      </c>
      <c r="E90" s="148"/>
      <c r="F90" s="149"/>
      <c r="G90" s="148"/>
      <c r="H90" s="159"/>
      <c r="I90" s="14" t="s">
        <v>148</v>
      </c>
      <c r="J90" s="28">
        <f>(IF(B83&gt;1,(H83/(B83+2)+J89),0))</f>
        <v>0</v>
      </c>
    </row>
    <row r="91" spans="1:14" ht="15" hidden="1" customHeight="1" x14ac:dyDescent="0.3">
      <c r="A91" s="95" t="s">
        <v>137</v>
      </c>
      <c r="B91" s="96" t="s">
        <v>134</v>
      </c>
      <c r="C91" s="60">
        <v>0</v>
      </c>
      <c r="D91" s="56">
        <f ca="1">((100/(H83))*C91)/100</f>
        <v>0</v>
      </c>
      <c r="E91" s="148"/>
      <c r="F91" s="149"/>
      <c r="G91" s="148"/>
      <c r="H91" s="159"/>
      <c r="I91" s="14" t="s">
        <v>145</v>
      </c>
      <c r="J91" s="28">
        <f>(IF(B83&gt;2,(H83/(B83+2)+J90),0))</f>
        <v>0</v>
      </c>
    </row>
    <row r="92" spans="1:14" ht="15.75" hidden="1" customHeight="1" x14ac:dyDescent="0.3">
      <c r="A92" s="95" t="s">
        <v>133</v>
      </c>
      <c r="B92" s="96" t="s">
        <v>133</v>
      </c>
      <c r="C92" s="60">
        <v>0</v>
      </c>
      <c r="D92" s="56">
        <f ca="1">((100/H83)*C92)/100</f>
        <v>0</v>
      </c>
      <c r="E92" s="148"/>
      <c r="F92" s="149"/>
      <c r="G92" s="148"/>
      <c r="H92" s="159"/>
      <c r="I92" s="14" t="s">
        <v>146</v>
      </c>
      <c r="J92" s="29">
        <f>(IF(B83&gt;3,(H83/(B83+2)+J91),0))</f>
        <v>0</v>
      </c>
    </row>
    <row r="93" spans="1:14" ht="15.75" hidden="1" customHeight="1" x14ac:dyDescent="0.3">
      <c r="A93" s="95" t="s">
        <v>140</v>
      </c>
      <c r="B93" s="96"/>
      <c r="C93" s="60">
        <v>0</v>
      </c>
      <c r="D93" s="56">
        <f ca="1">((100/H83)*C93)/100</f>
        <v>0</v>
      </c>
      <c r="E93" s="148"/>
      <c r="F93" s="149"/>
      <c r="G93" s="148"/>
      <c r="H93" s="159"/>
      <c r="I93" s="14" t="s">
        <v>147</v>
      </c>
      <c r="J93" s="28">
        <f>(IF(B83&gt;4,(H83/(B83+2)+J92),0))</f>
        <v>0</v>
      </c>
    </row>
    <row r="94" spans="1:14" ht="15.75" hidden="1" customHeight="1" x14ac:dyDescent="0.3">
      <c r="A94" s="95" t="s">
        <v>135</v>
      </c>
      <c r="B94" s="96" t="s">
        <v>135</v>
      </c>
      <c r="C94" s="60">
        <v>0</v>
      </c>
      <c r="D94" s="56">
        <f ca="1">((100/(H83))*C94)/100</f>
        <v>0</v>
      </c>
      <c r="E94" s="148"/>
      <c r="F94" s="149"/>
      <c r="G94" s="148"/>
      <c r="H94" s="159"/>
      <c r="I94" s="14" t="s">
        <v>149</v>
      </c>
      <c r="J94" s="28">
        <f ca="1">(IF(B83=1,(H83/(B83+3)+J89),IF(B83=0,(H83/4+J89),IF(B83&gt;1,0))))</f>
        <v>14.25</v>
      </c>
    </row>
    <row r="95" spans="1:14" ht="16.2" hidden="1" thickBot="1" x14ac:dyDescent="0.35">
      <c r="A95" s="97" t="s">
        <v>136</v>
      </c>
      <c r="B95" s="98"/>
      <c r="C95" s="61">
        <v>0</v>
      </c>
      <c r="D95" s="57">
        <f ca="1">((100/(H83))*C95)/100</f>
        <v>0</v>
      </c>
      <c r="E95" s="150"/>
      <c r="F95" s="151"/>
      <c r="G95" s="150"/>
      <c r="H95" s="160"/>
      <c r="I95" s="15" t="s">
        <v>105</v>
      </c>
      <c r="J95" s="30">
        <f ca="1">(IF(B83&gt;1.5,(H83/(B83+2)+J89+MAX(0,J90-J89)+MAX(0,J91-J90)+MAX(0,J92-J91)+MAX(0,J93-J92)+MAX(0,J94-J93)),IF(B83=1,(H83/(B83+3)+J94),IF(B83=0,H83/4+J94))))</f>
        <v>19</v>
      </c>
    </row>
    <row r="96" spans="1:14" x14ac:dyDescent="0.3">
      <c r="A96" s="103" t="s">
        <v>158</v>
      </c>
      <c r="B96" s="103"/>
      <c r="C96" s="103"/>
      <c r="D96" s="103"/>
      <c r="E96" s="103"/>
      <c r="F96" s="142" t="s">
        <v>162</v>
      </c>
      <c r="G96" s="142"/>
      <c r="H96" s="142"/>
      <c r="I96" s="52"/>
      <c r="J96" s="52" t="s">
        <v>270</v>
      </c>
      <c r="K96" s="52" t="s">
        <v>271</v>
      </c>
      <c r="L96" s="52" t="s">
        <v>272</v>
      </c>
      <c r="M96" s="52" t="s">
        <v>273</v>
      </c>
      <c r="N96" s="52"/>
    </row>
    <row r="97" spans="1:14" x14ac:dyDescent="0.3">
      <c r="A97" s="93" t="s">
        <v>160</v>
      </c>
      <c r="B97" s="93"/>
      <c r="C97" s="93"/>
      <c r="D97" s="93"/>
      <c r="E97" s="93"/>
      <c r="F97" s="104">
        <v>15500</v>
      </c>
      <c r="G97" s="104"/>
      <c r="H97" s="104"/>
      <c r="I97" s="55">
        <f>AVERAGE(J97:M97)</f>
        <v>14106.52687932703</v>
      </c>
      <c r="J97" s="55">
        <f>AVERAGE(J154,J156,J187:J190,J192)</f>
        <v>15026.107517308119</v>
      </c>
      <c r="K97" s="52">
        <v>14000</v>
      </c>
      <c r="L97" s="52">
        <f>21000/1.5</f>
        <v>14000</v>
      </c>
      <c r="M97" s="52">
        <f>20100/1.5</f>
        <v>13400</v>
      </c>
      <c r="N97" s="52"/>
    </row>
    <row r="98" spans="1:14" hidden="1" x14ac:dyDescent="0.3">
      <c r="A98" s="93" t="s">
        <v>159</v>
      </c>
      <c r="B98" s="93"/>
      <c r="C98" s="93"/>
      <c r="D98" s="93"/>
      <c r="E98" s="93"/>
      <c r="F98" s="104"/>
      <c r="G98" s="104"/>
      <c r="H98" s="104"/>
      <c r="I98" s="52"/>
      <c r="J98" s="52"/>
      <c r="K98" s="52"/>
      <c r="L98" s="52"/>
      <c r="M98" s="52"/>
      <c r="N98" s="52"/>
    </row>
    <row r="99" spans="1:14" hidden="1" x14ac:dyDescent="0.3">
      <c r="A99" s="93" t="s">
        <v>161</v>
      </c>
      <c r="B99" s="93"/>
      <c r="C99" s="93"/>
      <c r="D99" s="93"/>
      <c r="E99" s="93"/>
      <c r="F99" s="104"/>
      <c r="G99" s="104"/>
      <c r="H99" s="104"/>
      <c r="I99" s="52"/>
      <c r="J99" s="52"/>
      <c r="K99" s="52"/>
      <c r="L99" s="52"/>
      <c r="M99" s="52"/>
      <c r="N99" s="52"/>
    </row>
    <row r="100" spans="1:14" s="31" customFormat="1" hidden="1" x14ac:dyDescent="0.25">
      <c r="A100" s="93" t="s">
        <v>178</v>
      </c>
      <c r="B100" s="93"/>
      <c r="C100" s="93"/>
      <c r="D100" s="93"/>
      <c r="E100" s="93"/>
      <c r="F100" s="104"/>
      <c r="G100" s="104"/>
      <c r="H100" s="104"/>
      <c r="I100" s="53"/>
      <c r="J100" s="53"/>
      <c r="K100" s="53"/>
      <c r="L100" s="53"/>
      <c r="M100" s="53"/>
      <c r="N100" s="53"/>
    </row>
    <row r="101" spans="1:14" s="31" customFormat="1" hidden="1" x14ac:dyDescent="0.25">
      <c r="A101" s="93" t="s">
        <v>95</v>
      </c>
      <c r="B101" s="93"/>
      <c r="C101" s="93"/>
      <c r="D101" s="93"/>
      <c r="E101" s="93"/>
      <c r="F101" s="104"/>
      <c r="G101" s="104"/>
      <c r="H101" s="104"/>
      <c r="I101" s="53"/>
      <c r="J101" s="53"/>
      <c r="K101" s="53"/>
      <c r="L101" s="53"/>
      <c r="M101" s="53"/>
      <c r="N101" s="53"/>
    </row>
    <row r="102" spans="1:14" s="31" customFormat="1" hidden="1" x14ac:dyDescent="0.25">
      <c r="A102" s="93" t="s">
        <v>96</v>
      </c>
      <c r="B102" s="93"/>
      <c r="C102" s="93"/>
      <c r="D102" s="93"/>
      <c r="E102" s="93"/>
      <c r="F102" s="104"/>
      <c r="G102" s="104"/>
      <c r="H102" s="104"/>
      <c r="I102" s="53"/>
      <c r="J102" s="53"/>
      <c r="K102" s="53"/>
      <c r="L102" s="53"/>
      <c r="M102" s="53"/>
      <c r="N102" s="53"/>
    </row>
    <row r="103" spans="1:14" s="31" customFormat="1" hidden="1" x14ac:dyDescent="0.25">
      <c r="A103" s="93" t="s">
        <v>163</v>
      </c>
      <c r="B103" s="93"/>
      <c r="C103" s="93"/>
      <c r="D103" s="93"/>
      <c r="E103" s="93"/>
      <c r="F103" s="104"/>
      <c r="G103" s="104"/>
      <c r="H103" s="104"/>
      <c r="I103" s="53"/>
      <c r="J103" s="53"/>
      <c r="K103" s="53"/>
      <c r="L103" s="53"/>
      <c r="M103" s="53"/>
      <c r="N103" s="53"/>
    </row>
    <row r="104" spans="1:14" s="31" customFormat="1" hidden="1" x14ac:dyDescent="0.25">
      <c r="A104" s="93" t="s">
        <v>97</v>
      </c>
      <c r="B104" s="93"/>
      <c r="C104" s="93"/>
      <c r="D104" s="93"/>
      <c r="E104" s="93"/>
      <c r="F104" s="104"/>
      <c r="G104" s="104"/>
      <c r="H104" s="104"/>
      <c r="I104" s="53"/>
      <c r="J104" s="53"/>
      <c r="K104" s="53"/>
      <c r="L104" s="53"/>
      <c r="M104" s="53"/>
      <c r="N104" s="53"/>
    </row>
    <row r="105" spans="1:14" s="31" customFormat="1" hidden="1" x14ac:dyDescent="0.25">
      <c r="A105" s="93" t="s">
        <v>98</v>
      </c>
      <c r="B105" s="93"/>
      <c r="C105" s="93"/>
      <c r="D105" s="93"/>
      <c r="E105" s="93"/>
      <c r="F105" s="104"/>
      <c r="G105" s="104"/>
      <c r="H105" s="104"/>
      <c r="I105" s="53"/>
      <c r="J105" s="53"/>
      <c r="K105" s="53"/>
      <c r="L105" s="53"/>
      <c r="M105" s="53"/>
      <c r="N105" s="53"/>
    </row>
    <row r="106" spans="1:14" s="31" customFormat="1" hidden="1" x14ac:dyDescent="0.25">
      <c r="A106" s="93" t="s">
        <v>99</v>
      </c>
      <c r="B106" s="93"/>
      <c r="C106" s="93"/>
      <c r="D106" s="93"/>
      <c r="E106" s="93"/>
      <c r="F106" s="104"/>
      <c r="G106" s="104"/>
      <c r="H106" s="104"/>
      <c r="I106" s="53"/>
      <c r="J106" s="53"/>
      <c r="K106" s="53"/>
      <c r="L106" s="53"/>
      <c r="M106" s="53"/>
      <c r="N106" s="53"/>
    </row>
    <row r="107" spans="1:14" s="31" customFormat="1" hidden="1" x14ac:dyDescent="0.25">
      <c r="A107" s="93" t="s">
        <v>100</v>
      </c>
      <c r="B107" s="93"/>
      <c r="C107" s="93"/>
      <c r="D107" s="93"/>
      <c r="E107" s="93"/>
      <c r="F107" s="104"/>
      <c r="G107" s="104"/>
      <c r="H107" s="104"/>
      <c r="I107" s="53"/>
      <c r="J107" s="53"/>
      <c r="K107" s="53"/>
      <c r="L107" s="53"/>
      <c r="M107" s="53"/>
      <c r="N107" s="53"/>
    </row>
    <row r="108" spans="1:14" x14ac:dyDescent="0.3">
      <c r="A108" s="93" t="s">
        <v>51</v>
      </c>
      <c r="B108" s="93"/>
      <c r="C108" s="93"/>
      <c r="D108" s="93"/>
      <c r="E108" s="93"/>
      <c r="F108" s="104">
        <v>700000</v>
      </c>
      <c r="G108" s="104"/>
      <c r="H108" s="104"/>
      <c r="I108" s="52"/>
      <c r="J108" s="52"/>
      <c r="K108" s="52"/>
      <c r="L108" s="52"/>
      <c r="M108" s="52"/>
      <c r="N108" s="52"/>
    </row>
    <row r="109" spans="1:14" s="32" customFormat="1" x14ac:dyDescent="0.3">
      <c r="A109" s="100" t="s">
        <v>52</v>
      </c>
      <c r="B109" s="100"/>
      <c r="C109" s="100"/>
      <c r="D109" s="100"/>
      <c r="E109" s="100"/>
      <c r="F109" s="104">
        <f>F97*0.8</f>
        <v>12400</v>
      </c>
      <c r="G109" s="104"/>
      <c r="H109" s="104"/>
      <c r="I109" s="54"/>
      <c r="J109" s="54"/>
      <c r="K109" s="54"/>
      <c r="L109" s="54"/>
      <c r="M109" s="54"/>
      <c r="N109" s="54"/>
    </row>
    <row r="110" spans="1:14" s="33" customFormat="1" ht="15.75" hidden="1" customHeight="1" x14ac:dyDescent="0.3">
      <c r="A110" s="105" t="s">
        <v>75</v>
      </c>
      <c r="B110" s="105"/>
      <c r="C110" s="105"/>
      <c r="D110" s="105"/>
      <c r="E110" s="105"/>
      <c r="F110" s="105"/>
      <c r="G110" s="105"/>
      <c r="H110" s="105"/>
    </row>
    <row r="111" spans="1:14" s="33" customFormat="1" ht="15.75" hidden="1" customHeight="1" x14ac:dyDescent="0.3">
      <c r="A111" s="109" t="s">
        <v>53</v>
      </c>
      <c r="B111" s="109"/>
      <c r="C111" s="115" t="s">
        <v>78</v>
      </c>
      <c r="D111" s="115"/>
      <c r="E111" s="107" t="s">
        <v>54</v>
      </c>
      <c r="F111" s="107"/>
      <c r="G111" s="109" t="s">
        <v>55</v>
      </c>
      <c r="H111" s="109"/>
    </row>
    <row r="112" spans="1:14" s="33" customFormat="1" hidden="1" x14ac:dyDescent="0.3">
      <c r="A112" s="114"/>
      <c r="B112" s="114"/>
      <c r="C112" s="189"/>
      <c r="D112" s="189"/>
      <c r="E112" s="190"/>
      <c r="F112" s="190"/>
      <c r="G112" s="140"/>
      <c r="H112" s="140"/>
    </row>
    <row r="113" spans="1:14" s="33" customFormat="1" hidden="1" x14ac:dyDescent="0.3">
      <c r="A113" s="114"/>
      <c r="B113" s="114"/>
      <c r="C113" s="189"/>
      <c r="D113" s="189"/>
      <c r="E113" s="190"/>
      <c r="F113" s="190"/>
      <c r="G113" s="140"/>
      <c r="H113" s="140"/>
    </row>
    <row r="114" spans="1:14" s="33" customFormat="1" hidden="1" x14ac:dyDescent="0.3">
      <c r="A114" s="105" t="s">
        <v>152</v>
      </c>
      <c r="B114" s="105"/>
      <c r="C114" s="115"/>
      <c r="D114" s="115"/>
      <c r="E114" s="107"/>
      <c r="F114" s="107"/>
      <c r="G114" s="109"/>
      <c r="H114" s="109"/>
    </row>
    <row r="115" spans="1:14" s="33" customFormat="1" x14ac:dyDescent="0.3">
      <c r="A115" s="105" t="s">
        <v>70</v>
      </c>
      <c r="B115" s="105"/>
      <c r="C115" s="105"/>
      <c r="D115" s="105"/>
      <c r="E115" s="105"/>
      <c r="F115" s="105"/>
      <c r="G115" s="105"/>
      <c r="H115" s="105"/>
    </row>
    <row r="116" spans="1:14" s="33" customFormat="1" ht="15.75" customHeight="1" x14ac:dyDescent="0.3">
      <c r="A116" s="109" t="s">
        <v>53</v>
      </c>
      <c r="B116" s="109"/>
      <c r="C116" s="115" t="s">
        <v>78</v>
      </c>
      <c r="D116" s="115"/>
      <c r="E116" s="107" t="s">
        <v>54</v>
      </c>
      <c r="F116" s="107"/>
      <c r="G116" s="109" t="s">
        <v>55</v>
      </c>
      <c r="H116" s="109"/>
    </row>
    <row r="117" spans="1:14" s="33" customFormat="1" x14ac:dyDescent="0.3">
      <c r="A117" s="114" t="s">
        <v>255</v>
      </c>
      <c r="B117" s="114"/>
      <c r="C117" s="188">
        <f>COUNT(D136:D137)+COUNT(D140:D142)*2+COUNT(D144:D146)*4+COUNT(D148:D149)+COUNT(D152:D154)*10+COUNT(D156:D157)</f>
        <v>54</v>
      </c>
      <c r="D117" s="188"/>
      <c r="E117" s="188">
        <f t="shared" ref="E117" si="0">SUM(D136:D137)+SUM(D140:D142)*2+SUM(D144:D146)*4+SUM(D148:D149)+SUM(D152:D154)*10+SUM(D156:D157)</f>
        <v>34796.675159999992</v>
      </c>
      <c r="F117" s="188"/>
      <c r="G117" s="188">
        <f t="shared" ref="G117" si="1">SUM(F136:F137)+SUM(F140:F142)*2+SUM(F144:F146)*4+SUM(F148:F149)+SUM(F152:F154)*10+SUM(F156:F157)</f>
        <v>52195.012739999998</v>
      </c>
      <c r="H117" s="188"/>
      <c r="I117" s="59" t="s">
        <v>284</v>
      </c>
    </row>
    <row r="118" spans="1:14" s="33" customFormat="1" x14ac:dyDescent="0.3">
      <c r="A118" s="114" t="s">
        <v>259</v>
      </c>
      <c r="B118" s="114"/>
      <c r="C118" s="188">
        <f>COUNT(D162:D165)+COUNT(D168:D171)*2+COUNT(D173:D178)*4+COUNT(D181:D184)+COUNT(D187:D192)*10+COUNT(D194,D196:D199)</f>
        <v>105</v>
      </c>
      <c r="D118" s="188"/>
      <c r="E118" s="188">
        <f t="shared" ref="E118" si="2">SUM(D162:D165)+SUM(D168:D171)*2+SUM(D173:D178)*4+SUM(D181:D184)+SUM(D187:D192)*10+SUM(D194,D196:D199)</f>
        <v>61841.332800000004</v>
      </c>
      <c r="F118" s="188"/>
      <c r="G118" s="188">
        <f t="shared" ref="G118" si="3">SUM(F162:F165)+SUM(F168:F171)*2+SUM(F173:F178)*4+SUM(F181:F184)+SUM(F187:F192)*10+SUM(F194,F196:F199)</f>
        <v>92761.999199999991</v>
      </c>
      <c r="H118" s="188"/>
      <c r="I118" s="59" t="s">
        <v>284</v>
      </c>
    </row>
    <row r="119" spans="1:14" s="33" customFormat="1" x14ac:dyDescent="0.3">
      <c r="A119" s="105" t="s">
        <v>152</v>
      </c>
      <c r="B119" s="105"/>
      <c r="C119" s="141">
        <f>SUM(C117:C118)</f>
        <v>159</v>
      </c>
      <c r="D119" s="115"/>
      <c r="E119" s="106">
        <f>SUM(E117:E118)</f>
        <v>96638.007959999988</v>
      </c>
      <c r="F119" s="107"/>
      <c r="G119" s="109">
        <f>SUM(G117:G118)</f>
        <v>144957.01194</v>
      </c>
      <c r="H119" s="109"/>
    </row>
    <row r="120" spans="1:14" s="33" customFormat="1" ht="16.2" hidden="1" thickBot="1" x14ac:dyDescent="0.35">
      <c r="A120" s="118" t="s">
        <v>169</v>
      </c>
      <c r="B120" s="119"/>
      <c r="C120" s="120">
        <f>C114+C119</f>
        <v>159</v>
      </c>
      <c r="D120" s="120"/>
      <c r="E120" s="108">
        <f>E114+E119</f>
        <v>96638.007959999988</v>
      </c>
      <c r="F120" s="108"/>
      <c r="G120" s="143">
        <f>G114+G119</f>
        <v>144957.01194</v>
      </c>
      <c r="H120" s="144"/>
    </row>
    <row r="121" spans="1:14" s="32" customFormat="1" x14ac:dyDescent="0.3">
      <c r="A121" s="94" t="s">
        <v>56</v>
      </c>
      <c r="B121" s="94"/>
      <c r="C121" s="94"/>
      <c r="D121" s="94"/>
      <c r="E121" s="94"/>
      <c r="F121" s="94"/>
      <c r="G121" s="94"/>
      <c r="H121" s="94"/>
    </row>
    <row r="122" spans="1:14" x14ac:dyDescent="0.3">
      <c r="A122" s="162" t="s">
        <v>177</v>
      </c>
      <c r="B122" s="162"/>
      <c r="C122" s="162"/>
      <c r="D122" s="162"/>
      <c r="E122" s="162"/>
      <c r="F122" s="162"/>
      <c r="G122" s="162"/>
      <c r="H122" s="162"/>
    </row>
    <row r="123" spans="1:14" ht="47.25" hidden="1" customHeight="1" x14ac:dyDescent="0.3">
      <c r="A123" s="132" t="s">
        <v>121</v>
      </c>
      <c r="B123" s="132" t="s">
        <v>180</v>
      </c>
      <c r="C123" s="132" t="s">
        <v>57</v>
      </c>
      <c r="D123" s="132" t="s">
        <v>58</v>
      </c>
      <c r="E123" s="134" t="s">
        <v>157</v>
      </c>
      <c r="F123" s="41" t="s">
        <v>151</v>
      </c>
      <c r="G123" s="136" t="s">
        <v>60</v>
      </c>
      <c r="H123" s="137"/>
    </row>
    <row r="124" spans="1:14" s="35" customFormat="1" hidden="1" x14ac:dyDescent="0.3">
      <c r="A124" s="133"/>
      <c r="B124" s="133"/>
      <c r="C124" s="133"/>
      <c r="D124" s="133"/>
      <c r="E124" s="135"/>
      <c r="F124" s="13">
        <v>0.45</v>
      </c>
      <c r="G124" s="138"/>
      <c r="H124" s="139"/>
    </row>
    <row r="125" spans="1:14" s="35" customFormat="1" hidden="1" x14ac:dyDescent="0.3">
      <c r="A125" s="83" t="s">
        <v>120</v>
      </c>
      <c r="B125" s="84"/>
      <c r="C125" s="84"/>
      <c r="D125" s="84"/>
      <c r="E125" s="84"/>
      <c r="F125" s="84"/>
      <c r="G125" s="84"/>
      <c r="H125" s="85"/>
      <c r="J125" s="34"/>
    </row>
    <row r="126" spans="1:14" s="35" customFormat="1" hidden="1" x14ac:dyDescent="0.3">
      <c r="A126" s="73">
        <v>1</v>
      </c>
      <c r="B126" s="74"/>
      <c r="C126" s="40"/>
      <c r="D126" s="40"/>
      <c r="E126" s="40">
        <v>0</v>
      </c>
      <c r="F126" s="40">
        <f>(D126+E126)*(($F$124)+1)</f>
        <v>0</v>
      </c>
      <c r="G126" s="73" t="str">
        <f>A125</f>
        <v>Ground Floor</v>
      </c>
      <c r="H126" s="74"/>
      <c r="I126" s="34"/>
      <c r="L126" s="75"/>
      <c r="M126" s="75"/>
      <c r="N126" s="34"/>
    </row>
    <row r="127" spans="1:14" s="35" customFormat="1" hidden="1" x14ac:dyDescent="0.3">
      <c r="A127" s="73">
        <f t="shared" ref="A127:A129" si="4">A126+1</f>
        <v>2</v>
      </c>
      <c r="B127" s="74"/>
      <c r="C127" s="40"/>
      <c r="D127" s="40"/>
      <c r="E127" s="40">
        <v>0</v>
      </c>
      <c r="F127" s="40">
        <f t="shared" ref="F127:F129" si="5">(D127+E127)*(($F$124)+1)</f>
        <v>0</v>
      </c>
      <c r="G127" s="73" t="str">
        <f t="shared" ref="G127:G129" si="6">G126</f>
        <v>Ground Floor</v>
      </c>
      <c r="H127" s="74"/>
      <c r="I127" s="34"/>
      <c r="L127" s="75"/>
      <c r="M127" s="75"/>
      <c r="N127" s="34"/>
    </row>
    <row r="128" spans="1:14" s="35" customFormat="1" hidden="1" x14ac:dyDescent="0.3">
      <c r="A128" s="73">
        <f t="shared" si="4"/>
        <v>3</v>
      </c>
      <c r="B128" s="74"/>
      <c r="C128" s="40"/>
      <c r="D128" s="40"/>
      <c r="E128" s="40">
        <v>0</v>
      </c>
      <c r="F128" s="40">
        <f t="shared" si="5"/>
        <v>0</v>
      </c>
      <c r="G128" s="73" t="str">
        <f t="shared" si="6"/>
        <v>Ground Floor</v>
      </c>
      <c r="H128" s="74"/>
      <c r="I128" s="34"/>
      <c r="L128" s="75"/>
      <c r="M128" s="75"/>
      <c r="N128" s="34"/>
    </row>
    <row r="129" spans="1:14" s="35" customFormat="1" hidden="1" x14ac:dyDescent="0.3">
      <c r="A129" s="73">
        <f t="shared" si="4"/>
        <v>4</v>
      </c>
      <c r="B129" s="74"/>
      <c r="C129" s="40"/>
      <c r="D129" s="40"/>
      <c r="E129" s="40">
        <v>0</v>
      </c>
      <c r="F129" s="40">
        <f t="shared" si="5"/>
        <v>0</v>
      </c>
      <c r="G129" s="73" t="str">
        <f t="shared" si="6"/>
        <v>Ground Floor</v>
      </c>
      <c r="H129" s="74"/>
      <c r="I129" s="34"/>
      <c r="L129" s="75"/>
      <c r="M129" s="75"/>
      <c r="N129" s="34"/>
    </row>
    <row r="130" spans="1:14" s="35" customFormat="1" hidden="1" x14ac:dyDescent="0.3">
      <c r="A130" s="73"/>
      <c r="B130" s="82"/>
      <c r="C130" s="82"/>
      <c r="D130" s="82"/>
      <c r="E130" s="82"/>
      <c r="F130" s="82"/>
      <c r="G130" s="82"/>
      <c r="H130" s="74"/>
      <c r="I130" s="34"/>
      <c r="N130" s="34"/>
    </row>
    <row r="131" spans="1:14" ht="47.25" customHeight="1" x14ac:dyDescent="0.3">
      <c r="A131" s="136" t="s">
        <v>122</v>
      </c>
      <c r="B131" s="132" t="s">
        <v>181</v>
      </c>
      <c r="C131" s="132" t="s">
        <v>57</v>
      </c>
      <c r="D131" s="132" t="s">
        <v>291</v>
      </c>
      <c r="E131" s="134" t="s">
        <v>59</v>
      </c>
      <c r="F131" s="41" t="s">
        <v>151</v>
      </c>
      <c r="G131" s="136" t="s">
        <v>60</v>
      </c>
      <c r="H131" s="137"/>
      <c r="I131" s="34"/>
    </row>
    <row r="132" spans="1:14" s="35" customFormat="1" x14ac:dyDescent="0.3">
      <c r="A132" s="138"/>
      <c r="B132" s="133"/>
      <c r="C132" s="133"/>
      <c r="D132" s="133"/>
      <c r="E132" s="135"/>
      <c r="F132" s="13">
        <v>0.5</v>
      </c>
      <c r="G132" s="138"/>
      <c r="H132" s="139"/>
      <c r="I132" s="34"/>
    </row>
    <row r="133" spans="1:14" s="35" customFormat="1" x14ac:dyDescent="0.3">
      <c r="A133" s="191" t="s">
        <v>255</v>
      </c>
      <c r="B133" s="192"/>
      <c r="C133" s="192"/>
      <c r="D133" s="192"/>
      <c r="E133" s="192"/>
      <c r="F133" s="192"/>
      <c r="G133" s="192"/>
      <c r="H133" s="193"/>
      <c r="J133" s="51">
        <v>10.763999999999999</v>
      </c>
    </row>
    <row r="134" spans="1:14" s="35" customFormat="1" x14ac:dyDescent="0.3">
      <c r="A134" s="83" t="s">
        <v>289</v>
      </c>
      <c r="B134" s="84"/>
      <c r="C134" s="84"/>
      <c r="D134" s="84"/>
      <c r="E134" s="84"/>
      <c r="F134" s="84"/>
      <c r="G134" s="84"/>
      <c r="H134" s="85"/>
      <c r="J134" s="34"/>
    </row>
    <row r="135" spans="1:14" s="35" customFormat="1" x14ac:dyDescent="0.3">
      <c r="A135" s="83" t="s">
        <v>290</v>
      </c>
      <c r="B135" s="84"/>
      <c r="C135" s="84"/>
      <c r="D135" s="84"/>
      <c r="E135" s="84"/>
      <c r="F135" s="84"/>
      <c r="G135" s="84"/>
      <c r="H135" s="85"/>
      <c r="J135" s="34"/>
    </row>
    <row r="136" spans="1:14" s="35" customFormat="1" ht="15.75" customHeight="1" x14ac:dyDescent="0.3">
      <c r="A136" s="73">
        <v>1</v>
      </c>
      <c r="B136" s="74"/>
      <c r="C136" s="40" t="s">
        <v>257</v>
      </c>
      <c r="D136" s="51">
        <f>(60.67)*10.764</f>
        <v>653.05187999999998</v>
      </c>
      <c r="E136" s="40">
        <v>0</v>
      </c>
      <c r="F136" s="40">
        <f>D136*(($F$132)+1)+(IF(E136&lt;101,E136,IF(E136&lt;201,E136/2,IF(E136&lt;=301,E136/3,E136/4))))</f>
        <v>979.57781999999997</v>
      </c>
      <c r="G136" s="86" t="str">
        <f>A135</f>
        <v>1st Floor For Residential, Fitness Center &amp; Society Office</v>
      </c>
      <c r="H136" s="87"/>
      <c r="I136" s="34">
        <f>3.05*6.63+2.15*2.98+3.35*3.2+3.35*2.9+2.15*1.2+2.3*1.2+2.3*1+0.9*1.2+2.15*0.65</f>
        <v>57.180999999999997</v>
      </c>
      <c r="J136" s="52" t="s">
        <v>284</v>
      </c>
      <c r="L136" s="75"/>
      <c r="M136" s="75"/>
      <c r="N136" s="34"/>
    </row>
    <row r="137" spans="1:14" s="35" customFormat="1" x14ac:dyDescent="0.3">
      <c r="A137" s="73">
        <f t="shared" ref="A137:A138" si="7">A136+1</f>
        <v>2</v>
      </c>
      <c r="B137" s="74"/>
      <c r="C137" s="40" t="s">
        <v>257</v>
      </c>
      <c r="D137" s="51">
        <f>(52.37)*10.764</f>
        <v>563.71067999999991</v>
      </c>
      <c r="E137" s="40">
        <v>0</v>
      </c>
      <c r="F137" s="40">
        <f>D137*(($F$132)+1)+(IF(E137&lt;101,E137,IF(E137&lt;201,E137/2,IF(E137&lt;=301,E137/3,E137/4))))</f>
        <v>845.56601999999987</v>
      </c>
      <c r="G137" s="88"/>
      <c r="H137" s="89"/>
      <c r="I137" s="34"/>
      <c r="J137" s="52" t="s">
        <v>284</v>
      </c>
      <c r="L137" s="75"/>
      <c r="M137" s="75"/>
      <c r="N137" s="34"/>
    </row>
    <row r="138" spans="1:14" s="35" customFormat="1" x14ac:dyDescent="0.3">
      <c r="A138" s="73">
        <f t="shared" si="7"/>
        <v>3</v>
      </c>
      <c r="B138" s="74"/>
      <c r="C138" s="73" t="s">
        <v>258</v>
      </c>
      <c r="D138" s="82"/>
      <c r="E138" s="82"/>
      <c r="F138" s="74"/>
      <c r="G138" s="90"/>
      <c r="H138" s="91"/>
      <c r="I138" s="34"/>
      <c r="L138" s="75"/>
      <c r="M138" s="75"/>
      <c r="N138" s="34"/>
    </row>
    <row r="139" spans="1:14" s="35" customFormat="1" x14ac:dyDescent="0.3">
      <c r="A139" s="83" t="s">
        <v>262</v>
      </c>
      <c r="B139" s="84"/>
      <c r="C139" s="84"/>
      <c r="D139" s="84"/>
      <c r="E139" s="84"/>
      <c r="F139" s="84"/>
      <c r="G139" s="84"/>
      <c r="H139" s="85"/>
      <c r="J139" s="34"/>
    </row>
    <row r="140" spans="1:14" s="35" customFormat="1" ht="15.75" customHeight="1" x14ac:dyDescent="0.3">
      <c r="A140" s="73">
        <v>1</v>
      </c>
      <c r="B140" s="74"/>
      <c r="C140" s="40" t="s">
        <v>257</v>
      </c>
      <c r="D140" s="51">
        <f>(60.67)*10.764</f>
        <v>653.05187999999998</v>
      </c>
      <c r="E140" s="40">
        <v>0</v>
      </c>
      <c r="F140" s="40">
        <f>D140*(($F$132)+1)+(IF(E140&lt;101,E140,IF(E140&lt;201,E140/2,IF(E140&lt;=301,E140/3,E140/4))))</f>
        <v>979.57781999999997</v>
      </c>
      <c r="G140" s="86" t="str">
        <f>A139</f>
        <v>2nd &amp; 3rd Floor</v>
      </c>
      <c r="H140" s="87"/>
      <c r="I140" s="52" t="s">
        <v>284</v>
      </c>
      <c r="L140" s="75"/>
      <c r="M140" s="75"/>
      <c r="N140" s="34"/>
    </row>
    <row r="141" spans="1:14" s="35" customFormat="1" ht="15.75" customHeight="1" x14ac:dyDescent="0.3">
      <c r="A141" s="73">
        <f t="shared" ref="A141:A142" si="8">A140+1</f>
        <v>2</v>
      </c>
      <c r="B141" s="74"/>
      <c r="C141" s="40" t="s">
        <v>257</v>
      </c>
      <c r="D141" s="51">
        <f>(52.37)*10.764</f>
        <v>563.71067999999991</v>
      </c>
      <c r="E141" s="40">
        <v>0</v>
      </c>
      <c r="F141" s="40">
        <f>D141*(($F$132)+1)+(IF(E141&lt;101,E141,IF(E141&lt;201,E141/2,IF(E141&lt;=301,E141/3,E141/4))))</f>
        <v>845.56601999999987</v>
      </c>
      <c r="G141" s="88"/>
      <c r="H141" s="89"/>
      <c r="I141" s="52" t="s">
        <v>284</v>
      </c>
      <c r="L141" s="75"/>
      <c r="M141" s="75"/>
      <c r="N141" s="34"/>
    </row>
    <row r="142" spans="1:14" s="35" customFormat="1" ht="15.75" customHeight="1" x14ac:dyDescent="0.3">
      <c r="A142" s="73">
        <f t="shared" si="8"/>
        <v>3</v>
      </c>
      <c r="B142" s="74"/>
      <c r="C142" s="40" t="s">
        <v>257</v>
      </c>
      <c r="D142" s="51">
        <f>(60.44)*10.764</f>
        <v>650.57615999999996</v>
      </c>
      <c r="E142" s="40">
        <v>0</v>
      </c>
      <c r="F142" s="40">
        <f>D142*(($F$132)+1)+(IF(E142&lt;101,E142,IF(E142&lt;201,E142/2,IF(E142&lt;=301,E142/3,E142/4))))</f>
        <v>975.86423999999988</v>
      </c>
      <c r="G142" s="90"/>
      <c r="H142" s="91"/>
      <c r="I142" s="52" t="s">
        <v>284</v>
      </c>
      <c r="L142" s="75"/>
      <c r="M142" s="75"/>
      <c r="N142" s="34"/>
    </row>
    <row r="143" spans="1:14" s="35" customFormat="1" x14ac:dyDescent="0.3">
      <c r="A143" s="83" t="s">
        <v>263</v>
      </c>
      <c r="B143" s="84"/>
      <c r="C143" s="84"/>
      <c r="D143" s="84"/>
      <c r="E143" s="84"/>
      <c r="F143" s="84"/>
      <c r="G143" s="84"/>
      <c r="H143" s="85"/>
      <c r="J143" s="34"/>
    </row>
    <row r="144" spans="1:14" s="35" customFormat="1" ht="15.75" customHeight="1" x14ac:dyDescent="0.3">
      <c r="A144" s="73">
        <v>1</v>
      </c>
      <c r="B144" s="74"/>
      <c r="C144" s="40" t="s">
        <v>257</v>
      </c>
      <c r="D144" s="51">
        <f>(60.67)*10.764</f>
        <v>653.05187999999998</v>
      </c>
      <c r="E144" s="40">
        <v>0</v>
      </c>
      <c r="F144" s="40">
        <f>D144*(($F$132)+1)+(IF(E144&lt;101,E144,IF(E144&lt;201,E144/2,IF(E144&lt;=301,E144/3,E144/4))))</f>
        <v>979.57781999999997</v>
      </c>
      <c r="G144" s="86" t="str">
        <f>A143</f>
        <v>4th to 7th Floor</v>
      </c>
      <c r="H144" s="87"/>
      <c r="I144" s="52" t="s">
        <v>284</v>
      </c>
      <c r="L144" s="75"/>
      <c r="M144" s="75"/>
      <c r="N144" s="34"/>
    </row>
    <row r="145" spans="1:14" s="35" customFormat="1" ht="15.75" customHeight="1" x14ac:dyDescent="0.3">
      <c r="A145" s="73">
        <f t="shared" ref="A145:A146" si="9">A144+1</f>
        <v>2</v>
      </c>
      <c r="B145" s="74"/>
      <c r="C145" s="40" t="s">
        <v>257</v>
      </c>
      <c r="D145" s="51">
        <f>(52.37)*10.764</f>
        <v>563.71067999999991</v>
      </c>
      <c r="E145" s="40">
        <v>0</v>
      </c>
      <c r="F145" s="40">
        <f>D145*(($F$132)+1)+(IF(E145&lt;101,E145,IF(E145&lt;201,E145/2,IF(E145&lt;=301,E145/3,E145/4))))</f>
        <v>845.56601999999987</v>
      </c>
      <c r="G145" s="88"/>
      <c r="H145" s="89"/>
      <c r="I145" s="52" t="s">
        <v>284</v>
      </c>
      <c r="J145" s="35" t="s">
        <v>301</v>
      </c>
      <c r="L145" s="75"/>
      <c r="M145" s="75"/>
      <c r="N145" s="34"/>
    </row>
    <row r="146" spans="1:14" s="35" customFormat="1" x14ac:dyDescent="0.3">
      <c r="A146" s="73">
        <f t="shared" si="9"/>
        <v>3</v>
      </c>
      <c r="B146" s="74"/>
      <c r="C146" s="40" t="s">
        <v>257</v>
      </c>
      <c r="D146" s="51">
        <f>(60.44)*10.764</f>
        <v>650.57615999999996</v>
      </c>
      <c r="E146" s="40">
        <v>0</v>
      </c>
      <c r="F146" s="40">
        <f>D146*(($F$132)+1)+(IF(E146&lt;101,E146,IF(E146&lt;201,E146/2,IF(E146&lt;=301,E146/3,E146/4))))</f>
        <v>975.86423999999988</v>
      </c>
      <c r="G146" s="90"/>
      <c r="H146" s="91"/>
      <c r="I146" s="52" t="s">
        <v>284</v>
      </c>
      <c r="J146" s="66">
        <f>14400000/F146</f>
        <v>14756.15091705789</v>
      </c>
      <c r="L146" s="75"/>
      <c r="M146" s="75"/>
      <c r="N146" s="34"/>
    </row>
    <row r="147" spans="1:14" s="35" customFormat="1" x14ac:dyDescent="0.3">
      <c r="A147" s="83" t="s">
        <v>265</v>
      </c>
      <c r="B147" s="84"/>
      <c r="C147" s="84"/>
      <c r="D147" s="84"/>
      <c r="E147" s="84"/>
      <c r="F147" s="84"/>
      <c r="G147" s="84"/>
      <c r="H147" s="85"/>
      <c r="J147" s="34"/>
    </row>
    <row r="148" spans="1:14" s="35" customFormat="1" ht="15.75" customHeight="1" x14ac:dyDescent="0.3">
      <c r="A148" s="73">
        <v>1</v>
      </c>
      <c r="B148" s="74"/>
      <c r="C148" s="40" t="s">
        <v>257</v>
      </c>
      <c r="D148" s="51">
        <f>(60.67)*10.764</f>
        <v>653.05187999999998</v>
      </c>
      <c r="E148" s="40">
        <v>0</v>
      </c>
      <c r="F148" s="40">
        <f>D148*(($F$132)+1)+(IF(E148&lt;101,E148,IF(E148&lt;201,E148/2,IF(E148&lt;=301,E148/3,E148/4))))</f>
        <v>979.57781999999997</v>
      </c>
      <c r="G148" s="86" t="str">
        <f>A147</f>
        <v>8th Floor (Part Refuge Area)</v>
      </c>
      <c r="H148" s="87"/>
      <c r="I148" s="52" t="s">
        <v>284</v>
      </c>
      <c r="L148" s="75"/>
      <c r="M148" s="75"/>
      <c r="N148" s="34"/>
    </row>
    <row r="149" spans="1:14" s="35" customFormat="1" ht="15.75" customHeight="1" x14ac:dyDescent="0.3">
      <c r="A149" s="73">
        <f t="shared" ref="A149:A150" si="10">A148+1</f>
        <v>2</v>
      </c>
      <c r="B149" s="74"/>
      <c r="C149" s="40" t="s">
        <v>257</v>
      </c>
      <c r="D149" s="51">
        <f>(52.37)*10.764</f>
        <v>563.71067999999991</v>
      </c>
      <c r="E149" s="40">
        <v>0</v>
      </c>
      <c r="F149" s="40">
        <f>D149*(($F$132)+1)+(IF(E149&lt;101,E149,IF(E149&lt;201,E149/2,IF(E149&lt;=301,E149/3,E149/4))))</f>
        <v>845.56601999999987</v>
      </c>
      <c r="G149" s="88"/>
      <c r="H149" s="89"/>
      <c r="I149" s="52" t="s">
        <v>284</v>
      </c>
      <c r="L149" s="75"/>
      <c r="M149" s="75"/>
      <c r="N149" s="34"/>
    </row>
    <row r="150" spans="1:14" s="35" customFormat="1" ht="15.75" customHeight="1" x14ac:dyDescent="0.3">
      <c r="A150" s="73">
        <f t="shared" si="10"/>
        <v>3</v>
      </c>
      <c r="B150" s="74"/>
      <c r="C150" s="73" t="s">
        <v>266</v>
      </c>
      <c r="D150" s="82"/>
      <c r="E150" s="82"/>
      <c r="F150" s="74"/>
      <c r="G150" s="90"/>
      <c r="H150" s="91"/>
      <c r="I150" s="52"/>
      <c r="L150" s="75"/>
      <c r="M150" s="75"/>
      <c r="N150" s="34"/>
    </row>
    <row r="151" spans="1:14" s="35" customFormat="1" x14ac:dyDescent="0.3">
      <c r="A151" s="83" t="s">
        <v>283</v>
      </c>
      <c r="B151" s="84"/>
      <c r="C151" s="84"/>
      <c r="D151" s="84"/>
      <c r="E151" s="84"/>
      <c r="F151" s="84"/>
      <c r="G151" s="84"/>
      <c r="H151" s="85"/>
      <c r="J151" s="34"/>
    </row>
    <row r="152" spans="1:14" s="35" customFormat="1" ht="15.75" customHeight="1" x14ac:dyDescent="0.3">
      <c r="A152" s="73">
        <v>1</v>
      </c>
      <c r="B152" s="74"/>
      <c r="C152" s="40" t="s">
        <v>257</v>
      </c>
      <c r="D152" s="51">
        <f>(60.67)*10.764</f>
        <v>653.05187999999998</v>
      </c>
      <c r="E152" s="40">
        <v>0</v>
      </c>
      <c r="F152" s="40">
        <f>D152*(($F$132)+1)+(IF(E152&lt;101,E152,IF(E152&lt;201,E152/2,IF(E152&lt;=301,E152/3,E152/4))))</f>
        <v>979.57781999999997</v>
      </c>
      <c r="G152" s="86" t="str">
        <f>A151</f>
        <v>9th to 14th &amp; 16th to 19th Floor</v>
      </c>
      <c r="H152" s="87"/>
      <c r="I152" s="52" t="s">
        <v>284</v>
      </c>
      <c r="L152" s="75"/>
      <c r="M152" s="75"/>
      <c r="N152" s="34"/>
    </row>
    <row r="153" spans="1:14" s="35" customFormat="1" ht="15.75" customHeight="1" x14ac:dyDescent="0.3">
      <c r="A153" s="73">
        <f t="shared" ref="A153:A154" si="11">A152+1</f>
        <v>2</v>
      </c>
      <c r="B153" s="74"/>
      <c r="C153" s="40" t="s">
        <v>257</v>
      </c>
      <c r="D153" s="51">
        <f>(61.58)*10.764</f>
        <v>662.8471199999999</v>
      </c>
      <c r="E153" s="40">
        <v>0</v>
      </c>
      <c r="F153" s="40">
        <f>D153*(($F$132)+1)+(IF(E153&lt;101,E153,IF(E153&lt;201,E153/2,IF(E153&lt;=301,E153/3,E153/4))))</f>
        <v>994.27067999999986</v>
      </c>
      <c r="G153" s="88"/>
      <c r="H153" s="89"/>
      <c r="I153" s="52" t="s">
        <v>284</v>
      </c>
      <c r="L153" s="75"/>
      <c r="M153" s="75"/>
      <c r="N153" s="34"/>
    </row>
    <row r="154" spans="1:14" s="35" customFormat="1" ht="15.75" customHeight="1" x14ac:dyDescent="0.3">
      <c r="A154" s="73">
        <f t="shared" si="11"/>
        <v>3</v>
      </c>
      <c r="B154" s="74"/>
      <c r="C154" s="40" t="s">
        <v>257</v>
      </c>
      <c r="D154" s="51">
        <f>(60.44)*10.764</f>
        <v>650.57615999999996</v>
      </c>
      <c r="E154" s="40">
        <v>0</v>
      </c>
      <c r="F154" s="40">
        <f>D154*(($F$132)+1)+(IF(E154&lt;101,E154,IF(E154&lt;201,E154/2,IF(E154&lt;=301,E154/3,E154/4))))</f>
        <v>975.86423999999988</v>
      </c>
      <c r="G154" s="90"/>
      <c r="H154" s="91"/>
      <c r="I154" s="52" t="s">
        <v>284</v>
      </c>
      <c r="J154" s="34">
        <f>13700000/F154</f>
        <v>14038.838025256466</v>
      </c>
      <c r="L154" s="75"/>
      <c r="M154" s="75"/>
      <c r="N154" s="34"/>
    </row>
    <row r="155" spans="1:14" s="35" customFormat="1" x14ac:dyDescent="0.3">
      <c r="A155" s="83" t="s">
        <v>267</v>
      </c>
      <c r="B155" s="84"/>
      <c r="C155" s="84"/>
      <c r="D155" s="84"/>
      <c r="E155" s="84"/>
      <c r="F155" s="84"/>
      <c r="G155" s="84"/>
      <c r="H155" s="85"/>
      <c r="J155" s="34"/>
    </row>
    <row r="156" spans="1:14" s="35" customFormat="1" ht="15.75" customHeight="1" x14ac:dyDescent="0.3">
      <c r="A156" s="73">
        <v>1</v>
      </c>
      <c r="B156" s="74"/>
      <c r="C156" s="40" t="s">
        <v>257</v>
      </c>
      <c r="D156" s="51">
        <f>(60.67)*10.764</f>
        <v>653.05187999999998</v>
      </c>
      <c r="E156" s="40">
        <v>0</v>
      </c>
      <c r="F156" s="40">
        <f>D156*(($F$132)+1)+(IF(E156&lt;101,E156,IF(E156&lt;201,E156/2,IF(E156&lt;=301,E156/3,E156/4))))</f>
        <v>979.57781999999997</v>
      </c>
      <c r="G156" s="86" t="str">
        <f>A155</f>
        <v>15th Floor (Part Refuge Area)</v>
      </c>
      <c r="H156" s="87"/>
      <c r="I156" s="52" t="s">
        <v>284</v>
      </c>
      <c r="J156" s="34">
        <f>13700000/F156</f>
        <v>13985.616783360816</v>
      </c>
      <c r="L156" s="75"/>
      <c r="M156" s="75"/>
      <c r="N156" s="34"/>
    </row>
    <row r="157" spans="1:14" s="35" customFormat="1" ht="15.75" customHeight="1" x14ac:dyDescent="0.3">
      <c r="A157" s="73">
        <f t="shared" ref="A157:A158" si="12">A156+1</f>
        <v>2</v>
      </c>
      <c r="B157" s="74"/>
      <c r="C157" s="40" t="s">
        <v>261</v>
      </c>
      <c r="D157" s="51">
        <f>(78.16)*10.764</f>
        <v>841.31423999999993</v>
      </c>
      <c r="E157" s="40">
        <v>0</v>
      </c>
      <c r="F157" s="40">
        <f>D157*(($F$132)+1)+(IF(E157&lt;101,E157,IF(E157&lt;201,E157/2,IF(E157&lt;=301,E157/3,E157/4))))</f>
        <v>1261.97136</v>
      </c>
      <c r="G157" s="88"/>
      <c r="H157" s="89"/>
      <c r="I157" s="52" t="s">
        <v>284</v>
      </c>
      <c r="L157" s="75"/>
      <c r="M157" s="75"/>
      <c r="N157" s="34"/>
    </row>
    <row r="158" spans="1:14" s="35" customFormat="1" ht="15.75" customHeight="1" x14ac:dyDescent="0.3">
      <c r="A158" s="73">
        <f t="shared" si="12"/>
        <v>3</v>
      </c>
      <c r="B158" s="74"/>
      <c r="C158" s="73" t="s">
        <v>266</v>
      </c>
      <c r="D158" s="82"/>
      <c r="E158" s="82"/>
      <c r="F158" s="74"/>
      <c r="G158" s="90"/>
      <c r="H158" s="91"/>
      <c r="I158" s="34"/>
      <c r="L158" s="75"/>
      <c r="M158" s="75"/>
      <c r="N158" s="34"/>
    </row>
    <row r="159" spans="1:14" s="35" customFormat="1" x14ac:dyDescent="0.3">
      <c r="A159" s="191" t="s">
        <v>259</v>
      </c>
      <c r="B159" s="192"/>
      <c r="C159" s="192"/>
      <c r="D159" s="192"/>
      <c r="E159" s="192"/>
      <c r="F159" s="192"/>
      <c r="G159" s="192"/>
      <c r="H159" s="193"/>
      <c r="J159" s="34"/>
    </row>
    <row r="160" spans="1:14" s="35" customFormat="1" ht="15.75" customHeight="1" x14ac:dyDescent="0.3">
      <c r="A160" s="83" t="s">
        <v>256</v>
      </c>
      <c r="B160" s="84"/>
      <c r="C160" s="84"/>
      <c r="D160" s="84"/>
      <c r="E160" s="84"/>
      <c r="F160" s="84"/>
      <c r="G160" s="84"/>
      <c r="H160" s="85"/>
      <c r="J160" s="34"/>
    </row>
    <row r="161" spans="1:14" s="35" customFormat="1" ht="15.75" customHeight="1" x14ac:dyDescent="0.3">
      <c r="A161" s="73">
        <v>1</v>
      </c>
      <c r="B161" s="74"/>
      <c r="C161" s="73" t="s">
        <v>260</v>
      </c>
      <c r="D161" s="82"/>
      <c r="E161" s="82"/>
      <c r="F161" s="74"/>
      <c r="G161" s="86" t="str">
        <f>A160</f>
        <v>1st Floor for Residential</v>
      </c>
      <c r="H161" s="87"/>
      <c r="I161" s="34"/>
      <c r="L161" s="75"/>
      <c r="M161" s="75"/>
      <c r="N161" s="34"/>
    </row>
    <row r="162" spans="1:14" s="35" customFormat="1" ht="15.75" customHeight="1" x14ac:dyDescent="0.3">
      <c r="A162" s="73">
        <f t="shared" ref="A162:A165" si="13">A161+1</f>
        <v>2</v>
      </c>
      <c r="B162" s="74"/>
      <c r="C162" s="40" t="s">
        <v>257</v>
      </c>
      <c r="D162" s="51">
        <f>(52.26)*10.764</f>
        <v>562.52663999999993</v>
      </c>
      <c r="E162" s="40">
        <v>0</v>
      </c>
      <c r="F162" s="40">
        <f>D162*(($F$132)+1)+(IF(E162&lt;101,E162,IF(E162&lt;201,E162/2,IF(E162&lt;=301,E162/3,E162/4))))</f>
        <v>843.78995999999984</v>
      </c>
      <c r="G162" s="88"/>
      <c r="H162" s="89"/>
      <c r="I162" s="52" t="s">
        <v>284</v>
      </c>
      <c r="L162" s="75"/>
      <c r="M162" s="75"/>
      <c r="N162" s="34"/>
    </row>
    <row r="163" spans="1:14" s="35" customFormat="1" ht="15.75" customHeight="1" x14ac:dyDescent="0.3">
      <c r="A163" s="73">
        <f t="shared" si="13"/>
        <v>3</v>
      </c>
      <c r="B163" s="74"/>
      <c r="C163" s="40" t="s">
        <v>257</v>
      </c>
      <c r="D163" s="51">
        <f>(52.32)*10.764</f>
        <v>563.17247999999995</v>
      </c>
      <c r="E163" s="40">
        <v>0</v>
      </c>
      <c r="F163" s="40">
        <f>D163*(($F$132)+1)+(IF(E163&lt;101,E163,IF(E163&lt;201,E163/2,IF(E163&lt;=301,E163/3,E163/4))))</f>
        <v>844.75871999999993</v>
      </c>
      <c r="G163" s="88"/>
      <c r="H163" s="89"/>
      <c r="I163" s="52" t="s">
        <v>284</v>
      </c>
      <c r="L163" s="75"/>
      <c r="M163" s="75"/>
      <c r="N163" s="34"/>
    </row>
    <row r="164" spans="1:14" s="35" customFormat="1" ht="15.75" customHeight="1" x14ac:dyDescent="0.3">
      <c r="A164" s="73">
        <f t="shared" si="13"/>
        <v>4</v>
      </c>
      <c r="B164" s="74"/>
      <c r="C164" s="40" t="s">
        <v>257</v>
      </c>
      <c r="D164" s="51">
        <f>(51.13)*10.764</f>
        <v>550.36332000000004</v>
      </c>
      <c r="E164" s="40">
        <v>0</v>
      </c>
      <c r="F164" s="40">
        <f>D164*(($F$132)+1)+(IF(E164&lt;101,E164,IF(E164&lt;201,E164/2,IF(E164&lt;=301,E164/3,E164/4))))</f>
        <v>825.54498000000012</v>
      </c>
      <c r="G164" s="88"/>
      <c r="H164" s="89"/>
      <c r="I164" s="52" t="s">
        <v>284</v>
      </c>
      <c r="L164" s="75"/>
      <c r="M164" s="75"/>
      <c r="N164" s="34"/>
    </row>
    <row r="165" spans="1:14" s="35" customFormat="1" ht="15.75" customHeight="1" x14ac:dyDescent="0.3">
      <c r="A165" s="73">
        <f t="shared" si="13"/>
        <v>5</v>
      </c>
      <c r="B165" s="74"/>
      <c r="C165" s="40" t="s">
        <v>261</v>
      </c>
      <c r="D165" s="51">
        <f>(78.12)*10.764</f>
        <v>840.88368000000003</v>
      </c>
      <c r="E165" s="40">
        <v>0</v>
      </c>
      <c r="F165" s="40">
        <f>D165*(($F$132)+1)+(IF(E165&lt;101,E165,IF(E165&lt;201,E165/2,IF(E165&lt;=301,E165/3,E165/4))))</f>
        <v>1261.3255200000001</v>
      </c>
      <c r="G165" s="90"/>
      <c r="H165" s="91"/>
      <c r="I165" s="52" t="s">
        <v>284</v>
      </c>
      <c r="L165" s="75"/>
      <c r="M165" s="75"/>
      <c r="N165" s="34"/>
    </row>
    <row r="166" spans="1:14" s="35" customFormat="1" ht="15.75" customHeight="1" x14ac:dyDescent="0.3">
      <c r="A166" s="83" t="s">
        <v>262</v>
      </c>
      <c r="B166" s="84"/>
      <c r="C166" s="84"/>
      <c r="D166" s="84"/>
      <c r="E166" s="84"/>
      <c r="F166" s="84"/>
      <c r="G166" s="84"/>
      <c r="H166" s="85"/>
      <c r="J166" s="34"/>
    </row>
    <row r="167" spans="1:14" s="35" customFormat="1" ht="15.75" customHeight="1" x14ac:dyDescent="0.3">
      <c r="A167" s="73">
        <v>1</v>
      </c>
      <c r="B167" s="74"/>
      <c r="C167" s="73" t="s">
        <v>260</v>
      </c>
      <c r="D167" s="82"/>
      <c r="E167" s="82"/>
      <c r="F167" s="74"/>
      <c r="G167" s="86" t="str">
        <f>A166</f>
        <v>2nd &amp; 3rd Floor</v>
      </c>
      <c r="H167" s="87"/>
      <c r="I167" s="34"/>
      <c r="L167" s="75"/>
      <c r="M167" s="75"/>
      <c r="N167" s="34"/>
    </row>
    <row r="168" spans="1:14" s="35" customFormat="1" ht="15.75" customHeight="1" x14ac:dyDescent="0.3">
      <c r="A168" s="73">
        <f t="shared" ref="A168:A171" si="14">A167+1</f>
        <v>2</v>
      </c>
      <c r="B168" s="74"/>
      <c r="C168" s="40" t="s">
        <v>257</v>
      </c>
      <c r="D168" s="51">
        <f>(52.26)*10.764</f>
        <v>562.52663999999993</v>
      </c>
      <c r="E168" s="40">
        <v>0</v>
      </c>
      <c r="F168" s="40">
        <f>D168*(($F$132)+1)+(IF(E168&lt;101,E168,IF(E168&lt;201,E168/2,IF(E168&lt;=301,E168/3,E168/4))))</f>
        <v>843.78995999999984</v>
      </c>
      <c r="G168" s="88"/>
      <c r="H168" s="89"/>
      <c r="I168" s="52" t="s">
        <v>284</v>
      </c>
      <c r="L168" s="75"/>
      <c r="M168" s="75"/>
      <c r="N168" s="34"/>
    </row>
    <row r="169" spans="1:14" s="35" customFormat="1" ht="15.75" customHeight="1" x14ac:dyDescent="0.3">
      <c r="A169" s="73">
        <f t="shared" si="14"/>
        <v>3</v>
      </c>
      <c r="B169" s="74"/>
      <c r="C169" s="40" t="s">
        <v>257</v>
      </c>
      <c r="D169" s="51">
        <f>(52.32)*10.764</f>
        <v>563.17247999999995</v>
      </c>
      <c r="E169" s="40">
        <v>0</v>
      </c>
      <c r="F169" s="40">
        <f>D169*(($F$132)+1)+(IF(E169&lt;101,E169,IF(E169&lt;201,E169/2,IF(E169&lt;=301,E169/3,E169/4))))</f>
        <v>844.75871999999993</v>
      </c>
      <c r="G169" s="88"/>
      <c r="H169" s="89"/>
      <c r="I169" s="52" t="s">
        <v>284</v>
      </c>
      <c r="L169" s="75"/>
      <c r="M169" s="75"/>
      <c r="N169" s="34"/>
    </row>
    <row r="170" spans="1:14" s="35" customFormat="1" ht="15.75" customHeight="1" x14ac:dyDescent="0.3">
      <c r="A170" s="73">
        <f t="shared" si="14"/>
        <v>4</v>
      </c>
      <c r="B170" s="74"/>
      <c r="C170" s="40" t="s">
        <v>257</v>
      </c>
      <c r="D170" s="51">
        <f>(51.13)*10.764</f>
        <v>550.36332000000004</v>
      </c>
      <c r="E170" s="40">
        <v>0</v>
      </c>
      <c r="F170" s="40">
        <f>D170*(($F$132)+1)+(IF(E170&lt;101,E170,IF(E170&lt;201,E170/2,IF(E170&lt;=301,E170/3,E170/4))))</f>
        <v>825.54498000000012</v>
      </c>
      <c r="G170" s="88"/>
      <c r="H170" s="89"/>
      <c r="I170" s="52" t="s">
        <v>284</v>
      </c>
      <c r="J170" s="64"/>
      <c r="L170" s="75"/>
      <c r="M170" s="75"/>
      <c r="N170" s="34"/>
    </row>
    <row r="171" spans="1:14" s="35" customFormat="1" ht="15.75" customHeight="1" x14ac:dyDescent="0.3">
      <c r="A171" s="73">
        <f t="shared" si="14"/>
        <v>5</v>
      </c>
      <c r="B171" s="74"/>
      <c r="C171" s="40" t="s">
        <v>261</v>
      </c>
      <c r="D171" s="51">
        <f>(78.12)*10.764</f>
        <v>840.88368000000003</v>
      </c>
      <c r="E171" s="40">
        <v>0</v>
      </c>
      <c r="F171" s="40">
        <f>D171*(($F$132)+1)+(IF(E171&lt;101,E171,IF(E171&lt;201,E171/2,IF(E171&lt;=301,E171/3,E171/4))))</f>
        <v>1261.3255200000001</v>
      </c>
      <c r="G171" s="90"/>
      <c r="H171" s="91"/>
      <c r="I171" s="52" t="s">
        <v>284</v>
      </c>
      <c r="L171" s="75"/>
      <c r="M171" s="75"/>
      <c r="N171" s="34"/>
    </row>
    <row r="172" spans="1:14" s="35" customFormat="1" x14ac:dyDescent="0.3">
      <c r="A172" s="83" t="s">
        <v>263</v>
      </c>
      <c r="B172" s="84"/>
      <c r="C172" s="84"/>
      <c r="D172" s="84"/>
      <c r="E172" s="84"/>
      <c r="F172" s="84"/>
      <c r="G172" s="84"/>
      <c r="H172" s="85"/>
      <c r="J172" s="34"/>
    </row>
    <row r="173" spans="1:14" s="35" customFormat="1" ht="15.75" customHeight="1" x14ac:dyDescent="0.3">
      <c r="A173" s="73">
        <v>1</v>
      </c>
      <c r="B173" s="74"/>
      <c r="C173" s="40" t="s">
        <v>264</v>
      </c>
      <c r="D173" s="51">
        <f>(39.37)*10.764</f>
        <v>423.77867999999995</v>
      </c>
      <c r="E173" s="40">
        <v>0</v>
      </c>
      <c r="F173" s="40">
        <f t="shared" ref="F173:F178" si="15">D173*(($F$132)+1)+(IF(E173&lt;101,E173,IF(E173&lt;201,E173/2,IF(E173&lt;=301,E173/3,E173/4))))</f>
        <v>635.66801999999996</v>
      </c>
      <c r="G173" s="86" t="str">
        <f>A172</f>
        <v>4th to 7th Floor</v>
      </c>
      <c r="H173" s="87"/>
      <c r="I173" s="52" t="s">
        <v>284</v>
      </c>
      <c r="J173" s="35">
        <f>6609000/F173</f>
        <v>10396.93643861461</v>
      </c>
      <c r="K173" s="35">
        <f>6609000*0.08+6609000</f>
        <v>7137720</v>
      </c>
      <c r="L173" s="75">
        <f>K173/F173</f>
        <v>11228.691353703778</v>
      </c>
      <c r="M173" s="75"/>
      <c r="N173" s="34"/>
    </row>
    <row r="174" spans="1:14" s="35" customFormat="1" ht="15.75" customHeight="1" x14ac:dyDescent="0.3">
      <c r="A174" s="73">
        <f t="shared" ref="A174:A178" si="16">A173+1</f>
        <v>2</v>
      </c>
      <c r="B174" s="74"/>
      <c r="C174" s="40" t="s">
        <v>257</v>
      </c>
      <c r="D174" s="51">
        <f>(52.26)*10.764</f>
        <v>562.52663999999993</v>
      </c>
      <c r="E174" s="40">
        <v>0</v>
      </c>
      <c r="F174" s="40">
        <f t="shared" si="15"/>
        <v>843.78995999999984</v>
      </c>
      <c r="G174" s="88"/>
      <c r="H174" s="89"/>
      <c r="I174" s="52" t="s">
        <v>284</v>
      </c>
      <c r="L174" s="75"/>
      <c r="M174" s="75"/>
      <c r="N174" s="34"/>
    </row>
    <row r="175" spans="1:14" s="35" customFormat="1" ht="15.75" customHeight="1" x14ac:dyDescent="0.3">
      <c r="A175" s="73">
        <f t="shared" si="16"/>
        <v>3</v>
      </c>
      <c r="B175" s="74"/>
      <c r="C175" s="40" t="s">
        <v>257</v>
      </c>
      <c r="D175" s="51">
        <f>(52.32)*10.764</f>
        <v>563.17247999999995</v>
      </c>
      <c r="E175" s="40">
        <v>0</v>
      </c>
      <c r="F175" s="40">
        <f t="shared" si="15"/>
        <v>844.75871999999993</v>
      </c>
      <c r="G175" s="88"/>
      <c r="H175" s="89"/>
      <c r="I175" s="52" t="s">
        <v>284</v>
      </c>
      <c r="L175" s="75"/>
      <c r="M175" s="75"/>
      <c r="N175" s="34"/>
    </row>
    <row r="176" spans="1:14" s="35" customFormat="1" ht="15.75" customHeight="1" x14ac:dyDescent="0.3">
      <c r="A176" s="73">
        <f t="shared" si="16"/>
        <v>4</v>
      </c>
      <c r="B176" s="74"/>
      <c r="C176" s="40" t="s">
        <v>257</v>
      </c>
      <c r="D176" s="51">
        <f>(51.13)*10.764</f>
        <v>550.36332000000004</v>
      </c>
      <c r="E176" s="40">
        <v>0</v>
      </c>
      <c r="F176" s="40">
        <f t="shared" si="15"/>
        <v>825.54498000000012</v>
      </c>
      <c r="G176" s="88"/>
      <c r="H176" s="89"/>
      <c r="I176" s="52" t="s">
        <v>284</v>
      </c>
      <c r="L176" s="75"/>
      <c r="M176" s="75"/>
      <c r="N176" s="34"/>
    </row>
    <row r="177" spans="1:14" s="35" customFormat="1" ht="15.75" customHeight="1" x14ac:dyDescent="0.3">
      <c r="A177" s="73">
        <f t="shared" si="16"/>
        <v>5</v>
      </c>
      <c r="B177" s="74"/>
      <c r="C177" s="40" t="s">
        <v>261</v>
      </c>
      <c r="D177" s="51">
        <f>(78.12)*10.764</f>
        <v>840.88368000000003</v>
      </c>
      <c r="E177" s="40">
        <v>0</v>
      </c>
      <c r="F177" s="40">
        <f t="shared" si="15"/>
        <v>1261.3255200000001</v>
      </c>
      <c r="G177" s="88"/>
      <c r="H177" s="89"/>
      <c r="I177" s="52" t="s">
        <v>284</v>
      </c>
      <c r="L177" s="75"/>
      <c r="M177" s="75"/>
      <c r="N177" s="34"/>
    </row>
    <row r="178" spans="1:14" s="35" customFormat="1" ht="15.75" customHeight="1" x14ac:dyDescent="0.3">
      <c r="A178" s="73">
        <f t="shared" si="16"/>
        <v>6</v>
      </c>
      <c r="B178" s="74"/>
      <c r="C178" s="40" t="s">
        <v>264</v>
      </c>
      <c r="D178" s="51">
        <f>(39.11)*10.764</f>
        <v>420.98003999999997</v>
      </c>
      <c r="E178" s="40">
        <v>0</v>
      </c>
      <c r="F178" s="40">
        <f t="shared" si="15"/>
        <v>631.47005999999999</v>
      </c>
      <c r="G178" s="90"/>
      <c r="H178" s="91"/>
      <c r="I178" s="52" t="s">
        <v>284</v>
      </c>
      <c r="L178" s="75"/>
      <c r="M178" s="75"/>
      <c r="N178" s="34"/>
    </row>
    <row r="179" spans="1:14" s="35" customFormat="1" x14ac:dyDescent="0.3">
      <c r="A179" s="83" t="s">
        <v>265</v>
      </c>
      <c r="B179" s="84"/>
      <c r="C179" s="84"/>
      <c r="D179" s="84"/>
      <c r="E179" s="84"/>
      <c r="F179" s="84"/>
      <c r="G179" s="84"/>
      <c r="H179" s="85"/>
      <c r="J179" s="34"/>
    </row>
    <row r="180" spans="1:14" s="35" customFormat="1" ht="15.75" customHeight="1" x14ac:dyDescent="0.3">
      <c r="A180" s="73">
        <v>1</v>
      </c>
      <c r="B180" s="74"/>
      <c r="C180" s="73" t="s">
        <v>266</v>
      </c>
      <c r="D180" s="82"/>
      <c r="E180" s="82"/>
      <c r="F180" s="74"/>
      <c r="G180" s="86" t="str">
        <f>A179</f>
        <v>8th Floor (Part Refuge Area)</v>
      </c>
      <c r="H180" s="87"/>
      <c r="I180" s="34"/>
      <c r="L180" s="75"/>
      <c r="M180" s="75"/>
      <c r="N180" s="34"/>
    </row>
    <row r="181" spans="1:14" s="35" customFormat="1" ht="15.75" customHeight="1" x14ac:dyDescent="0.3">
      <c r="A181" s="73">
        <f t="shared" ref="A181:A185" si="17">A180+1</f>
        <v>2</v>
      </c>
      <c r="B181" s="74"/>
      <c r="C181" s="40" t="s">
        <v>257</v>
      </c>
      <c r="D181" s="51">
        <f>(52.26)*10.764</f>
        <v>562.52663999999993</v>
      </c>
      <c r="E181" s="40">
        <v>0</v>
      </c>
      <c r="F181" s="40">
        <f>D181*(($F$132)+1)+(IF(E181&lt;101,E181,IF(E181&lt;201,E181/2,IF(E181&lt;=301,E181/3,E181/4))))</f>
        <v>843.78995999999984</v>
      </c>
      <c r="G181" s="88"/>
      <c r="H181" s="89"/>
      <c r="I181" s="52" t="s">
        <v>284</v>
      </c>
      <c r="L181" s="75"/>
      <c r="M181" s="75"/>
      <c r="N181" s="34"/>
    </row>
    <row r="182" spans="1:14" s="35" customFormat="1" ht="15.75" customHeight="1" x14ac:dyDescent="0.3">
      <c r="A182" s="73">
        <f t="shared" si="17"/>
        <v>3</v>
      </c>
      <c r="B182" s="74"/>
      <c r="C182" s="40" t="s">
        <v>257</v>
      </c>
      <c r="D182" s="51">
        <f>(52.32)*10.764</f>
        <v>563.17247999999995</v>
      </c>
      <c r="E182" s="40">
        <v>0</v>
      </c>
      <c r="F182" s="40">
        <f>D182*(($F$132)+1)+(IF(E182&lt;101,E182,IF(E182&lt;201,E182/2,IF(E182&lt;=301,E182/3,E182/4))))</f>
        <v>844.75871999999993</v>
      </c>
      <c r="G182" s="88"/>
      <c r="H182" s="89"/>
      <c r="I182" s="52" t="s">
        <v>284</v>
      </c>
      <c r="L182" s="75"/>
      <c r="M182" s="75"/>
      <c r="N182" s="34"/>
    </row>
    <row r="183" spans="1:14" s="35" customFormat="1" ht="15.75" customHeight="1" x14ac:dyDescent="0.3">
      <c r="A183" s="73">
        <f t="shared" si="17"/>
        <v>4</v>
      </c>
      <c r="B183" s="74"/>
      <c r="C183" s="40" t="s">
        <v>257</v>
      </c>
      <c r="D183" s="51">
        <f>(51.13)*10.764</f>
        <v>550.36332000000004</v>
      </c>
      <c r="E183" s="40">
        <v>0</v>
      </c>
      <c r="F183" s="40">
        <f>D183*(($F$132)+1)+(IF(E183&lt;101,E183,IF(E183&lt;201,E183/2,IF(E183&lt;=301,E183/3,E183/4))))</f>
        <v>825.54498000000012</v>
      </c>
      <c r="G183" s="88"/>
      <c r="H183" s="89"/>
      <c r="I183" s="52" t="s">
        <v>284</v>
      </c>
      <c r="L183" s="75"/>
      <c r="M183" s="75"/>
      <c r="N183" s="34"/>
    </row>
    <row r="184" spans="1:14" s="35" customFormat="1" ht="15.75" customHeight="1" x14ac:dyDescent="0.3">
      <c r="A184" s="73">
        <f t="shared" si="17"/>
        <v>5</v>
      </c>
      <c r="B184" s="74"/>
      <c r="C184" s="40" t="s">
        <v>261</v>
      </c>
      <c r="D184" s="51">
        <f>(78.12)*10.764</f>
        <v>840.88368000000003</v>
      </c>
      <c r="E184" s="40">
        <v>0</v>
      </c>
      <c r="F184" s="40">
        <f>D184*(($F$132)+1)+(IF(E184&lt;101,E184,IF(E184&lt;201,E184/2,IF(E184&lt;=301,E184/3,E184/4))))</f>
        <v>1261.3255200000001</v>
      </c>
      <c r="G184" s="88"/>
      <c r="H184" s="89"/>
      <c r="I184" s="52" t="s">
        <v>284</v>
      </c>
      <c r="L184" s="75"/>
      <c r="M184" s="75"/>
      <c r="N184" s="34"/>
    </row>
    <row r="185" spans="1:14" s="35" customFormat="1" ht="15.75" customHeight="1" x14ac:dyDescent="0.3">
      <c r="A185" s="73">
        <f t="shared" si="17"/>
        <v>6</v>
      </c>
      <c r="B185" s="74"/>
      <c r="C185" s="73" t="s">
        <v>266</v>
      </c>
      <c r="D185" s="82"/>
      <c r="E185" s="82"/>
      <c r="F185" s="74"/>
      <c r="G185" s="90"/>
      <c r="H185" s="91"/>
      <c r="I185" s="34"/>
      <c r="L185" s="75"/>
      <c r="M185" s="75"/>
      <c r="N185" s="34"/>
    </row>
    <row r="186" spans="1:14" s="35" customFormat="1" x14ac:dyDescent="0.3">
      <c r="A186" s="83" t="s">
        <v>283</v>
      </c>
      <c r="B186" s="84"/>
      <c r="C186" s="84"/>
      <c r="D186" s="84"/>
      <c r="E186" s="84"/>
      <c r="F186" s="84"/>
      <c r="G186" s="84"/>
      <c r="H186" s="85"/>
      <c r="J186" s="34" t="s">
        <v>303</v>
      </c>
      <c r="K186" s="35" t="s">
        <v>299</v>
      </c>
      <c r="M186" s="35" t="s">
        <v>300</v>
      </c>
      <c r="N186" s="64" t="s">
        <v>302</v>
      </c>
    </row>
    <row r="187" spans="1:14" s="35" customFormat="1" ht="15.75" customHeight="1" x14ac:dyDescent="0.3">
      <c r="A187" s="73">
        <v>1</v>
      </c>
      <c r="B187" s="74"/>
      <c r="C187" s="40" t="s">
        <v>264</v>
      </c>
      <c r="D187" s="51">
        <f>(39.37)*10.764</f>
        <v>423.77867999999995</v>
      </c>
      <c r="E187" s="40">
        <v>0</v>
      </c>
      <c r="F187" s="40">
        <f t="shared" ref="F187:F192" si="18">D187*(($F$132)+1)+(IF(E187&lt;101,E187,IF(E187&lt;201,E187/2,IF(E187&lt;=301,E187/3,E187/4))))</f>
        <v>635.66801999999996</v>
      </c>
      <c r="G187" s="86" t="str">
        <f>A186</f>
        <v>9th to 14th &amp; 16th to 19th Floor</v>
      </c>
      <c r="H187" s="87"/>
      <c r="I187" s="52" t="s">
        <v>284</v>
      </c>
      <c r="J187" s="66">
        <f>(11700000-(11700000*0.12))/F187</f>
        <v>16197.13384354305</v>
      </c>
      <c r="K187" s="64">
        <f>9116000/F187</f>
        <v>14340.818970254317</v>
      </c>
      <c r="L187" s="92">
        <f>(6609000)/F187</f>
        <v>10396.93643861461</v>
      </c>
      <c r="M187" s="92"/>
      <c r="N187" s="66">
        <f>22500/1.5</f>
        <v>15000</v>
      </c>
    </row>
    <row r="188" spans="1:14" s="35" customFormat="1" ht="15.75" customHeight="1" x14ac:dyDescent="0.3">
      <c r="A188" s="73">
        <f t="shared" ref="A188:A192" si="19">A187+1</f>
        <v>2</v>
      </c>
      <c r="B188" s="74"/>
      <c r="C188" s="40" t="s">
        <v>257</v>
      </c>
      <c r="D188" s="51">
        <f>(61.55)*10.764</f>
        <v>662.52419999999995</v>
      </c>
      <c r="E188" s="40">
        <v>0</v>
      </c>
      <c r="F188" s="40">
        <f t="shared" si="18"/>
        <v>993.78629999999998</v>
      </c>
      <c r="G188" s="88"/>
      <c r="H188" s="89"/>
      <c r="I188" s="52" t="s">
        <v>284</v>
      </c>
      <c r="J188" s="34"/>
      <c r="K188" s="64"/>
      <c r="L188" s="75"/>
      <c r="M188" s="75"/>
      <c r="N188" s="34"/>
    </row>
    <row r="189" spans="1:14" s="35" customFormat="1" ht="15.75" customHeight="1" x14ac:dyDescent="0.3">
      <c r="A189" s="73">
        <f t="shared" si="19"/>
        <v>3</v>
      </c>
      <c r="B189" s="74"/>
      <c r="C189" s="40" t="s">
        <v>257</v>
      </c>
      <c r="D189" s="51">
        <f>(60.01)*10.764</f>
        <v>645.94763999999998</v>
      </c>
      <c r="E189" s="40">
        <v>0</v>
      </c>
      <c r="F189" s="40">
        <f t="shared" si="18"/>
        <v>968.92146000000002</v>
      </c>
      <c r="G189" s="88"/>
      <c r="H189" s="89"/>
      <c r="I189" s="52" t="s">
        <v>284</v>
      </c>
      <c r="J189" s="34"/>
      <c r="K189" s="64"/>
      <c r="L189" s="75"/>
      <c r="M189" s="75"/>
      <c r="N189" s="34"/>
    </row>
    <row r="190" spans="1:14" s="35" customFormat="1" ht="15.75" customHeight="1" x14ac:dyDescent="0.3">
      <c r="A190" s="73">
        <f t="shared" si="19"/>
        <v>4</v>
      </c>
      <c r="B190" s="74"/>
      <c r="C190" s="40" t="s">
        <v>257</v>
      </c>
      <c r="D190" s="51">
        <f>(51.13)*10.764</f>
        <v>550.36332000000004</v>
      </c>
      <c r="E190" s="40">
        <v>0</v>
      </c>
      <c r="F190" s="40">
        <f t="shared" si="18"/>
        <v>825.54498000000012</v>
      </c>
      <c r="G190" s="88"/>
      <c r="H190" s="89"/>
      <c r="I190" s="52" t="s">
        <v>284</v>
      </c>
      <c r="J190" s="66">
        <f>(14900000-(14900000*0.12))/F190</f>
        <v>15882.841417072148</v>
      </c>
      <c r="K190" s="64"/>
      <c r="L190" s="75"/>
      <c r="M190" s="75"/>
      <c r="N190" s="34"/>
    </row>
    <row r="191" spans="1:14" s="35" customFormat="1" ht="15.75" customHeight="1" x14ac:dyDescent="0.3">
      <c r="A191" s="73">
        <f t="shared" si="19"/>
        <v>5</v>
      </c>
      <c r="B191" s="74"/>
      <c r="C191" s="40" t="s">
        <v>261</v>
      </c>
      <c r="D191" s="51">
        <f>(78.12)*10.764</f>
        <v>840.88368000000003</v>
      </c>
      <c r="E191" s="40">
        <v>0</v>
      </c>
      <c r="F191" s="40">
        <f t="shared" si="18"/>
        <v>1261.3255200000001</v>
      </c>
      <c r="G191" s="88"/>
      <c r="H191" s="89"/>
      <c r="I191" s="52" t="s">
        <v>284</v>
      </c>
      <c r="K191" s="64"/>
      <c r="L191" s="75"/>
      <c r="M191" s="75"/>
      <c r="N191" s="34"/>
    </row>
    <row r="192" spans="1:14" s="35" customFormat="1" ht="15.75" customHeight="1" x14ac:dyDescent="0.3">
      <c r="A192" s="73">
        <f t="shared" si="19"/>
        <v>6</v>
      </c>
      <c r="B192" s="74"/>
      <c r="C192" s="40" t="s">
        <v>264</v>
      </c>
      <c r="D192" s="51">
        <f>(39.11)*10.764</f>
        <v>420.98003999999997</v>
      </c>
      <c r="E192" s="40">
        <v>0</v>
      </c>
      <c r="F192" s="40">
        <f t="shared" si="18"/>
        <v>631.47005999999999</v>
      </c>
      <c r="G192" s="90"/>
      <c r="H192" s="91"/>
      <c r="I192" s="52" t="s">
        <v>284</v>
      </c>
      <c r="J192" s="34"/>
      <c r="K192" s="64">
        <f>9052000/F192</f>
        <v>14334.804725342006</v>
      </c>
      <c r="L192" s="75"/>
      <c r="M192" s="75"/>
      <c r="N192" s="34"/>
    </row>
    <row r="193" spans="1:14" s="35" customFormat="1" x14ac:dyDescent="0.3">
      <c r="A193" s="83" t="s">
        <v>267</v>
      </c>
      <c r="B193" s="84"/>
      <c r="C193" s="84"/>
      <c r="D193" s="84"/>
      <c r="E193" s="84"/>
      <c r="F193" s="84"/>
      <c r="G193" s="84"/>
      <c r="H193" s="85"/>
      <c r="J193" s="34"/>
      <c r="K193" s="64"/>
    </row>
    <row r="194" spans="1:14" s="35" customFormat="1" ht="15.75" customHeight="1" x14ac:dyDescent="0.3">
      <c r="A194" s="73">
        <v>1</v>
      </c>
      <c r="B194" s="74"/>
      <c r="C194" s="40" t="s">
        <v>264</v>
      </c>
      <c r="D194" s="51">
        <f>(39.37)*10.764</f>
        <v>423.77867999999995</v>
      </c>
      <c r="E194" s="40">
        <v>0</v>
      </c>
      <c r="F194" s="40">
        <f>D194*(($F$132)+1)+(IF(E194&lt;101,E194,IF(E194&lt;201,E194/2,IF(E194&lt;=301,E194/3,E194/4))))</f>
        <v>635.66801999999996</v>
      </c>
      <c r="G194" s="86" t="str">
        <f>A193</f>
        <v>15th Floor (Part Refuge Area)</v>
      </c>
      <c r="H194" s="87"/>
      <c r="I194" s="52" t="s">
        <v>284</v>
      </c>
      <c r="J194" s="35">
        <f>11600000-(11600000*0.12)</f>
        <v>10208000</v>
      </c>
      <c r="L194" s="75"/>
      <c r="M194" s="75"/>
      <c r="N194" s="34"/>
    </row>
    <row r="195" spans="1:14" s="35" customFormat="1" ht="15.75" customHeight="1" x14ac:dyDescent="0.3">
      <c r="A195" s="73">
        <f t="shared" ref="A195:A199" si="20">A194+1</f>
        <v>2</v>
      </c>
      <c r="B195" s="74"/>
      <c r="C195" s="73" t="s">
        <v>266</v>
      </c>
      <c r="D195" s="82"/>
      <c r="E195" s="82"/>
      <c r="F195" s="74"/>
      <c r="G195" s="88"/>
      <c r="H195" s="89"/>
      <c r="I195" s="34"/>
      <c r="L195" s="75"/>
      <c r="M195" s="75"/>
      <c r="N195" s="34"/>
    </row>
    <row r="196" spans="1:14" s="35" customFormat="1" ht="15.75" customHeight="1" x14ac:dyDescent="0.3">
      <c r="A196" s="73">
        <f t="shared" si="20"/>
        <v>3</v>
      </c>
      <c r="B196" s="74"/>
      <c r="C196" s="40" t="s">
        <v>257</v>
      </c>
      <c r="D196" s="51">
        <f>(60.01)*10.764</f>
        <v>645.94763999999998</v>
      </c>
      <c r="E196" s="40">
        <v>0</v>
      </c>
      <c r="F196" s="40">
        <f>D196*(($F$132)+1)+(IF(E196&lt;101,E196,IF(E196&lt;201,E196/2,IF(E196&lt;=301,E196/3,E196/4))))</f>
        <v>968.92146000000002</v>
      </c>
      <c r="G196" s="88"/>
      <c r="H196" s="89"/>
      <c r="I196" s="52" t="s">
        <v>284</v>
      </c>
      <c r="L196" s="75"/>
      <c r="M196" s="75"/>
      <c r="N196" s="34"/>
    </row>
    <row r="197" spans="1:14" s="35" customFormat="1" ht="15.75" customHeight="1" x14ac:dyDescent="0.3">
      <c r="A197" s="73">
        <f t="shared" si="20"/>
        <v>4</v>
      </c>
      <c r="B197" s="74"/>
      <c r="C197" s="40" t="s">
        <v>257</v>
      </c>
      <c r="D197" s="51">
        <f>(51.13)*10.764</f>
        <v>550.36332000000004</v>
      </c>
      <c r="E197" s="40">
        <v>0</v>
      </c>
      <c r="F197" s="40">
        <f>D197*(($F$132)+1)+(IF(E197&lt;101,E197,IF(E197&lt;201,E197/2,IF(E197&lt;=301,E197/3,E197/4))))</f>
        <v>825.54498000000012</v>
      </c>
      <c r="G197" s="88"/>
      <c r="H197" s="89"/>
      <c r="I197" s="52" t="s">
        <v>284</v>
      </c>
      <c r="L197" s="75"/>
      <c r="M197" s="75"/>
      <c r="N197" s="34"/>
    </row>
    <row r="198" spans="1:14" s="35" customFormat="1" ht="15.75" customHeight="1" x14ac:dyDescent="0.3">
      <c r="A198" s="73">
        <f t="shared" si="20"/>
        <v>5</v>
      </c>
      <c r="B198" s="74"/>
      <c r="C198" s="40" t="s">
        <v>261</v>
      </c>
      <c r="D198" s="51">
        <f>(78.12)*10.764</f>
        <v>840.88368000000003</v>
      </c>
      <c r="E198" s="40">
        <v>0</v>
      </c>
      <c r="F198" s="40">
        <f>D198*(($F$132)+1)+(IF(E198&lt;101,E198,IF(E198&lt;201,E198/2,IF(E198&lt;=301,E198/3,E198/4))))</f>
        <v>1261.3255200000001</v>
      </c>
      <c r="G198" s="88"/>
      <c r="H198" s="89"/>
      <c r="I198" s="52" t="s">
        <v>284</v>
      </c>
      <c r="L198" s="75"/>
      <c r="M198" s="75"/>
      <c r="N198" s="34"/>
    </row>
    <row r="199" spans="1:14" s="35" customFormat="1" ht="15.75" customHeight="1" x14ac:dyDescent="0.3">
      <c r="A199" s="73">
        <f t="shared" si="20"/>
        <v>6</v>
      </c>
      <c r="B199" s="74"/>
      <c r="C199" s="40" t="s">
        <v>264</v>
      </c>
      <c r="D199" s="51">
        <f>(39.11)*10.764</f>
        <v>420.98003999999997</v>
      </c>
      <c r="E199" s="40">
        <v>0</v>
      </c>
      <c r="F199" s="40">
        <f>D199*(($F$132)+1)+(IF(E199&lt;101,E199,IF(E199&lt;201,E199/2,IF(E199&lt;=301,E199/3,E199/4))))</f>
        <v>631.47005999999999</v>
      </c>
      <c r="G199" s="90"/>
      <c r="H199" s="91"/>
      <c r="I199" s="52" t="s">
        <v>284</v>
      </c>
      <c r="L199" s="75"/>
      <c r="M199" s="75"/>
      <c r="N199" s="34"/>
    </row>
    <row r="200" spans="1:14" s="33" customFormat="1" x14ac:dyDescent="0.3">
      <c r="A200" s="194" t="s">
        <v>68</v>
      </c>
      <c r="B200" s="194"/>
      <c r="C200" s="194"/>
      <c r="D200" s="194"/>
      <c r="E200" s="194"/>
      <c r="F200" s="194"/>
      <c r="G200" s="194"/>
      <c r="H200" s="194"/>
    </row>
    <row r="201" spans="1:14" s="33" customFormat="1" x14ac:dyDescent="0.3">
      <c r="A201" s="43" t="s">
        <v>155</v>
      </c>
      <c r="B201" s="76" t="s">
        <v>306</v>
      </c>
      <c r="C201" s="77"/>
      <c r="D201" s="77"/>
      <c r="E201" s="77"/>
      <c r="F201" s="77"/>
      <c r="G201" s="77"/>
      <c r="H201" s="78"/>
    </row>
    <row r="202" spans="1:14" s="33" customFormat="1" x14ac:dyDescent="0.3">
      <c r="A202" s="43" t="s">
        <v>155</v>
      </c>
      <c r="B202" s="76" t="str">
        <f>(IF(F131="Saleable area Loading :","We have considered Saleable area of Flats as per our Calculation.","We considered Saleable area of Flat as per Builder area Sheet."))</f>
        <v>We have considered Saleable area of Flats as per our Calculation.</v>
      </c>
      <c r="C202" s="77"/>
      <c r="D202" s="77"/>
      <c r="E202" s="77"/>
      <c r="F202" s="77"/>
      <c r="G202" s="77"/>
      <c r="H202" s="78"/>
    </row>
    <row r="203" spans="1:14" s="59" customFormat="1" hidden="1" x14ac:dyDescent="0.3">
      <c r="A203" s="63" t="s">
        <v>155</v>
      </c>
      <c r="B203" s="70" t="str">
        <f>(IF(F123="Saleable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3" s="71"/>
      <c r="D203" s="71"/>
      <c r="E203" s="71"/>
      <c r="F203" s="71"/>
      <c r="G203" s="71"/>
      <c r="H203" s="72"/>
    </row>
    <row r="204" spans="1:14" s="33" customFormat="1" x14ac:dyDescent="0.3">
      <c r="A204" s="43" t="s">
        <v>155</v>
      </c>
      <c r="B204" s="79" t="s">
        <v>125</v>
      </c>
      <c r="C204" s="80"/>
      <c r="D204" s="80"/>
      <c r="E204" s="80"/>
      <c r="F204" s="80"/>
      <c r="G204" s="80"/>
      <c r="H204" s="81"/>
    </row>
    <row r="205" spans="1:14" s="33" customFormat="1" x14ac:dyDescent="0.3">
      <c r="A205" s="43" t="s">
        <v>155</v>
      </c>
      <c r="B205" s="76" t="s">
        <v>292</v>
      </c>
      <c r="C205" s="77"/>
      <c r="D205" s="77"/>
      <c r="E205" s="77"/>
      <c r="F205" s="77"/>
      <c r="G205" s="77"/>
      <c r="H205" s="78"/>
    </row>
    <row r="206" spans="1:14" s="33" customFormat="1" x14ac:dyDescent="0.3">
      <c r="A206" s="43" t="s">
        <v>155</v>
      </c>
      <c r="B206" s="79" t="s">
        <v>154</v>
      </c>
      <c r="C206" s="80"/>
      <c r="D206" s="80"/>
      <c r="E206" s="80"/>
      <c r="F206" s="80"/>
      <c r="G206" s="80"/>
      <c r="H206" s="81"/>
    </row>
    <row r="207" spans="1:14" s="33" customFormat="1" x14ac:dyDescent="0.3">
      <c r="A207" s="43" t="s">
        <v>155</v>
      </c>
      <c r="B207" s="79" t="s">
        <v>126</v>
      </c>
      <c r="C207" s="80"/>
      <c r="D207" s="80"/>
      <c r="E207" s="80"/>
      <c r="F207" s="80"/>
      <c r="G207" s="80"/>
      <c r="H207" s="81"/>
    </row>
    <row r="208" spans="1:14" s="33" customFormat="1" ht="34.5" customHeight="1" x14ac:dyDescent="0.3">
      <c r="A208" s="43" t="s">
        <v>155</v>
      </c>
      <c r="B208" s="79" t="s">
        <v>156</v>
      </c>
      <c r="C208" s="80"/>
      <c r="D208" s="80"/>
      <c r="E208" s="80"/>
      <c r="F208" s="80"/>
      <c r="G208" s="80"/>
      <c r="H208" s="81"/>
    </row>
    <row r="209" spans="1:15" s="33" customFormat="1" x14ac:dyDescent="0.3">
      <c r="A209" s="43" t="s">
        <v>155</v>
      </c>
      <c r="B209" s="79" t="s">
        <v>127</v>
      </c>
      <c r="C209" s="80"/>
      <c r="D209" s="80"/>
      <c r="E209" s="80"/>
      <c r="F209" s="80"/>
      <c r="G209" s="80"/>
      <c r="H209" s="81"/>
    </row>
    <row r="210" spans="1:15" s="33" customFormat="1" x14ac:dyDescent="0.3">
      <c r="A210" s="43" t="s">
        <v>155</v>
      </c>
      <c r="B210" s="79" t="s">
        <v>278</v>
      </c>
      <c r="C210" s="80"/>
      <c r="D210" s="80"/>
      <c r="E210" s="80"/>
      <c r="F210" s="80"/>
      <c r="G210" s="80"/>
      <c r="H210" s="81"/>
    </row>
    <row r="211" spans="1:15" s="33" customFormat="1" ht="32.25" customHeight="1" x14ac:dyDescent="0.3">
      <c r="A211" s="43" t="s">
        <v>155</v>
      </c>
      <c r="B211" s="76" t="s">
        <v>276</v>
      </c>
      <c r="C211" s="77"/>
      <c r="D211" s="77"/>
      <c r="E211" s="77"/>
      <c r="F211" s="77"/>
      <c r="G211" s="77"/>
      <c r="H211" s="78"/>
    </row>
    <row r="212" spans="1:15" s="33" customFormat="1" x14ac:dyDescent="0.3">
      <c r="A212" s="43" t="s">
        <v>155</v>
      </c>
      <c r="B212" s="76" t="s">
        <v>296</v>
      </c>
      <c r="C212" s="77"/>
      <c r="D212" s="77"/>
      <c r="E212" s="77"/>
      <c r="F212" s="77"/>
      <c r="G212" s="77"/>
      <c r="H212" s="78"/>
    </row>
    <row r="213" spans="1:15" s="33" customFormat="1" x14ac:dyDescent="0.3">
      <c r="A213" s="43" t="s">
        <v>155</v>
      </c>
      <c r="B213" s="76" t="s">
        <v>295</v>
      </c>
      <c r="C213" s="77"/>
      <c r="D213" s="77"/>
      <c r="E213" s="77"/>
      <c r="F213" s="77"/>
      <c r="G213" s="77"/>
      <c r="H213" s="78"/>
    </row>
    <row r="214" spans="1:15" s="33" customFormat="1" ht="33.75" customHeight="1" x14ac:dyDescent="0.3">
      <c r="A214" s="43" t="s">
        <v>155</v>
      </c>
      <c r="B214" s="76" t="s">
        <v>304</v>
      </c>
      <c r="C214" s="77"/>
      <c r="D214" s="77"/>
      <c r="E214" s="77"/>
      <c r="F214" s="77"/>
      <c r="G214" s="77"/>
      <c r="H214" s="78"/>
      <c r="I214" s="70" t="s">
        <v>307</v>
      </c>
      <c r="J214" s="71"/>
      <c r="K214" s="71"/>
      <c r="L214" s="71"/>
      <c r="M214" s="71"/>
      <c r="N214" s="71"/>
      <c r="O214" s="72"/>
    </row>
    <row r="215" spans="1:15" x14ac:dyDescent="0.3">
      <c r="A215" s="154" t="s">
        <v>61</v>
      </c>
      <c r="B215" s="154"/>
      <c r="C215" s="154"/>
      <c r="D215" s="154"/>
      <c r="E215" s="154"/>
      <c r="F215" s="154"/>
      <c r="G215" s="154"/>
      <c r="H215" s="154"/>
    </row>
    <row r="216" spans="1:15" x14ac:dyDescent="0.3">
      <c r="A216" s="113" t="s">
        <v>62</v>
      </c>
      <c r="B216" s="113"/>
      <c r="C216" s="113"/>
      <c r="D216" s="113"/>
      <c r="E216" s="113"/>
      <c r="F216" s="113"/>
      <c r="G216" s="113"/>
      <c r="H216" s="113"/>
    </row>
    <row r="217" spans="1:15" ht="15.75" customHeight="1" x14ac:dyDescent="0.3">
      <c r="A217" s="131" t="s">
        <v>63</v>
      </c>
      <c r="B217" s="131"/>
      <c r="C217" s="131"/>
      <c r="D217" s="131"/>
      <c r="E217" s="131"/>
      <c r="F217" s="131"/>
      <c r="G217" s="131"/>
      <c r="H217" s="131"/>
    </row>
    <row r="218" spans="1:15" x14ac:dyDescent="0.3">
      <c r="A218" s="113" t="s">
        <v>64</v>
      </c>
      <c r="B218" s="113"/>
      <c r="C218" s="113"/>
      <c r="D218" s="113"/>
      <c r="E218" s="113"/>
      <c r="F218" s="113"/>
      <c r="G218" s="113"/>
      <c r="H218" s="113"/>
    </row>
    <row r="219" spans="1:15" x14ac:dyDescent="0.3">
      <c r="A219" s="113" t="s">
        <v>65</v>
      </c>
      <c r="B219" s="113"/>
      <c r="C219" s="113"/>
      <c r="D219" s="113"/>
      <c r="E219" s="113"/>
      <c r="F219" s="113"/>
      <c r="G219" s="113"/>
      <c r="H219" s="113"/>
    </row>
    <row r="220" spans="1:15" hidden="1" x14ac:dyDescent="0.3">
      <c r="A220" s="113" t="s">
        <v>128</v>
      </c>
      <c r="B220" s="113"/>
      <c r="C220" s="113"/>
      <c r="D220" s="113"/>
      <c r="E220" s="113"/>
      <c r="F220" s="113"/>
      <c r="G220" s="113"/>
      <c r="H220" s="113"/>
    </row>
    <row r="221" spans="1:15" hidden="1" x14ac:dyDescent="0.3">
      <c r="A221" s="116" t="s">
        <v>129</v>
      </c>
      <c r="B221" s="116"/>
      <c r="C221" s="116"/>
      <c r="D221" s="116"/>
      <c r="E221" s="116"/>
      <c r="F221" s="116"/>
      <c r="G221" s="116"/>
      <c r="H221" s="116"/>
    </row>
    <row r="222" spans="1:15" x14ac:dyDescent="0.3">
      <c r="A222" s="153" t="s">
        <v>77</v>
      </c>
      <c r="B222" s="153"/>
      <c r="C222" s="153" t="s">
        <v>309</v>
      </c>
      <c r="D222" s="153"/>
      <c r="E222" s="153" t="s">
        <v>107</v>
      </c>
      <c r="F222" s="153"/>
      <c r="G222" s="153" t="s">
        <v>308</v>
      </c>
      <c r="H222" s="153"/>
    </row>
    <row r="223" spans="1:15" x14ac:dyDescent="0.3">
      <c r="A223" s="152" t="s">
        <v>79</v>
      </c>
      <c r="B223" s="152"/>
      <c r="C223" s="152"/>
      <c r="D223" s="152"/>
      <c r="E223" s="152"/>
      <c r="F223" s="152"/>
      <c r="G223" s="152"/>
      <c r="H223" s="152"/>
    </row>
    <row r="224" spans="1:15" x14ac:dyDescent="0.3">
      <c r="A224" s="152"/>
      <c r="B224" s="152"/>
      <c r="C224" s="152"/>
      <c r="D224" s="152"/>
      <c r="E224" s="152"/>
      <c r="F224" s="152"/>
      <c r="G224" s="152"/>
      <c r="H224" s="152"/>
    </row>
    <row r="225" spans="1:8" x14ac:dyDescent="0.3">
      <c r="A225" s="152"/>
      <c r="B225" s="152"/>
      <c r="C225" s="152"/>
      <c r="D225" s="152"/>
      <c r="E225" s="152"/>
      <c r="F225" s="152"/>
      <c r="G225" s="152"/>
      <c r="H225" s="152"/>
    </row>
    <row r="226" spans="1:8" x14ac:dyDescent="0.3">
      <c r="A226" s="152"/>
      <c r="B226" s="152"/>
      <c r="C226" s="152"/>
      <c r="D226" s="152"/>
      <c r="E226" s="152"/>
      <c r="F226" s="152"/>
      <c r="G226" s="152"/>
      <c r="H226" s="152"/>
    </row>
    <row r="227" spans="1:8" x14ac:dyDescent="0.3">
      <c r="A227" s="36" t="s">
        <v>66</v>
      </c>
      <c r="B227" s="37"/>
      <c r="C227" s="37"/>
      <c r="D227" s="36" t="str">
        <f>E8</f>
        <v>Modirealty Ashvattha</v>
      </c>
      <c r="F227" s="37"/>
      <c r="G227" s="37"/>
      <c r="H227" s="37"/>
    </row>
    <row r="228" spans="1:8" x14ac:dyDescent="0.3">
      <c r="A228" s="37"/>
      <c r="B228" s="37"/>
      <c r="C228" s="37"/>
      <c r="D228" s="37"/>
      <c r="E228" s="37"/>
      <c r="F228" s="37"/>
      <c r="G228" s="37"/>
      <c r="H228" s="37"/>
    </row>
    <row r="229" spans="1:8" x14ac:dyDescent="0.3">
      <c r="A229" s="37"/>
      <c r="B229" s="37"/>
      <c r="C229" s="37"/>
      <c r="D229" s="37"/>
      <c r="E229" s="37"/>
      <c r="F229" s="37"/>
      <c r="G229" s="37"/>
      <c r="H229" s="37"/>
    </row>
    <row r="230" spans="1:8" ht="15" customHeight="1" x14ac:dyDescent="0.3"/>
    <row r="269" spans="1:1" x14ac:dyDescent="0.3">
      <c r="A269" s="39" t="s">
        <v>166</v>
      </c>
    </row>
    <row r="311" spans="1:1" x14ac:dyDescent="0.3">
      <c r="A311" s="39" t="s">
        <v>67</v>
      </c>
    </row>
  </sheetData>
  <mergeCells count="454">
    <mergeCell ref="I10:L10"/>
    <mergeCell ref="A59:C60"/>
    <mergeCell ref="I57:M57"/>
    <mergeCell ref="I58:M58"/>
    <mergeCell ref="I59:M59"/>
    <mergeCell ref="G51:H51"/>
    <mergeCell ref="G52:H52"/>
    <mergeCell ref="A51:B53"/>
    <mergeCell ref="C51:E52"/>
    <mergeCell ref="C53:H53"/>
    <mergeCell ref="I41:L41"/>
    <mergeCell ref="I42:L42"/>
    <mergeCell ref="I43:L43"/>
    <mergeCell ref="I44:L44"/>
    <mergeCell ref="I45:L45"/>
    <mergeCell ref="I46:L46"/>
    <mergeCell ref="I49:K49"/>
    <mergeCell ref="M49:N49"/>
    <mergeCell ref="I50:K50"/>
    <mergeCell ref="M50:N50"/>
    <mergeCell ref="A37:H37"/>
    <mergeCell ref="A36:B36"/>
    <mergeCell ref="C36:E36"/>
    <mergeCell ref="A176:B176"/>
    <mergeCell ref="A183:B183"/>
    <mergeCell ref="B204:H204"/>
    <mergeCell ref="B205:H205"/>
    <mergeCell ref="A200:H200"/>
    <mergeCell ref="B208:H208"/>
    <mergeCell ref="A48:B48"/>
    <mergeCell ref="C48:H48"/>
    <mergeCell ref="B206:H206"/>
    <mergeCell ref="G86:H95"/>
    <mergeCell ref="A87:B87"/>
    <mergeCell ref="A88:B88"/>
    <mergeCell ref="A89:B89"/>
    <mergeCell ref="F98:H98"/>
    <mergeCell ref="A98:E98"/>
    <mergeCell ref="D123:D124"/>
    <mergeCell ref="A100:E100"/>
    <mergeCell ref="A107:E107"/>
    <mergeCell ref="G119:H119"/>
    <mergeCell ref="C113:D113"/>
    <mergeCell ref="E113:F113"/>
    <mergeCell ref="G113:H113"/>
    <mergeCell ref="A114:B114"/>
    <mergeCell ref="C131:C132"/>
    <mergeCell ref="A134:H134"/>
    <mergeCell ref="A133:H133"/>
    <mergeCell ref="A135:H135"/>
    <mergeCell ref="A136:B136"/>
    <mergeCell ref="A160:H160"/>
    <mergeCell ref="A161:B161"/>
    <mergeCell ref="A165:B165"/>
    <mergeCell ref="C114:D114"/>
    <mergeCell ref="A130:H130"/>
    <mergeCell ref="G129:H129"/>
    <mergeCell ref="A159:H159"/>
    <mergeCell ref="C161:F161"/>
    <mergeCell ref="A151:H151"/>
    <mergeCell ref="A152:B152"/>
    <mergeCell ref="G152:H154"/>
    <mergeCell ref="A122:H122"/>
    <mergeCell ref="A172:H172"/>
    <mergeCell ref="L129:M129"/>
    <mergeCell ref="L128:M128"/>
    <mergeCell ref="L127:M127"/>
    <mergeCell ref="L126:M126"/>
    <mergeCell ref="A79:B79"/>
    <mergeCell ref="C117:D117"/>
    <mergeCell ref="E117:F117"/>
    <mergeCell ref="G117:H117"/>
    <mergeCell ref="F103:H103"/>
    <mergeCell ref="A97:E97"/>
    <mergeCell ref="A125:H125"/>
    <mergeCell ref="E123:E124"/>
    <mergeCell ref="G123:H124"/>
    <mergeCell ref="A86:B86"/>
    <mergeCell ref="G114:H114"/>
    <mergeCell ref="A118:B118"/>
    <mergeCell ref="C118:D118"/>
    <mergeCell ref="E118:F118"/>
    <mergeCell ref="G118:H118"/>
    <mergeCell ref="C112:D112"/>
    <mergeCell ref="E112:F112"/>
    <mergeCell ref="B123:B124"/>
    <mergeCell ref="A123:A124"/>
    <mergeCell ref="A61:C61"/>
    <mergeCell ref="A62:C62"/>
    <mergeCell ref="D61:H61"/>
    <mergeCell ref="D62:H62"/>
    <mergeCell ref="A43:D43"/>
    <mergeCell ref="E43:H43"/>
    <mergeCell ref="E44:H44"/>
    <mergeCell ref="E45:H45"/>
    <mergeCell ref="E46:H46"/>
    <mergeCell ref="A44:D44"/>
    <mergeCell ref="A45:D45"/>
    <mergeCell ref="D57:H57"/>
    <mergeCell ref="G54:H54"/>
    <mergeCell ref="A39:B39"/>
    <mergeCell ref="C39:H39"/>
    <mergeCell ref="F36:H36"/>
    <mergeCell ref="A46:D46"/>
    <mergeCell ref="A47:H47"/>
    <mergeCell ref="D58:H58"/>
    <mergeCell ref="A58:C58"/>
    <mergeCell ref="G50:H50"/>
    <mergeCell ref="A35:B35"/>
    <mergeCell ref="C35:E35"/>
    <mergeCell ref="E41:H41"/>
    <mergeCell ref="A40:H40"/>
    <mergeCell ref="A38:B38"/>
    <mergeCell ref="C38:H38"/>
    <mergeCell ref="E42:H42"/>
    <mergeCell ref="A42:D42"/>
    <mergeCell ref="A41:D41"/>
    <mergeCell ref="A49:B49"/>
    <mergeCell ref="C49:E49"/>
    <mergeCell ref="G49:H49"/>
    <mergeCell ref="A50:B50"/>
    <mergeCell ref="A55:H55"/>
    <mergeCell ref="A56:C56"/>
    <mergeCell ref="A57:C57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71:F71"/>
    <mergeCell ref="A64:C64"/>
    <mergeCell ref="D64:H64"/>
    <mergeCell ref="A67:C67"/>
    <mergeCell ref="D67:H67"/>
    <mergeCell ref="A65:C65"/>
    <mergeCell ref="E72:F81"/>
    <mergeCell ref="G72:H81"/>
    <mergeCell ref="A78:B78"/>
    <mergeCell ref="A77:B77"/>
    <mergeCell ref="D66:H66"/>
    <mergeCell ref="A72:B72"/>
    <mergeCell ref="G71:H71"/>
    <mergeCell ref="A71:B71"/>
    <mergeCell ref="A74:B74"/>
    <mergeCell ref="A70:B70"/>
    <mergeCell ref="A68:B68"/>
    <mergeCell ref="C68:H68"/>
    <mergeCell ref="A76:B76"/>
    <mergeCell ref="A223:H226"/>
    <mergeCell ref="A222:B222"/>
    <mergeCell ref="E222:F222"/>
    <mergeCell ref="C222:D222"/>
    <mergeCell ref="G222:H222"/>
    <mergeCell ref="A110:H110"/>
    <mergeCell ref="A108:E108"/>
    <mergeCell ref="F108:H108"/>
    <mergeCell ref="A109:E109"/>
    <mergeCell ref="F109:H109"/>
    <mergeCell ref="A117:B117"/>
    <mergeCell ref="A112:B112"/>
    <mergeCell ref="A218:H218"/>
    <mergeCell ref="A115:H115"/>
    <mergeCell ref="A221:H221"/>
    <mergeCell ref="A219:H219"/>
    <mergeCell ref="A215:H215"/>
    <mergeCell ref="G116:H116"/>
    <mergeCell ref="C123:C124"/>
    <mergeCell ref="B131:B132"/>
    <mergeCell ref="A129:B129"/>
    <mergeCell ref="A128:B128"/>
    <mergeCell ref="E114:F114"/>
    <mergeCell ref="A220:H220"/>
    <mergeCell ref="A131:A132"/>
    <mergeCell ref="F96:H96"/>
    <mergeCell ref="F101:H101"/>
    <mergeCell ref="G120:H120"/>
    <mergeCell ref="E85:F85"/>
    <mergeCell ref="G85:H85"/>
    <mergeCell ref="A102:E102"/>
    <mergeCell ref="F102:H102"/>
    <mergeCell ref="A103:E103"/>
    <mergeCell ref="A105:E105"/>
    <mergeCell ref="F99:H99"/>
    <mergeCell ref="A104:E104"/>
    <mergeCell ref="E86:F95"/>
    <mergeCell ref="A93:B93"/>
    <mergeCell ref="A94:B94"/>
    <mergeCell ref="C50:E50"/>
    <mergeCell ref="I14:P14"/>
    <mergeCell ref="F107:H107"/>
    <mergeCell ref="F105:H105"/>
    <mergeCell ref="A217:H217"/>
    <mergeCell ref="A116:B116"/>
    <mergeCell ref="D131:D132"/>
    <mergeCell ref="E131:E132"/>
    <mergeCell ref="G131:H132"/>
    <mergeCell ref="A90:B90"/>
    <mergeCell ref="A91:B91"/>
    <mergeCell ref="A92:B92"/>
    <mergeCell ref="F97:H97"/>
    <mergeCell ref="G112:H112"/>
    <mergeCell ref="F104:H104"/>
    <mergeCell ref="C111:D111"/>
    <mergeCell ref="C119:D119"/>
    <mergeCell ref="A126:B126"/>
    <mergeCell ref="A216:H216"/>
    <mergeCell ref="E116:F116"/>
    <mergeCell ref="B207:H207"/>
    <mergeCell ref="B203:H203"/>
    <mergeCell ref="B201:H201"/>
    <mergeCell ref="B202:H202"/>
    <mergeCell ref="G111:H111"/>
    <mergeCell ref="A106:E106"/>
    <mergeCell ref="A127:B127"/>
    <mergeCell ref="A54:B54"/>
    <mergeCell ref="C54:E54"/>
    <mergeCell ref="D56:H56"/>
    <mergeCell ref="F106:H106"/>
    <mergeCell ref="E111:F111"/>
    <mergeCell ref="A111:B111"/>
    <mergeCell ref="A113:B113"/>
    <mergeCell ref="C116:D116"/>
    <mergeCell ref="D65:H65"/>
    <mergeCell ref="A66:C66"/>
    <mergeCell ref="G126:H126"/>
    <mergeCell ref="G127:H127"/>
    <mergeCell ref="A120:B120"/>
    <mergeCell ref="C120:D120"/>
    <mergeCell ref="A82:B82"/>
    <mergeCell ref="C82:H82"/>
    <mergeCell ref="A63:C63"/>
    <mergeCell ref="D63:H63"/>
    <mergeCell ref="C70:H70"/>
    <mergeCell ref="A73:B73"/>
    <mergeCell ref="A75:B75"/>
    <mergeCell ref="L136:M136"/>
    <mergeCell ref="A137:B137"/>
    <mergeCell ref="L137:M137"/>
    <mergeCell ref="A138:B138"/>
    <mergeCell ref="L138:M138"/>
    <mergeCell ref="D59:H59"/>
    <mergeCell ref="D60:H60"/>
    <mergeCell ref="A121:H121"/>
    <mergeCell ref="A80:B80"/>
    <mergeCell ref="A81:B81"/>
    <mergeCell ref="A85:B85"/>
    <mergeCell ref="A84:B84"/>
    <mergeCell ref="C84:H84"/>
    <mergeCell ref="A99:E99"/>
    <mergeCell ref="A96:E96"/>
    <mergeCell ref="F100:H100"/>
    <mergeCell ref="A101:E101"/>
    <mergeCell ref="A95:B95"/>
    <mergeCell ref="A119:B119"/>
    <mergeCell ref="E119:F119"/>
    <mergeCell ref="G136:H138"/>
    <mergeCell ref="C138:F138"/>
    <mergeCell ref="E120:F120"/>
    <mergeCell ref="G128:H128"/>
    <mergeCell ref="L146:M146"/>
    <mergeCell ref="A147:H147"/>
    <mergeCell ref="A148:B148"/>
    <mergeCell ref="G148:H150"/>
    <mergeCell ref="L148:M148"/>
    <mergeCell ref="A149:B149"/>
    <mergeCell ref="L149:M149"/>
    <mergeCell ref="A150:B150"/>
    <mergeCell ref="L150:M150"/>
    <mergeCell ref="C150:F150"/>
    <mergeCell ref="L152:M152"/>
    <mergeCell ref="A153:B153"/>
    <mergeCell ref="L153:M153"/>
    <mergeCell ref="A154:B154"/>
    <mergeCell ref="L154:M154"/>
    <mergeCell ref="A155:H155"/>
    <mergeCell ref="A156:B156"/>
    <mergeCell ref="G156:H158"/>
    <mergeCell ref="L156:M156"/>
    <mergeCell ref="A157:B157"/>
    <mergeCell ref="L157:M157"/>
    <mergeCell ref="A158:B158"/>
    <mergeCell ref="C158:F158"/>
    <mergeCell ref="L158:M158"/>
    <mergeCell ref="L165:M165"/>
    <mergeCell ref="G161:H165"/>
    <mergeCell ref="A139:H139"/>
    <mergeCell ref="A140:B140"/>
    <mergeCell ref="L140:M140"/>
    <mergeCell ref="A141:B141"/>
    <mergeCell ref="L141:M141"/>
    <mergeCell ref="A142:B142"/>
    <mergeCell ref="L142:M142"/>
    <mergeCell ref="G140:H142"/>
    <mergeCell ref="A143:H143"/>
    <mergeCell ref="A144:B144"/>
    <mergeCell ref="G144:H146"/>
    <mergeCell ref="L144:M144"/>
    <mergeCell ref="A145:B145"/>
    <mergeCell ref="L145:M145"/>
    <mergeCell ref="A146:B146"/>
    <mergeCell ref="A162:B162"/>
    <mergeCell ref="L162:M162"/>
    <mergeCell ref="A163:B163"/>
    <mergeCell ref="L163:M163"/>
    <mergeCell ref="A164:B164"/>
    <mergeCell ref="L164:M164"/>
    <mergeCell ref="L161:M161"/>
    <mergeCell ref="A166:H166"/>
    <mergeCell ref="A167:B167"/>
    <mergeCell ref="C167:F167"/>
    <mergeCell ref="G167:H171"/>
    <mergeCell ref="L167:M167"/>
    <mergeCell ref="A168:B168"/>
    <mergeCell ref="L168:M168"/>
    <mergeCell ref="A169:B169"/>
    <mergeCell ref="L169:M169"/>
    <mergeCell ref="A170:B170"/>
    <mergeCell ref="L170:M170"/>
    <mergeCell ref="A171:B171"/>
    <mergeCell ref="L171:M171"/>
    <mergeCell ref="L176:M176"/>
    <mergeCell ref="A177:B177"/>
    <mergeCell ref="L177:M177"/>
    <mergeCell ref="A178:B178"/>
    <mergeCell ref="L178:M178"/>
    <mergeCell ref="G173:H178"/>
    <mergeCell ref="A181:B181"/>
    <mergeCell ref="L181:M181"/>
    <mergeCell ref="A182:B182"/>
    <mergeCell ref="L182:M182"/>
    <mergeCell ref="L173:M173"/>
    <mergeCell ref="A174:B174"/>
    <mergeCell ref="L174:M174"/>
    <mergeCell ref="A175:B175"/>
    <mergeCell ref="L175:M175"/>
    <mergeCell ref="A173:B173"/>
    <mergeCell ref="C180:F180"/>
    <mergeCell ref="A179:H179"/>
    <mergeCell ref="A180:B180"/>
    <mergeCell ref="G180:H185"/>
    <mergeCell ref="L180:M180"/>
    <mergeCell ref="L183:M183"/>
    <mergeCell ref="A184:B184"/>
    <mergeCell ref="L184:M184"/>
    <mergeCell ref="L199:M199"/>
    <mergeCell ref="C195:F195"/>
    <mergeCell ref="A193:H193"/>
    <mergeCell ref="A194:B194"/>
    <mergeCell ref="G194:H199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L198:M198"/>
    <mergeCell ref="A199:B199"/>
    <mergeCell ref="I214:O214"/>
    <mergeCell ref="A185:B185"/>
    <mergeCell ref="L185:M185"/>
    <mergeCell ref="B214:H214"/>
    <mergeCell ref="B211:H211"/>
    <mergeCell ref="B212:H212"/>
    <mergeCell ref="B213:H213"/>
    <mergeCell ref="B210:H210"/>
    <mergeCell ref="L189:M189"/>
    <mergeCell ref="A190:B190"/>
    <mergeCell ref="L190:M190"/>
    <mergeCell ref="A191:B191"/>
    <mergeCell ref="L191:M191"/>
    <mergeCell ref="A192:B192"/>
    <mergeCell ref="L192:M192"/>
    <mergeCell ref="B209:H209"/>
    <mergeCell ref="C185:F185"/>
    <mergeCell ref="A186:H186"/>
    <mergeCell ref="A187:B187"/>
    <mergeCell ref="G187:H192"/>
    <mergeCell ref="L187:M187"/>
    <mergeCell ref="A188:B188"/>
    <mergeCell ref="L188:M188"/>
    <mergeCell ref="A189:B189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23:E124" xr:uid="{00000000-0002-0000-0000-000003000000}">
      <formula1>"Attached Loft area,Attached Terrace area,Attached Mezzanine area"</formula1>
    </dataValidation>
    <dataValidation type="list" allowBlank="1" showInputMessage="1" showErrorMessage="1" sqref="F124 F132" xr:uid="{00000000-0002-0000-0000-000004000000}">
      <formula1>"45%,50%,55%,60%"</formula1>
    </dataValidation>
    <dataValidation type="list" allowBlank="1" showInputMessage="1" showErrorMessage="1" sqref="G222:H222" xr:uid="{00000000-0002-0000-0000-000005000000}">
      <formula1>"Saurav Panse, Kunal Kadam,Pranita Mhatre,Shruti Fule,Pooja Kawale,Mansee Mohite,Anjali Kamble, Hitakshi Mhatre, Sachin Sawant"</formula1>
    </dataValidation>
    <dataValidation type="list" allowBlank="1" showInputMessage="1" showErrorMessage="1" sqref="F96:H96" xr:uid="{00000000-0002-0000-0000-000006000000}">
      <formula1>"On Saleable Area,On Builtup Area,On Carpet Area,On Plot Area"</formula1>
    </dataValidation>
    <dataValidation type="list" allowBlank="1" showInputMessage="1" showErrorMessage="1" sqref="F108:H108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23 F131" xr:uid="{00000000-0002-0000-0000-000008000000}">
      <formula1>"Saleable area Loading :,Builder Saleable area"</formula1>
    </dataValidation>
    <dataValidation type="list" allowBlank="1" showInputMessage="1" showErrorMessage="1" sqref="B123:B124" xr:uid="{00000000-0002-0000-0000-000009000000}">
      <formula1>"Shop No. (Sale Plan),Sale / Rehab,Sale / Mhada"</formula1>
    </dataValidation>
    <dataValidation type="list" allowBlank="1" showInputMessage="1" showErrorMessage="1" sqref="B131:B132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  <hyperlink ref="R69" display="https://www.99acres.com/modirealty-ashvattha-shailendra-nagar-mumbai-andheri-dahisar-npxid-r414526?nn_source=Performance&amp;nn_account=Google_99acres-NPGoogle-Account&amp;nn_campaign=22427354317_176440246023_744923251438&amp;nn_medium=22427354317_176440246023_744923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26" max="16383" man="1"/>
    <brk id="268" max="16383" man="1"/>
    <brk id="31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34" zoomScale="85" zoomScaleNormal="85" workbookViewId="0">
      <selection activeCell="B15" sqref="B1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1" t="s">
        <v>108</v>
      </c>
      <c r="C3" s="211"/>
      <c r="D3" s="211"/>
      <c r="E3" s="211"/>
      <c r="F3" s="211"/>
      <c r="G3" s="211"/>
      <c r="H3" s="211"/>
    </row>
    <row r="4" spans="1:9" x14ac:dyDescent="0.3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9"/>
      <c r="C4" s="49" t="s">
        <v>12</v>
      </c>
      <c r="D4" s="50" t="s">
        <v>182</v>
      </c>
      <c r="E4" s="50" t="s">
        <v>192</v>
      </c>
      <c r="F4" s="50" t="s">
        <v>175</v>
      </c>
      <c r="G4" s="50" t="s">
        <v>197</v>
      </c>
      <c r="H4" s="50" t="s">
        <v>215</v>
      </c>
      <c r="J4" t="s">
        <v>197</v>
      </c>
      <c r="K4" t="s">
        <v>213</v>
      </c>
    </row>
    <row r="5" spans="2:11" x14ac:dyDescent="0.3">
      <c r="B5" s="49"/>
      <c r="C5" s="49"/>
      <c r="D5" s="50" t="s">
        <v>183</v>
      </c>
      <c r="E5" s="50" t="s">
        <v>190</v>
      </c>
      <c r="F5" s="50" t="s">
        <v>212</v>
      </c>
      <c r="G5" s="50" t="s">
        <v>198</v>
      </c>
      <c r="H5" s="50" t="s">
        <v>216</v>
      </c>
    </row>
    <row r="6" spans="2:11" x14ac:dyDescent="0.3">
      <c r="B6" s="49"/>
      <c r="C6" s="49"/>
      <c r="D6" s="50" t="s">
        <v>184</v>
      </c>
      <c r="E6" s="50" t="s">
        <v>191</v>
      </c>
      <c r="F6" s="50" t="s">
        <v>213</v>
      </c>
      <c r="G6" s="50" t="s">
        <v>199</v>
      </c>
      <c r="H6" s="50" t="s">
        <v>229</v>
      </c>
    </row>
    <row r="7" spans="2:11" x14ac:dyDescent="0.3">
      <c r="B7" s="49"/>
      <c r="C7" s="49"/>
      <c r="D7" s="50" t="s">
        <v>185</v>
      </c>
      <c r="E7" s="50" t="s">
        <v>193</v>
      </c>
      <c r="F7" s="50" t="s">
        <v>214</v>
      </c>
      <c r="G7" s="50" t="s">
        <v>200</v>
      </c>
      <c r="H7" s="50" t="s">
        <v>217</v>
      </c>
    </row>
    <row r="8" spans="2:11" x14ac:dyDescent="0.3">
      <c r="B8" s="49"/>
      <c r="C8" s="49"/>
      <c r="D8" s="50" t="s">
        <v>186</v>
      </c>
      <c r="E8" s="50" t="s">
        <v>194</v>
      </c>
      <c r="F8" s="50"/>
      <c r="G8" s="50" t="s">
        <v>201</v>
      </c>
      <c r="H8" s="50" t="s">
        <v>218</v>
      </c>
    </row>
    <row r="9" spans="2:11" x14ac:dyDescent="0.3">
      <c r="B9" s="49"/>
      <c r="C9" s="49"/>
      <c r="D9" s="50" t="s">
        <v>187</v>
      </c>
      <c r="E9" s="50" t="s">
        <v>192</v>
      </c>
      <c r="F9" s="50"/>
      <c r="G9" s="50" t="s">
        <v>202</v>
      </c>
      <c r="H9" s="50" t="s">
        <v>219</v>
      </c>
    </row>
    <row r="10" spans="2:11" x14ac:dyDescent="0.3">
      <c r="B10" s="49"/>
      <c r="C10" s="49"/>
      <c r="D10" s="50" t="s">
        <v>188</v>
      </c>
      <c r="E10" s="50" t="s">
        <v>195</v>
      </c>
      <c r="F10" s="50"/>
      <c r="G10" s="50" t="s">
        <v>203</v>
      </c>
      <c r="H10" s="50" t="s">
        <v>220</v>
      </c>
    </row>
    <row r="11" spans="2:11" x14ac:dyDescent="0.3">
      <c r="B11" s="49"/>
      <c r="C11" s="49"/>
      <c r="D11" s="50" t="s">
        <v>189</v>
      </c>
      <c r="E11" s="50" t="s">
        <v>196</v>
      </c>
      <c r="F11" s="50"/>
      <c r="G11" s="50" t="s">
        <v>204</v>
      </c>
      <c r="H11" s="50" t="s">
        <v>221</v>
      </c>
    </row>
    <row r="12" spans="2:11" x14ac:dyDescent="0.3">
      <c r="B12" s="49"/>
      <c r="C12" s="49"/>
      <c r="D12" s="50"/>
      <c r="E12" s="50"/>
      <c r="F12" s="50"/>
      <c r="G12" s="50" t="s">
        <v>205</v>
      </c>
      <c r="H12" s="50" t="s">
        <v>222</v>
      </c>
    </row>
    <row r="13" spans="2:11" x14ac:dyDescent="0.3">
      <c r="B13" s="49"/>
      <c r="C13" s="49"/>
      <c r="D13" s="50"/>
      <c r="E13" s="50"/>
      <c r="F13" s="50"/>
      <c r="G13" s="50" t="s">
        <v>206</v>
      </c>
      <c r="H13" s="50" t="s">
        <v>223</v>
      </c>
    </row>
    <row r="14" spans="2:11" x14ac:dyDescent="0.3">
      <c r="B14" s="49"/>
      <c r="C14" s="49"/>
      <c r="D14" s="50"/>
      <c r="E14" s="50"/>
      <c r="F14" s="50"/>
      <c r="G14" s="50" t="s">
        <v>207</v>
      </c>
      <c r="H14" s="50" t="s">
        <v>224</v>
      </c>
    </row>
    <row r="15" spans="2:11" x14ac:dyDescent="0.3">
      <c r="B15" s="49"/>
      <c r="C15" s="49"/>
      <c r="D15" s="50"/>
      <c r="E15" s="50"/>
      <c r="F15" s="50"/>
      <c r="G15" s="50" t="s">
        <v>208</v>
      </c>
      <c r="H15" s="50" t="s">
        <v>225</v>
      </c>
    </row>
    <row r="16" spans="2:11" x14ac:dyDescent="0.3">
      <c r="B16" s="49"/>
      <c r="C16" s="49"/>
      <c r="D16" s="50"/>
      <c r="E16" s="50"/>
      <c r="F16" s="50"/>
      <c r="G16" s="50" t="s">
        <v>209</v>
      </c>
      <c r="H16" s="50" t="s">
        <v>226</v>
      </c>
    </row>
    <row r="17" spans="2:8" x14ac:dyDescent="0.3">
      <c r="B17" s="49"/>
      <c r="C17" s="49"/>
      <c r="D17" s="50"/>
      <c r="E17" s="50"/>
      <c r="F17" s="50"/>
      <c r="G17" s="50" t="s">
        <v>210</v>
      </c>
      <c r="H17" s="50" t="s">
        <v>227</v>
      </c>
    </row>
    <row r="18" spans="2:8" x14ac:dyDescent="0.3">
      <c r="B18" s="49"/>
      <c r="C18" s="49"/>
      <c r="D18" s="50"/>
      <c r="E18" s="50"/>
      <c r="F18" s="50"/>
      <c r="G18" s="50" t="s">
        <v>211</v>
      </c>
      <c r="H18" s="50" t="s">
        <v>228</v>
      </c>
    </row>
    <row r="24" spans="2:8" x14ac:dyDescent="0.3">
      <c r="C24" t="s">
        <v>172</v>
      </c>
    </row>
    <row r="25" spans="2:8" x14ac:dyDescent="0.3">
      <c r="C25" t="s">
        <v>230</v>
      </c>
    </row>
    <row r="26" spans="2:8" x14ac:dyDescent="0.3">
      <c r="C26" t="s">
        <v>231</v>
      </c>
    </row>
    <row r="27" spans="2:8" x14ac:dyDescent="0.3">
      <c r="C27" t="s">
        <v>232</v>
      </c>
    </row>
    <row r="28" spans="2:8" x14ac:dyDescent="0.3">
      <c r="C28" t="s">
        <v>233</v>
      </c>
    </row>
    <row r="29" spans="2:8" x14ac:dyDescent="0.3">
      <c r="C29" t="s">
        <v>234</v>
      </c>
    </row>
    <row r="30" spans="2:8" x14ac:dyDescent="0.3">
      <c r="C30" t="s">
        <v>172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2025-09-15T07:48:20Z</cp:lastPrinted>
  <dcterms:created xsi:type="dcterms:W3CDTF">2019-07-16T09:29:46Z</dcterms:created>
  <dcterms:modified xsi:type="dcterms:W3CDTF">2025-09-15T07:51:39Z</dcterms:modified>
</cp:coreProperties>
</file>