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200" windowHeight="6645"/>
  </bookViews>
  <sheets>
    <sheet name="Table 1" sheetId="1" r:id="rId1"/>
    <sheet name="NOTE" sheetId="9" r:id="rId2"/>
    <sheet name="VALUATION" sheetId="8" r:id="rId3"/>
    <sheet name="A %" sheetId="6" r:id="rId4"/>
    <sheet name="B %" sheetId="7" r:id="rId5"/>
  </sheets>
  <definedNames>
    <definedName name="_xlnm.Print_Area" localSheetId="0">'Table 1'!$A$1:$G$361</definedName>
  </definedNames>
  <calcPr calcId="144525"/>
</workbook>
</file>

<file path=xl/calcChain.xml><?xml version="1.0" encoding="utf-8"?>
<calcChain xmlns="http://schemas.openxmlformats.org/spreadsheetml/2006/main">
  <c r="D3" i="1" l="1"/>
  <c r="J130" i="1" l="1"/>
  <c r="J129" i="1"/>
  <c r="J117" i="1"/>
  <c r="J116" i="1"/>
  <c r="J109" i="1"/>
  <c r="J108" i="1"/>
  <c r="J151" i="1"/>
  <c r="J150" i="1"/>
  <c r="J137" i="1"/>
  <c r="J139" i="1"/>
  <c r="J138" i="1"/>
  <c r="I81" i="1" l="1"/>
  <c r="I80" i="1"/>
  <c r="I79" i="1"/>
  <c r="I78" i="1"/>
  <c r="I67" i="1"/>
  <c r="I66" i="1"/>
  <c r="I65" i="1"/>
  <c r="I64" i="1"/>
  <c r="B16" i="7"/>
  <c r="E10" i="7" s="1"/>
  <c r="B14" i="7"/>
  <c r="E9" i="7" s="1"/>
  <c r="B12" i="7"/>
  <c r="M6" i="7" s="1"/>
  <c r="G17" i="7" s="1"/>
  <c r="B10" i="7"/>
  <c r="L7" i="7" s="1"/>
  <c r="H16" i="7" s="1"/>
  <c r="B8" i="7"/>
  <c r="K7" i="7" s="1"/>
  <c r="H15" i="7" s="1"/>
  <c r="L6" i="7"/>
  <c r="G16" i="7" s="1"/>
  <c r="I6" i="7"/>
  <c r="G13" i="7" s="1"/>
  <c r="B6" i="7"/>
  <c r="J7" i="7" s="1"/>
  <c r="H14" i="7" s="1"/>
  <c r="E4" i="7"/>
  <c r="B16" i="6"/>
  <c r="E10" i="6" s="1"/>
  <c r="B14" i="6"/>
  <c r="N7" i="6" s="1"/>
  <c r="H18" i="6" s="1"/>
  <c r="B12" i="6"/>
  <c r="E8" i="6" s="1"/>
  <c r="B10" i="6"/>
  <c r="L7" i="6" s="1"/>
  <c r="H16" i="6" s="1"/>
  <c r="E9" i="6"/>
  <c r="B8" i="6"/>
  <c r="E6" i="6" s="1"/>
  <c r="M7" i="6"/>
  <c r="H17" i="6" s="1"/>
  <c r="M6" i="6"/>
  <c r="G17" i="6" s="1"/>
  <c r="K6" i="6"/>
  <c r="G15" i="6" s="1"/>
  <c r="I6" i="6"/>
  <c r="G13" i="6" s="1"/>
  <c r="B6" i="6"/>
  <c r="J7" i="6" s="1"/>
  <c r="H14" i="6" s="1"/>
  <c r="E4" i="6"/>
  <c r="I8" i="8"/>
  <c r="J8" i="8" s="1"/>
  <c r="G8" i="8"/>
  <c r="I7" i="8"/>
  <c r="J7" i="8" s="1"/>
  <c r="G7" i="8"/>
  <c r="I6" i="8"/>
  <c r="J6" i="8" s="1"/>
  <c r="G6" i="8"/>
  <c r="I5" i="8"/>
  <c r="J5" i="8" s="1"/>
  <c r="G5" i="8"/>
  <c r="H219" i="1"/>
  <c r="H218" i="1"/>
  <c r="H217" i="1"/>
  <c r="G217" i="1"/>
  <c r="J216" i="1"/>
  <c r="G213" i="1"/>
  <c r="H211" i="1"/>
  <c r="H210" i="1"/>
  <c r="H209" i="1"/>
  <c r="G209" i="1"/>
  <c r="G205" i="1"/>
  <c r="H204" i="1"/>
  <c r="H203" i="1"/>
  <c r="H202" i="1"/>
  <c r="H201" i="1"/>
  <c r="G201" i="1"/>
  <c r="H199" i="1"/>
  <c r="H198" i="1"/>
  <c r="H197" i="1"/>
  <c r="G197" i="1"/>
  <c r="D195" i="1"/>
  <c r="D194" i="1"/>
  <c r="G193" i="1"/>
  <c r="D193" i="1"/>
  <c r="D190" i="1"/>
  <c r="G189" i="1"/>
  <c r="D189" i="1"/>
  <c r="D187" i="1"/>
  <c r="D186" i="1"/>
  <c r="G185" i="1"/>
  <c r="D185" i="1"/>
  <c r="D183" i="1"/>
  <c r="D182" i="1"/>
  <c r="G181" i="1"/>
  <c r="D181" i="1"/>
  <c r="D179" i="1"/>
  <c r="D178" i="1"/>
  <c r="H177" i="1"/>
  <c r="G177" i="1"/>
  <c r="D177" i="1"/>
  <c r="D173" i="1"/>
  <c r="D172" i="1"/>
  <c r="D171" i="1"/>
  <c r="D170" i="1"/>
  <c r="H169" i="1"/>
  <c r="G169" i="1"/>
  <c r="D169" i="1"/>
  <c r="D167" i="1"/>
  <c r="D166" i="1"/>
  <c r="D165" i="1"/>
  <c r="D164" i="1"/>
  <c r="D163" i="1"/>
  <c r="G162" i="1"/>
  <c r="D162" i="1"/>
  <c r="D160" i="1"/>
  <c r="D159" i="1"/>
  <c r="H159" i="1" s="1"/>
  <c r="D158" i="1"/>
  <c r="H158" i="1" s="1"/>
  <c r="D157" i="1"/>
  <c r="H157" i="1" s="1"/>
  <c r="D156" i="1"/>
  <c r="H156" i="1" s="1"/>
  <c r="G155" i="1"/>
  <c r="D155" i="1"/>
  <c r="H155" i="1" s="1"/>
  <c r="D153" i="1"/>
  <c r="D152" i="1"/>
  <c r="H152" i="1" s="1"/>
  <c r="D151" i="1"/>
  <c r="H151" i="1" s="1"/>
  <c r="D150" i="1"/>
  <c r="H150" i="1" s="1"/>
  <c r="D149" i="1"/>
  <c r="H149" i="1" s="1"/>
  <c r="G148" i="1"/>
  <c r="D148" i="1"/>
  <c r="H148" i="1" s="1"/>
  <c r="D144" i="1"/>
  <c r="D143" i="1"/>
  <c r="D142" i="1"/>
  <c r="G141" i="1"/>
  <c r="D141" i="1"/>
  <c r="D139" i="1"/>
  <c r="D138" i="1"/>
  <c r="D137" i="1"/>
  <c r="D136" i="1"/>
  <c r="D135" i="1"/>
  <c r="G134" i="1"/>
  <c r="D134" i="1"/>
  <c r="D132" i="1"/>
  <c r="D131" i="1"/>
  <c r="H131" i="1" s="1"/>
  <c r="D130" i="1"/>
  <c r="H130" i="1" s="1"/>
  <c r="D129" i="1"/>
  <c r="H129" i="1" s="1"/>
  <c r="D128" i="1"/>
  <c r="H128" i="1" s="1"/>
  <c r="G127" i="1"/>
  <c r="D127" i="1"/>
  <c r="H127" i="1" s="1"/>
  <c r="D123" i="1"/>
  <c r="D122" i="1"/>
  <c r="D121" i="1"/>
  <c r="G120" i="1"/>
  <c r="D120" i="1"/>
  <c r="D118" i="1"/>
  <c r="D117" i="1"/>
  <c r="H117" i="1" s="1"/>
  <c r="D116" i="1"/>
  <c r="H116" i="1" s="1"/>
  <c r="D115" i="1"/>
  <c r="H115" i="1" s="1"/>
  <c r="D114" i="1"/>
  <c r="H114" i="1" s="1"/>
  <c r="G113" i="1"/>
  <c r="D113" i="1"/>
  <c r="H113" i="1" s="1"/>
  <c r="D111" i="1"/>
  <c r="D110" i="1"/>
  <c r="D109" i="1"/>
  <c r="H109" i="1" s="1"/>
  <c r="D108" i="1"/>
  <c r="H108" i="1" s="1"/>
  <c r="D107" i="1"/>
  <c r="H107" i="1" s="1"/>
  <c r="G106" i="1"/>
  <c r="D106" i="1"/>
  <c r="H106" i="1" s="1"/>
  <c r="F43" i="1"/>
  <c r="G57" i="1"/>
  <c r="G71" i="1"/>
  <c r="N6" i="6" l="1"/>
  <c r="G18" i="6" s="1"/>
  <c r="E7" i="7"/>
  <c r="O7" i="6"/>
  <c r="H19" i="6" s="1"/>
  <c r="E6" i="7"/>
  <c r="M7" i="7"/>
  <c r="H17" i="7" s="1"/>
  <c r="O7" i="7"/>
  <c r="H19" i="7" s="1"/>
  <c r="O6" i="6"/>
  <c r="G19" i="6" s="1"/>
  <c r="K7" i="6"/>
  <c r="H15" i="6" s="1"/>
  <c r="E8" i="7"/>
  <c r="O6" i="7"/>
  <c r="G19" i="7" s="1"/>
  <c r="G9" i="8"/>
  <c r="L6" i="6"/>
  <c r="G16" i="6" s="1"/>
  <c r="E7" i="6"/>
  <c r="I7" i="7"/>
  <c r="H13" i="7" s="1"/>
  <c r="I7" i="6"/>
  <c r="H13" i="6" s="1"/>
  <c r="E5" i="7"/>
  <c r="J6" i="7"/>
  <c r="G14" i="7" s="1"/>
  <c r="N6" i="7"/>
  <c r="G18" i="7" s="1"/>
  <c r="N7" i="7"/>
  <c r="H18" i="7" s="1"/>
  <c r="E5" i="6"/>
  <c r="J6" i="6"/>
  <c r="G14" i="6" s="1"/>
  <c r="K6" i="7"/>
  <c r="G15" i="7" s="1"/>
  <c r="I75" i="1"/>
  <c r="C74" i="1" s="1"/>
  <c r="D74" i="1" s="1"/>
  <c r="I73" i="1"/>
  <c r="D83" i="1"/>
  <c r="D81" i="1"/>
  <c r="D79" i="1"/>
  <c r="D77" i="1"/>
  <c r="I76" i="1"/>
  <c r="I77" i="1" s="1"/>
  <c r="I82" i="1" s="1"/>
  <c r="I83" i="1" s="1"/>
  <c r="C75" i="1" s="1"/>
  <c r="D82" i="1"/>
  <c r="D80" i="1"/>
  <c r="D78" i="1"/>
  <c r="D76" i="1"/>
  <c r="I74" i="1"/>
  <c r="I60" i="1"/>
  <c r="D69" i="1"/>
  <c r="D67" i="1"/>
  <c r="D65" i="1"/>
  <c r="D63" i="1"/>
  <c r="I61" i="1"/>
  <c r="C60" i="1" s="1"/>
  <c r="D60" i="1" s="1"/>
  <c r="I59" i="1"/>
  <c r="I62" i="1"/>
  <c r="I63" i="1" s="1"/>
  <c r="I68" i="1" s="1"/>
  <c r="I69" i="1" s="1"/>
  <c r="C61" i="1" s="1"/>
  <c r="D68" i="1"/>
  <c r="D66" i="1"/>
  <c r="D64" i="1"/>
  <c r="D62" i="1"/>
  <c r="H20" i="6" l="1"/>
  <c r="G20" i="6"/>
  <c r="G20" i="7"/>
  <c r="H20" i="7"/>
  <c r="E74" i="1"/>
  <c r="H70" i="1" s="1"/>
  <c r="C72" i="1" s="1"/>
  <c r="D75" i="1"/>
  <c r="G74" i="1"/>
  <c r="E60" i="1"/>
  <c r="H56" i="1" s="1"/>
  <c r="C58" i="1" s="1"/>
  <c r="D61" i="1"/>
  <c r="G60" i="1"/>
</calcChain>
</file>

<file path=xl/sharedStrings.xml><?xml version="1.0" encoding="utf-8"?>
<sst xmlns="http://schemas.openxmlformats.org/spreadsheetml/2006/main" count="560" uniqueCount="250">
  <si>
    <r>
      <rPr>
        <b/>
        <sz val="11"/>
        <color rgb="FF231F1F"/>
        <rFont val="Times New Roman"/>
        <family val="1"/>
      </rPr>
      <t>Valuation Report</t>
    </r>
  </si>
  <si>
    <r>
      <rPr>
        <sz val="11"/>
        <color rgb="FF231F1F"/>
        <rFont val="Times New Roman"/>
        <family val="1"/>
      </rPr>
      <t>Date:</t>
    </r>
  </si>
  <si>
    <r>
      <rPr>
        <sz val="11"/>
        <color rgb="FF231F1F"/>
        <rFont val="Times New Roman"/>
        <family val="1"/>
      </rPr>
      <t>CPC Name:</t>
    </r>
  </si>
  <si>
    <r>
      <rPr>
        <sz val="11"/>
        <color rgb="FF231F1F"/>
        <rFont val="Times New Roman"/>
        <family val="1"/>
      </rPr>
      <t>Axis Sanpada</t>
    </r>
  </si>
  <si>
    <r>
      <rPr>
        <sz val="11"/>
        <color rgb="FF231F1F"/>
        <rFont val="Times New Roman"/>
        <family val="1"/>
      </rPr>
      <t>Date Of Property Visit</t>
    </r>
  </si>
  <si>
    <r>
      <rPr>
        <sz val="11"/>
        <color rgb="FF231F1F"/>
        <rFont val="Times New Roman"/>
        <family val="1"/>
      </rPr>
      <t>Name of the builder group</t>
    </r>
  </si>
  <si>
    <r>
      <rPr>
        <sz val="11"/>
        <color rgb="FF231F1F"/>
        <rFont val="Times New Roman"/>
        <family val="1"/>
      </rPr>
      <t>M/s.Samarth Erectors And Developers</t>
    </r>
  </si>
  <si>
    <r>
      <rPr>
        <sz val="11"/>
        <color rgb="FF231F1F"/>
        <rFont val="Times New Roman"/>
        <family val="1"/>
      </rPr>
      <t>Name of the builder company</t>
    </r>
  </si>
  <si>
    <r>
      <rPr>
        <sz val="11"/>
        <color rgb="FF231F1F"/>
        <rFont val="Times New Roman"/>
        <family val="1"/>
      </rPr>
      <t>Name of the Project</t>
    </r>
  </si>
  <si>
    <t>Samarth Tanish</t>
  </si>
  <si>
    <r>
      <rPr>
        <sz val="11"/>
        <color rgb="FF231F1F"/>
        <rFont val="Times New Roman"/>
        <family val="1"/>
      </rPr>
      <t>Name / no of the Building</t>
    </r>
  </si>
  <si>
    <r>
      <rPr>
        <sz val="11"/>
        <color rgb="FF231F1F"/>
        <rFont val="Times New Roman"/>
        <family val="1"/>
      </rPr>
      <t>Samarth Tanish/1 Building (A &amp; B Wings)</t>
    </r>
  </si>
  <si>
    <r>
      <rPr>
        <sz val="11"/>
        <color rgb="FF231F1F"/>
        <rFont val="Times New Roman"/>
        <family val="1"/>
      </rPr>
      <t>Docouments Provided</t>
    </r>
  </si>
  <si>
    <t>Approved Plans, CC &amp; Cost Sheet.</t>
  </si>
  <si>
    <r>
      <rPr>
        <sz val="11"/>
        <color rgb="FF231F1F"/>
        <rFont val="Times New Roman"/>
        <family val="1"/>
      </rPr>
      <t>RERA No.</t>
    </r>
  </si>
  <si>
    <t>P51800003379</t>
  </si>
  <si>
    <r>
      <rPr>
        <sz val="11"/>
        <color rgb="FF231F1F"/>
        <rFont val="Times New Roman"/>
        <family val="1"/>
      </rPr>
      <t>Project location details</t>
    </r>
  </si>
  <si>
    <t>Samarth Tanish, CTS No - 313,314,318,319,320,321,322, 323,324,325,326,327, Village- Pahadi Goregaon (E), Mumbai.</t>
  </si>
  <si>
    <r>
      <rPr>
        <sz val="11"/>
        <color rgb="FF231F1F"/>
        <rFont val="Times New Roman"/>
        <family val="1"/>
      </rPr>
      <t xml:space="preserve">CTS
</t>
    </r>
    <r>
      <rPr>
        <sz val="11"/>
        <color rgb="FF231F1F"/>
        <rFont val="Times New Roman"/>
        <family val="1"/>
      </rPr>
      <t>No.</t>
    </r>
  </si>
  <si>
    <r>
      <rPr>
        <sz val="11"/>
        <color rgb="FF231F1F"/>
        <rFont val="Times New Roman"/>
        <family val="1"/>
      </rPr>
      <t xml:space="preserve">313, 314, 318, 319, 320, 321,
</t>
    </r>
    <r>
      <rPr>
        <sz val="11"/>
        <color rgb="FF231F1F"/>
        <rFont val="Times New Roman"/>
        <family val="1"/>
      </rPr>
      <t>322, 323, 324, 325, 326, 327</t>
    </r>
  </si>
  <si>
    <r>
      <rPr>
        <sz val="11"/>
        <color rgb="FF231F1F"/>
        <rFont val="Times New Roman"/>
        <family val="1"/>
      </rPr>
      <t>Locality</t>
    </r>
  </si>
  <si>
    <t>Gorgaon East</t>
  </si>
  <si>
    <r>
      <rPr>
        <sz val="11"/>
        <color rgb="FF231F1F"/>
        <rFont val="Times New Roman"/>
        <family val="1"/>
      </rPr>
      <t>Road</t>
    </r>
  </si>
  <si>
    <r>
      <rPr>
        <sz val="11"/>
        <color rgb="FF231F1F"/>
        <rFont val="Times New Roman"/>
        <family val="1"/>
      </rPr>
      <t>JP Road No. 5</t>
    </r>
  </si>
  <si>
    <r>
      <rPr>
        <sz val="11"/>
        <color rgb="FF231F1F"/>
        <rFont val="Times New Roman"/>
        <family val="1"/>
      </rPr>
      <t>District</t>
    </r>
  </si>
  <si>
    <r>
      <rPr>
        <sz val="11"/>
        <color rgb="FF231F1F"/>
        <rFont val="Times New Roman"/>
        <family val="1"/>
      </rPr>
      <t>Mumbai</t>
    </r>
  </si>
  <si>
    <r>
      <rPr>
        <sz val="11"/>
        <color rgb="FF231F1F"/>
        <rFont val="Times New Roman"/>
        <family val="1"/>
      </rPr>
      <t>City</t>
    </r>
  </si>
  <si>
    <r>
      <rPr>
        <sz val="11"/>
        <color rgb="FF231F1F"/>
        <rFont val="Times New Roman"/>
        <family val="1"/>
      </rPr>
      <t>Borivali</t>
    </r>
  </si>
  <si>
    <r>
      <rPr>
        <sz val="11"/>
        <color rgb="FF231F1F"/>
        <rFont val="Times New Roman"/>
        <family val="1"/>
      </rPr>
      <t>Pin Code</t>
    </r>
  </si>
  <si>
    <r>
      <rPr>
        <sz val="11"/>
        <color rgb="FF231F1F"/>
        <rFont val="Times New Roman"/>
        <family val="1"/>
      </rPr>
      <t>Near by Landmark</t>
    </r>
  </si>
  <si>
    <r>
      <rPr>
        <sz val="11"/>
        <color rgb="FF231F1F"/>
        <rFont val="Times New Roman"/>
        <family val="1"/>
      </rPr>
      <t>Hanuman Temple, Pahadi, Goregaon East</t>
    </r>
  </si>
  <si>
    <r>
      <rPr>
        <sz val="11"/>
        <color rgb="FF231F1F"/>
        <rFont val="Times New Roman"/>
        <family val="1"/>
      </rPr>
      <t>Distance from city centre:</t>
    </r>
  </si>
  <si>
    <r>
      <rPr>
        <sz val="11"/>
        <color rgb="FF231F1F"/>
        <rFont val="Times New Roman"/>
        <family val="1"/>
      </rPr>
      <t>About 0.75 Km from Goregaon Railway Station</t>
    </r>
  </si>
  <si>
    <r>
      <rPr>
        <sz val="11"/>
        <color rgb="FF231F1F"/>
        <rFont val="Times New Roman"/>
        <family val="1"/>
      </rPr>
      <t>Accessibility to the Project from the City: (Proximity to civic amenities like school, hospital, market, etc.)</t>
    </r>
  </si>
  <si>
    <r>
      <rPr>
        <sz val="11"/>
        <color rgb="FF231F1F"/>
        <rFont val="Times New Roman"/>
        <family val="1"/>
      </rPr>
      <t>all available at  1 to 2 km.</t>
    </r>
  </si>
  <si>
    <r>
      <rPr>
        <sz val="11"/>
        <color rgb="FF231F1F"/>
        <rFont val="Times New Roman"/>
        <family val="1"/>
      </rPr>
      <t xml:space="preserve">Does property have Electricity / Water / Drainage
</t>
    </r>
    <r>
      <rPr>
        <sz val="11"/>
        <color rgb="FF231F1F"/>
        <rFont val="Times New Roman"/>
        <family val="1"/>
      </rPr>
      <t>Connection</t>
    </r>
  </si>
  <si>
    <r>
      <rPr>
        <sz val="11"/>
        <color rgb="FF231F1F"/>
        <rFont val="Times New Roman"/>
        <family val="1"/>
      </rPr>
      <t>Yes</t>
    </r>
  </si>
  <si>
    <r>
      <rPr>
        <sz val="11"/>
        <color rgb="FF231F1F"/>
        <rFont val="Times New Roman"/>
        <family val="1"/>
      </rPr>
      <t>Class of locality</t>
    </r>
  </si>
  <si>
    <r>
      <rPr>
        <sz val="11"/>
        <color rgb="FF231F1F"/>
        <rFont val="Times New Roman"/>
        <family val="1"/>
      </rPr>
      <t>Upper Class</t>
    </r>
  </si>
  <si>
    <r>
      <rPr>
        <sz val="11"/>
        <color rgb="FF231F1F"/>
        <rFont val="Times New Roman"/>
        <family val="1"/>
      </rPr>
      <t>Nature of land with topographical condtion</t>
    </r>
  </si>
  <si>
    <r>
      <rPr>
        <sz val="11"/>
        <color rgb="FF231F1F"/>
        <rFont val="Times New Roman"/>
        <family val="1"/>
      </rPr>
      <t>Plane</t>
    </r>
  </si>
  <si>
    <r>
      <rPr>
        <sz val="11"/>
        <color rgb="FF231F1F"/>
        <rFont val="Times New Roman"/>
        <family val="1"/>
      </rPr>
      <t>Nature of the locality</t>
    </r>
  </si>
  <si>
    <r>
      <rPr>
        <sz val="11"/>
        <color rgb="FF231F1F"/>
        <rFont val="Times New Roman"/>
        <family val="1"/>
      </rPr>
      <t>Developed</t>
    </r>
  </si>
  <si>
    <r>
      <rPr>
        <sz val="11"/>
        <color rgb="FF231F1F"/>
        <rFont val="Times New Roman"/>
        <family val="1"/>
      </rPr>
      <t>Quality of infrastructure in vicinity</t>
    </r>
  </si>
  <si>
    <r>
      <rPr>
        <sz val="11"/>
        <color rgb="FF231F1F"/>
        <rFont val="Times New Roman"/>
        <family val="1"/>
      </rPr>
      <t>Good</t>
    </r>
  </si>
  <si>
    <r>
      <rPr>
        <sz val="11"/>
        <color rgb="FF231F1F"/>
        <rFont val="Times New Roman"/>
        <family val="1"/>
      </rPr>
      <t>Boundaries</t>
    </r>
  </si>
  <si>
    <r>
      <rPr>
        <sz val="11"/>
        <color rgb="FF231F1F"/>
        <rFont val="Times New Roman"/>
        <family val="1"/>
      </rPr>
      <t>East</t>
    </r>
  </si>
  <si>
    <r>
      <rPr>
        <sz val="11"/>
        <color rgb="FF231F1F"/>
        <rFont val="Times New Roman"/>
        <family val="1"/>
      </rPr>
      <t>West</t>
    </r>
  </si>
  <si>
    <r>
      <rPr>
        <sz val="11"/>
        <color rgb="FF231F1F"/>
        <rFont val="Times New Roman"/>
        <family val="1"/>
      </rPr>
      <t>South</t>
    </r>
  </si>
  <si>
    <r>
      <rPr>
        <sz val="11"/>
        <color rgb="FF231F1F"/>
        <rFont val="Times New Roman"/>
        <family val="1"/>
      </rPr>
      <t>North</t>
    </r>
  </si>
  <si>
    <r>
      <rPr>
        <sz val="11"/>
        <color rgb="FF231F1F"/>
        <rFont val="Times New Roman"/>
        <family val="1"/>
      </rPr>
      <t>As per deed</t>
    </r>
  </si>
  <si>
    <r>
      <rPr>
        <sz val="11"/>
        <color rgb="FF231F1F"/>
        <rFont val="Times New Roman"/>
        <family val="1"/>
      </rPr>
      <t>NA</t>
    </r>
  </si>
  <si>
    <r>
      <rPr>
        <sz val="11"/>
        <color rgb="FF231F1F"/>
        <rFont val="Times New Roman"/>
        <family val="1"/>
      </rPr>
      <t>At site</t>
    </r>
  </si>
  <si>
    <r>
      <rPr>
        <sz val="11"/>
        <color rgb="FF231F1F"/>
        <rFont val="Times New Roman"/>
        <family val="1"/>
      </rPr>
      <t>Aarey Colony</t>
    </r>
  </si>
  <si>
    <r>
      <rPr>
        <sz val="11"/>
        <color rgb="FF231F1F"/>
        <rFont val="Times New Roman"/>
        <family val="1"/>
      </rPr>
      <t>Marathi Mandir</t>
    </r>
  </si>
  <si>
    <r>
      <rPr>
        <sz val="11"/>
        <color rgb="FF231F1F"/>
        <rFont val="Times New Roman"/>
        <family val="1"/>
      </rPr>
      <t>Does the boundaries at site match, as mentioned in the Docoumentation: NA</t>
    </r>
  </si>
  <si>
    <r>
      <rPr>
        <sz val="11"/>
        <color rgb="FF231F1F"/>
        <rFont val="Times New Roman"/>
        <family val="1"/>
      </rPr>
      <t>Type of Structure : RCC Frame Structure</t>
    </r>
  </si>
  <si>
    <r>
      <rPr>
        <b/>
        <sz val="11"/>
        <color rgb="FF231F1F"/>
        <rFont val="Times New Roman"/>
        <family val="1"/>
      </rPr>
      <t>Approval details:</t>
    </r>
  </si>
  <si>
    <r>
      <rPr>
        <sz val="11"/>
        <color rgb="FF231F1F"/>
        <rFont val="Times New Roman"/>
        <family val="1"/>
      </rPr>
      <t xml:space="preserve">Approved usage of the Property: Residential
</t>
    </r>
    <r>
      <rPr>
        <sz val="11"/>
        <color rgb="FF231F1F"/>
        <rFont val="Times New Roman"/>
        <family val="1"/>
      </rPr>
      <t>(Restrictive Covenants in regard to Land Use, if any)</t>
    </r>
  </si>
  <si>
    <r>
      <rPr>
        <sz val="11"/>
        <color rgb="FF231F1F"/>
        <rFont val="Times New Roman"/>
        <family val="1"/>
      </rPr>
      <t>Total land area of the project in Sq. Mt.</t>
    </r>
  </si>
  <si>
    <r>
      <rPr>
        <sz val="11"/>
        <color rgb="FF231F1F"/>
        <rFont val="Times New Roman"/>
        <family val="1"/>
      </rPr>
      <t>Slum</t>
    </r>
  </si>
  <si>
    <r>
      <rPr>
        <sz val="11"/>
        <color rgb="FF231F1F"/>
        <rFont val="Times New Roman"/>
        <family val="1"/>
      </rPr>
      <t>Vacant Plot</t>
    </r>
  </si>
  <si>
    <r>
      <rPr>
        <sz val="11"/>
        <color rgb="FF231F1F"/>
        <rFont val="Times New Roman"/>
        <family val="1"/>
      </rPr>
      <t>Permissible FSI</t>
    </r>
  </si>
  <si>
    <r>
      <rPr>
        <sz val="11"/>
        <color rgb="FF231F1F"/>
        <rFont val="Times New Roman"/>
        <family val="1"/>
      </rPr>
      <t>Permissible TDR/Paid FSI</t>
    </r>
  </si>
  <si>
    <r>
      <rPr>
        <sz val="11"/>
        <color rgb="FF231F1F"/>
        <rFont val="Times New Roman"/>
        <family val="1"/>
      </rPr>
      <t>Total FSI availaible for the project</t>
    </r>
  </si>
  <si>
    <r>
      <rPr>
        <sz val="11"/>
        <color rgb="FF231F1F"/>
        <rFont val="Times New Roman"/>
        <family val="1"/>
      </rPr>
      <t>Total Approved Builtup area of the project in Sq. Mt.</t>
    </r>
  </si>
  <si>
    <r>
      <rPr>
        <sz val="11"/>
        <color rgb="FF231F1F"/>
        <rFont val="Times New Roman"/>
        <family val="1"/>
      </rPr>
      <t>Total number of Buildings</t>
    </r>
  </si>
  <si>
    <r>
      <rPr>
        <sz val="11"/>
        <color rgb="FF231F1F"/>
        <rFont val="Times New Roman"/>
        <family val="1"/>
      </rPr>
      <t>02 Wings</t>
    </r>
  </si>
  <si>
    <r>
      <rPr>
        <b/>
        <sz val="11"/>
        <color rgb="FF231F1F"/>
        <rFont val="Times New Roman"/>
        <family val="1"/>
      </rPr>
      <t>Approval Detail : Plan approval</t>
    </r>
  </si>
  <si>
    <r>
      <rPr>
        <sz val="11"/>
        <color rgb="FF231F1F"/>
        <rFont val="Times New Roman"/>
        <family val="1"/>
      </rPr>
      <t>Layout Approval No</t>
    </r>
  </si>
  <si>
    <r>
      <rPr>
        <sz val="11"/>
        <color rgb="FF231F1F"/>
        <rFont val="Times New Roman"/>
        <family val="1"/>
      </rPr>
      <t>SRA/ENG/3035/PS/PL/AP</t>
    </r>
  </si>
  <si>
    <r>
      <rPr>
        <sz val="11"/>
        <color rgb="FF231F1F"/>
        <rFont val="Times New Roman"/>
        <family val="1"/>
      </rPr>
      <t>Dated</t>
    </r>
  </si>
  <si>
    <r>
      <rPr>
        <sz val="11"/>
        <color rgb="FF231F1F"/>
        <rFont val="Times New Roman"/>
        <family val="1"/>
      </rPr>
      <t>Building plan approval No</t>
    </r>
  </si>
  <si>
    <r>
      <rPr>
        <sz val="11"/>
        <color rgb="FF231F1F"/>
        <rFont val="Times New Roman"/>
        <family val="1"/>
      </rPr>
      <t>Date of Commencement of Construction</t>
    </r>
  </si>
  <si>
    <r>
      <rPr>
        <sz val="11"/>
        <color rgb="FF231F1F"/>
        <rFont val="Times New Roman"/>
        <family val="1"/>
      </rPr>
      <t>07/11/2019.</t>
    </r>
  </si>
  <si>
    <r>
      <rPr>
        <sz val="11"/>
        <color rgb="FF231F1F"/>
        <rFont val="Times New Roman"/>
        <family val="1"/>
      </rPr>
      <t>Expiry date: One year from date of issue</t>
    </r>
  </si>
  <si>
    <r>
      <rPr>
        <sz val="11"/>
        <color rgb="FF231F1F"/>
        <rFont val="Times New Roman"/>
        <family val="1"/>
      </rPr>
      <t>O. Certificate No.: NA</t>
    </r>
  </si>
  <si>
    <r>
      <rPr>
        <sz val="11"/>
        <color rgb="FF231F1F"/>
        <rFont val="Times New Roman"/>
        <family val="1"/>
      </rPr>
      <t>Date of approval: NA</t>
    </r>
  </si>
  <si>
    <r>
      <rPr>
        <sz val="11"/>
        <color rgb="FF231F1F"/>
        <rFont val="Times New Roman"/>
        <family val="1"/>
      </rPr>
      <t>Commencement date of construction</t>
    </r>
  </si>
  <si>
    <r>
      <rPr>
        <sz val="11"/>
        <color rgb="FF231F1F"/>
        <rFont val="Times New Roman"/>
        <family val="1"/>
      </rPr>
      <t>Expected Completion</t>
    </r>
  </si>
  <si>
    <r>
      <rPr>
        <b/>
        <sz val="11"/>
        <color rgb="FF231F1F"/>
        <rFont val="Times New Roman"/>
        <family val="1"/>
      </rPr>
      <t>Building wise Construction details</t>
    </r>
  </si>
  <si>
    <r>
      <rPr>
        <sz val="11"/>
        <color rgb="FF231F1F"/>
        <rFont val="Times New Roman"/>
        <family val="1"/>
      </rPr>
      <t>Approved area of the building in Sq.Mt</t>
    </r>
  </si>
  <si>
    <t>No of units</t>
  </si>
  <si>
    <r>
      <rPr>
        <b/>
        <sz val="11"/>
        <color rgb="FF231F1F"/>
        <rFont val="Times New Roman"/>
        <family val="1"/>
      </rPr>
      <t>Approved no of Floors</t>
    </r>
  </si>
  <si>
    <r>
      <rPr>
        <sz val="11"/>
        <color rgb="FF231F1F"/>
        <rFont val="Times New Roman"/>
        <family val="1"/>
      </rPr>
      <t>Proposed no of Floors</t>
    </r>
  </si>
  <si>
    <r>
      <rPr>
        <sz val="11"/>
        <color rgb="FF231F1F"/>
        <rFont val="Times New Roman"/>
        <family val="1"/>
      </rPr>
      <t>Quality of construction: Good</t>
    </r>
  </si>
  <si>
    <r>
      <rPr>
        <sz val="11"/>
        <color rgb="FF231F1F"/>
        <rFont val="Times New Roman"/>
        <family val="1"/>
      </rPr>
      <t>Material laying at Site: :Bricks, Cement &amp; Steel etc.</t>
    </r>
  </si>
  <si>
    <r>
      <rPr>
        <sz val="11"/>
        <color rgb="FF231F1F"/>
        <rFont val="Times New Roman"/>
        <family val="1"/>
      </rPr>
      <t>Wheather the construction is as per approved Building plan : Under Construction</t>
    </r>
  </si>
  <si>
    <r>
      <rPr>
        <sz val="11"/>
        <color rgb="FF231F1F"/>
        <rFont val="Times New Roman"/>
        <family val="1"/>
      </rPr>
      <t>Violations Observed if any : NA</t>
    </r>
  </si>
  <si>
    <r>
      <rPr>
        <b/>
        <sz val="11"/>
        <color rgb="FF231F1F"/>
        <rFont val="Times New Roman"/>
        <family val="1"/>
      </rPr>
      <t xml:space="preserve">Proposed Amenities
</t>
    </r>
    <r>
      <rPr>
        <sz val="11"/>
        <color rgb="FF231F1F"/>
        <rFont val="Times New Roman"/>
        <family val="1"/>
      </rPr>
      <t>1.  Vitrified tiles flooring 2. Granite Kitchen Platform  3. Decorative Enternace  etc.</t>
    </r>
  </si>
  <si>
    <r>
      <rPr>
        <b/>
        <sz val="11"/>
        <color rgb="FF231F1F"/>
        <rFont val="Times New Roman"/>
        <family val="1"/>
      </rPr>
      <t>Recommended Rates of the Property :</t>
    </r>
  </si>
  <si>
    <r>
      <rPr>
        <sz val="11"/>
        <color rgb="FF231F1F"/>
        <rFont val="Times New Roman"/>
        <family val="1"/>
      </rPr>
      <t>Recommended rate of the flat Per Sq. Ft. ( on Saleable area)</t>
    </r>
  </si>
  <si>
    <r>
      <rPr>
        <sz val="11"/>
        <color rgb="FF231F1F"/>
        <rFont val="Times New Roman"/>
        <family val="1"/>
      </rPr>
      <t>Gym facility Charges</t>
    </r>
  </si>
  <si>
    <r>
      <rPr>
        <sz val="11"/>
        <color rgb="FF231F1F"/>
        <rFont val="Times New Roman"/>
        <family val="1"/>
      </rPr>
      <t>25000/-</t>
    </r>
  </si>
  <si>
    <r>
      <rPr>
        <sz val="11"/>
        <color rgb="FF231F1F"/>
        <rFont val="Times New Roman"/>
        <family val="1"/>
      </rPr>
      <t>Electric Substation Charges</t>
    </r>
  </si>
  <si>
    <r>
      <rPr>
        <sz val="11"/>
        <color rgb="FF231F1F"/>
        <rFont val="Times New Roman"/>
        <family val="1"/>
      </rPr>
      <t>30000/-</t>
    </r>
  </si>
  <si>
    <r>
      <rPr>
        <sz val="11"/>
        <color rgb="FF231F1F"/>
        <rFont val="Times New Roman"/>
        <family val="1"/>
      </rPr>
      <t>Water Meter Charges</t>
    </r>
  </si>
  <si>
    <r>
      <rPr>
        <sz val="11"/>
        <color rgb="FF231F1F"/>
        <rFont val="Times New Roman"/>
        <family val="1"/>
      </rPr>
      <t>Recommended rate of Parking</t>
    </r>
  </si>
  <si>
    <r>
      <rPr>
        <sz val="11"/>
        <color rgb="FF231F1F"/>
        <rFont val="Times New Roman"/>
        <family val="1"/>
      </rPr>
      <t>12,00,000/-</t>
    </r>
  </si>
  <si>
    <r>
      <rPr>
        <b/>
        <sz val="11"/>
        <color rgb="FF231F1F"/>
        <rFont val="Times New Roman"/>
        <family val="1"/>
      </rPr>
      <t>Distressed valuation of the Property</t>
    </r>
  </si>
  <si>
    <r>
      <rPr>
        <b/>
        <sz val="14"/>
        <color rgb="FF231F1F"/>
        <rFont val="Times New Roman"/>
        <family val="1"/>
      </rPr>
      <t>Building details Floor Wise</t>
    </r>
  </si>
  <si>
    <r>
      <rPr>
        <b/>
        <sz val="11"/>
        <color rgb="FF231F1F"/>
        <rFont val="Times New Roman"/>
        <family val="1"/>
      </rPr>
      <t>Details of Flats in Building</t>
    </r>
  </si>
  <si>
    <r>
      <rPr>
        <b/>
        <sz val="12"/>
        <color rgb="FF231F1F"/>
        <rFont val="Times New Roman"/>
        <family val="1"/>
      </rPr>
      <t>Flat No.</t>
    </r>
  </si>
  <si>
    <r>
      <rPr>
        <b/>
        <sz val="12"/>
        <color rgb="FF231F1F"/>
        <rFont val="Times New Roman"/>
        <family val="1"/>
      </rPr>
      <t>Description</t>
    </r>
  </si>
  <si>
    <r>
      <rPr>
        <b/>
        <sz val="12"/>
        <color rgb="FF231F1F"/>
        <rFont val="Times New Roman"/>
        <family val="1"/>
      </rPr>
      <t>Carpet area</t>
    </r>
  </si>
  <si>
    <r>
      <rPr>
        <b/>
        <sz val="11"/>
        <color rgb="FF231F1F"/>
        <rFont val="Times New Roman"/>
        <family val="1"/>
      </rPr>
      <t xml:space="preserve">Attached Terrace
</t>
    </r>
    <r>
      <rPr>
        <b/>
        <sz val="11"/>
        <color rgb="FF231F1F"/>
        <rFont val="Times New Roman"/>
        <family val="1"/>
      </rPr>
      <t>area</t>
    </r>
  </si>
  <si>
    <t>Saleable area</t>
  </si>
  <si>
    <r>
      <rPr>
        <b/>
        <sz val="12"/>
        <color rgb="FF231F1F"/>
        <rFont val="Times New Roman"/>
        <family val="1"/>
      </rPr>
      <t>Floor</t>
    </r>
  </si>
  <si>
    <r>
      <rPr>
        <b/>
        <sz val="12"/>
        <color rgb="FF231F1F"/>
        <rFont val="Times New Roman"/>
        <family val="1"/>
      </rPr>
      <t>A &amp; B Wing</t>
    </r>
  </si>
  <si>
    <r>
      <rPr>
        <b/>
        <sz val="12"/>
        <color rgb="FF231F1F"/>
        <rFont val="Times New Roman"/>
        <family val="1"/>
      </rPr>
      <t>Ground floor for parking</t>
    </r>
  </si>
  <si>
    <t>1st Floor for Amenities</t>
  </si>
  <si>
    <t>2nd Floor for Amenities</t>
  </si>
  <si>
    <t>3rd &amp; 5th Floor</t>
  </si>
  <si>
    <r>
      <rPr>
        <sz val="12"/>
        <color rgb="FF231F1F"/>
        <rFont val="Times New Roman"/>
        <family val="1"/>
      </rPr>
      <t>Rehab</t>
    </r>
  </si>
  <si>
    <r>
      <rPr>
        <sz val="12"/>
        <color rgb="FF231F1F"/>
        <rFont val="Times New Roman"/>
        <family val="1"/>
      </rPr>
      <t>1BHK</t>
    </r>
  </si>
  <si>
    <r>
      <rPr>
        <b/>
        <sz val="12"/>
        <color rgb="FF231F1F"/>
        <rFont val="Times New Roman"/>
        <family val="1"/>
      </rPr>
      <t>Sale</t>
    </r>
  </si>
  <si>
    <t>4th, 6th, 7th, 9th &amp; 10th Floor</t>
  </si>
  <si>
    <t>8th Floor (Part Refuge Area)</t>
  </si>
  <si>
    <t>Refuge Area</t>
  </si>
  <si>
    <r>
      <rPr>
        <sz val="12"/>
        <color rgb="FF231F1F"/>
        <rFont val="Times New Roman"/>
        <family val="1"/>
      </rPr>
      <t>Refuge Area</t>
    </r>
  </si>
  <si>
    <t>11th &amp; 12th Floor</t>
  </si>
  <si>
    <t>13th, 14th &amp; 17th Floor</t>
  </si>
  <si>
    <t>15th Floor (Part Refuge Area)</t>
  </si>
  <si>
    <t>16th Floor</t>
  </si>
  <si>
    <t>18th Floor</t>
  </si>
  <si>
    <t>19th to 21st &amp; 23rd Floor</t>
  </si>
  <si>
    <t>22nd Floor (Part Refuge Area)</t>
  </si>
  <si>
    <r>
      <rPr>
        <b/>
        <sz val="12"/>
        <color rgb="FF231F1F"/>
        <rFont val="Times New Roman"/>
        <family val="1"/>
      </rPr>
      <t>B Wing</t>
    </r>
  </si>
  <si>
    <r>
      <rPr>
        <b/>
        <sz val="12"/>
        <color rgb="FF231F1F"/>
        <rFont val="Times New Roman"/>
        <family val="1"/>
      </rPr>
      <t>2nd Floor</t>
    </r>
  </si>
  <si>
    <r>
      <rPr>
        <b/>
        <sz val="12"/>
        <color rgb="FF231F1F"/>
        <rFont val="Times New Roman"/>
        <family val="1"/>
      </rPr>
      <t>-</t>
    </r>
  </si>
  <si>
    <t>15th Floor</t>
  </si>
  <si>
    <t>16th Floor (Part Refuge Area)</t>
  </si>
  <si>
    <t>22nd Floor</t>
  </si>
  <si>
    <r>
      <rPr>
        <sz val="11"/>
        <color rgb="FF231F1F"/>
        <rFont val="Times New Roman"/>
        <family val="1"/>
      </rPr>
      <t>Undertaking :</t>
    </r>
  </si>
  <si>
    <r>
      <rPr>
        <sz val="11"/>
        <color rgb="FF231F1F"/>
        <rFont val="Times New Roman"/>
        <family val="1"/>
      </rPr>
      <t>1) We have personally visited the property &amp; identified the same based on the documents provided</t>
    </r>
  </si>
  <si>
    <r>
      <rPr>
        <sz val="11"/>
        <color rgb="FF231F1F"/>
        <rFont val="Times New Roman"/>
        <family val="1"/>
      </rPr>
      <t>2) I/We have no direct or Indirect Interest in the property being valued</t>
    </r>
  </si>
  <si>
    <r>
      <rPr>
        <sz val="11"/>
        <color rgb="FF231F1F"/>
        <rFont val="Times New Roman"/>
        <family val="1"/>
      </rPr>
      <t>3) The information furnished above is true and correct to my/our knowledge.</t>
    </r>
  </si>
  <si>
    <r>
      <rPr>
        <sz val="11"/>
        <color rgb="FF231F1F"/>
        <rFont val="Times New Roman"/>
        <family val="1"/>
      </rPr>
      <t>4)  The saleable area is as per Our Calculation.</t>
    </r>
  </si>
  <si>
    <r>
      <rPr>
        <sz val="11"/>
        <color rgb="FF231F1F"/>
        <rFont val="Times New Roman"/>
        <family val="1"/>
      </rPr>
      <t>5) Legal title of the property is not verified by us.</t>
    </r>
  </si>
  <si>
    <r>
      <rPr>
        <sz val="11"/>
        <color rgb="FF231F1F"/>
        <rFont val="Times New Roman"/>
        <family val="1"/>
      </rPr>
      <t>6) Gross carpet area =  Net Carpet area + Fungible area.</t>
    </r>
  </si>
  <si>
    <r>
      <rPr>
        <sz val="11"/>
        <color rgb="FF231F1F"/>
        <rFont val="Times New Roman"/>
        <family val="1"/>
      </rPr>
      <t xml:space="preserve">7) Fungible Area= Enclosed Balcony + Flower Bed + Covered Balcony + Service Slab + Duct + Chajja +
</t>
    </r>
    <r>
      <rPr>
        <sz val="11"/>
        <color rgb="FF231F1F"/>
        <rFont val="Times New Roman"/>
        <family val="1"/>
      </rPr>
      <t>Wheather Shed area.</t>
    </r>
  </si>
  <si>
    <r>
      <rPr>
        <b/>
        <sz val="11"/>
        <color rgb="FF231F1F"/>
        <rFont val="Times New Roman"/>
        <family val="1"/>
      </rPr>
      <t>Authorized Signatory 
Na</t>
    </r>
    <r>
      <rPr>
        <b/>
        <sz val="11"/>
        <color rgb="FF221F1F"/>
        <rFont val="Times New Roman"/>
        <family val="1"/>
      </rPr>
      <t>me &amp; Seal of the a</t>
    </r>
    <r>
      <rPr>
        <b/>
        <sz val="11"/>
        <color rgb="FF231F1F"/>
        <rFont val="Times New Roman"/>
        <family val="1"/>
      </rPr>
      <t>gency</t>
    </r>
  </si>
  <si>
    <t xml:space="preserve">PHOTOGRAPHS OF PROPERTY : 
</t>
  </si>
  <si>
    <t>Google Map :</t>
  </si>
  <si>
    <t>16/03/2021.</t>
  </si>
  <si>
    <t>Dhanashree</t>
  </si>
  <si>
    <t>1. Rate has changed  from 19400/- to 16000/- as per market inquiry.</t>
  </si>
  <si>
    <t>2.Index II has been matched, According to that rate is 14500/-(on16/03/2021)</t>
  </si>
  <si>
    <t>15/05/2021.</t>
  </si>
  <si>
    <t>Sachin</t>
  </si>
  <si>
    <t>1. Rate has changed  from 16000/- to 15000/- as per market inquiry.</t>
  </si>
  <si>
    <t>2.Index II has been matched, According to that rate is 14500/-(on15/05/2021)</t>
  </si>
  <si>
    <t>Market Research Data</t>
  </si>
  <si>
    <t>Source</t>
  </si>
  <si>
    <t>Distance from proposed property</t>
  </si>
  <si>
    <t>Flat</t>
  </si>
  <si>
    <t>Net Carpet</t>
  </si>
  <si>
    <t>Saleable Area</t>
  </si>
  <si>
    <t>Rate on Saleable</t>
  </si>
  <si>
    <t>Market Value</t>
  </si>
  <si>
    <t>99 Acres</t>
  </si>
  <si>
    <t>1BHK</t>
  </si>
  <si>
    <t>Magic Brick</t>
  </si>
  <si>
    <t>Average</t>
  </si>
  <si>
    <t xml:space="preserve">Valuation Adopted </t>
  </si>
  <si>
    <t>Particulars</t>
  </si>
  <si>
    <t xml:space="preserve">totaL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</si>
  <si>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</si>
  <si>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</si>
  <si>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</si>
  <si>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</si>
  <si>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</si>
  <si>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</si>
  <si>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</si>
  <si>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</si>
  <si>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</si>
  <si>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</si>
  <si>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</si>
  <si>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</si>
  <si>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</si>
  <si>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</si>
  <si>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</si>
  <si>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</si>
  <si>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</si>
  <si>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</si>
  <si>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</si>
  <si>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</si>
  <si>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</si>
  <si>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</si>
  <si>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</si>
  <si>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</si>
  <si>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Construction details:</t>
  </si>
  <si>
    <t>Ground</t>
  </si>
  <si>
    <t>Podium</t>
  </si>
  <si>
    <t>Floors</t>
  </si>
  <si>
    <t xml:space="preserve">Stage of construction: </t>
  </si>
  <si>
    <t>All work Completed. OC Received.</t>
  </si>
  <si>
    <t>Type of Work</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</si>
  <si>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</si>
  <si>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</si>
  <si>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</si>
  <si>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</si>
  <si>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</si>
  <si>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</si>
  <si>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</si>
  <si>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</si>
  <si>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</si>
  <si>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</si>
  <si>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</si>
  <si>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</si>
  <si>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</si>
  <si>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</si>
  <si>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</si>
  <si>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</si>
  <si>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</si>
  <si>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</si>
  <si>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</si>
  <si>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</si>
  <si>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</si>
  <si>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</si>
  <si>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</si>
  <si>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</si>
  <si>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</si>
  <si>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</si>
  <si>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A Wing: Rehab Flats = 74 &amp; Sale Flats = 47
B Wing: Sale Flats     = 64</t>
  </si>
  <si>
    <r>
      <rPr>
        <sz val="11"/>
        <color rgb="FF231F1F"/>
        <rFont val="Times New Roman"/>
        <family val="1"/>
      </rPr>
      <t xml:space="preserve">SRA/ENG/3035/PS/PL/AP
</t>
    </r>
    <r>
      <rPr>
        <sz val="11"/>
        <color rgb="FF231F1F"/>
        <rFont val="Times New Roman"/>
        <family val="1"/>
      </rPr>
      <t/>
    </r>
  </si>
  <si>
    <t>Valid Up to:
A Wing = Gr.(pt) + Stilt(pt) + 1st to 23rd Floor.
B Wing = Gr.(pt) + Stilt(pt) + 1st to 21st Floor.</t>
  </si>
  <si>
    <t>A &amp; B Wing = Gr. + 1st to 23rd Floor</t>
  </si>
  <si>
    <t>Rehab A Wing = Gr. + 1st to 23rd Floor</t>
  </si>
  <si>
    <t>Sale B Wing = Gr. + 1st to 23rd Floor</t>
  </si>
  <si>
    <t>18000/-</t>
  </si>
  <si>
    <t>2,75,000/-</t>
  </si>
  <si>
    <t>45000/-</t>
  </si>
  <si>
    <t>Gr. + 1st to 23rd Floor</t>
  </si>
  <si>
    <t xml:space="preserve">Maintenance charges </t>
  </si>
  <si>
    <t xml:space="preserve">Society formation charges </t>
  </si>
  <si>
    <t xml:space="preserve">Development charges </t>
  </si>
  <si>
    <t>Projected life : 60 Years After Completion</t>
  </si>
  <si>
    <t>A Wing</t>
  </si>
  <si>
    <t>Contect Details ( Name &amp; Contact No.)</t>
  </si>
  <si>
    <t>Site Meet Person Contect Details ( Name &amp; Contact No.)</t>
  </si>
  <si>
    <t>Location Link</t>
  </si>
  <si>
    <t>https://goo.gl/maps/64XBp7RDjG3UwdXRA</t>
  </si>
  <si>
    <t>15000 to 16500 by viraj 23/12/2023.</t>
  </si>
  <si>
    <t>Office No. 1031, Wing J, Akshar Business Park, Plot No. 03 Sector 25, Near APMC Market,
Vashi, Navi Mumbai, Maharashtra 400703 TEL: 022-46090378/79/80                                                                                                                                                                             E mail : vsjcapf@gmail.com. Web site : www.vsjadon.com</t>
  </si>
  <si>
    <t>19.165578,72.854746</t>
  </si>
  <si>
    <r>
      <rPr>
        <b/>
        <sz val="11"/>
        <color rgb="FF231F1F"/>
        <rFont val="Times New Roman"/>
        <family val="1"/>
      </rPr>
      <t>Latitude &amp; Longitude</t>
    </r>
  </si>
  <si>
    <t>NA</t>
  </si>
  <si>
    <t>Valid Up to:
This C.C is re-endorse for Rehab Wing A and Sale Wing B as per approved amended plans dated 02/02/2021 &amp; further extended upto 22nd upper floor for RCC frame structure only for sale wing B. Plinth CC is granted for rehab wing A-1 for the portion marked A-B-C-D-E-F-G-H-I-J-A on plan at at page no 1001 as per approved amended plans dated 02/02/2021.</t>
  </si>
  <si>
    <r>
      <t xml:space="preserve">Remarks:
1. Sale B Wing = Construction work is in process at the time of Visit. Internal photographs was not allowed.
   Rehab A Wing = Construction work is in process at the time of visit. Internal photos was not allowed.
2. We considered Saleable area as per our Calculation.
3. We considered Carpet area as per Approved Plan.
4. We have considered rate by verifying it from market inquire.
5. Recommended rate should be considered as all inclusive rate if other charges are not mentioned. (Excluding GST &amp; other government Taxes)
6. We have considered Other charges from cost sheet.
7. Car parking is subjected to authentic documentation.
8. We update revised approved plans (on 15/05/2021)
9. Construction percentage are given by considering revised approved no. of floors.
10.Please provide latest approved CC.
11. Recommended Rates/Other Charges of the Property have been revised on 23/12/2023.
12. We have updated CC from MCGM site on 10/09/2025.
12. </t>
    </r>
    <r>
      <rPr>
        <b/>
        <sz val="11"/>
        <color rgb="FFFF0000"/>
        <rFont val="Times New Roman"/>
        <family val="1"/>
      </rPr>
      <t>As per RERA, completion period of project Samarth Tanish is expired on 29/12/2024 but still project is under construction.</t>
    </r>
    <r>
      <rPr>
        <b/>
        <sz val="11"/>
        <color rgb="FF231F1F"/>
        <rFont val="Times New Roman"/>
        <family val="1"/>
      </rPr>
      <t xml:space="preserve">
10. On site, we meet Mr. Akshay Rane (7401028028)</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</si>
</sst>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_);_(* \(#,##0\);_(* &quot;-&quot;??_);_(@_)"/>
    <numFmt numFmtId="166" formatCode="0.0000000"/>
    <numFmt numFmtId="167" formatCode="0.0"/>
  </numFmts>
  <fonts count="26" x14ac:knownFonts="1">
    <font>
      <sz val="10"/>
      <color rgb="FF000000"/>
      <name val="Times New Roman"/>
      <charset val="204"/>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color rgb="FFFF0000"/>
      <name val="Calibri"/>
      <family val="2"/>
      <scheme val="minor"/>
    </font>
    <font>
      <sz val="11"/>
      <color rgb="FFFF0000"/>
      <name val="Calibri"/>
      <family val="2"/>
    </font>
    <font>
      <sz val="10"/>
      <color rgb="FF000000"/>
      <name val="Times New Roman"/>
      <family val="1"/>
    </font>
    <font>
      <b/>
      <sz val="11"/>
      <name val="Times New Roman"/>
      <family val="1"/>
    </font>
    <font>
      <sz val="11"/>
      <name val="Times New Roman"/>
      <family val="1"/>
    </font>
    <font>
      <sz val="11"/>
      <color rgb="FF231F1F"/>
      <name val="Times New Roman"/>
      <family val="1"/>
    </font>
    <font>
      <b/>
      <sz val="11"/>
      <color rgb="FF231F1F"/>
      <name val="Times New Roman"/>
      <family val="1"/>
    </font>
    <font>
      <b/>
      <sz val="14"/>
      <name val="Times New Roman"/>
      <family val="1"/>
    </font>
    <font>
      <b/>
      <sz val="12"/>
      <name val="Times New Roman"/>
      <family val="1"/>
    </font>
    <font>
      <b/>
      <sz val="12"/>
      <color rgb="FF231F1F"/>
      <name val="Times New Roman"/>
      <family val="1"/>
    </font>
    <font>
      <sz val="12"/>
      <color rgb="FF231F1F"/>
      <name val="Times New Roman"/>
      <family val="1"/>
    </font>
    <font>
      <sz val="12"/>
      <name val="Times New Roman"/>
      <family val="1"/>
    </font>
    <font>
      <b/>
      <sz val="10"/>
      <color indexed="8"/>
      <name val="Times New Roman"/>
      <family val="1"/>
    </font>
    <font>
      <b/>
      <sz val="11"/>
      <color indexed="8"/>
      <name val="Times New Roman"/>
      <family val="1"/>
    </font>
    <font>
      <b/>
      <sz val="10"/>
      <color rgb="FF000000"/>
      <name val="Times New Roman"/>
      <family val="1"/>
    </font>
    <font>
      <b/>
      <sz val="14"/>
      <color rgb="FF231F1F"/>
      <name val="Times New Roman"/>
      <family val="1"/>
    </font>
    <font>
      <b/>
      <sz val="11"/>
      <color rgb="FF221F1F"/>
      <name val="Times New Roman"/>
      <family val="1"/>
    </font>
    <font>
      <sz val="12"/>
      <color theme="1"/>
      <name val="Times New Roman"/>
      <family val="1"/>
    </font>
    <font>
      <sz val="11"/>
      <color rgb="FF000000"/>
      <name val="Times New Roman"/>
      <family val="1"/>
    </font>
    <font>
      <u/>
      <sz val="10"/>
      <color theme="10"/>
      <name val="Times New Roman"/>
      <family val="1"/>
    </font>
    <font>
      <b/>
      <sz val="11"/>
      <color rgb="FFFF0000"/>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231F1F"/>
      </left>
      <right/>
      <top style="thin">
        <color rgb="FF231F1F"/>
      </top>
      <bottom style="thin">
        <color rgb="FF231F1F"/>
      </bottom>
      <diagonal/>
    </border>
    <border>
      <left/>
      <right/>
      <top style="thin">
        <color rgb="FF231F1F"/>
      </top>
      <bottom style="thin">
        <color rgb="FF231F1F"/>
      </bottom>
      <diagonal/>
    </border>
    <border>
      <left/>
      <right style="thin">
        <color rgb="FF231F1F"/>
      </right>
      <top style="thin">
        <color rgb="FF231F1F"/>
      </top>
      <bottom style="thin">
        <color rgb="FF231F1F"/>
      </bottom>
      <diagonal/>
    </border>
    <border>
      <left style="thin">
        <color rgb="FF231F1F"/>
      </left>
      <right style="thin">
        <color rgb="FF231F1F"/>
      </right>
      <top style="thin">
        <color rgb="FF231F1F"/>
      </top>
      <bottom style="thin">
        <color rgb="FF231F1F"/>
      </bottom>
      <diagonal/>
    </border>
    <border>
      <left style="thin">
        <color rgb="FF231F1F"/>
      </left>
      <right/>
      <top style="thin">
        <color rgb="FF231F1F"/>
      </top>
      <bottom/>
      <diagonal/>
    </border>
    <border>
      <left/>
      <right/>
      <top style="thin">
        <color rgb="FF231F1F"/>
      </top>
      <bottom/>
      <diagonal/>
    </border>
    <border>
      <left style="thin">
        <color rgb="FF231F1F"/>
      </left>
      <right/>
      <top/>
      <bottom style="thin">
        <color rgb="FF231F1F"/>
      </bottom>
      <diagonal/>
    </border>
    <border>
      <left/>
      <right/>
      <top/>
      <bottom style="thin">
        <color rgb="FF231F1F"/>
      </bottom>
      <diagonal/>
    </border>
    <border>
      <left style="thin">
        <color auto="1"/>
      </left>
      <right/>
      <top style="thin">
        <color rgb="FF231F1F"/>
      </top>
      <bottom style="thin">
        <color rgb="FF231F1F"/>
      </bottom>
      <diagonal/>
    </border>
    <border>
      <left/>
      <right style="thin">
        <color rgb="FF231F1F"/>
      </right>
      <top/>
      <bottom style="thin">
        <color rgb="FF231F1F"/>
      </bottom>
      <diagonal/>
    </border>
    <border>
      <left style="thin">
        <color rgb="FF231F1F"/>
      </left>
      <right style="thin">
        <color rgb="FF231F1F"/>
      </right>
      <top style="thin">
        <color rgb="FF231F1F"/>
      </top>
      <bottom/>
      <diagonal/>
    </border>
    <border>
      <left/>
      <right style="thin">
        <color rgb="FF231F1F"/>
      </right>
      <top style="thin">
        <color rgb="FF231F1F"/>
      </top>
      <bottom/>
      <diagonal/>
    </border>
    <border>
      <left style="thin">
        <color rgb="FF231F1F"/>
      </left>
      <right style="thin">
        <color rgb="FF231F1F"/>
      </right>
      <top/>
      <bottom/>
      <diagonal/>
    </border>
    <border>
      <left style="thin">
        <color rgb="FF231F1F"/>
      </left>
      <right style="thin">
        <color rgb="FF231F1F"/>
      </right>
      <top/>
      <bottom style="thin">
        <color rgb="FF231F1F"/>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indexed="64"/>
      </bottom>
      <diagonal/>
    </border>
    <border>
      <left style="medium">
        <color indexed="64"/>
      </left>
      <right/>
      <top style="thin">
        <color auto="1"/>
      </top>
      <bottom style="thin">
        <color auto="1"/>
      </bottom>
      <diagonal/>
    </border>
  </borders>
  <cellStyleXfs count="7">
    <xf numFmtId="0" fontId="0" fillId="0" borderId="0"/>
    <xf numFmtId="0" fontId="4" fillId="0" borderId="0"/>
    <xf numFmtId="0" fontId="2" fillId="0" borderId="0"/>
    <xf numFmtId="0" fontId="2" fillId="0" borderId="0"/>
    <xf numFmtId="164" fontId="4" fillId="0" borderId="0" applyFont="0" applyFill="0" applyBorder="0" applyAlignment="0" applyProtection="0"/>
    <xf numFmtId="0" fontId="1" fillId="0" borderId="0"/>
    <xf numFmtId="0" fontId="24" fillId="0" borderId="0" applyNumberFormat="0" applyFill="0" applyBorder="0" applyAlignment="0" applyProtection="0"/>
  </cellStyleXfs>
  <cellXfs count="186">
    <xf numFmtId="0" fontId="0" fillId="0" borderId="0" xfId="0" applyFill="1" applyBorder="1" applyAlignment="1">
      <alignment horizontal="left" vertical="top"/>
    </xf>
    <xf numFmtId="0" fontId="2" fillId="0" borderId="0" xfId="3"/>
    <xf numFmtId="0" fontId="3" fillId="2" borderId="1" xfId="3" applyFont="1" applyFill="1" applyBorder="1"/>
    <xf numFmtId="0" fontId="2" fillId="0" borderId="1" xfId="3" applyBorder="1"/>
    <xf numFmtId="0" fontId="2" fillId="0" borderId="0" xfId="3" applyBorder="1"/>
    <xf numFmtId="0" fontId="2" fillId="0" borderId="2" xfId="3" applyBorder="1"/>
    <xf numFmtId="0" fontId="2" fillId="0" borderId="0" xfId="3" applyAlignment="1">
      <alignment wrapText="1"/>
    </xf>
    <xf numFmtId="0" fontId="2" fillId="0" borderId="1" xfId="3" applyBorder="1" applyAlignment="1">
      <alignment wrapText="1"/>
    </xf>
    <xf numFmtId="0" fontId="4" fillId="0" borderId="0" xfId="1"/>
    <xf numFmtId="0" fontId="4" fillId="0" borderId="0" xfId="1" applyFont="1"/>
    <xf numFmtId="0" fontId="2" fillId="0" borderId="0" xfId="2"/>
    <xf numFmtId="0" fontId="3" fillId="0" borderId="1" xfId="2" applyFont="1" applyBorder="1" applyAlignment="1">
      <alignment horizontal="center" vertical="top" wrapText="1"/>
    </xf>
    <xf numFmtId="0" fontId="2" fillId="0" borderId="1" xfId="2" applyBorder="1" applyAlignment="1">
      <alignment horizontal="center" vertical="center"/>
    </xf>
    <xf numFmtId="0" fontId="2" fillId="0" borderId="1" xfId="2" applyBorder="1" applyAlignment="1">
      <alignment horizontal="left" vertical="center"/>
    </xf>
    <xf numFmtId="1" fontId="2" fillId="0" borderId="1" xfId="2" applyNumberFormat="1" applyBorder="1" applyAlignment="1">
      <alignment horizontal="center" vertical="center"/>
    </xf>
    <xf numFmtId="165" fontId="2" fillId="0" borderId="1" xfId="4" applyNumberFormat="1" applyFont="1" applyBorder="1" applyAlignment="1">
      <alignment horizontal="right" vertical="center"/>
    </xf>
    <xf numFmtId="0" fontId="3" fillId="0" borderId="1" xfId="2" applyFont="1" applyBorder="1" applyAlignment="1">
      <alignment horizontal="center" vertical="center"/>
    </xf>
    <xf numFmtId="1" fontId="5" fillId="0" borderId="1" xfId="2" applyNumberFormat="1" applyFont="1" applyBorder="1" applyAlignment="1">
      <alignment horizontal="center" vertical="center"/>
    </xf>
    <xf numFmtId="0" fontId="2" fillId="0" borderId="1" xfId="2" applyFont="1" applyBorder="1" applyAlignment="1">
      <alignment horizontal="center" vertical="center"/>
    </xf>
    <xf numFmtId="0" fontId="4" fillId="0" borderId="1" xfId="1" applyFont="1" applyBorder="1" applyAlignment="1">
      <alignment horizontal="center" vertical="center"/>
    </xf>
    <xf numFmtId="1" fontId="4" fillId="0" borderId="0" xfId="1" applyNumberFormat="1"/>
    <xf numFmtId="0" fontId="6" fillId="0" borderId="0" xfId="1" applyFont="1"/>
    <xf numFmtId="0" fontId="7" fillId="0" borderId="0" xfId="0" applyFont="1" applyFill="1" applyBorder="1" applyAlignment="1">
      <alignment horizontal="left" vertical="top"/>
    </xf>
    <xf numFmtId="0" fontId="7" fillId="2" borderId="0" xfId="0" applyFont="1" applyFill="1" applyBorder="1" applyAlignment="1">
      <alignment horizontal="left" vertical="top"/>
    </xf>
    <xf numFmtId="0" fontId="0" fillId="2" borderId="0" xfId="0" applyFill="1" applyBorder="1" applyAlignment="1">
      <alignment horizontal="left" vertical="top"/>
    </xf>
    <xf numFmtId="0" fontId="0" fillId="0" borderId="0" xfId="0" applyFill="1" applyBorder="1" applyAlignment="1">
      <alignment horizontal="center" vertical="top"/>
    </xf>
    <xf numFmtId="0" fontId="9" fillId="0" borderId="3" xfId="0" applyFont="1" applyFill="1" applyBorder="1" applyAlignment="1">
      <alignment horizontal="left" vertical="top" wrapText="1"/>
    </xf>
    <xf numFmtId="0" fontId="10" fillId="0" borderId="6" xfId="0" applyFont="1" applyFill="1" applyBorder="1" applyAlignment="1">
      <alignment horizontal="left" vertical="top" wrapText="1"/>
    </xf>
    <xf numFmtId="0" fontId="9" fillId="0" borderId="6" xfId="0" applyFont="1" applyFill="1" applyBorder="1" applyAlignment="1">
      <alignment horizontal="left" vertical="top" wrapText="1"/>
    </xf>
    <xf numFmtId="0" fontId="10" fillId="0" borderId="6"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6" xfId="0" applyFont="1" applyFill="1" applyBorder="1" applyAlignment="1">
      <alignment horizontal="center" vertical="top" wrapText="1"/>
    </xf>
    <xf numFmtId="0" fontId="9" fillId="0" borderId="3" xfId="0" applyFont="1" applyFill="1" applyBorder="1" applyAlignment="1">
      <alignment horizontal="left" vertical="top" wrapText="1" indent="4"/>
    </xf>
    <xf numFmtId="1" fontId="10" fillId="0" borderId="3" xfId="0" applyNumberFormat="1" applyFont="1" applyFill="1" applyBorder="1" applyAlignment="1">
      <alignment horizontal="center" vertical="top" shrinkToFit="1"/>
    </xf>
    <xf numFmtId="0" fontId="10" fillId="0" borderId="1" xfId="0" applyFont="1" applyFill="1" applyBorder="1" applyAlignment="1">
      <alignment vertical="top" wrapText="1"/>
    </xf>
    <xf numFmtId="0" fontId="13"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14" fillId="0" borderId="6" xfId="0" applyFont="1" applyFill="1" applyBorder="1" applyAlignment="1">
      <alignment horizontal="left" vertical="top" wrapText="1" indent="1"/>
    </xf>
    <xf numFmtId="1" fontId="15" fillId="0" borderId="6" xfId="0" applyNumberFormat="1" applyFont="1" applyFill="1" applyBorder="1" applyAlignment="1">
      <alignment horizontal="center" vertical="top" shrinkToFit="1"/>
    </xf>
    <xf numFmtId="0" fontId="16" fillId="0" borderId="6" xfId="0" applyFont="1" applyFill="1" applyBorder="1" applyAlignment="1">
      <alignment horizontal="center" vertical="top" wrapText="1"/>
    </xf>
    <xf numFmtId="0" fontId="17" fillId="0" borderId="0" xfId="0" applyFont="1" applyBorder="1" applyAlignment="1">
      <alignment vertical="top"/>
    </xf>
    <xf numFmtId="0" fontId="18" fillId="0" borderId="0" xfId="0" applyFont="1" applyBorder="1" applyAlignment="1">
      <alignment vertical="top" wrapText="1"/>
    </xf>
    <xf numFmtId="0" fontId="18" fillId="0" borderId="0" xfId="0" applyFont="1" applyBorder="1" applyAlignment="1">
      <alignment vertical="top"/>
    </xf>
    <xf numFmtId="0" fontId="19" fillId="0" borderId="0" xfId="0" applyFont="1" applyFill="1" applyBorder="1" applyAlignment="1">
      <alignment horizontal="left" vertical="top"/>
    </xf>
    <xf numFmtId="0" fontId="22" fillId="0" borderId="22" xfId="5" applyFont="1" applyFill="1" applyBorder="1" applyProtection="1">
      <protection hidden="1"/>
    </xf>
    <xf numFmtId="0" fontId="22" fillId="0" borderId="23" xfId="5" applyFont="1" applyBorder="1" applyProtection="1">
      <protection hidden="1"/>
    </xf>
    <xf numFmtId="0" fontId="16" fillId="0" borderId="1" xfId="5" applyFont="1" applyFill="1" applyBorder="1" applyAlignment="1" applyProtection="1">
      <alignment horizontal="center" vertical="top"/>
      <protection locked="0"/>
    </xf>
    <xf numFmtId="0" fontId="16" fillId="0" borderId="25" xfId="5" applyFont="1" applyFill="1" applyBorder="1" applyAlignment="1" applyProtection="1">
      <alignment horizontal="center" vertical="top"/>
      <protection locked="0"/>
    </xf>
    <xf numFmtId="0" fontId="22" fillId="0" borderId="0" xfId="5" applyFont="1" applyFill="1" applyBorder="1" applyProtection="1">
      <protection hidden="1"/>
    </xf>
    <xf numFmtId="0" fontId="22" fillId="0" borderId="26" xfId="5" applyFont="1" applyBorder="1" applyProtection="1">
      <protection hidden="1"/>
    </xf>
    <xf numFmtId="0" fontId="23" fillId="0" borderId="0" xfId="0" applyFont="1" applyFill="1" applyBorder="1" applyProtection="1">
      <protection hidden="1"/>
    </xf>
    <xf numFmtId="0" fontId="23" fillId="0" borderId="26" xfId="0" applyNumberFormat="1" applyFont="1" applyBorder="1" applyProtection="1">
      <protection hidden="1"/>
    </xf>
    <xf numFmtId="1" fontId="0" fillId="0" borderId="26" xfId="0" applyNumberFormat="1" applyBorder="1"/>
    <xf numFmtId="1" fontId="0" fillId="0" borderId="26" xfId="0" applyNumberFormat="1" applyBorder="1" applyAlignment="1">
      <alignment horizontal="right"/>
    </xf>
    <xf numFmtId="0" fontId="23" fillId="0" borderId="27" xfId="0" applyFont="1" applyFill="1" applyBorder="1" applyProtection="1">
      <protection hidden="1"/>
    </xf>
    <xf numFmtId="1" fontId="0" fillId="0" borderId="28" xfId="0" applyNumberFormat="1" applyBorder="1"/>
    <xf numFmtId="0" fontId="16" fillId="0" borderId="25" xfId="5" applyFont="1" applyFill="1" applyBorder="1" applyAlignment="1" applyProtection="1">
      <alignment horizontal="center" vertical="center" wrapText="1"/>
      <protection locked="0"/>
    </xf>
    <xf numFmtId="0" fontId="16" fillId="0" borderId="1" xfId="5" applyFont="1" applyBorder="1" applyAlignment="1" applyProtection="1">
      <alignment horizontal="center" wrapText="1"/>
      <protection locked="0"/>
    </xf>
    <xf numFmtId="1" fontId="16" fillId="0" borderId="1" xfId="5" applyNumberFormat="1" applyFont="1" applyBorder="1" applyAlignment="1" applyProtection="1">
      <alignment horizontal="center" wrapText="1"/>
      <protection locked="0"/>
    </xf>
    <xf numFmtId="0" fontId="22" fillId="0" borderId="0" xfId="5" applyFont="1" applyFill="1" applyBorder="1" applyAlignment="1" applyProtection="1">
      <protection hidden="1"/>
    </xf>
    <xf numFmtId="0" fontId="22" fillId="0" borderId="26" xfId="5" applyFont="1" applyBorder="1" applyAlignment="1" applyProtection="1">
      <protection hidden="1"/>
    </xf>
    <xf numFmtId="0" fontId="0" fillId="0" borderId="0" xfId="0" applyFill="1" applyBorder="1" applyAlignment="1">
      <alignment vertical="top"/>
    </xf>
    <xf numFmtId="0" fontId="16" fillId="0" borderId="1" xfId="5" applyFont="1" applyBorder="1" applyAlignment="1" applyProtection="1">
      <alignment horizontal="center" vertical="center" wrapText="1"/>
      <protection locked="0"/>
    </xf>
    <xf numFmtId="0" fontId="23" fillId="0" borderId="0" xfId="0" applyFont="1" applyFill="1" applyBorder="1" applyAlignment="1" applyProtection="1">
      <alignment vertical="center"/>
      <protection hidden="1"/>
    </xf>
    <xf numFmtId="0" fontId="22" fillId="0" borderId="26" xfId="5" applyFont="1" applyBorder="1" applyAlignment="1">
      <alignment vertical="center"/>
    </xf>
    <xf numFmtId="0" fontId="0" fillId="0" borderId="0" xfId="0" applyFill="1" applyBorder="1" applyAlignment="1">
      <alignment horizontal="left" vertical="center"/>
    </xf>
    <xf numFmtId="0" fontId="16" fillId="0" borderId="1" xfId="5" applyFont="1" applyFill="1" applyBorder="1" applyAlignment="1" applyProtection="1">
      <alignment horizontal="center" vertical="center"/>
      <protection locked="0"/>
    </xf>
    <xf numFmtId="0" fontId="16" fillId="0" borderId="1" xfId="5" applyFont="1" applyFill="1" applyBorder="1" applyAlignment="1" applyProtection="1">
      <alignment horizontal="center" vertical="center" wrapText="1"/>
      <protection locked="0"/>
    </xf>
    <xf numFmtId="9" fontId="16" fillId="3" borderId="1" xfId="5" applyNumberFormat="1" applyFont="1" applyFill="1" applyBorder="1" applyAlignment="1" applyProtection="1">
      <alignment horizontal="center" vertical="center" wrapText="1"/>
      <protection hidden="1"/>
    </xf>
    <xf numFmtId="0" fontId="9" fillId="0" borderId="1" xfId="0" applyFont="1" applyFill="1" applyBorder="1" applyAlignment="1">
      <alignment horizontal="left" vertical="top" wrapText="1"/>
    </xf>
    <xf numFmtId="0" fontId="16" fillId="0" borderId="1" xfId="5" applyFont="1" applyFill="1" applyBorder="1" applyAlignment="1" applyProtection="1">
      <alignment horizontal="center" vertical="top"/>
      <protection locked="0"/>
    </xf>
    <xf numFmtId="1" fontId="15" fillId="0" borderId="13" xfId="0" applyNumberFormat="1" applyFont="1" applyFill="1" applyBorder="1" applyAlignment="1">
      <alignment horizontal="center" vertical="top" shrinkToFit="1"/>
    </xf>
    <xf numFmtId="0" fontId="16" fillId="0" borderId="13" xfId="0" applyFont="1" applyFill="1" applyBorder="1" applyAlignment="1">
      <alignment horizontal="center" vertical="top" wrapText="1"/>
    </xf>
    <xf numFmtId="1" fontId="15" fillId="0" borderId="1" xfId="0" applyNumberFormat="1" applyFont="1" applyFill="1" applyBorder="1" applyAlignment="1">
      <alignment horizontal="center" vertical="top" shrinkToFit="1"/>
    </xf>
    <xf numFmtId="0" fontId="16"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0" borderId="13" xfId="0" applyFont="1" applyFill="1" applyBorder="1" applyAlignment="1">
      <alignment horizontal="center" vertical="top" wrapText="1"/>
    </xf>
    <xf numFmtId="0" fontId="9"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19" fillId="0" borderId="3" xfId="0" applyFont="1" applyFill="1" applyBorder="1" applyAlignment="1">
      <alignment horizontal="center" vertical="top" wrapText="1"/>
    </xf>
    <xf numFmtId="0" fontId="19" fillId="0" borderId="4" xfId="0" applyFont="1" applyFill="1" applyBorder="1" applyAlignment="1">
      <alignment horizontal="center" vertical="top" wrapText="1"/>
    </xf>
    <xf numFmtId="0" fontId="19" fillId="0" borderId="5"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5" xfId="0" applyFont="1" applyFill="1" applyBorder="1" applyAlignment="1">
      <alignment horizontal="center"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4" fontId="10" fillId="0" borderId="3" xfId="0" applyNumberFormat="1" applyFont="1" applyFill="1" applyBorder="1" applyAlignment="1">
      <alignment horizontal="left" vertical="top" wrapText="1"/>
    </xf>
    <xf numFmtId="14" fontId="9" fillId="0" borderId="4" xfId="0" applyNumberFormat="1" applyFont="1" applyFill="1" applyBorder="1" applyAlignment="1">
      <alignment horizontal="left" vertical="top" wrapText="1"/>
    </xf>
    <xf numFmtId="14" fontId="9" fillId="0" borderId="5" xfId="0" applyNumberFormat="1" applyFont="1" applyFill="1" applyBorder="1" applyAlignment="1">
      <alignment horizontal="left" vertical="top" wrapText="1"/>
    </xf>
    <xf numFmtId="0" fontId="9" fillId="0" borderId="5" xfId="0" applyFont="1" applyFill="1" applyBorder="1" applyAlignment="1">
      <alignment horizontal="left" vertical="top" wrapText="1"/>
    </xf>
    <xf numFmtId="0" fontId="11"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10" fillId="0" borderId="3" xfId="0" applyFont="1" applyFill="1" applyBorder="1" applyAlignment="1">
      <alignment horizontal="left" vertical="top" wrapText="1"/>
    </xf>
    <xf numFmtId="1" fontId="10" fillId="0" borderId="3" xfId="0" applyNumberFormat="1" applyFont="1" applyFill="1" applyBorder="1" applyAlignment="1">
      <alignment horizontal="left" vertical="top" shrinkToFit="1"/>
    </xf>
    <xf numFmtId="1" fontId="10" fillId="0" borderId="4" xfId="0" applyNumberFormat="1" applyFont="1" applyFill="1" applyBorder="1" applyAlignment="1">
      <alignment horizontal="left" vertical="top" shrinkToFit="1"/>
    </xf>
    <xf numFmtId="1" fontId="10" fillId="0" borderId="5" xfId="0" applyNumberFormat="1" applyFont="1" applyFill="1" applyBorder="1" applyAlignment="1">
      <alignment horizontal="left" vertical="top" shrinkToFit="1"/>
    </xf>
    <xf numFmtId="0" fontId="10" fillId="0" borderId="3" xfId="0" applyFont="1" applyFill="1" applyBorder="1" applyAlignment="1">
      <alignment horizontal="left" vertical="top"/>
    </xf>
    <xf numFmtId="0" fontId="9" fillId="0" borderId="4" xfId="0" applyFont="1" applyFill="1" applyBorder="1" applyAlignment="1">
      <alignment horizontal="left" vertical="top"/>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3" xfId="0" applyFill="1" applyBorder="1" applyAlignment="1">
      <alignment horizontal="left" vertical="top" wrapText="1"/>
    </xf>
    <xf numFmtId="0" fontId="9" fillId="0" borderId="3" xfId="0" applyFont="1" applyFill="1" applyBorder="1" applyAlignment="1">
      <alignment horizontal="left" vertical="top" wrapText="1" indent="3"/>
    </xf>
    <xf numFmtId="0" fontId="9" fillId="0" borderId="5" xfId="0" applyFont="1" applyFill="1" applyBorder="1" applyAlignment="1">
      <alignment horizontal="left" vertical="top" wrapText="1" indent="3"/>
    </xf>
    <xf numFmtId="0" fontId="9" fillId="0" borderId="3" xfId="0" applyFont="1" applyFill="1" applyBorder="1" applyAlignment="1">
      <alignment horizontal="center" vertical="top" wrapText="1"/>
    </xf>
    <xf numFmtId="0" fontId="9" fillId="0" borderId="5" xfId="0" applyFont="1" applyFill="1" applyBorder="1" applyAlignment="1">
      <alignment horizontal="center" vertical="top" wrapText="1"/>
    </xf>
    <xf numFmtId="0" fontId="8" fillId="0" borderId="3"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4" xfId="0" applyFont="1" applyFill="1" applyBorder="1" applyAlignment="1">
      <alignment horizontal="left" vertical="top" wrapText="1"/>
    </xf>
    <xf numFmtId="0" fontId="0" fillId="0" borderId="1" xfId="0" applyFill="1" applyBorder="1" applyAlignment="1">
      <alignment horizontal="left" vertical="top" wrapText="1"/>
    </xf>
    <xf numFmtId="0" fontId="9" fillId="0" borderId="1" xfId="0" applyFont="1" applyFill="1" applyBorder="1" applyAlignment="1">
      <alignment horizontal="center" vertical="top" wrapText="1"/>
    </xf>
    <xf numFmtId="0" fontId="9" fillId="0" borderId="1" xfId="0" applyFont="1" applyFill="1" applyBorder="1" applyAlignment="1">
      <alignment horizontal="left" vertical="top" wrapText="1" indent="5"/>
    </xf>
    <xf numFmtId="166" fontId="10" fillId="0" borderId="3" xfId="0" applyNumberFormat="1" applyFont="1" applyFill="1" applyBorder="1" applyAlignment="1">
      <alignment horizontal="left" vertical="top" shrinkToFit="1"/>
    </xf>
    <xf numFmtId="166" fontId="10" fillId="0" borderId="4" xfId="0" applyNumberFormat="1" applyFont="1" applyFill="1" applyBorder="1" applyAlignment="1">
      <alignment horizontal="left" vertical="top" shrinkToFit="1"/>
    </xf>
    <xf numFmtId="166" fontId="10" fillId="0" borderId="5" xfId="0" applyNumberFormat="1" applyFont="1" applyFill="1" applyBorder="1" applyAlignment="1">
      <alignment horizontal="left" vertical="top" shrinkToFit="1"/>
    </xf>
    <xf numFmtId="166" fontId="24" fillId="0" borderId="3" xfId="6" applyNumberFormat="1" applyFill="1" applyBorder="1" applyAlignment="1">
      <alignment horizontal="left" vertical="top" shrinkToFit="1"/>
    </xf>
    <xf numFmtId="0" fontId="9" fillId="0" borderId="1" xfId="0" applyFont="1" applyFill="1" applyBorder="1" applyAlignment="1">
      <alignment horizontal="left" vertical="top" wrapText="1"/>
    </xf>
    <xf numFmtId="1" fontId="10" fillId="0" borderId="1" xfId="0" applyNumberFormat="1" applyFont="1" applyFill="1" applyBorder="1" applyAlignment="1">
      <alignment horizontal="center" vertical="top" shrinkToFit="1"/>
    </xf>
    <xf numFmtId="167" fontId="10" fillId="0" borderId="1" xfId="0" applyNumberFormat="1" applyFont="1" applyFill="1" applyBorder="1" applyAlignment="1">
      <alignment horizontal="center" vertical="top" shrinkToFit="1"/>
    </xf>
    <xf numFmtId="0" fontId="8" fillId="0"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2" xfId="0" applyFont="1" applyFill="1" applyBorder="1" applyAlignment="1">
      <alignment horizontal="left" vertical="top" wrapText="1"/>
    </xf>
    <xf numFmtId="0" fontId="13" fillId="0" borderId="17" xfId="5" applyFont="1" applyFill="1" applyBorder="1" applyAlignment="1" applyProtection="1">
      <alignment horizontal="left" vertical="top" wrapText="1"/>
      <protection locked="0"/>
    </xf>
    <xf numFmtId="0" fontId="13" fillId="0" borderId="18" xfId="5" applyFont="1" applyFill="1" applyBorder="1" applyAlignment="1" applyProtection="1">
      <alignment horizontal="left" vertical="top" wrapText="1"/>
      <protection locked="0"/>
    </xf>
    <xf numFmtId="0" fontId="13" fillId="0" borderId="19" xfId="5" applyFont="1" applyFill="1" applyBorder="1" applyAlignment="1" applyProtection="1">
      <alignment horizontal="left" vertical="top" wrapText="1"/>
      <protection locked="0"/>
    </xf>
    <xf numFmtId="0" fontId="13" fillId="0" borderId="20" xfId="5" applyFont="1" applyFill="1" applyBorder="1" applyAlignment="1" applyProtection="1">
      <alignment horizontal="left" vertical="top" wrapText="1"/>
      <protection locked="0"/>
    </xf>
    <xf numFmtId="0" fontId="13" fillId="0" borderId="21" xfId="5" applyFont="1" applyFill="1" applyBorder="1" applyAlignment="1" applyProtection="1">
      <alignment horizontal="left" vertical="top" wrapText="1"/>
      <protection locked="0"/>
    </xf>
    <xf numFmtId="0" fontId="13" fillId="0" borderId="24" xfId="5" applyFont="1" applyFill="1" applyBorder="1" applyAlignment="1" applyProtection="1">
      <alignment vertical="top"/>
      <protection locked="0"/>
    </xf>
    <xf numFmtId="0" fontId="13" fillId="0" borderId="1" xfId="5" applyFont="1" applyFill="1" applyBorder="1" applyAlignment="1" applyProtection="1">
      <alignment vertical="top"/>
      <protection locked="0"/>
    </xf>
    <xf numFmtId="0" fontId="16" fillId="0" borderId="24" xfId="5" applyFont="1" applyFill="1" applyBorder="1" applyAlignment="1" applyProtection="1">
      <alignment horizontal="center" vertical="center" wrapText="1"/>
      <protection locked="0"/>
    </xf>
    <xf numFmtId="0" fontId="16" fillId="0" borderId="1" xfId="5" applyFont="1" applyFill="1" applyBorder="1" applyAlignment="1" applyProtection="1">
      <alignment horizontal="center" vertical="center" wrapText="1"/>
      <protection locked="0"/>
    </xf>
    <xf numFmtId="0" fontId="16" fillId="0" borderId="1" xfId="5" applyFont="1" applyFill="1" applyBorder="1" applyAlignment="1" applyProtection="1">
      <alignment horizontal="center" vertical="top" wrapText="1"/>
      <protection locked="0"/>
    </xf>
    <xf numFmtId="9" fontId="16" fillId="3" borderId="1" xfId="5" applyNumberFormat="1" applyFont="1" applyFill="1" applyBorder="1" applyAlignment="1" applyProtection="1">
      <alignment horizontal="center" vertical="center" wrapText="1"/>
      <protection hidden="1"/>
    </xf>
    <xf numFmtId="0" fontId="16" fillId="0" borderId="33" xfId="5" applyFont="1" applyFill="1" applyBorder="1" applyAlignment="1" applyProtection="1">
      <alignment horizontal="center" vertical="top"/>
      <protection locked="0"/>
    </xf>
    <xf numFmtId="0" fontId="16" fillId="0" borderId="30" xfId="5" applyFont="1" applyFill="1" applyBorder="1" applyAlignment="1" applyProtection="1">
      <alignment horizontal="center" vertical="top"/>
      <protection locked="0"/>
    </xf>
    <xf numFmtId="0" fontId="13" fillId="0" borderId="29" xfId="5" applyFont="1" applyFill="1" applyBorder="1" applyAlignment="1" applyProtection="1">
      <alignment vertical="top" wrapText="1"/>
      <protection locked="0"/>
    </xf>
    <xf numFmtId="0" fontId="13" fillId="0" borderId="31" xfId="5" applyFont="1" applyFill="1" applyBorder="1" applyAlignment="1" applyProtection="1">
      <alignment vertical="top" wrapText="1"/>
      <protection locked="0"/>
    </xf>
    <xf numFmtId="0" fontId="13" fillId="0" borderId="32" xfId="5" applyFont="1" applyFill="1" applyBorder="1" applyAlignment="1" applyProtection="1">
      <alignment vertical="top" wrapText="1"/>
      <protection locked="0"/>
    </xf>
    <xf numFmtId="0" fontId="13" fillId="0" borderId="1" xfId="5" applyFont="1" applyFill="1" applyBorder="1" applyAlignment="1" applyProtection="1">
      <alignment horizontal="left" vertical="top" wrapText="1"/>
      <protection locked="0"/>
    </xf>
    <xf numFmtId="0" fontId="16" fillId="0" borderId="1" xfId="5" applyFont="1" applyFill="1" applyBorder="1" applyAlignment="1" applyProtection="1">
      <alignment horizontal="center" vertical="top"/>
      <protection locked="0"/>
    </xf>
    <xf numFmtId="1" fontId="11" fillId="0" borderId="3" xfId="0" applyNumberFormat="1" applyFont="1" applyFill="1" applyBorder="1" applyAlignment="1">
      <alignment horizontal="left" vertical="top" shrinkToFit="1"/>
    </xf>
    <xf numFmtId="1" fontId="11" fillId="0" borderId="5" xfId="0" applyNumberFormat="1" applyFont="1" applyFill="1" applyBorder="1" applyAlignment="1">
      <alignment horizontal="left" vertical="top" shrinkToFit="1"/>
    </xf>
    <xf numFmtId="0" fontId="7" fillId="2" borderId="0" xfId="0" applyFont="1" applyFill="1" applyBorder="1" applyAlignment="1">
      <alignment horizontal="left" vertical="top"/>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5" xfId="0" applyFont="1" applyFill="1" applyBorder="1" applyAlignment="1">
      <alignment horizontal="center" vertical="top" wrapText="1"/>
    </xf>
    <xf numFmtId="0" fontId="13" fillId="0" borderId="3" xfId="0" applyFont="1" applyFill="1" applyBorder="1" applyAlignment="1">
      <alignment horizontal="left" vertical="top" wrapText="1" indent="4"/>
    </xf>
    <xf numFmtId="0" fontId="13" fillId="0" borderId="5" xfId="0" applyFont="1" applyFill="1" applyBorder="1" applyAlignment="1">
      <alignment horizontal="left" vertical="top" wrapText="1" indent="4"/>
    </xf>
    <xf numFmtId="0" fontId="13" fillId="0" borderId="3" xfId="0"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5"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1" xfId="0" applyFont="1" applyFill="1" applyBorder="1" applyAlignment="1">
      <alignment horizontal="center" vertical="top" wrapText="1"/>
    </xf>
    <xf numFmtId="0" fontId="13" fillId="0" borderId="1" xfId="0" applyFont="1" applyFill="1" applyBorder="1" applyAlignment="1">
      <alignment horizontal="center" vertical="top" wrapText="1"/>
    </xf>
    <xf numFmtId="0" fontId="15" fillId="0" borderId="1" xfId="0" applyFont="1" applyFill="1" applyBorder="1" applyAlignment="1">
      <alignment horizontal="center" vertical="top" wrapText="1"/>
    </xf>
    <xf numFmtId="0" fontId="16" fillId="0" borderId="1" xfId="0" applyFont="1" applyFill="1" applyBorder="1" applyAlignment="1">
      <alignment horizontal="center" vertical="top" wrapText="1"/>
    </xf>
    <xf numFmtId="0" fontId="14" fillId="0" borderId="9" xfId="0" applyFont="1" applyFill="1" applyBorder="1" applyAlignment="1">
      <alignment horizontal="center" vertical="top" wrapText="1"/>
    </xf>
    <xf numFmtId="0" fontId="13" fillId="0" borderId="10" xfId="0" applyFont="1" applyFill="1" applyBorder="1" applyAlignment="1">
      <alignment horizontal="center" vertical="top" wrapText="1"/>
    </xf>
    <xf numFmtId="0" fontId="13" fillId="0" borderId="12" xfId="0" applyFont="1" applyFill="1" applyBorder="1" applyAlignment="1">
      <alignment horizontal="center" vertical="top" wrapText="1"/>
    </xf>
    <xf numFmtId="0" fontId="16" fillId="0" borderId="3" xfId="0" applyFont="1" applyFill="1" applyBorder="1" applyAlignment="1">
      <alignment horizontal="center" vertical="top" wrapText="1"/>
    </xf>
    <xf numFmtId="0" fontId="16" fillId="0" borderId="4" xfId="0" applyFont="1" applyFill="1" applyBorder="1" applyAlignment="1">
      <alignment horizontal="center" vertical="top" wrapText="1"/>
    </xf>
    <xf numFmtId="0" fontId="13" fillId="0" borderId="9" xfId="0" applyFont="1" applyFill="1" applyBorder="1" applyAlignment="1">
      <alignment horizontal="center" vertical="top" wrapText="1"/>
    </xf>
    <xf numFmtId="0" fontId="11" fillId="0" borderId="1" xfId="0" applyFont="1" applyFill="1" applyBorder="1" applyAlignment="1">
      <alignment horizontal="left" vertical="top"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0" borderId="1" xfId="5" applyFont="1" applyFill="1" applyBorder="1" applyAlignment="1" applyProtection="1">
      <alignment vertical="top" wrapText="1"/>
      <protection locked="0"/>
    </xf>
    <xf numFmtId="0" fontId="11" fillId="0" borderId="9" xfId="0" applyFont="1" applyFill="1" applyBorder="1" applyAlignment="1">
      <alignment horizontal="left" vertical="top" wrapText="1"/>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7" fillId="0" borderId="1" xfId="0" applyFont="1" applyFill="1" applyBorder="1" applyAlignment="1">
      <alignment horizontal="left" vertical="top" wrapText="1"/>
    </xf>
    <xf numFmtId="14" fontId="9" fillId="0" borderId="1" xfId="0" applyNumberFormat="1"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12" xfId="0" applyFont="1" applyFill="1" applyBorder="1" applyAlignment="1">
      <alignment horizontal="left" vertical="top" wrapText="1"/>
    </xf>
    <xf numFmtId="1" fontId="10" fillId="0" borderId="11" xfId="0" applyNumberFormat="1" applyFont="1" applyFill="1" applyBorder="1" applyAlignment="1">
      <alignment horizontal="left" vertical="top" wrapText="1" shrinkToFit="1"/>
    </xf>
    <xf numFmtId="0" fontId="3" fillId="0" borderId="1" xfId="2" applyFont="1" applyBorder="1" applyAlignment="1">
      <alignment horizontal="left"/>
    </xf>
    <xf numFmtId="14" fontId="10" fillId="0" borderId="1" xfId="0" applyNumberFormat="1" applyFont="1" applyFill="1" applyBorder="1" applyAlignment="1">
      <alignment horizontal="left" vertical="top" wrapText="1"/>
    </xf>
  </cellXfs>
  <cellStyles count="7">
    <cellStyle name="Comma 2" xfId="4"/>
    <cellStyle name="Excel Built-in Normal 2" xfId="1"/>
    <cellStyle name="Hyperlink" xfId="6" builtinId="8"/>
    <cellStyle name="Normal" xfId="0" builtinId="0"/>
    <cellStyle name="Normal 2" xfId="3"/>
    <cellStyle name="Normal 3" xfId="5"/>
    <cellStyle name="Normal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image" Target="../media/image15.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318</xdr:row>
      <xdr:rowOff>0</xdr:rowOff>
    </xdr:from>
    <xdr:to>
      <xdr:col>6</xdr:col>
      <xdr:colOff>322299</xdr:colOff>
      <xdr:row>337</xdr:row>
      <xdr:rowOff>123826</xdr:rowOff>
    </xdr:to>
    <xdr:pic>
      <xdr:nvPicPr>
        <xdr:cNvPr id="16" name="Picture 1">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a:xfrm>
          <a:off x="495300" y="58871485"/>
          <a:ext cx="4826000" cy="3200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485775</xdr:colOff>
      <xdr:row>338</xdr:row>
      <xdr:rowOff>65208</xdr:rowOff>
    </xdr:from>
    <xdr:to>
      <xdr:col>6</xdr:col>
      <xdr:colOff>312774</xdr:colOff>
      <xdr:row>358</xdr:row>
      <xdr:rowOff>84257</xdr:rowOff>
    </xdr:to>
    <xdr:pic>
      <xdr:nvPicPr>
        <xdr:cNvPr id="17" name="Picture 2">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a:xfrm>
          <a:off x="485775" y="62996150"/>
          <a:ext cx="4831287" cy="32428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10</xdr:col>
      <xdr:colOff>31750</xdr:colOff>
      <xdr:row>240</xdr:row>
      <xdr:rowOff>101600</xdr:rowOff>
    </xdr:from>
    <xdr:ext cx="991105" cy="264560"/>
    <xdr:sp macro="" textlink="">
      <xdr:nvSpPr>
        <xdr:cNvPr id="3" name="TextBox 2"/>
        <xdr:cNvSpPr txBox="1"/>
      </xdr:nvSpPr>
      <xdr:spPr>
        <a:xfrm>
          <a:off x="8807450" y="53098700"/>
          <a:ext cx="99110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Rehab</a:t>
          </a:r>
          <a:r>
            <a:rPr lang="en-IN" sz="1100" b="0" cap="none" spc="0" baseline="0">
              <a:ln w="0"/>
              <a:solidFill>
                <a:sysClr val="windowText" lastClr="000000"/>
              </a:solidFill>
              <a:effectLst>
                <a:outerShdw blurRad="38100" dist="25400" dir="5400000" algn="ctr" rotWithShape="0">
                  <a:srgbClr val="6E747A">
                    <a:alpha val="43000"/>
                  </a:srgbClr>
                </a:outerShdw>
              </a:effectLst>
            </a:rPr>
            <a:t> </a:t>
          </a:r>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oneCellAnchor>
    <xdr:from>
      <xdr:col>10</xdr:col>
      <xdr:colOff>476250</xdr:colOff>
      <xdr:row>232</xdr:row>
      <xdr:rowOff>25400</xdr:rowOff>
    </xdr:from>
    <xdr:ext cx="991105" cy="264560"/>
    <xdr:sp macro="" textlink="">
      <xdr:nvSpPr>
        <xdr:cNvPr id="24" name="TextBox 23"/>
        <xdr:cNvSpPr txBox="1"/>
      </xdr:nvSpPr>
      <xdr:spPr>
        <a:xfrm>
          <a:off x="8372475" y="52327175"/>
          <a:ext cx="99110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Rehab</a:t>
          </a:r>
          <a:r>
            <a:rPr lang="en-IN" sz="1100" b="0" cap="none" spc="0" baseline="0">
              <a:ln w="0"/>
              <a:solidFill>
                <a:sysClr val="windowText" lastClr="000000"/>
              </a:solidFill>
              <a:effectLst>
                <a:outerShdw blurRad="38100" dist="25400" dir="5400000" algn="ctr" rotWithShape="0">
                  <a:srgbClr val="6E747A">
                    <a:alpha val="43000"/>
                  </a:srgbClr>
                </a:outerShdw>
              </a:effectLst>
            </a:rPr>
            <a:t> </a:t>
          </a:r>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oneCellAnchor>
    <xdr:from>
      <xdr:col>14</xdr:col>
      <xdr:colOff>92075</xdr:colOff>
      <xdr:row>232</xdr:row>
      <xdr:rowOff>127000</xdr:rowOff>
    </xdr:from>
    <xdr:ext cx="858568" cy="264560"/>
    <xdr:sp macro="" textlink="">
      <xdr:nvSpPr>
        <xdr:cNvPr id="25" name="TextBox 24"/>
        <xdr:cNvSpPr txBox="1"/>
      </xdr:nvSpPr>
      <xdr:spPr>
        <a:xfrm>
          <a:off x="10045700" y="52428775"/>
          <a:ext cx="8585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Sale B Wing</a:t>
          </a:r>
        </a:p>
      </xdr:txBody>
    </xdr:sp>
    <xdr:clientData/>
  </xdr:oneCellAnchor>
  <xdr:twoCellAnchor>
    <xdr:from>
      <xdr:col>0</xdr:col>
      <xdr:colOff>466724</xdr:colOff>
      <xdr:row>230</xdr:row>
      <xdr:rowOff>19050</xdr:rowOff>
    </xdr:from>
    <xdr:to>
      <xdr:col>6</xdr:col>
      <xdr:colOff>666750</xdr:colOff>
      <xdr:row>315</xdr:row>
      <xdr:rowOff>35925</xdr:rowOff>
    </xdr:to>
    <xdr:grpSp>
      <xdr:nvGrpSpPr>
        <xdr:cNvPr id="4" name="Group 3"/>
        <xdr:cNvGrpSpPr/>
      </xdr:nvGrpSpPr>
      <xdr:grpSpPr>
        <a:xfrm>
          <a:off x="466724" y="52349400"/>
          <a:ext cx="5181601" cy="7465425"/>
          <a:chOff x="466724" y="51996975"/>
          <a:chExt cx="5181601" cy="7465425"/>
        </a:xfrm>
      </xdr:grpSpPr>
      <xdr:pic>
        <xdr:nvPicPr>
          <xdr:cNvPr id="20" name="Picture 19" descr="https://vsjcllp.vsjadon.com/upload/insp-246789-1525.jpe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3105150" y="57773300"/>
            <a:ext cx="1266825" cy="16891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6789-843.jpe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105149" y="51996975"/>
            <a:ext cx="2543176" cy="339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6" name="Picture 25" descr="https://vsjcllp.vsjadon.com/upload/insp-246789-845.jpe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3943350" y="555021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789-846.jpe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466724" y="52006500"/>
            <a:ext cx="2543176" cy="33909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789-847.jpe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1733550" y="57763775"/>
            <a:ext cx="1266825" cy="16891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789-850.jpe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504825" y="55511700"/>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789-852.jpe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219325" y="55502175"/>
            <a:ext cx="16200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6</xdr:col>
      <xdr:colOff>354145</xdr:colOff>
      <xdr:row>29</xdr:row>
      <xdr:rowOff>171000</xdr:rowOff>
    </xdr:to>
    <xdr:pic>
      <xdr:nvPicPr>
        <xdr:cNvPr id="2" name="Picture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stretch>
          <a:fillRect/>
        </a:stretch>
      </xdr:blipFill>
      <xdr:spPr>
        <a:xfrm>
          <a:off x="582930" y="2095500"/>
          <a:ext cx="6748780" cy="3599815"/>
        </a:xfrm>
        <a:prstGeom prst="rect">
          <a:avLst/>
        </a:prstGeom>
        <a:ln>
          <a:solidFill>
            <a:schemeClr val="tx1"/>
          </a:solidFill>
        </a:ln>
      </xdr:spPr>
    </xdr:pic>
    <xdr:clientData/>
  </xdr:twoCellAnchor>
  <xdr:twoCellAnchor editAs="oneCell">
    <xdr:from>
      <xdr:col>1</xdr:col>
      <xdr:colOff>0</xdr:colOff>
      <xdr:row>30</xdr:row>
      <xdr:rowOff>98700</xdr:rowOff>
    </xdr:from>
    <xdr:to>
      <xdr:col>6</xdr:col>
      <xdr:colOff>354145</xdr:colOff>
      <xdr:row>49</xdr:row>
      <xdr:rowOff>79200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stretch>
          <a:fillRect/>
        </a:stretch>
      </xdr:blipFill>
      <xdr:spPr>
        <a:xfrm>
          <a:off x="582930" y="5813425"/>
          <a:ext cx="6748780" cy="3599815"/>
        </a:xfrm>
        <a:prstGeom prst="rect">
          <a:avLst/>
        </a:prstGeom>
        <a:ln>
          <a:solidFill>
            <a:schemeClr val="tx1"/>
          </a:solidFill>
        </a:ln>
      </xdr:spPr>
    </xdr:pic>
    <xdr:clientData/>
  </xdr:twoCellAnchor>
  <xdr:twoCellAnchor editAs="oneCell">
    <xdr:from>
      <xdr:col>6</xdr:col>
      <xdr:colOff>462823</xdr:colOff>
      <xdr:row>11</xdr:row>
      <xdr:rowOff>34066</xdr:rowOff>
    </xdr:from>
    <xdr:to>
      <xdr:col>16</xdr:col>
      <xdr:colOff>140693</xdr:colOff>
      <xdr:row>30</xdr:row>
      <xdr:rowOff>14566</xdr:rowOff>
    </xdr:to>
    <xdr:pic>
      <xdr:nvPicPr>
        <xdr:cNvPr id="4" name="Picture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3"/>
        <a:stretch>
          <a:fillRect/>
        </a:stretch>
      </xdr:blipFill>
      <xdr:spPr>
        <a:xfrm>
          <a:off x="7440295" y="2129155"/>
          <a:ext cx="6770370" cy="359981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12</xdr:row>
      <xdr:rowOff>0</xdr:rowOff>
    </xdr:from>
    <xdr:to>
      <xdr:col>14</xdr:col>
      <xdr:colOff>18112</xdr:colOff>
      <xdr:row>18</xdr:row>
      <xdr:rowOff>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7905" y="2286000"/>
          <a:ext cx="1612265" cy="1905000"/>
        </a:xfrm>
        <a:prstGeom prst="rect">
          <a:avLst/>
        </a:prstGeom>
        <a:ln>
          <a:solidFill>
            <a:schemeClr val="tx1"/>
          </a:solidFill>
        </a:ln>
      </xdr:spPr>
    </xdr:pic>
    <xdr:clientData/>
  </xdr:twoCellAnchor>
  <xdr:twoCellAnchor editAs="oneCell">
    <xdr:from>
      <xdr:col>11</xdr:col>
      <xdr:colOff>0</xdr:colOff>
      <xdr:row>19</xdr:row>
      <xdr:rowOff>0</xdr:rowOff>
    </xdr:from>
    <xdr:to>
      <xdr:col>14</xdr:col>
      <xdr:colOff>18112</xdr:colOff>
      <xdr:row>30</xdr:row>
      <xdr:rowOff>64500</xdr:rowOff>
    </xdr:to>
    <xdr:pic>
      <xdr:nvPicPr>
        <xdr:cNvPr id="3" name="Picture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7905" y="4381500"/>
          <a:ext cx="1612265" cy="215963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64XBp7RDjG3UwdXR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7"/>
  <sheetViews>
    <sheetView tabSelected="1" view="pageBreakPreview" zoomScaleNormal="100" zoomScaleSheetLayoutView="100" zoomScalePageLayoutView="85" workbookViewId="0">
      <selection activeCell="I11" sqref="I11"/>
    </sheetView>
  </sheetViews>
  <sheetFormatPr defaultColWidth="9" defaultRowHeight="12.75" x14ac:dyDescent="0.2"/>
  <cols>
    <col min="1" max="1" width="17" customWidth="1"/>
    <col min="2" max="2" width="12.6640625" customWidth="1"/>
    <col min="3" max="3" width="16.83203125" customWidth="1"/>
    <col min="4" max="4" width="15.1640625" customWidth="1"/>
    <col min="5" max="5" width="12.6640625" customWidth="1"/>
    <col min="6" max="6" width="12.83203125" customWidth="1"/>
    <col min="7" max="7" width="24" style="25" customWidth="1"/>
  </cols>
  <sheetData>
    <row r="1" spans="1:7" ht="42.6" customHeight="1" x14ac:dyDescent="0.2">
      <c r="A1" s="79" t="s">
        <v>244</v>
      </c>
      <c r="B1" s="80"/>
      <c r="C1" s="80"/>
      <c r="D1" s="80"/>
      <c r="E1" s="80"/>
      <c r="F1" s="80"/>
      <c r="G1" s="81"/>
    </row>
    <row r="2" spans="1:7" ht="15.75" customHeight="1" x14ac:dyDescent="0.2">
      <c r="A2" s="82" t="s">
        <v>0</v>
      </c>
      <c r="B2" s="83"/>
      <c r="C2" s="83"/>
      <c r="D2" s="83"/>
      <c r="E2" s="83"/>
      <c r="F2" s="83"/>
      <c r="G2" s="84"/>
    </row>
    <row r="3" spans="1:7" ht="15.75" customHeight="1" x14ac:dyDescent="0.2">
      <c r="A3" s="85" t="s">
        <v>1</v>
      </c>
      <c r="B3" s="86"/>
      <c r="C3" s="86"/>
      <c r="D3" s="87" t="str">
        <f ca="1">TEXT(TODAY(),"DD/MM/YYYY")</f>
        <v>10/09/2025</v>
      </c>
      <c r="E3" s="88"/>
      <c r="F3" s="88"/>
      <c r="G3" s="89"/>
    </row>
    <row r="4" spans="1:7" ht="15.75" customHeight="1" x14ac:dyDescent="0.2">
      <c r="A4" s="85" t="s">
        <v>2</v>
      </c>
      <c r="B4" s="86"/>
      <c r="C4" s="86"/>
      <c r="D4" s="85" t="s">
        <v>3</v>
      </c>
      <c r="E4" s="86"/>
      <c r="F4" s="86"/>
      <c r="G4" s="90"/>
    </row>
    <row r="5" spans="1:7" ht="15.75" customHeight="1" x14ac:dyDescent="0.2">
      <c r="A5" s="85" t="s">
        <v>4</v>
      </c>
      <c r="B5" s="86"/>
      <c r="C5" s="86"/>
      <c r="D5" s="87">
        <v>45908</v>
      </c>
      <c r="E5" s="88"/>
      <c r="F5" s="88"/>
      <c r="G5" s="89"/>
    </row>
    <row r="6" spans="1:7" ht="15.95" customHeight="1" x14ac:dyDescent="0.2">
      <c r="A6" s="85" t="s">
        <v>5</v>
      </c>
      <c r="B6" s="86"/>
      <c r="C6" s="86"/>
      <c r="D6" s="85" t="s">
        <v>6</v>
      </c>
      <c r="E6" s="86"/>
      <c r="F6" s="86"/>
      <c r="G6" s="90"/>
    </row>
    <row r="7" spans="1:7" ht="15.75" customHeight="1" x14ac:dyDescent="0.2">
      <c r="A7" s="85" t="s">
        <v>7</v>
      </c>
      <c r="B7" s="86"/>
      <c r="C7" s="86"/>
      <c r="D7" s="85" t="s">
        <v>6</v>
      </c>
      <c r="E7" s="86"/>
      <c r="F7" s="86"/>
      <c r="G7" s="90"/>
    </row>
    <row r="8" spans="1:7" ht="15.75" customHeight="1" x14ac:dyDescent="0.2">
      <c r="A8" s="85" t="s">
        <v>8</v>
      </c>
      <c r="B8" s="86"/>
      <c r="C8" s="86"/>
      <c r="D8" s="91" t="s">
        <v>9</v>
      </c>
      <c r="E8" s="92"/>
      <c r="F8" s="92"/>
      <c r="G8" s="93"/>
    </row>
    <row r="9" spans="1:7" ht="15.75" customHeight="1" x14ac:dyDescent="0.2">
      <c r="A9" s="94" t="s">
        <v>239</v>
      </c>
      <c r="B9" s="86"/>
      <c r="C9" s="86"/>
      <c r="D9" s="95">
        <v>9324653017</v>
      </c>
      <c r="E9" s="96"/>
      <c r="F9" s="96"/>
      <c r="G9" s="97"/>
    </row>
    <row r="10" spans="1:7" ht="15.75" customHeight="1" x14ac:dyDescent="0.2">
      <c r="A10" s="98" t="s">
        <v>240</v>
      </c>
      <c r="B10" s="99"/>
      <c r="C10" s="99"/>
      <c r="D10" s="95" t="s">
        <v>247</v>
      </c>
      <c r="E10" s="96"/>
      <c r="F10" s="96"/>
      <c r="G10" s="97"/>
    </row>
    <row r="11" spans="1:7" ht="15.75" customHeight="1" x14ac:dyDescent="0.2">
      <c r="A11" s="85" t="s">
        <v>10</v>
      </c>
      <c r="B11" s="86"/>
      <c r="C11" s="86"/>
      <c r="D11" s="85" t="s">
        <v>11</v>
      </c>
      <c r="E11" s="86"/>
      <c r="F11" s="86"/>
      <c r="G11" s="90"/>
    </row>
    <row r="12" spans="1:7" ht="15.75" customHeight="1" x14ac:dyDescent="0.2">
      <c r="A12" s="85" t="s">
        <v>12</v>
      </c>
      <c r="B12" s="86"/>
      <c r="C12" s="86"/>
      <c r="D12" s="94" t="s">
        <v>13</v>
      </c>
      <c r="E12" s="86"/>
      <c r="F12" s="86"/>
      <c r="G12" s="90"/>
    </row>
    <row r="13" spans="1:7" ht="15.75" customHeight="1" x14ac:dyDescent="0.2">
      <c r="A13" s="85" t="s">
        <v>14</v>
      </c>
      <c r="B13" s="86"/>
      <c r="C13" s="86"/>
      <c r="D13" s="94" t="s">
        <v>15</v>
      </c>
      <c r="E13" s="86"/>
      <c r="F13" s="86"/>
      <c r="G13" s="90"/>
    </row>
    <row r="14" spans="1:7" ht="31.5" customHeight="1" x14ac:dyDescent="0.2">
      <c r="A14" s="85" t="s">
        <v>16</v>
      </c>
      <c r="B14" s="90"/>
      <c r="C14" s="94" t="s">
        <v>17</v>
      </c>
      <c r="D14" s="100"/>
      <c r="E14" s="100"/>
      <c r="F14" s="100"/>
      <c r="G14" s="101"/>
    </row>
    <row r="15" spans="1:7" ht="31.5" customHeight="1" x14ac:dyDescent="0.2">
      <c r="A15" s="27" t="s">
        <v>18</v>
      </c>
      <c r="B15" s="102" t="s">
        <v>19</v>
      </c>
      <c r="C15" s="100"/>
      <c r="D15" s="100"/>
      <c r="E15" s="101"/>
      <c r="F15" s="28" t="s">
        <v>20</v>
      </c>
      <c r="G15" s="29" t="s">
        <v>21</v>
      </c>
    </row>
    <row r="16" spans="1:7" ht="15.75" customHeight="1" x14ac:dyDescent="0.2">
      <c r="A16" s="28" t="s">
        <v>22</v>
      </c>
      <c r="B16" s="85" t="s">
        <v>23</v>
      </c>
      <c r="C16" s="86"/>
      <c r="D16" s="28" t="s">
        <v>24</v>
      </c>
      <c r="E16" s="85" t="s">
        <v>25</v>
      </c>
      <c r="F16" s="86"/>
      <c r="G16" s="90"/>
    </row>
    <row r="17" spans="1:7" ht="15.75" customHeight="1" x14ac:dyDescent="0.2">
      <c r="A17" s="28" t="s">
        <v>26</v>
      </c>
      <c r="B17" s="85" t="s">
        <v>27</v>
      </c>
      <c r="C17" s="86"/>
      <c r="D17" s="28" t="s">
        <v>28</v>
      </c>
      <c r="E17" s="95">
        <v>400063</v>
      </c>
      <c r="F17" s="96"/>
      <c r="G17" s="97"/>
    </row>
    <row r="18" spans="1:7" ht="31.35" customHeight="1" x14ac:dyDescent="0.2">
      <c r="A18" s="85" t="s">
        <v>29</v>
      </c>
      <c r="B18" s="90"/>
      <c r="C18" s="26" t="s">
        <v>30</v>
      </c>
      <c r="D18" s="85" t="s">
        <v>31</v>
      </c>
      <c r="E18" s="90"/>
      <c r="F18" s="85" t="s">
        <v>32</v>
      </c>
      <c r="G18" s="90"/>
    </row>
    <row r="19" spans="1:7" ht="45" customHeight="1" x14ac:dyDescent="0.2">
      <c r="A19" s="85" t="s">
        <v>33</v>
      </c>
      <c r="B19" s="86"/>
      <c r="C19" s="86"/>
      <c r="D19" s="85" t="s">
        <v>34</v>
      </c>
      <c r="E19" s="86"/>
      <c r="F19" s="86"/>
      <c r="G19" s="90"/>
    </row>
    <row r="20" spans="1:7" ht="31.5" customHeight="1" x14ac:dyDescent="0.2">
      <c r="A20" s="102" t="s">
        <v>35</v>
      </c>
      <c r="B20" s="100"/>
      <c r="C20" s="100"/>
      <c r="D20" s="85" t="s">
        <v>36</v>
      </c>
      <c r="E20" s="86"/>
      <c r="F20" s="86"/>
      <c r="G20" s="90"/>
    </row>
    <row r="21" spans="1:7" ht="15.75" customHeight="1" x14ac:dyDescent="0.2">
      <c r="A21" s="85" t="s">
        <v>37</v>
      </c>
      <c r="B21" s="86"/>
      <c r="C21" s="86"/>
      <c r="D21" s="85" t="s">
        <v>38</v>
      </c>
      <c r="E21" s="86"/>
      <c r="F21" s="86"/>
      <c r="G21" s="90"/>
    </row>
    <row r="22" spans="1:7" ht="15.75" customHeight="1" x14ac:dyDescent="0.2">
      <c r="A22" s="85" t="s">
        <v>39</v>
      </c>
      <c r="B22" s="86"/>
      <c r="C22" s="86"/>
      <c r="D22" s="85" t="s">
        <v>40</v>
      </c>
      <c r="E22" s="86"/>
      <c r="F22" s="86"/>
      <c r="G22" s="90"/>
    </row>
    <row r="23" spans="1:7" ht="15.75" customHeight="1" x14ac:dyDescent="0.2">
      <c r="A23" s="85" t="s">
        <v>41</v>
      </c>
      <c r="B23" s="86"/>
      <c r="C23" s="86"/>
      <c r="D23" s="85" t="s">
        <v>42</v>
      </c>
      <c r="E23" s="86"/>
      <c r="F23" s="86"/>
      <c r="G23" s="90"/>
    </row>
    <row r="24" spans="1:7" ht="15.75" customHeight="1" x14ac:dyDescent="0.2">
      <c r="A24" s="85" t="s">
        <v>43</v>
      </c>
      <c r="B24" s="86"/>
      <c r="C24" s="86"/>
      <c r="D24" s="85" t="s">
        <v>44</v>
      </c>
      <c r="E24" s="86"/>
      <c r="F24" s="86"/>
      <c r="G24" s="90"/>
    </row>
    <row r="25" spans="1:7" ht="15.75" customHeight="1" x14ac:dyDescent="0.2">
      <c r="A25" s="103" t="s">
        <v>45</v>
      </c>
      <c r="B25" s="104"/>
      <c r="C25" s="30" t="s">
        <v>46</v>
      </c>
      <c r="D25" s="30" t="s">
        <v>47</v>
      </c>
      <c r="E25" s="105" t="s">
        <v>48</v>
      </c>
      <c r="F25" s="106"/>
      <c r="G25" s="31" t="s">
        <v>49</v>
      </c>
    </row>
    <row r="26" spans="1:7" ht="15.75" customHeight="1" x14ac:dyDescent="0.2">
      <c r="A26" s="103" t="s">
        <v>50</v>
      </c>
      <c r="B26" s="104"/>
      <c r="C26" s="30" t="s">
        <v>51</v>
      </c>
      <c r="D26" s="30" t="s">
        <v>51</v>
      </c>
      <c r="E26" s="105" t="s">
        <v>51</v>
      </c>
      <c r="F26" s="106"/>
      <c r="G26" s="31" t="s">
        <v>51</v>
      </c>
    </row>
    <row r="27" spans="1:7" ht="15.75" customHeight="1" x14ac:dyDescent="0.2">
      <c r="A27" s="105" t="s">
        <v>52</v>
      </c>
      <c r="B27" s="106"/>
      <c r="C27" s="32" t="s">
        <v>53</v>
      </c>
      <c r="D27" s="30" t="s">
        <v>54</v>
      </c>
      <c r="E27" s="105" t="s">
        <v>22</v>
      </c>
      <c r="F27" s="106"/>
      <c r="G27" s="31" t="s">
        <v>22</v>
      </c>
    </row>
    <row r="28" spans="1:7" ht="15.75" customHeight="1" x14ac:dyDescent="0.2">
      <c r="A28" s="85" t="s">
        <v>55</v>
      </c>
      <c r="B28" s="86"/>
      <c r="C28" s="86"/>
      <c r="D28" s="86"/>
      <c r="E28" s="86"/>
      <c r="F28" s="86"/>
      <c r="G28" s="90"/>
    </row>
    <row r="29" spans="1:7" ht="15.75" customHeight="1" x14ac:dyDescent="0.2">
      <c r="A29" s="85" t="s">
        <v>56</v>
      </c>
      <c r="B29" s="86"/>
      <c r="C29" s="86"/>
      <c r="D29" s="86"/>
      <c r="E29" s="86"/>
      <c r="F29" s="86"/>
      <c r="G29" s="90"/>
    </row>
    <row r="30" spans="1:7" ht="15.75" customHeight="1" x14ac:dyDescent="0.2">
      <c r="A30" s="107" t="s">
        <v>246</v>
      </c>
      <c r="B30" s="93"/>
      <c r="C30" s="114" t="s">
        <v>245</v>
      </c>
      <c r="D30" s="115"/>
      <c r="E30" s="115"/>
      <c r="F30" s="115"/>
      <c r="G30" s="116"/>
    </row>
    <row r="31" spans="1:7" ht="15.75" customHeight="1" x14ac:dyDescent="0.2">
      <c r="A31" s="91" t="s">
        <v>241</v>
      </c>
      <c r="B31" s="93"/>
      <c r="C31" s="117" t="s">
        <v>242</v>
      </c>
      <c r="D31" s="115"/>
      <c r="E31" s="115"/>
      <c r="F31" s="115"/>
      <c r="G31" s="116"/>
    </row>
    <row r="32" spans="1:7" ht="15.75" customHeight="1" x14ac:dyDescent="0.2">
      <c r="A32" s="108" t="s">
        <v>57</v>
      </c>
      <c r="B32" s="109"/>
      <c r="C32" s="109"/>
      <c r="D32" s="109"/>
      <c r="E32" s="109"/>
      <c r="F32" s="109"/>
      <c r="G32" s="110"/>
    </row>
    <row r="33" spans="1:7" ht="31.5" customHeight="1" x14ac:dyDescent="0.2">
      <c r="A33" s="111" t="s">
        <v>58</v>
      </c>
      <c r="B33" s="111"/>
      <c r="C33" s="111"/>
      <c r="D33" s="111"/>
      <c r="E33" s="111"/>
      <c r="F33" s="111"/>
      <c r="G33" s="111"/>
    </row>
    <row r="34" spans="1:7" ht="15.95" customHeight="1" x14ac:dyDescent="0.2">
      <c r="A34" s="118" t="s">
        <v>59</v>
      </c>
      <c r="B34" s="118"/>
      <c r="C34" s="118"/>
      <c r="D34" s="112" t="s">
        <v>60</v>
      </c>
      <c r="E34" s="112"/>
      <c r="F34" s="113" t="s">
        <v>61</v>
      </c>
      <c r="G34" s="113"/>
    </row>
    <row r="35" spans="1:7" ht="15.95" customHeight="1" x14ac:dyDescent="0.2">
      <c r="A35" s="118"/>
      <c r="B35" s="118"/>
      <c r="C35" s="118"/>
      <c r="D35" s="120">
        <v>1152.5</v>
      </c>
      <c r="E35" s="120"/>
      <c r="F35" s="120">
        <v>374.9</v>
      </c>
      <c r="G35" s="120"/>
    </row>
    <row r="36" spans="1:7" ht="15.75" customHeight="1" x14ac:dyDescent="0.2">
      <c r="A36" s="118" t="s">
        <v>62</v>
      </c>
      <c r="B36" s="118"/>
      <c r="C36" s="118"/>
      <c r="D36" s="119">
        <v>4</v>
      </c>
      <c r="E36" s="119"/>
      <c r="F36" s="119">
        <v>1</v>
      </c>
      <c r="G36" s="119"/>
    </row>
    <row r="37" spans="1:7" ht="15.75" customHeight="1" x14ac:dyDescent="0.2">
      <c r="A37" s="118" t="s">
        <v>63</v>
      </c>
      <c r="B37" s="118"/>
      <c r="C37" s="118"/>
      <c r="D37" s="119">
        <v>0</v>
      </c>
      <c r="E37" s="119"/>
      <c r="F37" s="119">
        <v>0</v>
      </c>
      <c r="G37" s="119"/>
    </row>
    <row r="38" spans="1:7" ht="15" x14ac:dyDescent="0.2">
      <c r="A38" s="118" t="s">
        <v>64</v>
      </c>
      <c r="B38" s="118"/>
      <c r="C38" s="118"/>
      <c r="D38" s="119">
        <v>4</v>
      </c>
      <c r="E38" s="119"/>
      <c r="F38" s="119">
        <v>1</v>
      </c>
      <c r="G38" s="119"/>
    </row>
    <row r="39" spans="1:7" ht="15" x14ac:dyDescent="0.2">
      <c r="A39" s="118" t="s">
        <v>65</v>
      </c>
      <c r="B39" s="118"/>
      <c r="C39" s="118"/>
      <c r="D39" s="119">
        <v>4610</v>
      </c>
      <c r="E39" s="119"/>
      <c r="F39" s="120">
        <v>374.9</v>
      </c>
      <c r="G39" s="120"/>
    </row>
    <row r="40" spans="1:7" ht="15" x14ac:dyDescent="0.2">
      <c r="A40" s="118" t="s">
        <v>66</v>
      </c>
      <c r="B40" s="118"/>
      <c r="C40" s="118"/>
      <c r="D40" s="118" t="s">
        <v>67</v>
      </c>
      <c r="E40" s="118"/>
      <c r="F40" s="118"/>
      <c r="G40" s="118"/>
    </row>
    <row r="41" spans="1:7" ht="14.25" x14ac:dyDescent="0.2">
      <c r="A41" s="121" t="s">
        <v>68</v>
      </c>
      <c r="B41" s="121"/>
      <c r="C41" s="121"/>
      <c r="D41" s="121"/>
      <c r="E41" s="121"/>
      <c r="F41" s="121"/>
      <c r="G41" s="121"/>
    </row>
    <row r="42" spans="1:7" ht="15" x14ac:dyDescent="0.2">
      <c r="A42" s="118" t="s">
        <v>69</v>
      </c>
      <c r="B42" s="118"/>
      <c r="C42" s="118" t="s">
        <v>70</v>
      </c>
      <c r="D42" s="118"/>
      <c r="E42" s="69" t="s">
        <v>71</v>
      </c>
      <c r="F42" s="185">
        <v>44229</v>
      </c>
      <c r="G42" s="118"/>
    </row>
    <row r="43" spans="1:7" ht="15" x14ac:dyDescent="0.2">
      <c r="A43" s="118" t="s">
        <v>72</v>
      </c>
      <c r="B43" s="118"/>
      <c r="C43" s="118" t="s">
        <v>70</v>
      </c>
      <c r="D43" s="118"/>
      <c r="E43" s="69" t="s">
        <v>71</v>
      </c>
      <c r="F43" s="178">
        <f>F42</f>
        <v>44229</v>
      </c>
      <c r="G43" s="178"/>
    </row>
    <row r="44" spans="1:7" ht="15" hidden="1" x14ac:dyDescent="0.2">
      <c r="A44" s="118" t="s">
        <v>73</v>
      </c>
      <c r="B44" s="118"/>
      <c r="C44" s="122" t="s">
        <v>225</v>
      </c>
      <c r="D44" s="122"/>
      <c r="E44" s="69" t="s">
        <v>71</v>
      </c>
      <c r="F44" s="118" t="s">
        <v>74</v>
      </c>
      <c r="G44" s="118" t="s">
        <v>75</v>
      </c>
    </row>
    <row r="45" spans="1:7" ht="40.5" hidden="1" customHeight="1" x14ac:dyDescent="0.2">
      <c r="A45" s="118"/>
      <c r="B45" s="118"/>
      <c r="C45" s="177" t="s">
        <v>226</v>
      </c>
      <c r="D45" s="177"/>
      <c r="E45" s="177"/>
      <c r="F45" s="177"/>
      <c r="G45" s="177"/>
    </row>
    <row r="46" spans="1:7" ht="15" x14ac:dyDescent="0.2">
      <c r="A46" s="118" t="s">
        <v>73</v>
      </c>
      <c r="B46" s="118"/>
      <c r="C46" s="122" t="s">
        <v>225</v>
      </c>
      <c r="D46" s="122"/>
      <c r="E46" s="77" t="s">
        <v>71</v>
      </c>
      <c r="F46" s="178">
        <v>44524</v>
      </c>
      <c r="G46" s="118" t="s">
        <v>75</v>
      </c>
    </row>
    <row r="47" spans="1:7" ht="69.75" customHeight="1" x14ac:dyDescent="0.2">
      <c r="A47" s="118"/>
      <c r="B47" s="118"/>
      <c r="C47" s="177" t="s">
        <v>248</v>
      </c>
      <c r="D47" s="177"/>
      <c r="E47" s="177"/>
      <c r="F47" s="177"/>
      <c r="G47" s="177"/>
    </row>
    <row r="48" spans="1:7" ht="15" x14ac:dyDescent="0.2">
      <c r="A48" s="118" t="s">
        <v>76</v>
      </c>
      <c r="B48" s="118"/>
      <c r="C48" s="118"/>
      <c r="D48" s="118" t="s">
        <v>77</v>
      </c>
      <c r="E48" s="118"/>
      <c r="F48" s="118"/>
      <c r="G48" s="118"/>
    </row>
    <row r="49" spans="1:9" ht="30" customHeight="1" x14ac:dyDescent="0.2">
      <c r="A49" s="118" t="s">
        <v>78</v>
      </c>
      <c r="B49" s="118"/>
      <c r="C49" s="78" t="s">
        <v>74</v>
      </c>
      <c r="D49" s="118" t="s">
        <v>79</v>
      </c>
      <c r="E49" s="118"/>
      <c r="F49" s="178">
        <v>46022</v>
      </c>
      <c r="G49" s="118"/>
    </row>
    <row r="50" spans="1:9" ht="14.25" x14ac:dyDescent="0.2">
      <c r="A50" s="179" t="s">
        <v>80</v>
      </c>
      <c r="B50" s="180"/>
      <c r="C50" s="180"/>
      <c r="D50" s="181"/>
      <c r="E50" s="180"/>
      <c r="F50" s="180"/>
      <c r="G50" s="182"/>
    </row>
    <row r="51" spans="1:9" ht="30.6" customHeight="1" x14ac:dyDescent="0.2">
      <c r="A51" s="85" t="s">
        <v>81</v>
      </c>
      <c r="B51" s="90"/>
      <c r="C51" s="33">
        <v>4610</v>
      </c>
      <c r="D51" s="34" t="s">
        <v>82</v>
      </c>
      <c r="E51" s="183" t="s">
        <v>224</v>
      </c>
      <c r="F51" s="96"/>
      <c r="G51" s="97"/>
    </row>
    <row r="52" spans="1:9" ht="14.25" x14ac:dyDescent="0.2">
      <c r="A52" s="107" t="s">
        <v>83</v>
      </c>
      <c r="B52" s="93"/>
      <c r="C52" s="174" t="s">
        <v>227</v>
      </c>
      <c r="D52" s="175"/>
      <c r="E52" s="175"/>
      <c r="F52" s="175"/>
      <c r="G52" s="176"/>
    </row>
    <row r="53" spans="1:9" ht="15" x14ac:dyDescent="0.2">
      <c r="A53" s="85" t="s">
        <v>84</v>
      </c>
      <c r="B53" s="90"/>
      <c r="C53" s="94" t="s">
        <v>233</v>
      </c>
      <c r="D53" s="86"/>
      <c r="E53" s="86"/>
      <c r="F53" s="86"/>
      <c r="G53" s="90"/>
    </row>
    <row r="54" spans="1:9" ht="15" x14ac:dyDescent="0.2">
      <c r="A54" s="85" t="s">
        <v>85</v>
      </c>
      <c r="B54" s="86"/>
      <c r="C54" s="90"/>
      <c r="D54" s="94" t="s">
        <v>237</v>
      </c>
      <c r="E54" s="86"/>
      <c r="F54" s="86"/>
      <c r="G54" s="90"/>
    </row>
    <row r="55" spans="1:9" ht="15.75" thickBot="1" x14ac:dyDescent="0.25">
      <c r="A55" s="85" t="s">
        <v>86</v>
      </c>
      <c r="B55" s="86"/>
      <c r="C55" s="86"/>
      <c r="D55" s="86"/>
      <c r="E55" s="86"/>
      <c r="F55" s="86"/>
      <c r="G55" s="90"/>
    </row>
    <row r="56" spans="1:9" ht="15.75" x14ac:dyDescent="0.25">
      <c r="A56" s="126" t="s">
        <v>191</v>
      </c>
      <c r="B56" s="127"/>
      <c r="C56" s="128" t="s">
        <v>228</v>
      </c>
      <c r="D56" s="129"/>
      <c r="E56" s="129"/>
      <c r="F56" s="129"/>
      <c r="G56" s="130"/>
      <c r="H56" s="44" t="str">
        <f ca="1">(IF(E60&gt;99%,"All work completed. Please provide OC.",IF(E60&gt;89.8%,"Plinth, RCC, Brick, Plaster, Flooring, Painting work Completed. Finishing work is in process.",IF(E60&lt;94%,(IF(C60=0,"Work not yet Started.",IF(D60=25%,"Piling work in process",IF(D60=50%,"Excavation work in process",IF(D60=100%,"Excavation work Completed. ","0")))&amp;(IF(C61=0%,"",IF(C61=I62,"Footing work is process",IF(C61=I63,"Footing work Completed",IF(C61=I64,"1st Basement Completed",IF(C61=I65,"1st &amp; 2nd Basement Completed",IF(C61=I66,"1st to 3rd Basement Completed",IF(C61=I67,"1st to 4th Basement Completed",IF(C61=I68,"Plinth work is process",IF(C61=I69,"Plinth work completed","0")))))))))))&amp;(IF(C62=(C57+E57+G57),", RCC Slab",IF(C62&gt;0,", RCC upto "&amp;C62&amp;" Slab",""))&amp;(IF(C63=G57,", Brickwork",IF(C63&gt;0,", Brickwork upto "&amp;C63&amp;" Floor",""))&amp;(IF(C64=G57,", Internal Plaster",IF(C64&gt;0,", Internal Plaster upto "&amp;C64&amp;" Floor",""))&amp;(IF(C65=G57,", External Plaster",IF(C65&gt;0,", External Plaster upto "&amp;C65&amp;" Floor",""))&amp;(IF(C66=G57,", Flooring",IF(C66&gt;0,", Flooring upto "&amp;C66&amp;" Floor",""))&amp;(IF(C67=G57,", Painting",IF(C67&gt;0,", Painting upto "&amp;C67&amp;" Floor",""))&amp;(IF(C68&gt;0,", Finishing upto "&amp;C68&amp;" Floor","")&amp;(IF(C62&gt;0.5," Completed",""))))))))))))))</f>
        <v>Excavation work Completed. Plinth work completed, RCC Slab, Brickwork, Internal Plaster, External Plaster, Flooring upto 21 Floor, Painting upto 21 Floor, Finishing upto 4 Floor Completed</v>
      </c>
      <c r="I56" s="45"/>
    </row>
    <row r="57" spans="1:9" ht="15.75" x14ac:dyDescent="0.25">
      <c r="A57" s="137" t="s">
        <v>192</v>
      </c>
      <c r="B57" s="138"/>
      <c r="C57" s="46">
        <v>1</v>
      </c>
      <c r="D57" s="46" t="s">
        <v>193</v>
      </c>
      <c r="E57" s="46">
        <v>0</v>
      </c>
      <c r="F57" s="46" t="s">
        <v>194</v>
      </c>
      <c r="G57" s="47">
        <f ca="1">--TRIM(RIGHT(SUBSTITUTE(LEFT(C56,_xlfn.AGGREGATE(16,6,FIND({0,1,2,3,4,5,6,7,8,9},C56,ROW(INDIRECT("1:"&amp;LEN(C56)))),1))," ",REPT(" ",LEN(C56))),LEN(C56)))</f>
        <v>23</v>
      </c>
      <c r="H57" s="48"/>
      <c r="I57" s="49"/>
    </row>
    <row r="58" spans="1:9" s="61" customFormat="1" ht="47.25" customHeight="1" x14ac:dyDescent="0.25">
      <c r="A58" s="131" t="s">
        <v>195</v>
      </c>
      <c r="B58" s="132"/>
      <c r="C58" s="139" t="str">
        <f ca="1">H56</f>
        <v>Excavation work Completed. Plinth work completed, RCC Slab, Brickwork, Internal Plaster, External Plaster, Flooring upto 21 Floor, Painting upto 21 Floor, Finishing upto 4 Floor Completed</v>
      </c>
      <c r="D58" s="140"/>
      <c r="E58" s="140"/>
      <c r="F58" s="140"/>
      <c r="G58" s="141"/>
      <c r="H58" s="59" t="s">
        <v>196</v>
      </c>
      <c r="I58" s="60"/>
    </row>
    <row r="59" spans="1:9" s="65" customFormat="1" ht="15.75" x14ac:dyDescent="0.2">
      <c r="A59" s="133" t="s">
        <v>197</v>
      </c>
      <c r="B59" s="134"/>
      <c r="C59" s="62" t="s">
        <v>198</v>
      </c>
      <c r="D59" s="66" t="s">
        <v>199</v>
      </c>
      <c r="E59" s="134" t="s">
        <v>200</v>
      </c>
      <c r="F59" s="134"/>
      <c r="G59" s="56" t="s">
        <v>201</v>
      </c>
      <c r="H59" s="63" t="s">
        <v>202</v>
      </c>
      <c r="I59" s="64">
        <f ca="1">G57*25%</f>
        <v>5.75</v>
      </c>
    </row>
    <row r="60" spans="1:9" ht="15.75" x14ac:dyDescent="0.25">
      <c r="A60" s="135" t="s">
        <v>203</v>
      </c>
      <c r="B60" s="135"/>
      <c r="C60" s="57">
        <f ca="1">I61</f>
        <v>23</v>
      </c>
      <c r="D60" s="68">
        <f ca="1">((100/G57)*C60)/100</f>
        <v>1</v>
      </c>
      <c r="E60" s="136">
        <f ca="1">(((C61/G57*10)+(40/(C57+E57+G57)*C62)+(7.5/(G57)*C63)+(7.5/(G57)*C64)+(10/G57*C65)+(10/G57*C66)+(5/G57*C67)+(5/G57*C68)+(5/G57*C69))/100)</f>
        <v>0.8956521739130433</v>
      </c>
      <c r="F60" s="136"/>
      <c r="G60" s="136">
        <f ca="1">((((C60/G57)*20)+((C61/G57)*25)+(30/(G57+E57+C57)*C62)+(5/G57*C63)+(5/G57*C64)+(5/G57*C65)+(5/G57*C66)+(0/G57*C67)+(0/G57*C68)+(5/G57*C69))/100)</f>
        <v>0.94565217391304346</v>
      </c>
      <c r="H60" s="50" t="s">
        <v>204</v>
      </c>
      <c r="I60" s="51">
        <f ca="1">G57*50%</f>
        <v>11.5</v>
      </c>
    </row>
    <row r="61" spans="1:9" ht="15.75" x14ac:dyDescent="0.25">
      <c r="A61" s="135" t="s">
        <v>188</v>
      </c>
      <c r="B61" s="135"/>
      <c r="C61" s="58">
        <f ca="1">I69</f>
        <v>23</v>
      </c>
      <c r="D61" s="68">
        <f ca="1">((100/G57)*C61)/100</f>
        <v>1</v>
      </c>
      <c r="E61" s="136"/>
      <c r="F61" s="136"/>
      <c r="G61" s="136"/>
      <c r="H61" s="50" t="s">
        <v>205</v>
      </c>
      <c r="I61" s="51">
        <f ca="1">G57</f>
        <v>23</v>
      </c>
    </row>
    <row r="62" spans="1:9" ht="15.75" x14ac:dyDescent="0.25">
      <c r="A62" s="135" t="s">
        <v>206</v>
      </c>
      <c r="B62" s="135"/>
      <c r="C62" s="58">
        <v>24</v>
      </c>
      <c r="D62" s="68">
        <f ca="1">((100/(C57+E57+G57))*C62)/100</f>
        <v>1</v>
      </c>
      <c r="E62" s="136"/>
      <c r="F62" s="136"/>
      <c r="G62" s="136"/>
      <c r="H62" s="50" t="s">
        <v>207</v>
      </c>
      <c r="I62" s="52">
        <f ca="1">(IF(B57&gt;1,(G57/(B57+2)),G57/4))</f>
        <v>5.75</v>
      </c>
    </row>
    <row r="63" spans="1:9" ht="15.75" x14ac:dyDescent="0.25">
      <c r="A63" s="135" t="s">
        <v>208</v>
      </c>
      <c r="B63" s="135" t="s">
        <v>209</v>
      </c>
      <c r="C63" s="57">
        <v>23</v>
      </c>
      <c r="D63" s="68">
        <f ca="1">((100/G57)*C63)/100</f>
        <v>1</v>
      </c>
      <c r="E63" s="136"/>
      <c r="F63" s="136"/>
      <c r="G63" s="136"/>
      <c r="H63" s="50" t="s">
        <v>210</v>
      </c>
      <c r="I63" s="52">
        <f ca="1">(IF(B57&gt;1,(G57/(B57+2)+I62),G57/4+I62))</f>
        <v>11.5</v>
      </c>
    </row>
    <row r="64" spans="1:9" ht="15.75" x14ac:dyDescent="0.25">
      <c r="A64" s="135" t="s">
        <v>211</v>
      </c>
      <c r="B64" s="135" t="s">
        <v>209</v>
      </c>
      <c r="C64" s="57">
        <v>23</v>
      </c>
      <c r="D64" s="68">
        <f ca="1">((100/G57)*C64)/100</f>
        <v>1</v>
      </c>
      <c r="E64" s="136"/>
      <c r="F64" s="136"/>
      <c r="G64" s="136"/>
      <c r="H64" s="50" t="s">
        <v>212</v>
      </c>
      <c r="I64" s="52">
        <f>(IF(B57&gt;1,(G57/(B57+2)+I63),0))</f>
        <v>0</v>
      </c>
    </row>
    <row r="65" spans="1:9" ht="15.75" x14ac:dyDescent="0.25">
      <c r="A65" s="135" t="s">
        <v>213</v>
      </c>
      <c r="B65" s="135" t="s">
        <v>214</v>
      </c>
      <c r="C65" s="57">
        <v>23</v>
      </c>
      <c r="D65" s="68">
        <f ca="1">((100/(G57))*C65)/100</f>
        <v>1</v>
      </c>
      <c r="E65" s="136"/>
      <c r="F65" s="136"/>
      <c r="G65" s="136"/>
      <c r="H65" s="50" t="s">
        <v>215</v>
      </c>
      <c r="I65" s="52">
        <f>(IF(B57&gt;2,(G57/(B57+2)+I64),0))</f>
        <v>0</v>
      </c>
    </row>
    <row r="66" spans="1:9" ht="15.75" x14ac:dyDescent="0.25">
      <c r="A66" s="135" t="s">
        <v>216</v>
      </c>
      <c r="B66" s="135" t="s">
        <v>216</v>
      </c>
      <c r="C66" s="57">
        <v>21</v>
      </c>
      <c r="D66" s="68">
        <f ca="1">((100/G57)*C66)/100</f>
        <v>0.91304347826086951</v>
      </c>
      <c r="E66" s="136"/>
      <c r="F66" s="136"/>
      <c r="G66" s="136"/>
      <c r="H66" s="50" t="s">
        <v>217</v>
      </c>
      <c r="I66" s="53">
        <f>(IF(B57&gt;3,(G57/(B57+2)+I65),0))</f>
        <v>0</v>
      </c>
    </row>
    <row r="67" spans="1:9" ht="15.75" x14ac:dyDescent="0.25">
      <c r="A67" s="135" t="s">
        <v>218</v>
      </c>
      <c r="B67" s="135"/>
      <c r="C67" s="57">
        <v>21</v>
      </c>
      <c r="D67" s="68">
        <f ca="1">((100/G57)*C67)/100</f>
        <v>0.91304347826086951</v>
      </c>
      <c r="E67" s="136"/>
      <c r="F67" s="136"/>
      <c r="G67" s="136"/>
      <c r="H67" s="50" t="s">
        <v>219</v>
      </c>
      <c r="I67" s="52">
        <f>(IF(B57&gt;4,(G57/(B57+2)+I66),0))</f>
        <v>0</v>
      </c>
    </row>
    <row r="68" spans="1:9" ht="15.75" x14ac:dyDescent="0.25">
      <c r="A68" s="135" t="s">
        <v>220</v>
      </c>
      <c r="B68" s="135" t="s">
        <v>220</v>
      </c>
      <c r="C68" s="57">
        <v>4</v>
      </c>
      <c r="D68" s="68">
        <f ca="1">((100/(G57))*C68)/100</f>
        <v>0.17391304347826086</v>
      </c>
      <c r="E68" s="136"/>
      <c r="F68" s="136"/>
      <c r="G68" s="136"/>
      <c r="H68" s="50" t="s">
        <v>221</v>
      </c>
      <c r="I68" s="52">
        <f ca="1">(IF(B57=1,(G57/(B57+3)+I63),IF(B57=0,(G57/4+I63),IF(B57&gt;1,0))))</f>
        <v>17.25</v>
      </c>
    </row>
    <row r="69" spans="1:9" ht="16.5" thickBot="1" x14ac:dyDescent="0.3">
      <c r="A69" s="135" t="s">
        <v>222</v>
      </c>
      <c r="B69" s="135"/>
      <c r="C69" s="57">
        <v>0</v>
      </c>
      <c r="D69" s="68">
        <f ca="1">((100/(G57))*C69)/100</f>
        <v>0</v>
      </c>
      <c r="E69" s="136"/>
      <c r="F69" s="136"/>
      <c r="G69" s="136"/>
      <c r="H69" s="54" t="s">
        <v>223</v>
      </c>
      <c r="I69" s="55">
        <f ca="1">(IF(B57&gt;1.5,(G57/(B57+2)+I63+MAX(0,I64-I63)+MAX(0,I65-I64)+MAX(0,I66-I65)+MAX(0,I67-I66)+MAX(0,I68-I67)),IF(B57=1,(G57/(B57+3)+I68),IF(B57=0,G57/4+I68))))</f>
        <v>23</v>
      </c>
    </row>
    <row r="70" spans="1:9" ht="15.75" x14ac:dyDescent="0.25">
      <c r="A70" s="142" t="s">
        <v>191</v>
      </c>
      <c r="B70" s="142"/>
      <c r="C70" s="142" t="s">
        <v>229</v>
      </c>
      <c r="D70" s="142"/>
      <c r="E70" s="142"/>
      <c r="F70" s="142"/>
      <c r="G70" s="142"/>
      <c r="H70" s="44" t="str">
        <f ca="1">(IF(E74&gt;99%,"All work completed. Please provide OC.",IF(E74&gt;89.8%,"Plinth, RCC, Brick, Plaster, Flooring, Painting work Completed. Finishing work is in process.",IF(E74&lt;94%,(IF(C74=0,"Work not yet Started.",IF(D74=25%,"Piling work in process",IF(D74=50%,"Excavation work in process",IF(D74=100%,"Excavation work Completed. ","0")))&amp;(IF(C75=0%,"",IF(C75=I76,"Footing work is process",IF(C75=I77,"Footing work Completed",IF(C75=I78,"1st Basement Completed",IF(C75=I79,"1st &amp; 2nd Basement Completed",IF(C75=I80,"1st to 3rd Basement Completed",IF(C75=I81,"1st to 4th Basement Completed",IF(C75=I82,"Plinth work is process",IF(C75=I83,"Plinth work completed","0")))))))))))&amp;(IF(C76=(C71+E71+G71),", RCC Slab",IF(C76&gt;0,", RCC upto "&amp;C76&amp;" Slab",""))&amp;(IF(C77=G71,", Brickwork",IF(C77&gt;0,", Brickwork upto "&amp;C77&amp;" Floor",""))&amp;(IF(C78=G71,", Internal Plaster",IF(C78&gt;0,", Internal Plaster upto "&amp;C78&amp;" Floor",""))&amp;(IF(C79=G71,", External Plaster",IF(C79&gt;0,", External Plaster upto "&amp;C79&amp;" Floor",""))&amp;(IF(C80=G71,", Flooring",IF(C80&gt;0,", Flooring upto "&amp;C80&amp;" Floor",""))&amp;(IF(C81=G71,", Painting",IF(C81&gt;0,", Painting upto "&amp;C81&amp;" Floor",""))&amp;(IF(C82&gt;0,", Finishing upto "&amp;C82&amp;" Floor","")&amp;(IF(C76&gt;0.5," Completed",""))))))))))))))</f>
        <v>Excavation work Completed. Plinth work completed, RCC Slab, Brickwork, Internal Plaster, External Plaster, Flooring upto 17 Floor, Painting upto 10 Floor Completed</v>
      </c>
      <c r="I70" s="45"/>
    </row>
    <row r="71" spans="1:9" ht="15.75" x14ac:dyDescent="0.25">
      <c r="A71" s="143" t="s">
        <v>192</v>
      </c>
      <c r="B71" s="143"/>
      <c r="C71" s="70">
        <v>1</v>
      </c>
      <c r="D71" s="70" t="s">
        <v>193</v>
      </c>
      <c r="E71" s="70">
        <v>0</v>
      </c>
      <c r="F71" s="70" t="s">
        <v>194</v>
      </c>
      <c r="G71" s="70">
        <f ca="1">--TRIM(RIGHT(SUBSTITUTE(LEFT(C70,_xlfn.AGGREGATE(16,6,FIND({0,1,2,3,4,5,6,7,8,9},C70,ROW(INDIRECT("1:"&amp;LEN(C70)))),1))," ",REPT(" ",LEN(C70))),LEN(C70)))</f>
        <v>23</v>
      </c>
      <c r="H71" s="48"/>
      <c r="I71" s="49"/>
    </row>
    <row r="72" spans="1:9" s="61" customFormat="1" ht="50.45" customHeight="1" x14ac:dyDescent="0.25">
      <c r="A72" s="132" t="s">
        <v>195</v>
      </c>
      <c r="B72" s="132"/>
      <c r="C72" s="173" t="str">
        <f ca="1">H70</f>
        <v>Excavation work Completed. Plinth work completed, RCC Slab, Brickwork, Internal Plaster, External Plaster, Flooring upto 17 Floor, Painting upto 10 Floor Completed</v>
      </c>
      <c r="D72" s="173"/>
      <c r="E72" s="173"/>
      <c r="F72" s="173"/>
      <c r="G72" s="173"/>
      <c r="H72" s="59" t="s">
        <v>196</v>
      </c>
      <c r="I72" s="60"/>
    </row>
    <row r="73" spans="1:9" s="65" customFormat="1" ht="15.75" x14ac:dyDescent="0.2">
      <c r="A73" s="134" t="s">
        <v>197</v>
      </c>
      <c r="B73" s="134"/>
      <c r="C73" s="62" t="s">
        <v>198</v>
      </c>
      <c r="D73" s="66" t="s">
        <v>199</v>
      </c>
      <c r="E73" s="134" t="s">
        <v>200</v>
      </c>
      <c r="F73" s="134"/>
      <c r="G73" s="67" t="s">
        <v>201</v>
      </c>
      <c r="H73" s="63" t="s">
        <v>202</v>
      </c>
      <c r="I73" s="64">
        <f ca="1">G71*25%</f>
        <v>5.75</v>
      </c>
    </row>
    <row r="74" spans="1:9" ht="15.75" x14ac:dyDescent="0.25">
      <c r="A74" s="135" t="s">
        <v>203</v>
      </c>
      <c r="B74" s="135"/>
      <c r="C74" s="57">
        <f ca="1">I75</f>
        <v>23</v>
      </c>
      <c r="D74" s="68">
        <f ca="1">((100/G71)*C74)/100</f>
        <v>1</v>
      </c>
      <c r="E74" s="136">
        <f ca="1">(((C75/G71*10)+(40/(C71+E71+G71)*C76)+(7.5/(G71)*C77)+(7.5/(G71)*C78)+(10/G71*C79)+(10/G71*C80)+(5/G71*C81)+(5/G71*C82)+(5/G71*C83))/100)</f>
        <v>0.84565217391304359</v>
      </c>
      <c r="F74" s="136"/>
      <c r="G74" s="136">
        <f ca="1">((((C74/G71)*20)+((C75/G71)*25)+(30/(G71+E71+C71)*C76)+(5/G71*C77)+(5/G71*C78)+(5/G71*C79)+(5/G71*C80)+(0/G71*C81)+(0/G71*C82)+(5/G71*C83))/100)</f>
        <v>0.93695652173913047</v>
      </c>
      <c r="H74" s="50" t="s">
        <v>204</v>
      </c>
      <c r="I74" s="51">
        <f ca="1">G71*50%</f>
        <v>11.5</v>
      </c>
    </row>
    <row r="75" spans="1:9" ht="15.75" x14ac:dyDescent="0.25">
      <c r="A75" s="135" t="s">
        <v>188</v>
      </c>
      <c r="B75" s="135"/>
      <c r="C75" s="58">
        <f ca="1">I83</f>
        <v>23</v>
      </c>
      <c r="D75" s="68">
        <f ca="1">((100/G71)*C75)/100</f>
        <v>1</v>
      </c>
      <c r="E75" s="136"/>
      <c r="F75" s="136"/>
      <c r="G75" s="136"/>
      <c r="H75" s="50" t="s">
        <v>205</v>
      </c>
      <c r="I75" s="51">
        <f ca="1">G71</f>
        <v>23</v>
      </c>
    </row>
    <row r="76" spans="1:9" ht="15.75" x14ac:dyDescent="0.25">
      <c r="A76" s="135" t="s">
        <v>206</v>
      </c>
      <c r="B76" s="135"/>
      <c r="C76" s="58">
        <v>24</v>
      </c>
      <c r="D76" s="68">
        <f ca="1">((100/(C71+E71+G71))*C76)/100</f>
        <v>1</v>
      </c>
      <c r="E76" s="136"/>
      <c r="F76" s="136"/>
      <c r="G76" s="136"/>
      <c r="H76" s="50" t="s">
        <v>207</v>
      </c>
      <c r="I76" s="52">
        <f ca="1">(IF(B71&gt;1,(G71/(B71+2)),G71/4))</f>
        <v>5.75</v>
      </c>
    </row>
    <row r="77" spans="1:9" ht="15.75" x14ac:dyDescent="0.25">
      <c r="A77" s="135" t="s">
        <v>208</v>
      </c>
      <c r="B77" s="135" t="s">
        <v>209</v>
      </c>
      <c r="C77" s="57">
        <v>23</v>
      </c>
      <c r="D77" s="68">
        <f ca="1">((100/G71)*C77)/100</f>
        <v>1</v>
      </c>
      <c r="E77" s="136"/>
      <c r="F77" s="136"/>
      <c r="G77" s="136"/>
      <c r="H77" s="50" t="s">
        <v>210</v>
      </c>
      <c r="I77" s="52">
        <f ca="1">(IF(B71&gt;1,(G71/(B71+2)+I76),G71/4+I76))</f>
        <v>11.5</v>
      </c>
    </row>
    <row r="78" spans="1:9" ht="15.75" x14ac:dyDescent="0.25">
      <c r="A78" s="135" t="s">
        <v>211</v>
      </c>
      <c r="B78" s="135" t="s">
        <v>209</v>
      </c>
      <c r="C78" s="57">
        <v>23</v>
      </c>
      <c r="D78" s="68">
        <f ca="1">((100/G71)*C78)/100</f>
        <v>1</v>
      </c>
      <c r="E78" s="136"/>
      <c r="F78" s="136"/>
      <c r="G78" s="136"/>
      <c r="H78" s="50" t="s">
        <v>212</v>
      </c>
      <c r="I78" s="52">
        <f>(IF(B71&gt;1,(G71/(B71+2)+I77),0))</f>
        <v>0</v>
      </c>
    </row>
    <row r="79" spans="1:9" ht="15.75" x14ac:dyDescent="0.25">
      <c r="A79" s="135" t="s">
        <v>213</v>
      </c>
      <c r="B79" s="135" t="s">
        <v>214</v>
      </c>
      <c r="C79" s="57">
        <v>23</v>
      </c>
      <c r="D79" s="68">
        <f ca="1">((100/(G71))*C79)/100</f>
        <v>1</v>
      </c>
      <c r="E79" s="136"/>
      <c r="F79" s="136"/>
      <c r="G79" s="136"/>
      <c r="H79" s="50" t="s">
        <v>215</v>
      </c>
      <c r="I79" s="52">
        <f>(IF(B71&gt;2,(G71/(B71+2)+I78),0))</f>
        <v>0</v>
      </c>
    </row>
    <row r="80" spans="1:9" ht="15.75" x14ac:dyDescent="0.25">
      <c r="A80" s="135" t="s">
        <v>216</v>
      </c>
      <c r="B80" s="135" t="s">
        <v>216</v>
      </c>
      <c r="C80" s="57">
        <v>17</v>
      </c>
      <c r="D80" s="68">
        <f ca="1">((100/G71)*C80)/100</f>
        <v>0.73913043478260865</v>
      </c>
      <c r="E80" s="136"/>
      <c r="F80" s="136"/>
      <c r="G80" s="136"/>
      <c r="H80" s="50" t="s">
        <v>217</v>
      </c>
      <c r="I80" s="53">
        <f>(IF(B71&gt;3,(G71/(B71+2)+I79),0))</f>
        <v>0</v>
      </c>
    </row>
    <row r="81" spans="1:14" ht="15.75" x14ac:dyDescent="0.25">
      <c r="A81" s="135" t="s">
        <v>218</v>
      </c>
      <c r="B81" s="135"/>
      <c r="C81" s="57">
        <v>10</v>
      </c>
      <c r="D81" s="68">
        <f ca="1">((100/G71)*C81)/100</f>
        <v>0.43478260869565216</v>
      </c>
      <c r="E81" s="136"/>
      <c r="F81" s="136"/>
      <c r="G81" s="136"/>
      <c r="H81" s="50" t="s">
        <v>219</v>
      </c>
      <c r="I81" s="52">
        <f>(IF(B71&gt;4,(G71/(B71+2)+I80),0))</f>
        <v>0</v>
      </c>
    </row>
    <row r="82" spans="1:14" ht="15.75" x14ac:dyDescent="0.25">
      <c r="A82" s="135" t="s">
        <v>220</v>
      </c>
      <c r="B82" s="135" t="s">
        <v>220</v>
      </c>
      <c r="C82" s="57">
        <v>0</v>
      </c>
      <c r="D82" s="68">
        <f ca="1">((100/(G71))*C82)/100</f>
        <v>0</v>
      </c>
      <c r="E82" s="136"/>
      <c r="F82" s="136"/>
      <c r="G82" s="136"/>
      <c r="H82" s="50" t="s">
        <v>221</v>
      </c>
      <c r="I82" s="52">
        <f ca="1">(IF(B71=1,(G71/(B71+3)+I77),IF(B71=0,(G71/4+I77),IF(B71&gt;1,0))))</f>
        <v>17.25</v>
      </c>
    </row>
    <row r="83" spans="1:14" ht="16.5" thickBot="1" x14ac:dyDescent="0.3">
      <c r="A83" s="135" t="s">
        <v>222</v>
      </c>
      <c r="B83" s="135"/>
      <c r="C83" s="57">
        <v>0</v>
      </c>
      <c r="D83" s="68">
        <f ca="1">((100/(G71))*C83)/100</f>
        <v>0</v>
      </c>
      <c r="E83" s="136"/>
      <c r="F83" s="136"/>
      <c r="G83" s="136"/>
      <c r="H83" s="54" t="s">
        <v>223</v>
      </c>
      <c r="I83" s="55">
        <f ca="1">(IF(B71&gt;1.5,(G71/(B71+2)+I77+MAX(0,I78-I77)+MAX(0,I79-I78)+MAX(0,I80-I79)+MAX(0,I81-I80)+MAX(0,I82-I81)),IF(B71=1,(G71/(B71+3)+I82),IF(B71=0,G71/4+I82))))</f>
        <v>23</v>
      </c>
    </row>
    <row r="84" spans="1:14" ht="15" x14ac:dyDescent="0.2">
      <c r="A84" s="123" t="s">
        <v>87</v>
      </c>
      <c r="B84" s="124"/>
      <c r="C84" s="124"/>
      <c r="D84" s="124"/>
      <c r="E84" s="124"/>
      <c r="F84" s="124"/>
      <c r="G84" s="125"/>
    </row>
    <row r="85" spans="1:14" ht="15" x14ac:dyDescent="0.2">
      <c r="A85" s="85" t="s">
        <v>88</v>
      </c>
      <c r="B85" s="86"/>
      <c r="C85" s="86"/>
      <c r="D85" s="86"/>
      <c r="E85" s="86"/>
      <c r="F85" s="86"/>
      <c r="G85" s="90"/>
    </row>
    <row r="86" spans="1:14" x14ac:dyDescent="0.2">
      <c r="A86" s="102" t="s">
        <v>89</v>
      </c>
      <c r="B86" s="100"/>
      <c r="C86" s="100"/>
      <c r="D86" s="100"/>
      <c r="E86" s="100"/>
      <c r="F86" s="100"/>
      <c r="G86" s="101"/>
    </row>
    <row r="87" spans="1:14" ht="14.25" x14ac:dyDescent="0.2">
      <c r="A87" s="107" t="s">
        <v>90</v>
      </c>
      <c r="B87" s="92"/>
      <c r="C87" s="92"/>
      <c r="D87" s="92"/>
      <c r="E87" s="92"/>
      <c r="F87" s="92"/>
      <c r="G87" s="93"/>
    </row>
    <row r="88" spans="1:14" ht="15" x14ac:dyDescent="0.2">
      <c r="A88" s="85" t="s">
        <v>91</v>
      </c>
      <c r="B88" s="86"/>
      <c r="C88" s="86"/>
      <c r="D88" s="86"/>
      <c r="E88" s="90"/>
      <c r="F88" s="144">
        <v>16500</v>
      </c>
      <c r="G88" s="145"/>
      <c r="H88" s="146" t="s">
        <v>243</v>
      </c>
      <c r="I88" s="146"/>
      <c r="J88" s="146"/>
      <c r="K88" s="146"/>
      <c r="L88" s="146"/>
      <c r="M88" s="146"/>
      <c r="N88" s="146"/>
    </row>
    <row r="89" spans="1:14" ht="15" x14ac:dyDescent="0.2">
      <c r="A89" s="85" t="s">
        <v>92</v>
      </c>
      <c r="B89" s="86"/>
      <c r="C89" s="86"/>
      <c r="D89" s="86"/>
      <c r="E89" s="90"/>
      <c r="F89" s="85" t="s">
        <v>93</v>
      </c>
      <c r="G89" s="90"/>
    </row>
    <row r="90" spans="1:14" ht="15" x14ac:dyDescent="0.2">
      <c r="A90" s="85" t="s">
        <v>94</v>
      </c>
      <c r="B90" s="86"/>
      <c r="C90" s="86"/>
      <c r="D90" s="86"/>
      <c r="E90" s="90"/>
      <c r="F90" s="85" t="s">
        <v>95</v>
      </c>
      <c r="G90" s="90"/>
    </row>
    <row r="91" spans="1:14" ht="15" x14ac:dyDescent="0.2">
      <c r="A91" s="85" t="s">
        <v>96</v>
      </c>
      <c r="B91" s="86"/>
      <c r="C91" s="86"/>
      <c r="D91" s="86"/>
      <c r="E91" s="90"/>
      <c r="F91" s="85" t="s">
        <v>95</v>
      </c>
      <c r="G91" s="90"/>
    </row>
    <row r="92" spans="1:14" ht="15" x14ac:dyDescent="0.2">
      <c r="A92" s="94" t="s">
        <v>234</v>
      </c>
      <c r="B92" s="86"/>
      <c r="C92" s="86"/>
      <c r="D92" s="86"/>
      <c r="E92" s="90"/>
      <c r="F92" s="94" t="s">
        <v>230</v>
      </c>
      <c r="G92" s="90"/>
    </row>
    <row r="93" spans="1:14" ht="15" x14ac:dyDescent="0.2">
      <c r="A93" s="94" t="s">
        <v>235</v>
      </c>
      <c r="B93" s="86"/>
      <c r="C93" s="86"/>
      <c r="D93" s="86"/>
      <c r="E93" s="90"/>
      <c r="F93" s="94" t="s">
        <v>231</v>
      </c>
      <c r="G93" s="90"/>
    </row>
    <row r="94" spans="1:14" ht="15" x14ac:dyDescent="0.2">
      <c r="A94" s="85" t="s">
        <v>97</v>
      </c>
      <c r="B94" s="86"/>
      <c r="C94" s="86"/>
      <c r="D94" s="86"/>
      <c r="E94" s="90"/>
      <c r="F94" s="85" t="s">
        <v>98</v>
      </c>
      <c r="G94" s="90"/>
    </row>
    <row r="95" spans="1:14" ht="15" x14ac:dyDescent="0.2">
      <c r="A95" s="94" t="s">
        <v>236</v>
      </c>
      <c r="B95" s="86"/>
      <c r="C95" s="86"/>
      <c r="D95" s="86"/>
      <c r="E95" s="90"/>
      <c r="F95" s="94" t="s">
        <v>232</v>
      </c>
      <c r="G95" s="90"/>
    </row>
    <row r="96" spans="1:14" ht="15" x14ac:dyDescent="0.2">
      <c r="A96" s="107" t="s">
        <v>99</v>
      </c>
      <c r="B96" s="92"/>
      <c r="C96" s="92"/>
      <c r="D96" s="92"/>
      <c r="E96" s="93"/>
      <c r="F96" s="95">
        <v>15520</v>
      </c>
      <c r="G96" s="97"/>
    </row>
    <row r="97" spans="1:10" ht="18.75" x14ac:dyDescent="0.2">
      <c r="A97" s="147" t="s">
        <v>100</v>
      </c>
      <c r="B97" s="148"/>
      <c r="C97" s="148"/>
      <c r="D97" s="148"/>
      <c r="E97" s="148"/>
      <c r="F97" s="148"/>
      <c r="G97" s="149"/>
    </row>
    <row r="98" spans="1:10" ht="14.25" x14ac:dyDescent="0.2">
      <c r="A98" s="82" t="s">
        <v>101</v>
      </c>
      <c r="B98" s="83"/>
      <c r="C98" s="83"/>
      <c r="D98" s="83"/>
      <c r="E98" s="83"/>
      <c r="F98" s="83"/>
      <c r="G98" s="84"/>
    </row>
    <row r="99" spans="1:10" ht="42.75" x14ac:dyDescent="0.2">
      <c r="A99" s="150" t="s">
        <v>102</v>
      </c>
      <c r="B99" s="151"/>
      <c r="C99" s="35" t="s">
        <v>103</v>
      </c>
      <c r="D99" s="35" t="s">
        <v>104</v>
      </c>
      <c r="E99" s="36" t="s">
        <v>105</v>
      </c>
      <c r="F99" s="37" t="s">
        <v>106</v>
      </c>
      <c r="G99" s="35" t="s">
        <v>107</v>
      </c>
    </row>
    <row r="100" spans="1:10" ht="15.75" x14ac:dyDescent="0.2">
      <c r="A100" s="152" t="s">
        <v>108</v>
      </c>
      <c r="B100" s="153"/>
      <c r="C100" s="153"/>
      <c r="D100" s="153"/>
      <c r="E100" s="153"/>
      <c r="F100" s="153"/>
      <c r="G100" s="154"/>
    </row>
    <row r="101" spans="1:10" ht="15.75" x14ac:dyDescent="0.2">
      <c r="A101" s="152" t="s">
        <v>109</v>
      </c>
      <c r="B101" s="153"/>
      <c r="C101" s="153"/>
      <c r="D101" s="153"/>
      <c r="E101" s="153"/>
      <c r="F101" s="153"/>
      <c r="G101" s="154"/>
    </row>
    <row r="102" spans="1:10" ht="15.75" x14ac:dyDescent="0.2">
      <c r="A102" s="155" t="s">
        <v>110</v>
      </c>
      <c r="B102" s="153"/>
      <c r="C102" s="153"/>
      <c r="D102" s="153"/>
      <c r="E102" s="153"/>
      <c r="F102" s="153"/>
      <c r="G102" s="154"/>
    </row>
    <row r="103" spans="1:10" ht="15.75" x14ac:dyDescent="0.2">
      <c r="A103" s="155" t="s">
        <v>238</v>
      </c>
      <c r="B103" s="153"/>
      <c r="C103" s="153"/>
      <c r="D103" s="153"/>
      <c r="E103" s="153"/>
      <c r="F103" s="153"/>
      <c r="G103" s="154"/>
    </row>
    <row r="104" spans="1:10" ht="15.75" x14ac:dyDescent="0.2">
      <c r="A104" s="155" t="s">
        <v>111</v>
      </c>
      <c r="B104" s="153"/>
      <c r="C104" s="153"/>
      <c r="D104" s="153"/>
      <c r="E104" s="153"/>
      <c r="F104" s="153"/>
      <c r="G104" s="154"/>
    </row>
    <row r="105" spans="1:10" ht="15.75" x14ac:dyDescent="0.2">
      <c r="A105" s="155" t="s">
        <v>112</v>
      </c>
      <c r="B105" s="153"/>
      <c r="C105" s="153"/>
      <c r="D105" s="153"/>
      <c r="E105" s="153"/>
      <c r="F105" s="153"/>
      <c r="G105" s="154"/>
    </row>
    <row r="106" spans="1:10" ht="15.75" x14ac:dyDescent="0.2">
      <c r="A106" s="38">
        <v>1</v>
      </c>
      <c r="B106" s="39" t="s">
        <v>113</v>
      </c>
      <c r="C106" s="39" t="s">
        <v>114</v>
      </c>
      <c r="D106" s="38">
        <f>27.97*10.764</f>
        <v>301.06907999999999</v>
      </c>
      <c r="E106" s="38">
        <v>0</v>
      </c>
      <c r="F106" s="38">
        <v>452</v>
      </c>
      <c r="G106" s="171" t="str">
        <f>A105</f>
        <v>3rd &amp; 5th Floor</v>
      </c>
      <c r="H106">
        <f>F106/D106</f>
        <v>1.5013165749202808</v>
      </c>
    </row>
    <row r="107" spans="1:10" ht="15.75" x14ac:dyDescent="0.2">
      <c r="A107" s="38">
        <v>2</v>
      </c>
      <c r="B107" s="39" t="s">
        <v>113</v>
      </c>
      <c r="C107" s="39" t="s">
        <v>114</v>
      </c>
      <c r="D107" s="38">
        <f>27.87*10.764</f>
        <v>299.99268000000001</v>
      </c>
      <c r="E107" s="38">
        <v>0</v>
      </c>
      <c r="F107" s="38">
        <v>450</v>
      </c>
      <c r="G107" s="168"/>
      <c r="H107">
        <f t="shared" ref="H107:H109" si="0">F107/D107</f>
        <v>1.5000366008930617</v>
      </c>
    </row>
    <row r="108" spans="1:10" ht="15.75" x14ac:dyDescent="0.2">
      <c r="A108" s="38">
        <v>3</v>
      </c>
      <c r="B108" s="35" t="s">
        <v>115</v>
      </c>
      <c r="C108" s="39" t="s">
        <v>114</v>
      </c>
      <c r="D108" s="38">
        <f>27.87*10.764</f>
        <v>299.99268000000001</v>
      </c>
      <c r="E108" s="38">
        <v>0</v>
      </c>
      <c r="F108" s="38">
        <v>450</v>
      </c>
      <c r="G108" s="168"/>
      <c r="H108">
        <f t="shared" si="0"/>
        <v>1.5000366008930617</v>
      </c>
      <c r="J108">
        <f>100*F109</f>
        <v>45000</v>
      </c>
    </row>
    <row r="109" spans="1:10" ht="15.75" x14ac:dyDescent="0.2">
      <c r="A109" s="38">
        <v>4</v>
      </c>
      <c r="B109" s="35" t="s">
        <v>115</v>
      </c>
      <c r="C109" s="39" t="s">
        <v>114</v>
      </c>
      <c r="D109" s="38">
        <f t="shared" ref="D109" si="1">27.87*10.764</f>
        <v>299.99268000000001</v>
      </c>
      <c r="E109" s="38">
        <v>0</v>
      </c>
      <c r="F109" s="38">
        <v>450</v>
      </c>
      <c r="G109" s="168"/>
      <c r="H109">
        <f t="shared" si="0"/>
        <v>1.5000366008930617</v>
      </c>
      <c r="J109">
        <f>100*F110</f>
        <v>45000</v>
      </c>
    </row>
    <row r="110" spans="1:10" ht="15.75" x14ac:dyDescent="0.2">
      <c r="A110" s="38">
        <v>5</v>
      </c>
      <c r="B110" s="35" t="s">
        <v>115</v>
      </c>
      <c r="C110" s="39" t="s">
        <v>114</v>
      </c>
      <c r="D110" s="38">
        <f>27.89*10.764</f>
        <v>300.20796000000001</v>
      </c>
      <c r="E110" s="38">
        <v>0</v>
      </c>
      <c r="F110" s="38">
        <v>450</v>
      </c>
      <c r="G110" s="168"/>
    </row>
    <row r="111" spans="1:10" ht="15.75" x14ac:dyDescent="0.2">
      <c r="A111" s="71">
        <v>6</v>
      </c>
      <c r="B111" s="72" t="s">
        <v>113</v>
      </c>
      <c r="C111" s="72" t="s">
        <v>114</v>
      </c>
      <c r="D111" s="71">
        <f>27.9*10.764</f>
        <v>300.31559999999996</v>
      </c>
      <c r="E111" s="71">
        <v>0</v>
      </c>
      <c r="F111" s="71">
        <v>450</v>
      </c>
      <c r="G111" s="168"/>
    </row>
    <row r="112" spans="1:10" ht="15" customHeight="1" x14ac:dyDescent="0.2">
      <c r="A112" s="156" t="s">
        <v>116</v>
      </c>
      <c r="B112" s="157"/>
      <c r="C112" s="157"/>
      <c r="D112" s="157"/>
      <c r="E112" s="157"/>
      <c r="F112" s="157"/>
      <c r="G112" s="157"/>
    </row>
    <row r="113" spans="1:10" ht="15.6" customHeight="1" x14ac:dyDescent="0.2">
      <c r="A113" s="73">
        <v>1</v>
      </c>
      <c r="B113" s="74" t="s">
        <v>113</v>
      </c>
      <c r="C113" s="74" t="s">
        <v>114</v>
      </c>
      <c r="D113" s="73">
        <f>27.97*10.764</f>
        <v>301.06907999999999</v>
      </c>
      <c r="E113" s="73">
        <v>0</v>
      </c>
      <c r="F113" s="73">
        <v>452</v>
      </c>
      <c r="G113" s="172" t="str">
        <f>A112</f>
        <v>4th, 6th, 7th, 9th &amp; 10th Floor</v>
      </c>
      <c r="H113">
        <f>F113/D113</f>
        <v>1.5013165749202808</v>
      </c>
    </row>
    <row r="114" spans="1:10" ht="15.75" x14ac:dyDescent="0.2">
      <c r="A114" s="73">
        <v>2</v>
      </c>
      <c r="B114" s="74" t="s">
        <v>113</v>
      </c>
      <c r="C114" s="74" t="s">
        <v>114</v>
      </c>
      <c r="D114" s="73">
        <f>27.87*10.764</f>
        <v>299.99268000000001</v>
      </c>
      <c r="E114" s="73">
        <v>0</v>
      </c>
      <c r="F114" s="73">
        <v>450</v>
      </c>
      <c r="G114" s="170"/>
      <c r="H114">
        <f t="shared" ref="H114:H117" si="2">F114/D114</f>
        <v>1.5000366008930617</v>
      </c>
    </row>
    <row r="115" spans="1:10" ht="15.75" x14ac:dyDescent="0.2">
      <c r="A115" s="73">
        <v>3</v>
      </c>
      <c r="B115" s="75" t="s">
        <v>115</v>
      </c>
      <c r="C115" s="74" t="s">
        <v>114</v>
      </c>
      <c r="D115" s="73">
        <f>27.87*10.764</f>
        <v>299.99268000000001</v>
      </c>
      <c r="E115" s="73">
        <v>0</v>
      </c>
      <c r="F115" s="73">
        <v>450</v>
      </c>
      <c r="G115" s="170"/>
      <c r="H115">
        <f t="shared" si="2"/>
        <v>1.5000366008930617</v>
      </c>
    </row>
    <row r="116" spans="1:10" ht="15.75" x14ac:dyDescent="0.2">
      <c r="A116" s="73">
        <v>4</v>
      </c>
      <c r="B116" s="75" t="s">
        <v>115</v>
      </c>
      <c r="C116" s="74" t="s">
        <v>114</v>
      </c>
      <c r="D116" s="73">
        <f t="shared" ref="D116" si="3">27.87*10.764</f>
        <v>299.99268000000001</v>
      </c>
      <c r="E116" s="73">
        <v>0</v>
      </c>
      <c r="F116" s="73">
        <v>450</v>
      </c>
      <c r="G116" s="170"/>
      <c r="H116">
        <f t="shared" si="2"/>
        <v>1.5000366008930617</v>
      </c>
      <c r="J116">
        <f>100*F117</f>
        <v>45000</v>
      </c>
    </row>
    <row r="117" spans="1:10" ht="15.75" x14ac:dyDescent="0.2">
      <c r="A117" s="73">
        <v>5</v>
      </c>
      <c r="B117" s="74" t="s">
        <v>113</v>
      </c>
      <c r="C117" s="74" t="s">
        <v>114</v>
      </c>
      <c r="D117" s="73">
        <f>27.89*10.764</f>
        <v>300.20796000000001</v>
      </c>
      <c r="E117" s="73">
        <v>0</v>
      </c>
      <c r="F117" s="73">
        <v>450</v>
      </c>
      <c r="G117" s="170"/>
      <c r="H117">
        <f t="shared" si="2"/>
        <v>1.4989609202900549</v>
      </c>
      <c r="J117">
        <f>100*F118</f>
        <v>45000</v>
      </c>
    </row>
    <row r="118" spans="1:10" ht="15.75" x14ac:dyDescent="0.2">
      <c r="A118" s="73">
        <v>6</v>
      </c>
      <c r="B118" s="74" t="s">
        <v>113</v>
      </c>
      <c r="C118" s="74" t="s">
        <v>114</v>
      </c>
      <c r="D118" s="73">
        <f>27.9*10.764</f>
        <v>300.31559999999996</v>
      </c>
      <c r="E118" s="73">
        <v>0</v>
      </c>
      <c r="F118" s="73">
        <v>450</v>
      </c>
      <c r="G118" s="170"/>
    </row>
    <row r="119" spans="1:10" ht="15.75" x14ac:dyDescent="0.2">
      <c r="A119" s="156" t="s">
        <v>117</v>
      </c>
      <c r="B119" s="157"/>
      <c r="C119" s="157"/>
      <c r="D119" s="157"/>
      <c r="E119" s="157"/>
      <c r="F119" s="157"/>
      <c r="G119" s="157"/>
    </row>
    <row r="120" spans="1:10" ht="15.75" x14ac:dyDescent="0.2">
      <c r="A120" s="73">
        <v>1</v>
      </c>
      <c r="B120" s="74" t="s">
        <v>113</v>
      </c>
      <c r="C120" s="74" t="s">
        <v>114</v>
      </c>
      <c r="D120" s="73">
        <f>27.97*10.764</f>
        <v>301.06907999999999</v>
      </c>
      <c r="E120" s="73">
        <v>0</v>
      </c>
      <c r="F120" s="73">
        <v>452</v>
      </c>
      <c r="G120" s="172" t="str">
        <f>A119</f>
        <v>8th Floor (Part Refuge Area)</v>
      </c>
    </row>
    <row r="121" spans="1:10" ht="15.75" x14ac:dyDescent="0.2">
      <c r="A121" s="73">
        <v>2</v>
      </c>
      <c r="B121" s="74" t="s">
        <v>113</v>
      </c>
      <c r="C121" s="74" t="s">
        <v>114</v>
      </c>
      <c r="D121" s="73">
        <f>27.87*10.764</f>
        <v>299.99268000000001</v>
      </c>
      <c r="E121" s="73">
        <v>0</v>
      </c>
      <c r="F121" s="73">
        <v>450</v>
      </c>
      <c r="G121" s="170"/>
    </row>
    <row r="122" spans="1:10" ht="15.75" x14ac:dyDescent="0.2">
      <c r="A122" s="73">
        <v>3</v>
      </c>
      <c r="B122" s="75" t="s">
        <v>115</v>
      </c>
      <c r="C122" s="74" t="s">
        <v>114</v>
      </c>
      <c r="D122" s="73">
        <f>27.87*10.764</f>
        <v>299.99268000000001</v>
      </c>
      <c r="E122" s="73">
        <v>0</v>
      </c>
      <c r="F122" s="73">
        <v>450</v>
      </c>
      <c r="G122" s="170"/>
    </row>
    <row r="123" spans="1:10" ht="15.75" x14ac:dyDescent="0.2">
      <c r="A123" s="73">
        <v>4</v>
      </c>
      <c r="B123" s="74" t="s">
        <v>113</v>
      </c>
      <c r="C123" s="74" t="s">
        <v>114</v>
      </c>
      <c r="D123" s="73">
        <f t="shared" ref="D123" si="4">27.87*10.764</f>
        <v>299.99268000000001</v>
      </c>
      <c r="E123" s="73">
        <v>0</v>
      </c>
      <c r="F123" s="73">
        <v>450</v>
      </c>
      <c r="G123" s="170"/>
    </row>
    <row r="124" spans="1:10" ht="15.75" x14ac:dyDescent="0.2">
      <c r="A124" s="73">
        <v>5</v>
      </c>
      <c r="B124" s="158" t="s">
        <v>118</v>
      </c>
      <c r="C124" s="159"/>
      <c r="D124" s="159"/>
      <c r="E124" s="159"/>
      <c r="F124" s="159"/>
      <c r="G124" s="170"/>
    </row>
    <row r="125" spans="1:10" ht="15.75" x14ac:dyDescent="0.2">
      <c r="A125" s="73">
        <v>6</v>
      </c>
      <c r="B125" s="159" t="s">
        <v>119</v>
      </c>
      <c r="C125" s="159"/>
      <c r="D125" s="159"/>
      <c r="E125" s="159"/>
      <c r="F125" s="159"/>
      <c r="G125" s="170"/>
    </row>
    <row r="126" spans="1:10" ht="15" customHeight="1" x14ac:dyDescent="0.2">
      <c r="A126" s="160" t="s">
        <v>120</v>
      </c>
      <c r="B126" s="161"/>
      <c r="C126" s="161"/>
      <c r="D126" s="161"/>
      <c r="E126" s="161"/>
      <c r="F126" s="161"/>
      <c r="G126" s="162"/>
    </row>
    <row r="127" spans="1:10" ht="15.6" customHeight="1" x14ac:dyDescent="0.2">
      <c r="A127" s="38">
        <v>1</v>
      </c>
      <c r="B127" s="39" t="s">
        <v>113</v>
      </c>
      <c r="C127" s="39" t="s">
        <v>114</v>
      </c>
      <c r="D127" s="38">
        <f>27.97*10.764</f>
        <v>301.06907999999999</v>
      </c>
      <c r="E127" s="38">
        <v>0</v>
      </c>
      <c r="F127" s="38">
        <v>452</v>
      </c>
      <c r="G127" s="171" t="str">
        <f>A126</f>
        <v>11th &amp; 12th Floor</v>
      </c>
      <c r="H127">
        <f>F127/D127</f>
        <v>1.5013165749202808</v>
      </c>
    </row>
    <row r="128" spans="1:10" ht="15.75" x14ac:dyDescent="0.2">
      <c r="A128" s="38">
        <v>2</v>
      </c>
      <c r="B128" s="39" t="s">
        <v>113</v>
      </c>
      <c r="C128" s="39" t="s">
        <v>114</v>
      </c>
      <c r="D128" s="38">
        <f>27.87*10.764</f>
        <v>299.99268000000001</v>
      </c>
      <c r="E128" s="38">
        <v>0</v>
      </c>
      <c r="F128" s="38">
        <v>450</v>
      </c>
      <c r="G128" s="168"/>
      <c r="H128">
        <f t="shared" ref="H128:H131" si="5">F128/D128</f>
        <v>1.5000366008930617</v>
      </c>
    </row>
    <row r="129" spans="1:10" ht="15.75" x14ac:dyDescent="0.2">
      <c r="A129" s="38">
        <v>3</v>
      </c>
      <c r="B129" s="35" t="s">
        <v>115</v>
      </c>
      <c r="C129" s="39" t="s">
        <v>114</v>
      </c>
      <c r="D129" s="38">
        <f>27.87*10.764</f>
        <v>299.99268000000001</v>
      </c>
      <c r="E129" s="38">
        <v>0</v>
      </c>
      <c r="F129" s="38">
        <v>450</v>
      </c>
      <c r="G129" s="168"/>
      <c r="H129">
        <f t="shared" si="5"/>
        <v>1.5000366008930617</v>
      </c>
      <c r="J129">
        <f>100*F130</f>
        <v>45000</v>
      </c>
    </row>
    <row r="130" spans="1:10" ht="15.75" x14ac:dyDescent="0.2">
      <c r="A130" s="38">
        <v>4</v>
      </c>
      <c r="B130" s="35" t="s">
        <v>115</v>
      </c>
      <c r="C130" s="39" t="s">
        <v>114</v>
      </c>
      <c r="D130" s="38">
        <f t="shared" ref="D130" si="6">27.87*10.764</f>
        <v>299.99268000000001</v>
      </c>
      <c r="E130" s="38">
        <v>0</v>
      </c>
      <c r="F130" s="38">
        <v>450</v>
      </c>
      <c r="G130" s="168"/>
      <c r="H130">
        <f t="shared" si="5"/>
        <v>1.5000366008930617</v>
      </c>
      <c r="J130">
        <f>100*F131</f>
        <v>45000</v>
      </c>
    </row>
    <row r="131" spans="1:10" ht="15.75" x14ac:dyDescent="0.2">
      <c r="A131" s="38">
        <v>5</v>
      </c>
      <c r="B131" s="39" t="s">
        <v>113</v>
      </c>
      <c r="C131" s="39" t="s">
        <v>114</v>
      </c>
      <c r="D131" s="38">
        <f>27.89*10.764</f>
        <v>300.20796000000001</v>
      </c>
      <c r="E131" s="38">
        <v>0</v>
      </c>
      <c r="F131" s="38">
        <v>450</v>
      </c>
      <c r="G131" s="168"/>
      <c r="H131">
        <f t="shared" si="5"/>
        <v>1.4989609202900549</v>
      </c>
    </row>
    <row r="132" spans="1:10" ht="15.75" x14ac:dyDescent="0.2">
      <c r="A132" s="38">
        <v>6</v>
      </c>
      <c r="B132" s="39" t="s">
        <v>113</v>
      </c>
      <c r="C132" s="39" t="s">
        <v>114</v>
      </c>
      <c r="D132" s="38">
        <f>27.9*10.764</f>
        <v>300.31559999999996</v>
      </c>
      <c r="E132" s="38">
        <v>0</v>
      </c>
      <c r="F132" s="38">
        <v>450</v>
      </c>
      <c r="G132" s="169"/>
    </row>
    <row r="133" spans="1:10" ht="15.75" x14ac:dyDescent="0.2">
      <c r="A133" s="155" t="s">
        <v>121</v>
      </c>
      <c r="B133" s="153"/>
      <c r="C133" s="153"/>
      <c r="D133" s="153"/>
      <c r="E133" s="153"/>
      <c r="F133" s="153"/>
      <c r="G133" s="154"/>
    </row>
    <row r="134" spans="1:10" ht="15.6" customHeight="1" x14ac:dyDescent="0.2">
      <c r="A134" s="38">
        <v>1</v>
      </c>
      <c r="B134" s="39" t="s">
        <v>113</v>
      </c>
      <c r="C134" s="39" t="s">
        <v>114</v>
      </c>
      <c r="D134" s="38">
        <f>27.97*10.764</f>
        <v>301.06907999999999</v>
      </c>
      <c r="E134" s="38">
        <v>0</v>
      </c>
      <c r="F134" s="38">
        <v>452</v>
      </c>
      <c r="G134" s="171" t="str">
        <f>A133</f>
        <v>13th, 14th &amp; 17th Floor</v>
      </c>
    </row>
    <row r="135" spans="1:10" ht="15.75" x14ac:dyDescent="0.2">
      <c r="A135" s="38">
        <v>2</v>
      </c>
      <c r="B135" s="39" t="s">
        <v>113</v>
      </c>
      <c r="C135" s="39" t="s">
        <v>114</v>
      </c>
      <c r="D135" s="38">
        <f>27.87*10.764</f>
        <v>299.99268000000001</v>
      </c>
      <c r="E135" s="38">
        <v>0</v>
      </c>
      <c r="F135" s="38">
        <v>450</v>
      </c>
      <c r="G135" s="168"/>
    </row>
    <row r="136" spans="1:10" ht="15.75" x14ac:dyDescent="0.2">
      <c r="A136" s="38">
        <v>3</v>
      </c>
      <c r="B136" s="35" t="s">
        <v>115</v>
      </c>
      <c r="C136" s="39" t="s">
        <v>114</v>
      </c>
      <c r="D136" s="38">
        <f>27.87*10.764</f>
        <v>299.99268000000001</v>
      </c>
      <c r="E136" s="38">
        <v>0</v>
      </c>
      <c r="F136" s="38">
        <v>450</v>
      </c>
      <c r="G136" s="168"/>
    </row>
    <row r="137" spans="1:10" ht="15.75" x14ac:dyDescent="0.2">
      <c r="A137" s="38">
        <v>4</v>
      </c>
      <c r="B137" s="35" t="s">
        <v>115</v>
      </c>
      <c r="C137" s="39" t="s">
        <v>114</v>
      </c>
      <c r="D137" s="38">
        <f t="shared" ref="D137" si="7">27.87*10.764</f>
        <v>299.99268000000001</v>
      </c>
      <c r="E137" s="38">
        <v>0</v>
      </c>
      <c r="F137" s="38">
        <v>450</v>
      </c>
      <c r="G137" s="168"/>
      <c r="J137">
        <f>40*F137</f>
        <v>18000</v>
      </c>
    </row>
    <row r="138" spans="1:10" ht="15.75" x14ac:dyDescent="0.2">
      <c r="A138" s="38">
        <v>5</v>
      </c>
      <c r="B138" s="39" t="s">
        <v>113</v>
      </c>
      <c r="C138" s="39" t="s">
        <v>114</v>
      </c>
      <c r="D138" s="38">
        <f>27.89*10.764</f>
        <v>300.20796000000001</v>
      </c>
      <c r="E138" s="38">
        <v>0</v>
      </c>
      <c r="F138" s="38">
        <v>450</v>
      </c>
      <c r="G138" s="168"/>
      <c r="J138">
        <f t="shared" ref="J138:J139" si="8">40*E139</f>
        <v>0</v>
      </c>
    </row>
    <row r="139" spans="1:10" ht="15.75" x14ac:dyDescent="0.2">
      <c r="A139" s="38">
        <v>6</v>
      </c>
      <c r="B139" s="39" t="s">
        <v>113</v>
      </c>
      <c r="C139" s="39" t="s">
        <v>114</v>
      </c>
      <c r="D139" s="38">
        <f>27.9*10.764</f>
        <v>300.31559999999996</v>
      </c>
      <c r="E139" s="38">
        <v>0</v>
      </c>
      <c r="F139" s="38">
        <v>450</v>
      </c>
      <c r="G139" s="169"/>
      <c r="J139">
        <f t="shared" si="8"/>
        <v>0</v>
      </c>
    </row>
    <row r="140" spans="1:10" ht="15.75" x14ac:dyDescent="0.2">
      <c r="A140" s="155" t="s">
        <v>122</v>
      </c>
      <c r="B140" s="153"/>
      <c r="C140" s="153"/>
      <c r="D140" s="153"/>
      <c r="E140" s="153"/>
      <c r="F140" s="153"/>
      <c r="G140" s="154"/>
    </row>
    <row r="141" spans="1:10" ht="15.75" x14ac:dyDescent="0.2">
      <c r="A141" s="38">
        <v>1</v>
      </c>
      <c r="B141" s="39" t="s">
        <v>113</v>
      </c>
      <c r="C141" s="39" t="s">
        <v>114</v>
      </c>
      <c r="D141" s="38">
        <f>27.97*10.764</f>
        <v>301.06907999999999</v>
      </c>
      <c r="E141" s="38">
        <v>0</v>
      </c>
      <c r="F141" s="38">
        <v>452</v>
      </c>
      <c r="G141" s="171" t="str">
        <f>A140</f>
        <v>15th Floor (Part Refuge Area)</v>
      </c>
    </row>
    <row r="142" spans="1:10" ht="15.75" x14ac:dyDescent="0.2">
      <c r="A142" s="38">
        <v>2</v>
      </c>
      <c r="B142" s="39" t="s">
        <v>113</v>
      </c>
      <c r="C142" s="39" t="s">
        <v>114</v>
      </c>
      <c r="D142" s="38">
        <f>27.87*10.764</f>
        <v>299.99268000000001</v>
      </c>
      <c r="E142" s="38">
        <v>0</v>
      </c>
      <c r="F142" s="38">
        <v>450</v>
      </c>
      <c r="G142" s="168"/>
    </row>
    <row r="143" spans="1:10" ht="15.75" x14ac:dyDescent="0.2">
      <c r="A143" s="38">
        <v>3</v>
      </c>
      <c r="B143" s="35" t="s">
        <v>115</v>
      </c>
      <c r="C143" s="39" t="s">
        <v>114</v>
      </c>
      <c r="D143" s="38">
        <f>27.87*10.764</f>
        <v>299.99268000000001</v>
      </c>
      <c r="E143" s="38">
        <v>0</v>
      </c>
      <c r="F143" s="38">
        <v>450</v>
      </c>
      <c r="G143" s="168"/>
    </row>
    <row r="144" spans="1:10" ht="15.75" x14ac:dyDescent="0.2">
      <c r="A144" s="38">
        <v>4</v>
      </c>
      <c r="B144" s="39" t="s">
        <v>113</v>
      </c>
      <c r="C144" s="39" t="s">
        <v>114</v>
      </c>
      <c r="D144" s="38">
        <f t="shared" ref="D144" si="9">27.87*10.764</f>
        <v>299.99268000000001</v>
      </c>
      <c r="E144" s="38">
        <v>0</v>
      </c>
      <c r="F144" s="38">
        <v>450</v>
      </c>
      <c r="G144" s="168"/>
    </row>
    <row r="145" spans="1:10" ht="15.75" x14ac:dyDescent="0.2">
      <c r="A145" s="38">
        <v>5</v>
      </c>
      <c r="B145" s="163" t="s">
        <v>119</v>
      </c>
      <c r="C145" s="164"/>
      <c r="D145" s="164"/>
      <c r="E145" s="164"/>
      <c r="F145" s="164"/>
      <c r="G145" s="168"/>
    </row>
    <row r="146" spans="1:10" ht="15.75" x14ac:dyDescent="0.2">
      <c r="A146" s="38">
        <v>6</v>
      </c>
      <c r="B146" s="163" t="s">
        <v>119</v>
      </c>
      <c r="C146" s="164"/>
      <c r="D146" s="164"/>
      <c r="E146" s="164"/>
      <c r="F146" s="164"/>
      <c r="G146" s="169"/>
    </row>
    <row r="147" spans="1:10" ht="15" customHeight="1" x14ac:dyDescent="0.2">
      <c r="A147" s="155" t="s">
        <v>123</v>
      </c>
      <c r="B147" s="153"/>
      <c r="C147" s="153"/>
      <c r="D147" s="153"/>
      <c r="E147" s="153"/>
      <c r="F147" s="153"/>
      <c r="G147" s="154"/>
    </row>
    <row r="148" spans="1:10" ht="15.6" customHeight="1" x14ac:dyDescent="0.2">
      <c r="A148" s="38">
        <v>1</v>
      </c>
      <c r="B148" s="39" t="s">
        <v>113</v>
      </c>
      <c r="C148" s="39" t="s">
        <v>114</v>
      </c>
      <c r="D148" s="38">
        <f>27.97*10.764</f>
        <v>301.06907999999999</v>
      </c>
      <c r="E148" s="38">
        <v>0</v>
      </c>
      <c r="F148" s="38">
        <v>452</v>
      </c>
      <c r="G148" s="171" t="str">
        <f>A147</f>
        <v>16th Floor</v>
      </c>
      <c r="H148">
        <f>F148/D148</f>
        <v>1.5013165749202808</v>
      </c>
    </row>
    <row r="149" spans="1:10" ht="15.75" x14ac:dyDescent="0.2">
      <c r="A149" s="38">
        <v>2</v>
      </c>
      <c r="B149" s="39" t="s">
        <v>113</v>
      </c>
      <c r="C149" s="39" t="s">
        <v>114</v>
      </c>
      <c r="D149" s="38">
        <f>27.87*10.764</f>
        <v>299.99268000000001</v>
      </c>
      <c r="E149" s="38">
        <v>0</v>
      </c>
      <c r="F149" s="38">
        <v>450</v>
      </c>
      <c r="G149" s="168"/>
      <c r="H149">
        <f t="shared" ref="H149:H152" si="10">F149/D149</f>
        <v>1.5000366008930617</v>
      </c>
    </row>
    <row r="150" spans="1:10" ht="15.75" x14ac:dyDescent="0.2">
      <c r="A150" s="38">
        <v>3</v>
      </c>
      <c r="B150" s="35" t="s">
        <v>115</v>
      </c>
      <c r="C150" s="39" t="s">
        <v>114</v>
      </c>
      <c r="D150" s="38">
        <f>27.87*10.764</f>
        <v>299.99268000000001</v>
      </c>
      <c r="E150" s="38">
        <v>0</v>
      </c>
      <c r="F150" s="38">
        <v>450</v>
      </c>
      <c r="G150" s="168"/>
      <c r="H150">
        <f t="shared" si="10"/>
        <v>1.5000366008930617</v>
      </c>
      <c r="J150">
        <f t="shared" ref="J150:J151" si="11">610*F150</f>
        <v>274500</v>
      </c>
    </row>
    <row r="151" spans="1:10" ht="15.75" x14ac:dyDescent="0.2">
      <c r="A151" s="38">
        <v>4</v>
      </c>
      <c r="B151" s="35" t="s">
        <v>115</v>
      </c>
      <c r="C151" s="39" t="s">
        <v>114</v>
      </c>
      <c r="D151" s="38">
        <f t="shared" ref="D151" si="12">27.87*10.764</f>
        <v>299.99268000000001</v>
      </c>
      <c r="E151" s="38">
        <v>0</v>
      </c>
      <c r="F151" s="38">
        <v>450</v>
      </c>
      <c r="G151" s="168"/>
      <c r="H151">
        <f t="shared" si="10"/>
        <v>1.5000366008930617</v>
      </c>
      <c r="J151">
        <f t="shared" si="11"/>
        <v>274500</v>
      </c>
    </row>
    <row r="152" spans="1:10" ht="15.75" x14ac:dyDescent="0.2">
      <c r="A152" s="38">
        <v>5</v>
      </c>
      <c r="B152" s="39" t="s">
        <v>113</v>
      </c>
      <c r="C152" s="39" t="s">
        <v>114</v>
      </c>
      <c r="D152" s="38">
        <f>27.89*10.764</f>
        <v>300.20796000000001</v>
      </c>
      <c r="E152" s="38">
        <v>0</v>
      </c>
      <c r="F152" s="38">
        <v>450</v>
      </c>
      <c r="G152" s="168"/>
      <c r="H152">
        <f t="shared" si="10"/>
        <v>1.4989609202900549</v>
      </c>
    </row>
    <row r="153" spans="1:10" ht="15.75" x14ac:dyDescent="0.2">
      <c r="A153" s="38">
        <v>6</v>
      </c>
      <c r="B153" s="39" t="s">
        <v>113</v>
      </c>
      <c r="C153" s="39" t="s">
        <v>114</v>
      </c>
      <c r="D153" s="38">
        <f>27.9*10.764</f>
        <v>300.31559999999996</v>
      </c>
      <c r="E153" s="38">
        <v>0</v>
      </c>
      <c r="F153" s="38">
        <v>450</v>
      </c>
      <c r="G153" s="169"/>
    </row>
    <row r="154" spans="1:10" ht="15" customHeight="1" x14ac:dyDescent="0.2">
      <c r="A154" s="155" t="s">
        <v>124</v>
      </c>
      <c r="B154" s="153"/>
      <c r="C154" s="153"/>
      <c r="D154" s="153"/>
      <c r="E154" s="153"/>
      <c r="F154" s="153"/>
      <c r="G154" s="154"/>
    </row>
    <row r="155" spans="1:10" ht="15.6" customHeight="1" x14ac:dyDescent="0.2">
      <c r="A155" s="38">
        <v>1</v>
      </c>
      <c r="B155" s="39" t="s">
        <v>113</v>
      </c>
      <c r="C155" s="39" t="s">
        <v>114</v>
      </c>
      <c r="D155" s="38">
        <f>27.97*10.764</f>
        <v>301.06907999999999</v>
      </c>
      <c r="E155" s="38">
        <v>0</v>
      </c>
      <c r="F155" s="38">
        <v>452</v>
      </c>
      <c r="G155" s="171" t="str">
        <f>A154</f>
        <v>18th Floor</v>
      </c>
      <c r="H155">
        <f>F155/D155</f>
        <v>1.5013165749202808</v>
      </c>
    </row>
    <row r="156" spans="1:10" ht="15.75" x14ac:dyDescent="0.2">
      <c r="A156" s="38">
        <v>2</v>
      </c>
      <c r="B156" s="39" t="s">
        <v>113</v>
      </c>
      <c r="C156" s="39" t="s">
        <v>114</v>
      </c>
      <c r="D156" s="38">
        <f>27.87*10.764</f>
        <v>299.99268000000001</v>
      </c>
      <c r="E156" s="38">
        <v>0</v>
      </c>
      <c r="F156" s="38">
        <v>450</v>
      </c>
      <c r="G156" s="168"/>
      <c r="H156">
        <f t="shared" ref="H156:H159" si="13">F156/D156</f>
        <v>1.5000366008930617</v>
      </c>
    </row>
    <row r="157" spans="1:10" ht="15.75" x14ac:dyDescent="0.2">
      <c r="A157" s="38">
        <v>3</v>
      </c>
      <c r="B157" s="35" t="s">
        <v>115</v>
      </c>
      <c r="C157" s="39" t="s">
        <v>114</v>
      </c>
      <c r="D157" s="38">
        <f>27.87*10.764</f>
        <v>299.99268000000001</v>
      </c>
      <c r="E157" s="38">
        <v>0</v>
      </c>
      <c r="F157" s="38">
        <v>450</v>
      </c>
      <c r="G157" s="168"/>
      <c r="H157">
        <f t="shared" si="13"/>
        <v>1.5000366008930617</v>
      </c>
    </row>
    <row r="158" spans="1:10" ht="15.75" x14ac:dyDescent="0.2">
      <c r="A158" s="38">
        <v>4</v>
      </c>
      <c r="B158" s="35" t="s">
        <v>115</v>
      </c>
      <c r="C158" s="39" t="s">
        <v>114</v>
      </c>
      <c r="D158" s="38">
        <f t="shared" ref="D158" si="14">27.87*10.764</f>
        <v>299.99268000000001</v>
      </c>
      <c r="E158" s="38">
        <v>0</v>
      </c>
      <c r="F158" s="38">
        <v>450</v>
      </c>
      <c r="G158" s="168"/>
      <c r="H158">
        <f t="shared" si="13"/>
        <v>1.5000366008930617</v>
      </c>
    </row>
    <row r="159" spans="1:10" ht="15.75" x14ac:dyDescent="0.2">
      <c r="A159" s="38">
        <v>5</v>
      </c>
      <c r="B159" s="39" t="s">
        <v>113</v>
      </c>
      <c r="C159" s="39" t="s">
        <v>114</v>
      </c>
      <c r="D159" s="38">
        <f>27.89*10.764</f>
        <v>300.20796000000001</v>
      </c>
      <c r="E159" s="38">
        <v>0</v>
      </c>
      <c r="F159" s="38">
        <v>450</v>
      </c>
      <c r="G159" s="168"/>
      <c r="H159">
        <f t="shared" si="13"/>
        <v>1.4989609202900549</v>
      </c>
    </row>
    <row r="160" spans="1:10" ht="15.75" x14ac:dyDescent="0.2">
      <c r="A160" s="71">
        <v>6</v>
      </c>
      <c r="B160" s="72" t="s">
        <v>113</v>
      </c>
      <c r="C160" s="72" t="s">
        <v>114</v>
      </c>
      <c r="D160" s="71">
        <f>27.9*10.764</f>
        <v>300.31559999999996</v>
      </c>
      <c r="E160" s="71">
        <v>0</v>
      </c>
      <c r="F160" s="71">
        <v>450</v>
      </c>
      <c r="G160" s="168"/>
    </row>
    <row r="161" spans="1:8" ht="15" customHeight="1" x14ac:dyDescent="0.2">
      <c r="A161" s="156" t="s">
        <v>125</v>
      </c>
      <c r="B161" s="157"/>
      <c r="C161" s="157"/>
      <c r="D161" s="157"/>
      <c r="E161" s="157"/>
      <c r="F161" s="157"/>
      <c r="G161" s="157"/>
    </row>
    <row r="162" spans="1:8" ht="15.75" customHeight="1" x14ac:dyDescent="0.2">
      <c r="A162" s="73">
        <v>1</v>
      </c>
      <c r="B162" s="74" t="s">
        <v>113</v>
      </c>
      <c r="C162" s="74" t="s">
        <v>114</v>
      </c>
      <c r="D162" s="73">
        <f>27.97*10.764</f>
        <v>301.06907999999999</v>
      </c>
      <c r="E162" s="73">
        <v>0</v>
      </c>
      <c r="F162" s="73">
        <v>452</v>
      </c>
      <c r="G162" s="172" t="str">
        <f>A161</f>
        <v>19th to 21st &amp; 23rd Floor</v>
      </c>
    </row>
    <row r="163" spans="1:8" ht="15.75" x14ac:dyDescent="0.2">
      <c r="A163" s="73">
        <v>2</v>
      </c>
      <c r="B163" s="74" t="s">
        <v>113</v>
      </c>
      <c r="C163" s="74" t="s">
        <v>114</v>
      </c>
      <c r="D163" s="73">
        <f>27.87*10.764</f>
        <v>299.99268000000001</v>
      </c>
      <c r="E163" s="73">
        <v>0</v>
      </c>
      <c r="F163" s="73">
        <v>450</v>
      </c>
      <c r="G163" s="170"/>
    </row>
    <row r="164" spans="1:8" ht="15.75" x14ac:dyDescent="0.2">
      <c r="A164" s="73">
        <v>3</v>
      </c>
      <c r="B164" s="75" t="s">
        <v>115</v>
      </c>
      <c r="C164" s="74" t="s">
        <v>114</v>
      </c>
      <c r="D164" s="73">
        <f>27.87*10.764</f>
        <v>299.99268000000001</v>
      </c>
      <c r="E164" s="73">
        <v>0</v>
      </c>
      <c r="F164" s="73">
        <v>450</v>
      </c>
      <c r="G164" s="170"/>
    </row>
    <row r="165" spans="1:8" ht="15.75" x14ac:dyDescent="0.2">
      <c r="A165" s="73">
        <v>4</v>
      </c>
      <c r="B165" s="75" t="s">
        <v>115</v>
      </c>
      <c r="C165" s="74" t="s">
        <v>114</v>
      </c>
      <c r="D165" s="73">
        <f t="shared" ref="D165" si="15">27.87*10.764</f>
        <v>299.99268000000001</v>
      </c>
      <c r="E165" s="73">
        <v>0</v>
      </c>
      <c r="F165" s="73">
        <v>450</v>
      </c>
      <c r="G165" s="170"/>
    </row>
    <row r="166" spans="1:8" ht="15.75" x14ac:dyDescent="0.2">
      <c r="A166" s="73">
        <v>5</v>
      </c>
      <c r="B166" s="75" t="s">
        <v>115</v>
      </c>
      <c r="C166" s="74" t="s">
        <v>114</v>
      </c>
      <c r="D166" s="73">
        <f>27.89*10.764</f>
        <v>300.20796000000001</v>
      </c>
      <c r="E166" s="73">
        <v>0</v>
      </c>
      <c r="F166" s="73">
        <v>450</v>
      </c>
      <c r="G166" s="170"/>
    </row>
    <row r="167" spans="1:8" ht="15.75" x14ac:dyDescent="0.2">
      <c r="A167" s="73">
        <v>6</v>
      </c>
      <c r="B167" s="74" t="s">
        <v>113</v>
      </c>
      <c r="C167" s="74" t="s">
        <v>114</v>
      </c>
      <c r="D167" s="73">
        <f>27.9*10.764</f>
        <v>300.31559999999996</v>
      </c>
      <c r="E167" s="73">
        <v>0</v>
      </c>
      <c r="F167" s="73">
        <v>450</v>
      </c>
      <c r="G167" s="170"/>
    </row>
    <row r="168" spans="1:8" ht="15" customHeight="1" x14ac:dyDescent="0.2">
      <c r="A168" s="156" t="s">
        <v>126</v>
      </c>
      <c r="B168" s="157"/>
      <c r="C168" s="157"/>
      <c r="D168" s="157"/>
      <c r="E168" s="157"/>
      <c r="F168" s="157"/>
      <c r="G168" s="157"/>
    </row>
    <row r="169" spans="1:8" ht="15.75" customHeight="1" x14ac:dyDescent="0.2">
      <c r="A169" s="73">
        <v>1</v>
      </c>
      <c r="B169" s="74" t="s">
        <v>113</v>
      </c>
      <c r="C169" s="74" t="s">
        <v>114</v>
      </c>
      <c r="D169" s="73">
        <f>27.97*10.764</f>
        <v>301.06907999999999</v>
      </c>
      <c r="E169" s="73">
        <v>0</v>
      </c>
      <c r="F169" s="73">
        <v>452</v>
      </c>
      <c r="G169" s="172" t="str">
        <f>A168</f>
        <v>22nd Floor (Part Refuge Area)</v>
      </c>
      <c r="H169">
        <f>18*6+5+8</f>
        <v>121</v>
      </c>
    </row>
    <row r="170" spans="1:8" ht="15.75" x14ac:dyDescent="0.2">
      <c r="A170" s="73">
        <v>2</v>
      </c>
      <c r="B170" s="74" t="s">
        <v>113</v>
      </c>
      <c r="C170" s="74" t="s">
        <v>114</v>
      </c>
      <c r="D170" s="73">
        <f>27.87*10.764</f>
        <v>299.99268000000001</v>
      </c>
      <c r="E170" s="73">
        <v>0</v>
      </c>
      <c r="F170" s="73">
        <v>450</v>
      </c>
      <c r="G170" s="170"/>
    </row>
    <row r="171" spans="1:8" ht="15.75" x14ac:dyDescent="0.2">
      <c r="A171" s="73">
        <v>3</v>
      </c>
      <c r="B171" s="75" t="s">
        <v>115</v>
      </c>
      <c r="C171" s="74" t="s">
        <v>114</v>
      </c>
      <c r="D171" s="73">
        <f>27.87*10.764</f>
        <v>299.99268000000001</v>
      </c>
      <c r="E171" s="73">
        <v>0</v>
      </c>
      <c r="F171" s="73">
        <v>450</v>
      </c>
      <c r="G171" s="170"/>
    </row>
    <row r="172" spans="1:8" ht="15.75" x14ac:dyDescent="0.2">
      <c r="A172" s="73">
        <v>4</v>
      </c>
      <c r="B172" s="75" t="s">
        <v>115</v>
      </c>
      <c r="C172" s="74" t="s">
        <v>114</v>
      </c>
      <c r="D172" s="73">
        <f t="shared" ref="D172" si="16">27.87*10.764</f>
        <v>299.99268000000001</v>
      </c>
      <c r="E172" s="73">
        <v>0</v>
      </c>
      <c r="F172" s="73">
        <v>450</v>
      </c>
      <c r="G172" s="170"/>
    </row>
    <row r="173" spans="1:8" ht="15.75" x14ac:dyDescent="0.2">
      <c r="A173" s="73">
        <v>5</v>
      </c>
      <c r="B173" s="75" t="s">
        <v>115</v>
      </c>
      <c r="C173" s="74" t="s">
        <v>114</v>
      </c>
      <c r="D173" s="73">
        <f>27.89*10.764</f>
        <v>300.20796000000001</v>
      </c>
      <c r="E173" s="73">
        <v>0</v>
      </c>
      <c r="F173" s="73">
        <v>450</v>
      </c>
      <c r="G173" s="170"/>
    </row>
    <row r="174" spans="1:8" ht="15.75" x14ac:dyDescent="0.2">
      <c r="A174" s="73">
        <v>6</v>
      </c>
      <c r="B174" s="159" t="s">
        <v>119</v>
      </c>
      <c r="C174" s="159"/>
      <c r="D174" s="159"/>
      <c r="E174" s="159"/>
      <c r="F174" s="159"/>
      <c r="G174" s="170"/>
    </row>
    <row r="175" spans="1:8" ht="15.75" x14ac:dyDescent="0.2">
      <c r="A175" s="165" t="s">
        <v>127</v>
      </c>
      <c r="B175" s="161"/>
      <c r="C175" s="161"/>
      <c r="D175" s="161"/>
      <c r="E175" s="161"/>
      <c r="F175" s="161"/>
      <c r="G175" s="162"/>
    </row>
    <row r="176" spans="1:8" ht="15.75" x14ac:dyDescent="0.2">
      <c r="A176" s="152" t="s">
        <v>128</v>
      </c>
      <c r="B176" s="153"/>
      <c r="C176" s="153"/>
      <c r="D176" s="153"/>
      <c r="E176" s="153"/>
      <c r="F176" s="153"/>
      <c r="G176" s="154"/>
    </row>
    <row r="177" spans="1:8" ht="15.75" x14ac:dyDescent="0.2">
      <c r="A177" s="38">
        <v>1</v>
      </c>
      <c r="B177" s="35" t="s">
        <v>115</v>
      </c>
      <c r="C177" s="39" t="s">
        <v>114</v>
      </c>
      <c r="D177" s="38">
        <f>(2.75*4.25+1.3*2.27+2.27*3.3+1.25*0.85+1.15*0.85+3.05*3.15+2.25*1.15+1.32*2.15)*10.764</f>
        <v>421.97570999999999</v>
      </c>
      <c r="E177" s="38">
        <v>0</v>
      </c>
      <c r="F177" s="38">
        <v>633</v>
      </c>
      <c r="G177" s="167" t="str">
        <f>A176</f>
        <v>2nd Floor</v>
      </c>
      <c r="H177">
        <f>10215000/F177</f>
        <v>16137.440758293838</v>
      </c>
    </row>
    <row r="178" spans="1:8" ht="15.75" x14ac:dyDescent="0.2">
      <c r="A178" s="38">
        <v>2</v>
      </c>
      <c r="B178" s="35" t="s">
        <v>115</v>
      </c>
      <c r="C178" s="39" t="s">
        <v>114</v>
      </c>
      <c r="D178" s="38">
        <f>(2.75*4.9+2.2*2.55+2.78*3.55+1.55*1+2.35*0.8+2.15*1.2+2.05*1.2)*10.764</f>
        <v>402.83193599999998</v>
      </c>
      <c r="E178" s="38">
        <v>0</v>
      </c>
      <c r="F178" s="38">
        <v>604</v>
      </c>
      <c r="G178" s="168"/>
    </row>
    <row r="179" spans="1:8" ht="15.75" x14ac:dyDescent="0.2">
      <c r="A179" s="38">
        <v>4</v>
      </c>
      <c r="B179" s="35" t="s">
        <v>115</v>
      </c>
      <c r="C179" s="39" t="s">
        <v>114</v>
      </c>
      <c r="D179" s="38">
        <f>(2.95*4.4+2.1*3.5+3*3.5+2*1.2+2.05*1.2)*10.764</f>
        <v>384.16716000000002</v>
      </c>
      <c r="E179" s="38">
        <v>0</v>
      </c>
      <c r="F179" s="38">
        <v>576</v>
      </c>
      <c r="G179" s="169"/>
    </row>
    <row r="180" spans="1:8" ht="15.75" x14ac:dyDescent="0.2">
      <c r="A180" s="155" t="s">
        <v>112</v>
      </c>
      <c r="B180" s="153"/>
      <c r="C180" s="153"/>
      <c r="D180" s="153"/>
      <c r="E180" s="153"/>
      <c r="F180" s="153"/>
      <c r="G180" s="154"/>
    </row>
    <row r="181" spans="1:8" ht="15.75" customHeight="1" x14ac:dyDescent="0.2">
      <c r="A181" s="38">
        <v>1</v>
      </c>
      <c r="B181" s="35" t="s">
        <v>115</v>
      </c>
      <c r="C181" s="39" t="s">
        <v>114</v>
      </c>
      <c r="D181" s="38">
        <f>(2.75*4.25+1.3*2.27+2.27*3.3+1.25*0.85+1.15*0.85+3.05*3.15+2.25*1.15+1.32*2.15)*10.764</f>
        <v>421.97570999999999</v>
      </c>
      <c r="E181" s="38">
        <v>0</v>
      </c>
      <c r="F181" s="38">
        <v>633</v>
      </c>
      <c r="G181" s="167" t="str">
        <f>A180</f>
        <v>3rd &amp; 5th Floor</v>
      </c>
    </row>
    <row r="182" spans="1:8" ht="15.75" x14ac:dyDescent="0.2">
      <c r="A182" s="38">
        <v>2</v>
      </c>
      <c r="B182" s="35" t="s">
        <v>115</v>
      </c>
      <c r="C182" s="39" t="s">
        <v>114</v>
      </c>
      <c r="D182" s="38">
        <f>(2.75*4.9+2.2*2.55+2.78*3.55+1.55*1+2.35*0.8+2.15*1.2+2.05*1.2)*10.764</f>
        <v>402.83193599999998</v>
      </c>
      <c r="E182" s="38">
        <v>0</v>
      </c>
      <c r="F182" s="38">
        <v>604</v>
      </c>
      <c r="G182" s="168"/>
    </row>
    <row r="183" spans="1:8" ht="15.75" x14ac:dyDescent="0.2">
      <c r="A183" s="38">
        <v>4</v>
      </c>
      <c r="B183" s="35" t="s">
        <v>115</v>
      </c>
      <c r="C183" s="39" t="s">
        <v>114</v>
      </c>
      <c r="D183" s="38">
        <f>(2.95*4.4+2.1*3.5+3*3.5+2*1.2+2.05*1.2)*10.764</f>
        <v>384.16716000000002</v>
      </c>
      <c r="E183" s="38">
        <v>0</v>
      </c>
      <c r="F183" s="38">
        <v>576</v>
      </c>
      <c r="G183" s="169"/>
    </row>
    <row r="184" spans="1:8" ht="15.75" x14ac:dyDescent="0.2">
      <c r="A184" s="155" t="s">
        <v>116</v>
      </c>
      <c r="B184" s="153"/>
      <c r="C184" s="153"/>
      <c r="D184" s="153"/>
      <c r="E184" s="153"/>
      <c r="F184" s="153"/>
      <c r="G184" s="154"/>
    </row>
    <row r="185" spans="1:8" ht="15.75" customHeight="1" x14ac:dyDescent="0.2">
      <c r="A185" s="38">
        <v>1</v>
      </c>
      <c r="B185" s="35" t="s">
        <v>115</v>
      </c>
      <c r="C185" s="39" t="s">
        <v>114</v>
      </c>
      <c r="D185" s="38">
        <f>(2.75*4.25+1.3*2.27+2.27*3.3+1.25*0.85+1.15*0.85+3.05*3.15+2.25*1.15+1.32*2.15)*10.764</f>
        <v>421.97570999999999</v>
      </c>
      <c r="E185" s="38">
        <v>0</v>
      </c>
      <c r="F185" s="38">
        <v>633</v>
      </c>
      <c r="G185" s="167" t="str">
        <f>A184</f>
        <v>4th, 6th, 7th, 9th &amp; 10th Floor</v>
      </c>
    </row>
    <row r="186" spans="1:8" ht="15.75" x14ac:dyDescent="0.2">
      <c r="A186" s="38">
        <v>2</v>
      </c>
      <c r="B186" s="35" t="s">
        <v>115</v>
      </c>
      <c r="C186" s="39" t="s">
        <v>114</v>
      </c>
      <c r="D186" s="38">
        <f>(2.75*4.9+2.2*2.55+2.78*3.55+1.55*1+2.35*0.8+2.15*1.2+2.05*1.2)*10.764</f>
        <v>402.83193599999998</v>
      </c>
      <c r="E186" s="38">
        <v>0</v>
      </c>
      <c r="F186" s="38">
        <v>604</v>
      </c>
      <c r="G186" s="168"/>
    </row>
    <row r="187" spans="1:8" ht="15.75" x14ac:dyDescent="0.2">
      <c r="A187" s="38">
        <v>4</v>
      </c>
      <c r="B187" s="35" t="s">
        <v>115</v>
      </c>
      <c r="C187" s="39" t="s">
        <v>114</v>
      </c>
      <c r="D187" s="38">
        <f>(2.95*4.4+2.1*3.5+3*3.5+2*1.2+2.05*1.2)*10.764</f>
        <v>384.16716000000002</v>
      </c>
      <c r="E187" s="38">
        <v>0</v>
      </c>
      <c r="F187" s="38">
        <v>576</v>
      </c>
      <c r="G187" s="169"/>
    </row>
    <row r="188" spans="1:8" ht="15.75" x14ac:dyDescent="0.2">
      <c r="A188" s="155" t="s">
        <v>117</v>
      </c>
      <c r="B188" s="153"/>
      <c r="C188" s="153"/>
      <c r="D188" s="153"/>
      <c r="E188" s="153"/>
      <c r="F188" s="153"/>
      <c r="G188" s="154"/>
    </row>
    <row r="189" spans="1:8" ht="15.75" x14ac:dyDescent="0.2">
      <c r="A189" s="38">
        <v>1</v>
      </c>
      <c r="B189" s="35" t="s">
        <v>115</v>
      </c>
      <c r="C189" s="39" t="s">
        <v>114</v>
      </c>
      <c r="D189" s="38">
        <f>(2.75*4.25+1.3*2.27+2.27*3.3+1.25*0.85+1.15*0.85+3.05*3.15+2.25*1.15+1.32*2.15)*10.764</f>
        <v>421.97570999999999</v>
      </c>
      <c r="E189" s="38">
        <v>0</v>
      </c>
      <c r="F189" s="38">
        <v>633</v>
      </c>
      <c r="G189" s="167" t="str">
        <f>A188</f>
        <v>8th Floor (Part Refuge Area)</v>
      </c>
    </row>
    <row r="190" spans="1:8" ht="15.75" x14ac:dyDescent="0.2">
      <c r="A190" s="38">
        <v>2</v>
      </c>
      <c r="B190" s="35" t="s">
        <v>115</v>
      </c>
      <c r="C190" s="39" t="s">
        <v>114</v>
      </c>
      <c r="D190" s="38">
        <f>(2.75*4.9+2.2*2.55+2.78*3.55+1.55*1+2.35*0.8+2.15*1.2+2.05*1.2)*10.764</f>
        <v>402.83193599999998</v>
      </c>
      <c r="E190" s="38">
        <v>0</v>
      </c>
      <c r="F190" s="38">
        <v>604</v>
      </c>
      <c r="G190" s="168"/>
    </row>
    <row r="191" spans="1:8" ht="15.75" x14ac:dyDescent="0.2">
      <c r="A191" s="38">
        <v>4</v>
      </c>
      <c r="B191" s="35" t="s">
        <v>129</v>
      </c>
      <c r="C191" s="163" t="s">
        <v>119</v>
      </c>
      <c r="D191" s="164"/>
      <c r="E191" s="164"/>
      <c r="F191" s="164"/>
      <c r="G191" s="169"/>
    </row>
    <row r="192" spans="1:8" ht="15.75" x14ac:dyDescent="0.2">
      <c r="A192" s="155" t="s">
        <v>120</v>
      </c>
      <c r="B192" s="153"/>
      <c r="C192" s="153"/>
      <c r="D192" s="153"/>
      <c r="E192" s="153"/>
      <c r="F192" s="153"/>
      <c r="G192" s="154"/>
    </row>
    <row r="193" spans="1:8" ht="15.75" customHeight="1" x14ac:dyDescent="0.2">
      <c r="A193" s="38">
        <v>1</v>
      </c>
      <c r="B193" s="35" t="s">
        <v>115</v>
      </c>
      <c r="C193" s="39" t="s">
        <v>114</v>
      </c>
      <c r="D193" s="38">
        <f>(2.75*4.25+1.3*2.27+2.27*3.3+1.25*0.85+1.15*0.85+3.05*3.15+2.25*1.15+1.32*2.15)*10.764</f>
        <v>421.97570999999999</v>
      </c>
      <c r="E193" s="38">
        <v>0</v>
      </c>
      <c r="F193" s="38">
        <v>633</v>
      </c>
      <c r="G193" s="167" t="str">
        <f>A192</f>
        <v>11th &amp; 12th Floor</v>
      </c>
    </row>
    <row r="194" spans="1:8" ht="15.75" x14ac:dyDescent="0.2">
      <c r="A194" s="38">
        <v>2</v>
      </c>
      <c r="B194" s="35" t="s">
        <v>115</v>
      </c>
      <c r="C194" s="39" t="s">
        <v>114</v>
      </c>
      <c r="D194" s="38">
        <f>(2.75*4.9+2.2*2.55+2.78*3.55+1.55*1+2.35*0.8+2.15*1.2+2.05*1.2)*10.764</f>
        <v>402.83193599999998</v>
      </c>
      <c r="E194" s="38">
        <v>0</v>
      </c>
      <c r="F194" s="38">
        <v>604</v>
      </c>
      <c r="G194" s="168"/>
    </row>
    <row r="195" spans="1:8" ht="15.75" x14ac:dyDescent="0.2">
      <c r="A195" s="38">
        <v>4</v>
      </c>
      <c r="B195" s="35" t="s">
        <v>115</v>
      </c>
      <c r="C195" s="39" t="s">
        <v>114</v>
      </c>
      <c r="D195" s="38">
        <f>(2.95*4.4+2.1*3.5+3*3.5+2*1.2+2.05*1.2)*10.764</f>
        <v>384.16716000000002</v>
      </c>
      <c r="E195" s="38">
        <v>0</v>
      </c>
      <c r="F195" s="38">
        <v>576</v>
      </c>
      <c r="G195" s="169"/>
    </row>
    <row r="196" spans="1:8" ht="15.75" x14ac:dyDescent="0.2">
      <c r="A196" s="155" t="s">
        <v>121</v>
      </c>
      <c r="B196" s="153"/>
      <c r="C196" s="153"/>
      <c r="D196" s="153"/>
      <c r="E196" s="153"/>
      <c r="F196" s="153"/>
      <c r="G196" s="154"/>
    </row>
    <row r="197" spans="1:8" ht="15.6" customHeight="1" x14ac:dyDescent="0.2">
      <c r="A197" s="38">
        <v>1</v>
      </c>
      <c r="B197" s="35" t="s">
        <v>115</v>
      </c>
      <c r="C197" s="39" t="s">
        <v>114</v>
      </c>
      <c r="D197" s="38">
        <v>422</v>
      </c>
      <c r="E197" s="38">
        <v>0</v>
      </c>
      <c r="F197" s="38">
        <v>633</v>
      </c>
      <c r="G197" s="167" t="str">
        <f>A196</f>
        <v>13th, 14th &amp; 17th Floor</v>
      </c>
      <c r="H197">
        <f>F197/D197</f>
        <v>1.5</v>
      </c>
    </row>
    <row r="198" spans="1:8" ht="15.75" x14ac:dyDescent="0.2">
      <c r="A198" s="38">
        <v>2</v>
      </c>
      <c r="B198" s="35" t="s">
        <v>115</v>
      </c>
      <c r="C198" s="39" t="s">
        <v>114</v>
      </c>
      <c r="D198" s="38">
        <v>403</v>
      </c>
      <c r="E198" s="38">
        <v>0</v>
      </c>
      <c r="F198" s="38">
        <v>604</v>
      </c>
      <c r="G198" s="168"/>
      <c r="H198">
        <f t="shared" ref="H198:H204" si="17">F198/D198</f>
        <v>1.498759305210918</v>
      </c>
    </row>
    <row r="199" spans="1:8" ht="15.75" x14ac:dyDescent="0.2">
      <c r="A199" s="38">
        <v>4</v>
      </c>
      <c r="B199" s="35" t="s">
        <v>115</v>
      </c>
      <c r="C199" s="39" t="s">
        <v>114</v>
      </c>
      <c r="D199" s="38">
        <v>384</v>
      </c>
      <c r="E199" s="38">
        <v>0</v>
      </c>
      <c r="F199" s="38">
        <v>576</v>
      </c>
      <c r="G199" s="169"/>
      <c r="H199">
        <f t="shared" si="17"/>
        <v>1.5</v>
      </c>
    </row>
    <row r="200" spans="1:8" ht="15.75" x14ac:dyDescent="0.2">
      <c r="A200" s="155" t="s">
        <v>130</v>
      </c>
      <c r="B200" s="153"/>
      <c r="C200" s="153"/>
      <c r="D200" s="153"/>
      <c r="E200" s="153"/>
      <c r="F200" s="153"/>
      <c r="G200" s="154"/>
    </row>
    <row r="201" spans="1:8" ht="15.6" customHeight="1" x14ac:dyDescent="0.2">
      <c r="A201" s="38">
        <v>1</v>
      </c>
      <c r="B201" s="35" t="s">
        <v>115</v>
      </c>
      <c r="C201" s="39" t="s">
        <v>114</v>
      </c>
      <c r="D201" s="38">
        <v>422</v>
      </c>
      <c r="E201" s="38">
        <v>0</v>
      </c>
      <c r="F201" s="38">
        <v>633</v>
      </c>
      <c r="G201" s="167" t="str">
        <f>A200</f>
        <v>15th Floor</v>
      </c>
      <c r="H201">
        <f>F201/D201</f>
        <v>1.5</v>
      </c>
    </row>
    <row r="202" spans="1:8" ht="15.75" x14ac:dyDescent="0.2">
      <c r="A202" s="38">
        <v>2</v>
      </c>
      <c r="B202" s="35" t="s">
        <v>115</v>
      </c>
      <c r="C202" s="39" t="s">
        <v>114</v>
      </c>
      <c r="D202" s="38">
        <v>403</v>
      </c>
      <c r="E202" s="38">
        <v>0</v>
      </c>
      <c r="F202" s="38">
        <v>604</v>
      </c>
      <c r="G202" s="168"/>
      <c r="H202">
        <f t="shared" ref="H202:H203" si="18">F202/D202</f>
        <v>1.498759305210918</v>
      </c>
    </row>
    <row r="203" spans="1:8" ht="15.75" x14ac:dyDescent="0.2">
      <c r="A203" s="38">
        <v>4</v>
      </c>
      <c r="B203" s="35" t="s">
        <v>115</v>
      </c>
      <c r="C203" s="39" t="s">
        <v>114</v>
      </c>
      <c r="D203" s="38">
        <v>384</v>
      </c>
      <c r="E203" s="38">
        <v>0</v>
      </c>
      <c r="F203" s="38">
        <v>576</v>
      </c>
      <c r="G203" s="169"/>
      <c r="H203">
        <f t="shared" si="18"/>
        <v>1.5</v>
      </c>
    </row>
    <row r="204" spans="1:8" ht="15.75" x14ac:dyDescent="0.2">
      <c r="A204" s="155" t="s">
        <v>131</v>
      </c>
      <c r="B204" s="153"/>
      <c r="C204" s="153"/>
      <c r="D204" s="153"/>
      <c r="E204" s="153"/>
      <c r="F204" s="153"/>
      <c r="G204" s="154"/>
      <c r="H204" t="e">
        <f t="shared" si="17"/>
        <v>#DIV/0!</v>
      </c>
    </row>
    <row r="205" spans="1:8" ht="15.75" x14ac:dyDescent="0.2">
      <c r="A205" s="38">
        <v>1</v>
      </c>
      <c r="B205" s="35" t="s">
        <v>115</v>
      </c>
      <c r="C205" s="39" t="s">
        <v>114</v>
      </c>
      <c r="D205" s="38">
        <v>422</v>
      </c>
      <c r="E205" s="38">
        <v>0</v>
      </c>
      <c r="F205" s="38">
        <v>633</v>
      </c>
      <c r="G205" s="167" t="str">
        <f>A204</f>
        <v>16th Floor (Part Refuge Area)</v>
      </c>
    </row>
    <row r="206" spans="1:8" ht="15.75" x14ac:dyDescent="0.2">
      <c r="A206" s="38">
        <v>2</v>
      </c>
      <c r="B206" s="35" t="s">
        <v>115</v>
      </c>
      <c r="C206" s="39" t="s">
        <v>114</v>
      </c>
      <c r="D206" s="38">
        <v>403</v>
      </c>
      <c r="E206" s="38">
        <v>0</v>
      </c>
      <c r="F206" s="38">
        <v>604</v>
      </c>
      <c r="G206" s="168"/>
    </row>
    <row r="207" spans="1:8" ht="15.75" x14ac:dyDescent="0.2">
      <c r="A207" s="38">
        <v>4</v>
      </c>
      <c r="B207" s="35" t="s">
        <v>129</v>
      </c>
      <c r="C207" s="163" t="s">
        <v>119</v>
      </c>
      <c r="D207" s="164"/>
      <c r="E207" s="164"/>
      <c r="F207" s="164"/>
      <c r="G207" s="169"/>
    </row>
    <row r="208" spans="1:8" ht="15.75" x14ac:dyDescent="0.2">
      <c r="A208" s="155" t="s">
        <v>124</v>
      </c>
      <c r="B208" s="153"/>
      <c r="C208" s="153"/>
      <c r="D208" s="153"/>
      <c r="E208" s="153"/>
      <c r="F208" s="153"/>
      <c r="G208" s="154"/>
    </row>
    <row r="209" spans="1:10" ht="15.6" customHeight="1" x14ac:dyDescent="0.2">
      <c r="A209" s="38">
        <v>1</v>
      </c>
      <c r="B209" s="35" t="s">
        <v>115</v>
      </c>
      <c r="C209" s="39" t="s">
        <v>114</v>
      </c>
      <c r="D209" s="38">
        <v>422</v>
      </c>
      <c r="E209" s="38">
        <v>0</v>
      </c>
      <c r="F209" s="38">
        <v>633</v>
      </c>
      <c r="G209" s="167" t="str">
        <f>A208</f>
        <v>18th Floor</v>
      </c>
      <c r="H209">
        <f>F209/D209</f>
        <v>1.5</v>
      </c>
    </row>
    <row r="210" spans="1:10" ht="15.75" x14ac:dyDescent="0.2">
      <c r="A210" s="38">
        <v>2</v>
      </c>
      <c r="B210" s="35" t="s">
        <v>115</v>
      </c>
      <c r="C210" s="39" t="s">
        <v>114</v>
      </c>
      <c r="D210" s="38">
        <v>403</v>
      </c>
      <c r="E210" s="38">
        <v>0</v>
      </c>
      <c r="F210" s="38">
        <v>604</v>
      </c>
      <c r="G210" s="168"/>
      <c r="H210">
        <f t="shared" ref="H210:H211" si="19">F210/D210</f>
        <v>1.498759305210918</v>
      </c>
    </row>
    <row r="211" spans="1:10" ht="15.75" x14ac:dyDescent="0.2">
      <c r="A211" s="38">
        <v>4</v>
      </c>
      <c r="B211" s="35" t="s">
        <v>115</v>
      </c>
      <c r="C211" s="39" t="s">
        <v>114</v>
      </c>
      <c r="D211" s="38">
        <v>384</v>
      </c>
      <c r="E211" s="38">
        <v>0</v>
      </c>
      <c r="F211" s="38">
        <v>576</v>
      </c>
      <c r="G211" s="169"/>
      <c r="H211">
        <f t="shared" si="19"/>
        <v>1.5</v>
      </c>
    </row>
    <row r="212" spans="1:10" ht="15.75" x14ac:dyDescent="0.2">
      <c r="A212" s="155" t="s">
        <v>125</v>
      </c>
      <c r="B212" s="153"/>
      <c r="C212" s="153"/>
      <c r="D212" s="153"/>
      <c r="E212" s="153"/>
      <c r="F212" s="153"/>
      <c r="G212" s="154"/>
    </row>
    <row r="213" spans="1:10" ht="15.6" customHeight="1" x14ac:dyDescent="0.2">
      <c r="A213" s="38">
        <v>1</v>
      </c>
      <c r="B213" s="35" t="s">
        <v>115</v>
      </c>
      <c r="C213" s="39" t="s">
        <v>114</v>
      </c>
      <c r="D213" s="38">
        <v>422</v>
      </c>
      <c r="E213" s="38">
        <v>0</v>
      </c>
      <c r="F213" s="38">
        <v>633</v>
      </c>
      <c r="G213" s="167" t="str">
        <f>A212</f>
        <v>19th to 21st &amp; 23rd Floor</v>
      </c>
    </row>
    <row r="214" spans="1:10" ht="15.75" x14ac:dyDescent="0.2">
      <c r="A214" s="38">
        <v>2</v>
      </c>
      <c r="B214" s="35" t="s">
        <v>115</v>
      </c>
      <c r="C214" s="39" t="s">
        <v>114</v>
      </c>
      <c r="D214" s="38">
        <v>403</v>
      </c>
      <c r="E214" s="38">
        <v>0</v>
      </c>
      <c r="F214" s="38">
        <v>604</v>
      </c>
      <c r="G214" s="168"/>
    </row>
    <row r="215" spans="1:10" ht="15.75" x14ac:dyDescent="0.2">
      <c r="A215" s="71">
        <v>4</v>
      </c>
      <c r="B215" s="76" t="s">
        <v>115</v>
      </c>
      <c r="C215" s="72" t="s">
        <v>114</v>
      </c>
      <c r="D215" s="71">
        <v>384</v>
      </c>
      <c r="E215" s="71">
        <v>0</v>
      </c>
      <c r="F215" s="71">
        <v>576</v>
      </c>
      <c r="G215" s="168"/>
    </row>
    <row r="216" spans="1:10" ht="15.75" x14ac:dyDescent="0.2">
      <c r="A216" s="156" t="s">
        <v>132</v>
      </c>
      <c r="B216" s="157"/>
      <c r="C216" s="157"/>
      <c r="D216" s="157"/>
      <c r="E216" s="157"/>
      <c r="F216" s="157"/>
      <c r="G216" s="157"/>
      <c r="J216">
        <f>22*3-2</f>
        <v>64</v>
      </c>
    </row>
    <row r="217" spans="1:10" ht="15.6" customHeight="1" x14ac:dyDescent="0.2">
      <c r="A217" s="73">
        <v>1</v>
      </c>
      <c r="B217" s="75" t="s">
        <v>115</v>
      </c>
      <c r="C217" s="74" t="s">
        <v>114</v>
      </c>
      <c r="D217" s="73">
        <v>422</v>
      </c>
      <c r="E217" s="73">
        <v>0</v>
      </c>
      <c r="F217" s="73">
        <v>633</v>
      </c>
      <c r="G217" s="170" t="str">
        <f>A216</f>
        <v>22nd Floor</v>
      </c>
      <c r="H217">
        <f>F217/D217</f>
        <v>1.5</v>
      </c>
    </row>
    <row r="218" spans="1:10" ht="15.75" x14ac:dyDescent="0.2">
      <c r="A218" s="73">
        <v>2</v>
      </c>
      <c r="B218" s="75" t="s">
        <v>115</v>
      </c>
      <c r="C218" s="74" t="s">
        <v>114</v>
      </c>
      <c r="D218" s="73">
        <v>403</v>
      </c>
      <c r="E218" s="73">
        <v>0</v>
      </c>
      <c r="F218" s="73">
        <v>604</v>
      </c>
      <c r="G218" s="170"/>
      <c r="H218">
        <f t="shared" ref="H218:H219" si="20">F218/D218</f>
        <v>1.498759305210918</v>
      </c>
    </row>
    <row r="219" spans="1:10" ht="15.75" x14ac:dyDescent="0.2">
      <c r="A219" s="73">
        <v>4</v>
      </c>
      <c r="B219" s="75" t="s">
        <v>115</v>
      </c>
      <c r="C219" s="74" t="s">
        <v>114</v>
      </c>
      <c r="D219" s="73">
        <v>384</v>
      </c>
      <c r="E219" s="73">
        <v>0</v>
      </c>
      <c r="F219" s="73">
        <v>576</v>
      </c>
      <c r="G219" s="170"/>
      <c r="H219">
        <f t="shared" si="20"/>
        <v>1.5</v>
      </c>
    </row>
    <row r="220" spans="1:10" ht="218.25" customHeight="1" x14ac:dyDescent="0.2">
      <c r="A220" s="166" t="s">
        <v>249</v>
      </c>
      <c r="B220" s="111"/>
      <c r="C220" s="111"/>
      <c r="D220" s="111"/>
      <c r="E220" s="111"/>
      <c r="F220" s="111"/>
      <c r="G220" s="111"/>
    </row>
    <row r="221" spans="1:10" ht="15" x14ac:dyDescent="0.2">
      <c r="A221" s="123" t="s">
        <v>133</v>
      </c>
      <c r="B221" s="124"/>
      <c r="C221" s="124"/>
      <c r="D221" s="124"/>
      <c r="E221" s="124"/>
      <c r="F221" s="124"/>
      <c r="G221" s="125"/>
    </row>
    <row r="222" spans="1:10" ht="15" x14ac:dyDescent="0.2">
      <c r="A222" s="85" t="s">
        <v>134</v>
      </c>
      <c r="B222" s="86"/>
      <c r="C222" s="86"/>
      <c r="D222" s="86"/>
      <c r="E222" s="86"/>
      <c r="F222" s="86"/>
      <c r="G222" s="90"/>
    </row>
    <row r="223" spans="1:10" ht="15" x14ac:dyDescent="0.2">
      <c r="A223" s="85" t="s">
        <v>135</v>
      </c>
      <c r="B223" s="86"/>
      <c r="C223" s="86"/>
      <c r="D223" s="86"/>
      <c r="E223" s="86"/>
      <c r="F223" s="86"/>
      <c r="G223" s="90"/>
    </row>
    <row r="224" spans="1:10" ht="15" x14ac:dyDescent="0.2">
      <c r="A224" s="85" t="s">
        <v>136</v>
      </c>
      <c r="B224" s="86"/>
      <c r="C224" s="86"/>
      <c r="D224" s="86"/>
      <c r="E224" s="86"/>
      <c r="F224" s="86"/>
      <c r="G224" s="90"/>
    </row>
    <row r="225" spans="1:7" ht="15" x14ac:dyDescent="0.2">
      <c r="A225" s="85" t="s">
        <v>137</v>
      </c>
      <c r="B225" s="86"/>
      <c r="C225" s="86"/>
      <c r="D225" s="86"/>
      <c r="E225" s="86"/>
      <c r="F225" s="86"/>
      <c r="G225" s="90"/>
    </row>
    <row r="226" spans="1:7" ht="15" x14ac:dyDescent="0.2">
      <c r="A226" s="85" t="s">
        <v>138</v>
      </c>
      <c r="B226" s="86"/>
      <c r="C226" s="86"/>
      <c r="D226" s="86"/>
      <c r="E226" s="86"/>
      <c r="F226" s="86"/>
      <c r="G226" s="90"/>
    </row>
    <row r="227" spans="1:7" ht="15" x14ac:dyDescent="0.2">
      <c r="A227" s="85" t="s">
        <v>139</v>
      </c>
      <c r="B227" s="86"/>
      <c r="C227" s="86"/>
      <c r="D227" s="86"/>
      <c r="E227" s="86"/>
      <c r="F227" s="86"/>
      <c r="G227" s="90"/>
    </row>
    <row r="228" spans="1:7" ht="27.75" customHeight="1" x14ac:dyDescent="0.2">
      <c r="A228" s="102" t="s">
        <v>140</v>
      </c>
      <c r="B228" s="100"/>
      <c r="C228" s="100"/>
      <c r="D228" s="100"/>
      <c r="E228" s="100"/>
      <c r="F228" s="100"/>
      <c r="G228" s="101"/>
    </row>
    <row r="229" spans="1:7" ht="47.25" customHeight="1" x14ac:dyDescent="0.2">
      <c r="A229" s="82" t="s">
        <v>141</v>
      </c>
      <c r="B229" s="83"/>
      <c r="C229" s="83"/>
      <c r="D229" s="83"/>
      <c r="E229" s="83"/>
      <c r="F229" s="83"/>
      <c r="G229" s="84"/>
    </row>
    <row r="230" spans="1:7" ht="28.5" x14ac:dyDescent="0.2">
      <c r="A230" s="40" t="s">
        <v>142</v>
      </c>
      <c r="B230" s="41"/>
      <c r="C230" s="41" t="s">
        <v>9</v>
      </c>
      <c r="D230" s="41"/>
      <c r="E230" s="42"/>
    </row>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3" hidden="1" x14ac:dyDescent="0.2"/>
    <row r="304" hidden="1" x14ac:dyDescent="0.2"/>
    <row r="305" spans="1:1" hidden="1" x14ac:dyDescent="0.2"/>
    <row r="306" spans="1:1" hidden="1" x14ac:dyDescent="0.2"/>
    <row r="307" spans="1:1" hidden="1" x14ac:dyDescent="0.2"/>
    <row r="308" spans="1:1" hidden="1" x14ac:dyDescent="0.2"/>
    <row r="309" spans="1:1" hidden="1" x14ac:dyDescent="0.2"/>
    <row r="310" spans="1:1" hidden="1" x14ac:dyDescent="0.2"/>
    <row r="311" spans="1:1" hidden="1" x14ac:dyDescent="0.2"/>
    <row r="312" spans="1:1" hidden="1" x14ac:dyDescent="0.2"/>
    <row r="313" spans="1:1" hidden="1" x14ac:dyDescent="0.2"/>
    <row r="314" spans="1:1" hidden="1" x14ac:dyDescent="0.2"/>
    <row r="315" spans="1:1" hidden="1" x14ac:dyDescent="0.2"/>
    <row r="317" spans="1:1" x14ac:dyDescent="0.2">
      <c r="A317" s="43" t="s">
        <v>143</v>
      </c>
    </row>
  </sheetData>
  <mergeCells count="238">
    <mergeCell ref="C52:G52"/>
    <mergeCell ref="A52:B52"/>
    <mergeCell ref="C42:D42"/>
    <mergeCell ref="C43:D43"/>
    <mergeCell ref="A42:B42"/>
    <mergeCell ref="A43:B43"/>
    <mergeCell ref="C45:G45"/>
    <mergeCell ref="C44:D44"/>
    <mergeCell ref="A44:B45"/>
    <mergeCell ref="F44:G44"/>
    <mergeCell ref="A48:C48"/>
    <mergeCell ref="D48:G48"/>
    <mergeCell ref="A49:B49"/>
    <mergeCell ref="D49:E49"/>
    <mergeCell ref="F49:G49"/>
    <mergeCell ref="A50:G50"/>
    <mergeCell ref="A51:B51"/>
    <mergeCell ref="E51:G51"/>
    <mergeCell ref="A46:B47"/>
    <mergeCell ref="C46:D46"/>
    <mergeCell ref="F46:G46"/>
    <mergeCell ref="C47:G47"/>
    <mergeCell ref="A72:B72"/>
    <mergeCell ref="C72:G72"/>
    <mergeCell ref="A73:B73"/>
    <mergeCell ref="E73:F73"/>
    <mergeCell ref="A66:B66"/>
    <mergeCell ref="A67:B67"/>
    <mergeCell ref="A68:B68"/>
    <mergeCell ref="A69:B69"/>
    <mergeCell ref="A74:B74"/>
    <mergeCell ref="E74:F83"/>
    <mergeCell ref="G74:G83"/>
    <mergeCell ref="A75:B75"/>
    <mergeCell ref="A76:B76"/>
    <mergeCell ref="A77:B77"/>
    <mergeCell ref="A78:B78"/>
    <mergeCell ref="A79:B79"/>
    <mergeCell ref="A80:B80"/>
    <mergeCell ref="A81:B81"/>
    <mergeCell ref="A82:B82"/>
    <mergeCell ref="A83:B83"/>
    <mergeCell ref="A226:G226"/>
    <mergeCell ref="A227:G227"/>
    <mergeCell ref="A228:G228"/>
    <mergeCell ref="A229:G229"/>
    <mergeCell ref="G106:G111"/>
    <mergeCell ref="G113:G118"/>
    <mergeCell ref="G120:G125"/>
    <mergeCell ref="G127:G132"/>
    <mergeCell ref="G134:G139"/>
    <mergeCell ref="G141:G146"/>
    <mergeCell ref="G148:G153"/>
    <mergeCell ref="G155:G160"/>
    <mergeCell ref="G162:G167"/>
    <mergeCell ref="G169:G174"/>
    <mergeCell ref="G177:G179"/>
    <mergeCell ref="G181:G183"/>
    <mergeCell ref="G185:G187"/>
    <mergeCell ref="G189:G191"/>
    <mergeCell ref="G193:G195"/>
    <mergeCell ref="G197:G199"/>
    <mergeCell ref="G201:G203"/>
    <mergeCell ref="G205:G207"/>
    <mergeCell ref="A208:G208"/>
    <mergeCell ref="A212:G212"/>
    <mergeCell ref="A216:G216"/>
    <mergeCell ref="A220:G220"/>
    <mergeCell ref="A221:G221"/>
    <mergeCell ref="A222:G222"/>
    <mergeCell ref="A223:G223"/>
    <mergeCell ref="A224:G224"/>
    <mergeCell ref="A225:G225"/>
    <mergeCell ref="G209:G211"/>
    <mergeCell ref="G213:G215"/>
    <mergeCell ref="G217:G219"/>
    <mergeCell ref="A180:G180"/>
    <mergeCell ref="A184:G184"/>
    <mergeCell ref="A188:G188"/>
    <mergeCell ref="C191:F191"/>
    <mergeCell ref="A192:G192"/>
    <mergeCell ref="A196:G196"/>
    <mergeCell ref="A200:G200"/>
    <mergeCell ref="A204:G204"/>
    <mergeCell ref="C207:F207"/>
    <mergeCell ref="B145:F145"/>
    <mergeCell ref="B146:F146"/>
    <mergeCell ref="A147:G147"/>
    <mergeCell ref="A154:G154"/>
    <mergeCell ref="A161:G161"/>
    <mergeCell ref="A168:G168"/>
    <mergeCell ref="B174:F174"/>
    <mergeCell ref="A175:G175"/>
    <mergeCell ref="A176:G176"/>
    <mergeCell ref="A104:G104"/>
    <mergeCell ref="A105:G105"/>
    <mergeCell ref="A112:G112"/>
    <mergeCell ref="A119:G119"/>
    <mergeCell ref="B124:F124"/>
    <mergeCell ref="B125:F125"/>
    <mergeCell ref="A126:G126"/>
    <mergeCell ref="A133:G133"/>
    <mergeCell ref="A140:G140"/>
    <mergeCell ref="A96:E96"/>
    <mergeCell ref="F96:G96"/>
    <mergeCell ref="A97:G97"/>
    <mergeCell ref="A98:G98"/>
    <mergeCell ref="A99:B99"/>
    <mergeCell ref="A100:G100"/>
    <mergeCell ref="A101:G101"/>
    <mergeCell ref="A102:G102"/>
    <mergeCell ref="A103:G103"/>
    <mergeCell ref="A91:E91"/>
    <mergeCell ref="F91:G91"/>
    <mergeCell ref="A92:E92"/>
    <mergeCell ref="F92:G92"/>
    <mergeCell ref="A93:E93"/>
    <mergeCell ref="F93:G93"/>
    <mergeCell ref="A94:E94"/>
    <mergeCell ref="F94:G94"/>
    <mergeCell ref="A95:E95"/>
    <mergeCell ref="F95:G95"/>
    <mergeCell ref="A85:G85"/>
    <mergeCell ref="A86:G86"/>
    <mergeCell ref="A87:G87"/>
    <mergeCell ref="A88:E88"/>
    <mergeCell ref="F88:G88"/>
    <mergeCell ref="H88:N88"/>
    <mergeCell ref="A89:E89"/>
    <mergeCell ref="F89:G89"/>
    <mergeCell ref="A90:E90"/>
    <mergeCell ref="F90:G90"/>
    <mergeCell ref="A84:G84"/>
    <mergeCell ref="A53:B53"/>
    <mergeCell ref="C53:G53"/>
    <mergeCell ref="A54:C54"/>
    <mergeCell ref="D54:G54"/>
    <mergeCell ref="A55:G55"/>
    <mergeCell ref="A56:B56"/>
    <mergeCell ref="C56:G56"/>
    <mergeCell ref="A58:B58"/>
    <mergeCell ref="A59:B59"/>
    <mergeCell ref="E59:F59"/>
    <mergeCell ref="A60:B60"/>
    <mergeCell ref="E60:F69"/>
    <mergeCell ref="A61:B61"/>
    <mergeCell ref="A62:B62"/>
    <mergeCell ref="A63:B63"/>
    <mergeCell ref="A64:B64"/>
    <mergeCell ref="A65:B65"/>
    <mergeCell ref="A57:B57"/>
    <mergeCell ref="G60:G69"/>
    <mergeCell ref="C58:G58"/>
    <mergeCell ref="A70:B70"/>
    <mergeCell ref="C70:G70"/>
    <mergeCell ref="A71:B71"/>
    <mergeCell ref="A39:C39"/>
    <mergeCell ref="D39:E39"/>
    <mergeCell ref="F39:G39"/>
    <mergeCell ref="A40:C40"/>
    <mergeCell ref="D40:G40"/>
    <mergeCell ref="A41:G41"/>
    <mergeCell ref="F42:G42"/>
    <mergeCell ref="F43:G43"/>
    <mergeCell ref="D35:E35"/>
    <mergeCell ref="F35:G35"/>
    <mergeCell ref="A36:C36"/>
    <mergeCell ref="D36:E36"/>
    <mergeCell ref="F36:G36"/>
    <mergeCell ref="A37:C37"/>
    <mergeCell ref="D37:E37"/>
    <mergeCell ref="F37:G37"/>
    <mergeCell ref="A38:C38"/>
    <mergeCell ref="D38:E38"/>
    <mergeCell ref="F38:G38"/>
    <mergeCell ref="A34:C35"/>
    <mergeCell ref="A27:B27"/>
    <mergeCell ref="E27:F27"/>
    <mergeCell ref="A28:G28"/>
    <mergeCell ref="A29:G29"/>
    <mergeCell ref="A30:B30"/>
    <mergeCell ref="A32:G32"/>
    <mergeCell ref="A33:G33"/>
    <mergeCell ref="D34:E34"/>
    <mergeCell ref="F34:G34"/>
    <mergeCell ref="C30:G30"/>
    <mergeCell ref="A31:B31"/>
    <mergeCell ref="C31:G31"/>
    <mergeCell ref="A22:C22"/>
    <mergeCell ref="D22:G22"/>
    <mergeCell ref="A23:C23"/>
    <mergeCell ref="D23:G23"/>
    <mergeCell ref="A24:C24"/>
    <mergeCell ref="D24:G24"/>
    <mergeCell ref="A25:B25"/>
    <mergeCell ref="E25:F25"/>
    <mergeCell ref="A26:B26"/>
    <mergeCell ref="E26:F26"/>
    <mergeCell ref="A18:B18"/>
    <mergeCell ref="D18:E18"/>
    <mergeCell ref="F18:G18"/>
    <mergeCell ref="A19:C19"/>
    <mergeCell ref="D19:G19"/>
    <mergeCell ref="A20:C20"/>
    <mergeCell ref="D20:G20"/>
    <mergeCell ref="A21:C21"/>
    <mergeCell ref="D21:G21"/>
    <mergeCell ref="A13:C13"/>
    <mergeCell ref="D13:G13"/>
    <mergeCell ref="A14:B14"/>
    <mergeCell ref="C14:G14"/>
    <mergeCell ref="B15:E15"/>
    <mergeCell ref="B16:C16"/>
    <mergeCell ref="E16:G16"/>
    <mergeCell ref="B17:C17"/>
    <mergeCell ref="E17:G17"/>
    <mergeCell ref="A7:C7"/>
    <mergeCell ref="D7:G7"/>
    <mergeCell ref="A8:C8"/>
    <mergeCell ref="D8:G8"/>
    <mergeCell ref="A9:C9"/>
    <mergeCell ref="D9:G9"/>
    <mergeCell ref="A11:C11"/>
    <mergeCell ref="D11:G11"/>
    <mergeCell ref="A12:C12"/>
    <mergeCell ref="D12:G12"/>
    <mergeCell ref="A10:C10"/>
    <mergeCell ref="D10:G10"/>
    <mergeCell ref="A1:G1"/>
    <mergeCell ref="A2:G2"/>
    <mergeCell ref="A3:C3"/>
    <mergeCell ref="D3:G3"/>
    <mergeCell ref="A4:C4"/>
    <mergeCell ref="D4:G4"/>
    <mergeCell ref="A5:C5"/>
    <mergeCell ref="D5:G5"/>
    <mergeCell ref="A6:C6"/>
    <mergeCell ref="D6:G6"/>
  </mergeCells>
  <hyperlinks>
    <hyperlink ref="C31" r:id="rId1"/>
  </hyperlinks>
  <printOptions horizontalCentered="1"/>
  <pageMargins left="0.39370078740157483" right="0.39370078740157483" top="0.78740157480314965" bottom="0.74803149606299213" header="0.19685039370078741" footer="0.19685039370078741"/>
  <pageSetup paperSize="9" scale="95" fitToHeight="0" orientation="portrait" r:id="rId2"/>
  <headerFooter>
    <oddHeader>&amp;C&amp;G</oddHeader>
    <oddFooter>&amp;L&amp;"Times New Roman,Bold"&amp;F&amp;C&amp;G&amp;R&amp;P</oddFooter>
  </headerFooter>
  <rowBreaks count="3" manualBreakCount="3">
    <brk id="69" max="16383" man="1"/>
    <brk id="229" max="16383" man="1"/>
    <brk id="316"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activeCell="L10" sqref="L10"/>
    </sheetView>
  </sheetViews>
  <sheetFormatPr defaultColWidth="9" defaultRowHeight="12.75" x14ac:dyDescent="0.2"/>
  <cols>
    <col min="3" max="3" width="12.6640625" customWidth="1"/>
  </cols>
  <sheetData>
    <row r="1" spans="1:11" x14ac:dyDescent="0.2">
      <c r="A1" s="22" t="s">
        <v>144</v>
      </c>
      <c r="C1" s="22" t="s">
        <v>145</v>
      </c>
      <c r="D1" s="23" t="s">
        <v>146</v>
      </c>
      <c r="E1" s="24"/>
      <c r="F1" s="24"/>
      <c r="G1" s="24"/>
      <c r="H1" s="24"/>
      <c r="I1" s="24"/>
      <c r="J1" s="24"/>
    </row>
    <row r="2" spans="1:11" x14ac:dyDescent="0.2">
      <c r="D2" s="23" t="s">
        <v>147</v>
      </c>
      <c r="E2" s="24"/>
      <c r="F2" s="24"/>
      <c r="G2" s="24"/>
      <c r="H2" s="24"/>
      <c r="I2" s="24"/>
      <c r="J2" s="24"/>
      <c r="K2" s="24"/>
    </row>
    <row r="3" spans="1:11" x14ac:dyDescent="0.2">
      <c r="A3" s="22" t="s">
        <v>148</v>
      </c>
      <c r="C3" s="22" t="s">
        <v>149</v>
      </c>
      <c r="D3" s="23" t="s">
        <v>150</v>
      </c>
      <c r="E3" s="24"/>
      <c r="F3" s="24"/>
      <c r="G3" s="24"/>
      <c r="H3" s="24"/>
      <c r="I3" s="24"/>
      <c r="J3" s="24"/>
    </row>
    <row r="4" spans="1:11" x14ac:dyDescent="0.2">
      <c r="D4" s="23" t="s">
        <v>151</v>
      </c>
      <c r="E4" s="24"/>
      <c r="F4" s="24"/>
      <c r="G4" s="24"/>
      <c r="H4" s="24"/>
      <c r="I4" s="24"/>
      <c r="J4" s="24"/>
      <c r="K4"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G10" sqref="G10"/>
    </sheetView>
  </sheetViews>
  <sheetFormatPr defaultColWidth="10.1640625" defaultRowHeight="15" x14ac:dyDescent="0.25"/>
  <cols>
    <col min="1" max="1" width="10.1640625" style="8"/>
    <col min="2" max="2" width="25.83203125" style="8" customWidth="1"/>
    <col min="3" max="3" width="43.1640625" style="8" customWidth="1"/>
    <col min="4" max="5" width="13.33203125" style="8" customWidth="1"/>
    <col min="6" max="6" width="16.33203125" style="8" customWidth="1"/>
    <col min="7" max="7" width="23.33203125" style="8" customWidth="1"/>
    <col min="8" max="8" width="19.1640625" style="8" customWidth="1"/>
    <col min="9" max="16384" width="10.1640625" style="8"/>
  </cols>
  <sheetData>
    <row r="1" spans="1:10" ht="15" customHeight="1" x14ac:dyDescent="0.25">
      <c r="A1" s="9"/>
      <c r="B1" s="9"/>
      <c r="C1" s="9"/>
      <c r="D1" s="9"/>
      <c r="E1" s="9"/>
      <c r="F1" s="9"/>
      <c r="G1" s="9"/>
      <c r="H1" s="9"/>
    </row>
    <row r="2" spans="1:10" ht="15" customHeight="1" x14ac:dyDescent="0.25">
      <c r="A2" s="10"/>
      <c r="B2" s="10"/>
      <c r="C2" s="10"/>
      <c r="D2" s="10"/>
      <c r="E2" s="10"/>
      <c r="F2" s="10"/>
      <c r="G2" s="10"/>
      <c r="H2" s="10"/>
    </row>
    <row r="3" spans="1:10" x14ac:dyDescent="0.25">
      <c r="A3" s="10"/>
      <c r="B3" s="184" t="s">
        <v>152</v>
      </c>
      <c r="C3" s="184"/>
      <c r="D3" s="184"/>
      <c r="E3" s="184"/>
      <c r="F3" s="184"/>
      <c r="G3" s="184"/>
      <c r="H3" s="184"/>
    </row>
    <row r="4" spans="1:10" x14ac:dyDescent="0.25">
      <c r="A4" s="10"/>
      <c r="B4" s="11" t="s">
        <v>153</v>
      </c>
      <c r="C4" s="11" t="s">
        <v>154</v>
      </c>
      <c r="D4" s="11" t="s">
        <v>155</v>
      </c>
      <c r="E4" s="11" t="s">
        <v>156</v>
      </c>
      <c r="F4" s="11" t="s">
        <v>157</v>
      </c>
      <c r="G4" s="11" t="s">
        <v>158</v>
      </c>
      <c r="H4" s="11" t="s">
        <v>159</v>
      </c>
    </row>
    <row r="5" spans="1:10" ht="15" customHeight="1" x14ac:dyDescent="0.25">
      <c r="A5" s="10"/>
      <c r="B5" s="12" t="s">
        <v>160</v>
      </c>
      <c r="C5" s="13" t="s">
        <v>9</v>
      </c>
      <c r="D5" s="12" t="s">
        <v>161</v>
      </c>
      <c r="E5" s="12">
        <v>406</v>
      </c>
      <c r="F5" s="14">
        <v>604</v>
      </c>
      <c r="G5" s="14">
        <f>H5/F5</f>
        <v>13576.15894039735</v>
      </c>
      <c r="H5" s="15">
        <v>8200000</v>
      </c>
      <c r="I5" s="8">
        <f>E5*1.5</f>
        <v>609</v>
      </c>
      <c r="J5" s="20">
        <f>H5/I5</f>
        <v>13464.696223316912</v>
      </c>
    </row>
    <row r="6" spans="1:10" x14ac:dyDescent="0.25">
      <c r="A6" s="10"/>
      <c r="B6" s="12" t="s">
        <v>162</v>
      </c>
      <c r="C6" s="13" t="s">
        <v>9</v>
      </c>
      <c r="D6" s="12" t="s">
        <v>161</v>
      </c>
      <c r="E6" s="12">
        <v>317</v>
      </c>
      <c r="F6" s="14">
        <v>458</v>
      </c>
      <c r="G6" s="14">
        <f t="shared" ref="G6:G8" si="0">H6/F6</f>
        <v>15720.524017467249</v>
      </c>
      <c r="H6" s="15">
        <v>7200000</v>
      </c>
      <c r="I6" s="8">
        <f t="shared" ref="I6:I8" si="1">E6*1.5</f>
        <v>475.5</v>
      </c>
      <c r="J6" s="20">
        <f t="shared" ref="J6:J8" si="2">H6/I6</f>
        <v>15141.955835962146</v>
      </c>
    </row>
    <row r="7" spans="1:10" x14ac:dyDescent="0.25">
      <c r="A7" s="10"/>
      <c r="B7" s="12" t="s">
        <v>162</v>
      </c>
      <c r="C7" s="13" t="s">
        <v>9</v>
      </c>
      <c r="D7" s="12" t="s">
        <v>161</v>
      </c>
      <c r="E7" s="12">
        <v>317</v>
      </c>
      <c r="F7" s="14">
        <v>458</v>
      </c>
      <c r="G7" s="14">
        <f t="shared" ref="G7" si="3">H7/F7</f>
        <v>14192.139737991267</v>
      </c>
      <c r="H7" s="15">
        <v>6500000</v>
      </c>
      <c r="I7" s="8">
        <f t="shared" ref="I7" si="4">E7*1.5</f>
        <v>475.5</v>
      </c>
      <c r="J7" s="20">
        <f t="shared" ref="J7" si="5">H7/I7</f>
        <v>13669.82124079916</v>
      </c>
    </row>
    <row r="8" spans="1:10" ht="15" customHeight="1" x14ac:dyDescent="0.25">
      <c r="A8" s="10"/>
      <c r="B8" s="12" t="s">
        <v>162</v>
      </c>
      <c r="C8" s="13" t="s">
        <v>9</v>
      </c>
      <c r="D8" s="12" t="s">
        <v>161</v>
      </c>
      <c r="E8" s="12">
        <v>406</v>
      </c>
      <c r="F8" s="14">
        <v>604</v>
      </c>
      <c r="G8" s="14">
        <f t="shared" si="0"/>
        <v>14072.847682119205</v>
      </c>
      <c r="H8" s="15">
        <v>8500000</v>
      </c>
      <c r="I8" s="8">
        <f t="shared" si="1"/>
        <v>609</v>
      </c>
      <c r="J8" s="20">
        <f t="shared" si="2"/>
        <v>13957.307060755336</v>
      </c>
    </row>
    <row r="9" spans="1:10" ht="15" customHeight="1" x14ac:dyDescent="0.25">
      <c r="A9" s="10"/>
      <c r="B9" s="16" t="s">
        <v>163</v>
      </c>
      <c r="C9" s="12"/>
      <c r="D9" s="12"/>
      <c r="E9" s="12"/>
      <c r="F9" s="12"/>
      <c r="G9" s="17">
        <f>AVERAGE(G5:G8)</f>
        <v>14390.417594493767</v>
      </c>
      <c r="H9" s="12"/>
    </row>
    <row r="10" spans="1:10" ht="15" customHeight="1" x14ac:dyDescent="0.25">
      <c r="A10" s="9"/>
      <c r="B10" s="16" t="s">
        <v>164</v>
      </c>
      <c r="C10" s="18"/>
      <c r="D10" s="18"/>
      <c r="E10" s="18"/>
      <c r="F10" s="19"/>
      <c r="G10" s="16">
        <v>14400</v>
      </c>
      <c r="H10" s="16"/>
      <c r="I10" s="21"/>
    </row>
    <row r="11" spans="1:10" ht="15" customHeight="1" x14ac:dyDescent="0.25">
      <c r="B11" s="9"/>
      <c r="C11" s="9"/>
      <c r="D11" s="9"/>
      <c r="E11" s="9"/>
    </row>
    <row r="12" spans="1:10" ht="15" customHeight="1" x14ac:dyDescent="0.25">
      <c r="B12" s="9"/>
      <c r="C12" s="9"/>
      <c r="D12" s="9"/>
      <c r="E12" s="9"/>
    </row>
    <row r="13" spans="1:10" ht="15" customHeight="1" x14ac:dyDescent="0.25">
      <c r="B13" s="9"/>
      <c r="C13" s="9"/>
      <c r="D13" s="9"/>
      <c r="E13" s="9"/>
    </row>
  </sheetData>
  <mergeCells count="1">
    <mergeCell ref="B3:H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1" sqref="C11"/>
    </sheetView>
  </sheetViews>
  <sheetFormatPr defaultColWidth="9" defaultRowHeight="15" x14ac:dyDescent="0.25"/>
  <cols>
    <col min="1" max="1" width="9.33203125" style="1"/>
    <col min="2" max="2" width="13.6640625" style="1" customWidth="1"/>
    <col min="3" max="257" width="9.33203125" style="1"/>
    <col min="258" max="258" width="13.6640625" style="1" customWidth="1"/>
    <col min="259" max="513" width="9.33203125" style="1"/>
    <col min="514" max="514" width="13.6640625" style="1" customWidth="1"/>
    <col min="515" max="769" width="9.33203125" style="1"/>
    <col min="770" max="770" width="13.6640625" style="1" customWidth="1"/>
    <col min="771" max="1025" width="9.33203125" style="1"/>
    <col min="1026" max="1026" width="13.6640625" style="1" customWidth="1"/>
    <col min="1027" max="1281" width="9.33203125" style="1"/>
    <col min="1282" max="1282" width="13.6640625" style="1" customWidth="1"/>
    <col min="1283" max="1537" width="9.33203125" style="1"/>
    <col min="1538" max="1538" width="13.6640625" style="1" customWidth="1"/>
    <col min="1539" max="1793" width="9.33203125" style="1"/>
    <col min="1794" max="1794" width="13.6640625" style="1" customWidth="1"/>
    <col min="1795" max="2049" width="9.33203125" style="1"/>
    <col min="2050" max="2050" width="13.6640625" style="1" customWidth="1"/>
    <col min="2051" max="2305" width="9.33203125" style="1"/>
    <col min="2306" max="2306" width="13.6640625" style="1" customWidth="1"/>
    <col min="2307" max="2561" width="9.33203125" style="1"/>
    <col min="2562" max="2562" width="13.6640625" style="1" customWidth="1"/>
    <col min="2563" max="2817" width="9.33203125" style="1"/>
    <col min="2818" max="2818" width="13.6640625" style="1" customWidth="1"/>
    <col min="2819" max="3073" width="9.33203125" style="1"/>
    <col min="3074" max="3074" width="13.6640625" style="1" customWidth="1"/>
    <col min="3075" max="3329" width="9.33203125" style="1"/>
    <col min="3330" max="3330" width="13.6640625" style="1" customWidth="1"/>
    <col min="3331" max="3585" width="9.33203125" style="1"/>
    <col min="3586" max="3586" width="13.6640625" style="1" customWidth="1"/>
    <col min="3587" max="3841" width="9.33203125" style="1"/>
    <col min="3842" max="3842" width="13.6640625" style="1" customWidth="1"/>
    <col min="3843" max="4097" width="9.33203125" style="1"/>
    <col min="4098" max="4098" width="13.6640625" style="1" customWidth="1"/>
    <col min="4099" max="4353" width="9.33203125" style="1"/>
    <col min="4354" max="4354" width="13.6640625" style="1" customWidth="1"/>
    <col min="4355" max="4609" width="9.33203125" style="1"/>
    <col min="4610" max="4610" width="13.6640625" style="1" customWidth="1"/>
    <col min="4611" max="4865" width="9.33203125" style="1"/>
    <col min="4866" max="4866" width="13.6640625" style="1" customWidth="1"/>
    <col min="4867" max="5121" width="9.33203125" style="1"/>
    <col min="5122" max="5122" width="13.6640625" style="1" customWidth="1"/>
    <col min="5123" max="5377" width="9.33203125" style="1"/>
    <col min="5378" max="5378" width="13.6640625" style="1" customWidth="1"/>
    <col min="5379" max="5633" width="9.33203125" style="1"/>
    <col min="5634" max="5634" width="13.6640625" style="1" customWidth="1"/>
    <col min="5635" max="5889" width="9.33203125" style="1"/>
    <col min="5890" max="5890" width="13.6640625" style="1" customWidth="1"/>
    <col min="5891" max="6145" width="9.33203125" style="1"/>
    <col min="6146" max="6146" width="13.6640625" style="1" customWidth="1"/>
    <col min="6147" max="6401" width="9.33203125" style="1"/>
    <col min="6402" max="6402" width="13.6640625" style="1" customWidth="1"/>
    <col min="6403" max="6657" width="9.33203125" style="1"/>
    <col min="6658" max="6658" width="13.6640625" style="1" customWidth="1"/>
    <col min="6659" max="6913" width="9.33203125" style="1"/>
    <col min="6914" max="6914" width="13.6640625" style="1" customWidth="1"/>
    <col min="6915" max="7169" width="9.33203125" style="1"/>
    <col min="7170" max="7170" width="13.6640625" style="1" customWidth="1"/>
    <col min="7171" max="7425" width="9.33203125" style="1"/>
    <col min="7426" max="7426" width="13.6640625" style="1" customWidth="1"/>
    <col min="7427" max="7681" width="9.33203125" style="1"/>
    <col min="7682" max="7682" width="13.6640625" style="1" customWidth="1"/>
    <col min="7683" max="7937" width="9.33203125" style="1"/>
    <col min="7938" max="7938" width="13.6640625" style="1" customWidth="1"/>
    <col min="7939" max="8193" width="9.33203125" style="1"/>
    <col min="8194" max="8194" width="13.6640625" style="1" customWidth="1"/>
    <col min="8195" max="8449" width="9.33203125" style="1"/>
    <col min="8450" max="8450" width="13.6640625" style="1" customWidth="1"/>
    <col min="8451" max="8705" width="9.33203125" style="1"/>
    <col min="8706" max="8706" width="13.6640625" style="1" customWidth="1"/>
    <col min="8707" max="8961" width="9.33203125" style="1"/>
    <col min="8962" max="8962" width="13.6640625" style="1" customWidth="1"/>
    <col min="8963" max="9217" width="9.33203125" style="1"/>
    <col min="9218" max="9218" width="13.6640625" style="1" customWidth="1"/>
    <col min="9219" max="9473" width="9.33203125" style="1"/>
    <col min="9474" max="9474" width="13.6640625" style="1" customWidth="1"/>
    <col min="9475" max="9729" width="9.33203125" style="1"/>
    <col min="9730" max="9730" width="13.6640625" style="1" customWidth="1"/>
    <col min="9731" max="9985" width="9.33203125" style="1"/>
    <col min="9986" max="9986" width="13.6640625" style="1" customWidth="1"/>
    <col min="9987" max="10241" width="9.33203125" style="1"/>
    <col min="10242" max="10242" width="13.6640625" style="1" customWidth="1"/>
    <col min="10243" max="10497" width="9.33203125" style="1"/>
    <col min="10498" max="10498" width="13.6640625" style="1" customWidth="1"/>
    <col min="10499" max="10753" width="9.33203125" style="1"/>
    <col min="10754" max="10754" width="13.6640625" style="1" customWidth="1"/>
    <col min="10755" max="11009" width="9.33203125" style="1"/>
    <col min="11010" max="11010" width="13.6640625" style="1" customWidth="1"/>
    <col min="11011" max="11265" width="9.33203125" style="1"/>
    <col min="11266" max="11266" width="13.6640625" style="1" customWidth="1"/>
    <col min="11267" max="11521" width="9.33203125" style="1"/>
    <col min="11522" max="11522" width="13.6640625" style="1" customWidth="1"/>
    <col min="11523" max="11777" width="9.33203125" style="1"/>
    <col min="11778" max="11778" width="13.6640625" style="1" customWidth="1"/>
    <col min="11779" max="12033" width="9.33203125" style="1"/>
    <col min="12034" max="12034" width="13.6640625" style="1" customWidth="1"/>
    <col min="12035" max="12289" width="9.33203125" style="1"/>
    <col min="12290" max="12290" width="13.6640625" style="1" customWidth="1"/>
    <col min="12291" max="12545" width="9.33203125" style="1"/>
    <col min="12546" max="12546" width="13.6640625" style="1" customWidth="1"/>
    <col min="12547" max="12801" width="9.33203125" style="1"/>
    <col min="12802" max="12802" width="13.6640625" style="1" customWidth="1"/>
    <col min="12803" max="13057" width="9.33203125" style="1"/>
    <col min="13058" max="13058" width="13.6640625" style="1" customWidth="1"/>
    <col min="13059" max="13313" width="9.33203125" style="1"/>
    <col min="13314" max="13314" width="13.6640625" style="1" customWidth="1"/>
    <col min="13315" max="13569" width="9.33203125" style="1"/>
    <col min="13570" max="13570" width="13.6640625" style="1" customWidth="1"/>
    <col min="13571" max="13825" width="9.33203125" style="1"/>
    <col min="13826" max="13826" width="13.6640625" style="1" customWidth="1"/>
    <col min="13827" max="14081" width="9.33203125" style="1"/>
    <col min="14082" max="14082" width="13.6640625" style="1" customWidth="1"/>
    <col min="14083" max="14337" width="9.33203125" style="1"/>
    <col min="14338" max="14338" width="13.6640625" style="1" customWidth="1"/>
    <col min="14339" max="14593" width="9.33203125" style="1"/>
    <col min="14594" max="14594" width="13.6640625" style="1" customWidth="1"/>
    <col min="14595" max="14849" width="9.33203125" style="1"/>
    <col min="14850" max="14850" width="13.6640625" style="1" customWidth="1"/>
    <col min="14851" max="15105" width="9.33203125" style="1"/>
    <col min="15106" max="15106" width="13.6640625" style="1" customWidth="1"/>
    <col min="15107" max="15361" width="9.33203125" style="1"/>
    <col min="15362" max="15362" width="13.6640625" style="1" customWidth="1"/>
    <col min="15363" max="15617" width="9.33203125" style="1"/>
    <col min="15618" max="15618" width="13.6640625" style="1" customWidth="1"/>
    <col min="15619" max="15873" width="9.33203125" style="1"/>
    <col min="15874" max="15874" width="13.6640625" style="1" customWidth="1"/>
    <col min="15875" max="16129" width="9.33203125" style="1"/>
    <col min="16130" max="16130" width="13.6640625" style="1" customWidth="1"/>
    <col min="16131" max="16384" width="9.33203125" style="1"/>
  </cols>
  <sheetData>
    <row r="2" spans="1:15" x14ac:dyDescent="0.25">
      <c r="A2" s="1" t="s">
        <v>165</v>
      </c>
      <c r="B2" s="2" t="s">
        <v>166</v>
      </c>
      <c r="C2" s="2">
        <v>23</v>
      </c>
    </row>
    <row r="3" spans="1:15" x14ac:dyDescent="0.25">
      <c r="B3" s="1" t="s">
        <v>167</v>
      </c>
      <c r="C3" s="1" t="s">
        <v>168</v>
      </c>
    </row>
    <row r="4" spans="1:15" x14ac:dyDescent="0.25">
      <c r="A4" s="1" t="s">
        <v>169</v>
      </c>
      <c r="B4" s="3">
        <v>10</v>
      </c>
      <c r="C4" s="3">
        <v>10</v>
      </c>
      <c r="D4" s="4"/>
      <c r="E4" s="4">
        <f>(100/B4)*C4</f>
        <v>100</v>
      </c>
    </row>
    <row r="5" spans="1:15" x14ac:dyDescent="0.25">
      <c r="A5" s="1" t="s">
        <v>170</v>
      </c>
      <c r="B5" s="1" t="s">
        <v>171</v>
      </c>
      <c r="C5" s="1" t="s">
        <v>172</v>
      </c>
      <c r="E5" s="4">
        <f>(100/B6)*C6</f>
        <v>83.333333333333343</v>
      </c>
      <c r="I5" s="3" t="s">
        <v>173</v>
      </c>
      <c r="J5" s="3" t="s">
        <v>174</v>
      </c>
      <c r="K5" s="3" t="s">
        <v>175</v>
      </c>
      <c r="L5" s="3" t="s">
        <v>176</v>
      </c>
      <c r="M5" s="3" t="s">
        <v>177</v>
      </c>
      <c r="N5" s="3" t="s">
        <v>178</v>
      </c>
      <c r="O5" s="3" t="s">
        <v>179</v>
      </c>
    </row>
    <row r="6" spans="1:15" x14ac:dyDescent="0.25">
      <c r="B6" s="3">
        <f>C2+1</f>
        <v>24</v>
      </c>
      <c r="C6" s="3">
        <v>20</v>
      </c>
      <c r="E6" s="4">
        <f>(100/B8)*C8</f>
        <v>56.521739130434781</v>
      </c>
      <c r="F6" s="5" t="s">
        <v>180</v>
      </c>
      <c r="I6" s="5">
        <f>C4</f>
        <v>10</v>
      </c>
      <c r="J6" s="5">
        <f>40/B6*C6</f>
        <v>33.333333333333336</v>
      </c>
      <c r="K6" s="5">
        <f>15/B8*C8</f>
        <v>8.4782608695652169</v>
      </c>
      <c r="L6" s="5">
        <f>10/B10*C10</f>
        <v>2.1739130434782608</v>
      </c>
      <c r="M6" s="5">
        <f>10/B12*C12</f>
        <v>0</v>
      </c>
      <c r="N6" s="5">
        <f>5/B14*C14</f>
        <v>0</v>
      </c>
      <c r="O6" s="5">
        <f>5/B16*C16</f>
        <v>0</v>
      </c>
    </row>
    <row r="7" spans="1:15" x14ac:dyDescent="0.25">
      <c r="A7" s="1" t="s">
        <v>181</v>
      </c>
      <c r="B7" s="1" t="s">
        <v>182</v>
      </c>
      <c r="C7" s="1" t="s">
        <v>183</v>
      </c>
      <c r="E7" s="4">
        <f>(100/B10)*C10</f>
        <v>21.739130434782609</v>
      </c>
      <c r="F7" s="3" t="s">
        <v>184</v>
      </c>
      <c r="G7" s="3"/>
      <c r="H7" s="3"/>
      <c r="I7" s="3">
        <f>I6+20</f>
        <v>30</v>
      </c>
      <c r="J7" s="3">
        <f>30/B6*C6</f>
        <v>25</v>
      </c>
      <c r="K7" s="3">
        <f>15/B8*C8</f>
        <v>8.4782608695652169</v>
      </c>
      <c r="L7" s="3">
        <f>10/B10*C10</f>
        <v>2.1739130434782608</v>
      </c>
      <c r="M7" s="3">
        <f>5/B12*C12</f>
        <v>0</v>
      </c>
      <c r="N7" s="3">
        <f>5/B14*C14</f>
        <v>0</v>
      </c>
      <c r="O7" s="3">
        <f>5/B16*C16</f>
        <v>0</v>
      </c>
    </row>
    <row r="8" spans="1:15" x14ac:dyDescent="0.25">
      <c r="B8" s="3">
        <f>C2</f>
        <v>23</v>
      </c>
      <c r="C8" s="3">
        <v>13</v>
      </c>
      <c r="D8" s="4"/>
      <c r="E8" s="4">
        <f>(100/B12)*C12</f>
        <v>0</v>
      </c>
    </row>
    <row r="9" spans="1:15" x14ac:dyDescent="0.25">
      <c r="A9" s="1" t="s">
        <v>185</v>
      </c>
      <c r="B9" s="1" t="s">
        <v>182</v>
      </c>
      <c r="C9" s="1" t="s">
        <v>183</v>
      </c>
      <c r="E9" s="4">
        <f>(100/B14)*C14</f>
        <v>0</v>
      </c>
    </row>
    <row r="10" spans="1:15" x14ac:dyDescent="0.25">
      <c r="B10" s="3">
        <f>C2</f>
        <v>23</v>
      </c>
      <c r="C10" s="3">
        <v>5</v>
      </c>
      <c r="D10" s="4"/>
      <c r="E10" s="4">
        <f>(100/B16)*C16</f>
        <v>0</v>
      </c>
    </row>
    <row r="11" spans="1:15" x14ac:dyDescent="0.25">
      <c r="A11" s="1" t="s">
        <v>177</v>
      </c>
      <c r="B11" s="1" t="s">
        <v>182</v>
      </c>
      <c r="C11" s="1" t="s">
        <v>183</v>
      </c>
    </row>
    <row r="12" spans="1:15" x14ac:dyDescent="0.25">
      <c r="B12" s="3">
        <f>C2</f>
        <v>23</v>
      </c>
      <c r="C12" s="3">
        <v>0</v>
      </c>
      <c r="D12" s="4"/>
      <c r="F12" s="3"/>
      <c r="G12" s="3" t="s">
        <v>180</v>
      </c>
      <c r="H12" s="3" t="s">
        <v>186</v>
      </c>
      <c r="L12" s="4" t="s">
        <v>187</v>
      </c>
    </row>
    <row r="13" spans="1:15" ht="60" x14ac:dyDescent="0.25">
      <c r="A13" s="6" t="s">
        <v>178</v>
      </c>
      <c r="B13" s="1" t="s">
        <v>182</v>
      </c>
      <c r="C13" s="1" t="s">
        <v>183</v>
      </c>
      <c r="F13" s="3" t="s">
        <v>188</v>
      </c>
      <c r="G13" s="3">
        <f>I6</f>
        <v>10</v>
      </c>
      <c r="H13" s="3">
        <f>I7</f>
        <v>30</v>
      </c>
      <c r="L13" s="4" t="s">
        <v>187</v>
      </c>
    </row>
    <row r="14" spans="1:15" x14ac:dyDescent="0.25">
      <c r="B14" s="3">
        <f>C2</f>
        <v>23</v>
      </c>
      <c r="C14" s="3">
        <v>0</v>
      </c>
      <c r="D14" s="4"/>
      <c r="F14" s="3" t="s">
        <v>189</v>
      </c>
      <c r="G14" s="3">
        <f>J6</f>
        <v>33.333333333333336</v>
      </c>
      <c r="H14" s="3">
        <f>J7</f>
        <v>25</v>
      </c>
      <c r="L14" s="4"/>
    </row>
    <row r="15" spans="1:15" x14ac:dyDescent="0.25">
      <c r="A15" s="1" t="s">
        <v>179</v>
      </c>
      <c r="B15" s="1" t="s">
        <v>182</v>
      </c>
      <c r="C15" s="1" t="s">
        <v>183</v>
      </c>
      <c r="F15" s="3" t="s">
        <v>175</v>
      </c>
      <c r="G15" s="3">
        <f>K6</f>
        <v>8.4782608695652169</v>
      </c>
      <c r="H15" s="3">
        <f>K7</f>
        <v>8.4782608695652169</v>
      </c>
      <c r="L15" s="4"/>
    </row>
    <row r="16" spans="1:15" x14ac:dyDescent="0.25">
      <c r="B16" s="3">
        <f>C2</f>
        <v>23</v>
      </c>
      <c r="C16" s="3">
        <v>0</v>
      </c>
      <c r="D16" s="4"/>
      <c r="F16" s="3" t="s">
        <v>176</v>
      </c>
      <c r="G16" s="3">
        <f>L6</f>
        <v>2.1739130434782608</v>
      </c>
      <c r="H16" s="3">
        <f>L7</f>
        <v>2.1739130434782608</v>
      </c>
      <c r="L16" s="4"/>
    </row>
    <row r="17" spans="6:12" x14ac:dyDescent="0.25">
      <c r="F17" s="3" t="s">
        <v>177</v>
      </c>
      <c r="G17" s="3">
        <f>M6</f>
        <v>0</v>
      </c>
      <c r="H17" s="3">
        <f>M7</f>
        <v>0</v>
      </c>
      <c r="L17" s="4"/>
    </row>
    <row r="18" spans="6:12" ht="60" x14ac:dyDescent="0.25">
      <c r="F18" s="7" t="s">
        <v>178</v>
      </c>
      <c r="G18" s="3">
        <f>N6</f>
        <v>0</v>
      </c>
      <c r="H18" s="3">
        <f>N7</f>
        <v>0</v>
      </c>
      <c r="L18" s="4"/>
    </row>
    <row r="19" spans="6:12" x14ac:dyDescent="0.25">
      <c r="F19" s="3" t="s">
        <v>179</v>
      </c>
      <c r="G19" s="3">
        <f>O6</f>
        <v>0</v>
      </c>
      <c r="H19" s="3">
        <f>O7</f>
        <v>0</v>
      </c>
      <c r="L19" s="4"/>
    </row>
    <row r="20" spans="6:12" x14ac:dyDescent="0.25">
      <c r="F20" s="3" t="s">
        <v>190</v>
      </c>
      <c r="G20" s="3">
        <f>G13+G14+G15+G16+G17+G18+G19</f>
        <v>53.985507246376812</v>
      </c>
      <c r="H20" s="3">
        <f>H13+H14+H15+H16+H17+H18+H19</f>
        <v>65.652173913043484</v>
      </c>
      <c r="L20" s="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7" sqref="C7"/>
    </sheetView>
  </sheetViews>
  <sheetFormatPr defaultColWidth="9" defaultRowHeight="15" x14ac:dyDescent="0.25"/>
  <cols>
    <col min="1" max="1" width="9.33203125" style="1"/>
    <col min="2" max="2" width="13.6640625" style="1" customWidth="1"/>
    <col min="3" max="257" width="9.33203125" style="1"/>
    <col min="258" max="258" width="13.6640625" style="1" customWidth="1"/>
    <col min="259" max="513" width="9.33203125" style="1"/>
    <col min="514" max="514" width="13.6640625" style="1" customWidth="1"/>
    <col min="515" max="769" width="9.33203125" style="1"/>
    <col min="770" max="770" width="13.6640625" style="1" customWidth="1"/>
    <col min="771" max="1025" width="9.33203125" style="1"/>
    <col min="1026" max="1026" width="13.6640625" style="1" customWidth="1"/>
    <col min="1027" max="1281" width="9.33203125" style="1"/>
    <col min="1282" max="1282" width="13.6640625" style="1" customWidth="1"/>
    <col min="1283" max="1537" width="9.33203125" style="1"/>
    <col min="1538" max="1538" width="13.6640625" style="1" customWidth="1"/>
    <col min="1539" max="1793" width="9.33203125" style="1"/>
    <col min="1794" max="1794" width="13.6640625" style="1" customWidth="1"/>
    <col min="1795" max="2049" width="9.33203125" style="1"/>
    <col min="2050" max="2050" width="13.6640625" style="1" customWidth="1"/>
    <col min="2051" max="2305" width="9.33203125" style="1"/>
    <col min="2306" max="2306" width="13.6640625" style="1" customWidth="1"/>
    <col min="2307" max="2561" width="9.33203125" style="1"/>
    <col min="2562" max="2562" width="13.6640625" style="1" customWidth="1"/>
    <col min="2563" max="2817" width="9.33203125" style="1"/>
    <col min="2818" max="2818" width="13.6640625" style="1" customWidth="1"/>
    <col min="2819" max="3073" width="9.33203125" style="1"/>
    <col min="3074" max="3074" width="13.6640625" style="1" customWidth="1"/>
    <col min="3075" max="3329" width="9.33203125" style="1"/>
    <col min="3330" max="3330" width="13.6640625" style="1" customWidth="1"/>
    <col min="3331" max="3585" width="9.33203125" style="1"/>
    <col min="3586" max="3586" width="13.6640625" style="1" customWidth="1"/>
    <col min="3587" max="3841" width="9.33203125" style="1"/>
    <col min="3842" max="3842" width="13.6640625" style="1" customWidth="1"/>
    <col min="3843" max="4097" width="9.33203125" style="1"/>
    <col min="4098" max="4098" width="13.6640625" style="1" customWidth="1"/>
    <col min="4099" max="4353" width="9.33203125" style="1"/>
    <col min="4354" max="4354" width="13.6640625" style="1" customWidth="1"/>
    <col min="4355" max="4609" width="9.33203125" style="1"/>
    <col min="4610" max="4610" width="13.6640625" style="1" customWidth="1"/>
    <col min="4611" max="4865" width="9.33203125" style="1"/>
    <col min="4866" max="4866" width="13.6640625" style="1" customWidth="1"/>
    <col min="4867" max="5121" width="9.33203125" style="1"/>
    <col min="5122" max="5122" width="13.6640625" style="1" customWidth="1"/>
    <col min="5123" max="5377" width="9.33203125" style="1"/>
    <col min="5378" max="5378" width="13.6640625" style="1" customWidth="1"/>
    <col min="5379" max="5633" width="9.33203125" style="1"/>
    <col min="5634" max="5634" width="13.6640625" style="1" customWidth="1"/>
    <col min="5635" max="5889" width="9.33203125" style="1"/>
    <col min="5890" max="5890" width="13.6640625" style="1" customWidth="1"/>
    <col min="5891" max="6145" width="9.33203125" style="1"/>
    <col min="6146" max="6146" width="13.6640625" style="1" customWidth="1"/>
    <col min="6147" max="6401" width="9.33203125" style="1"/>
    <col min="6402" max="6402" width="13.6640625" style="1" customWidth="1"/>
    <col min="6403" max="6657" width="9.33203125" style="1"/>
    <col min="6658" max="6658" width="13.6640625" style="1" customWidth="1"/>
    <col min="6659" max="6913" width="9.33203125" style="1"/>
    <col min="6914" max="6914" width="13.6640625" style="1" customWidth="1"/>
    <col min="6915" max="7169" width="9.33203125" style="1"/>
    <col min="7170" max="7170" width="13.6640625" style="1" customWidth="1"/>
    <col min="7171" max="7425" width="9.33203125" style="1"/>
    <col min="7426" max="7426" width="13.6640625" style="1" customWidth="1"/>
    <col min="7427" max="7681" width="9.33203125" style="1"/>
    <col min="7682" max="7682" width="13.6640625" style="1" customWidth="1"/>
    <col min="7683" max="7937" width="9.33203125" style="1"/>
    <col min="7938" max="7938" width="13.6640625" style="1" customWidth="1"/>
    <col min="7939" max="8193" width="9.33203125" style="1"/>
    <col min="8194" max="8194" width="13.6640625" style="1" customWidth="1"/>
    <col min="8195" max="8449" width="9.33203125" style="1"/>
    <col min="8450" max="8450" width="13.6640625" style="1" customWidth="1"/>
    <col min="8451" max="8705" width="9.33203125" style="1"/>
    <col min="8706" max="8706" width="13.6640625" style="1" customWidth="1"/>
    <col min="8707" max="8961" width="9.33203125" style="1"/>
    <col min="8962" max="8962" width="13.6640625" style="1" customWidth="1"/>
    <col min="8963" max="9217" width="9.33203125" style="1"/>
    <col min="9218" max="9218" width="13.6640625" style="1" customWidth="1"/>
    <col min="9219" max="9473" width="9.33203125" style="1"/>
    <col min="9474" max="9474" width="13.6640625" style="1" customWidth="1"/>
    <col min="9475" max="9729" width="9.33203125" style="1"/>
    <col min="9730" max="9730" width="13.6640625" style="1" customWidth="1"/>
    <col min="9731" max="9985" width="9.33203125" style="1"/>
    <col min="9986" max="9986" width="13.6640625" style="1" customWidth="1"/>
    <col min="9987" max="10241" width="9.33203125" style="1"/>
    <col min="10242" max="10242" width="13.6640625" style="1" customWidth="1"/>
    <col min="10243" max="10497" width="9.33203125" style="1"/>
    <col min="10498" max="10498" width="13.6640625" style="1" customWidth="1"/>
    <col min="10499" max="10753" width="9.33203125" style="1"/>
    <col min="10754" max="10754" width="13.6640625" style="1" customWidth="1"/>
    <col min="10755" max="11009" width="9.33203125" style="1"/>
    <col min="11010" max="11010" width="13.6640625" style="1" customWidth="1"/>
    <col min="11011" max="11265" width="9.33203125" style="1"/>
    <col min="11266" max="11266" width="13.6640625" style="1" customWidth="1"/>
    <col min="11267" max="11521" width="9.33203125" style="1"/>
    <col min="11522" max="11522" width="13.6640625" style="1" customWidth="1"/>
    <col min="11523" max="11777" width="9.33203125" style="1"/>
    <col min="11778" max="11778" width="13.6640625" style="1" customWidth="1"/>
    <col min="11779" max="12033" width="9.33203125" style="1"/>
    <col min="12034" max="12034" width="13.6640625" style="1" customWidth="1"/>
    <col min="12035" max="12289" width="9.33203125" style="1"/>
    <col min="12290" max="12290" width="13.6640625" style="1" customWidth="1"/>
    <col min="12291" max="12545" width="9.33203125" style="1"/>
    <col min="12546" max="12546" width="13.6640625" style="1" customWidth="1"/>
    <col min="12547" max="12801" width="9.33203125" style="1"/>
    <col min="12802" max="12802" width="13.6640625" style="1" customWidth="1"/>
    <col min="12803" max="13057" width="9.33203125" style="1"/>
    <col min="13058" max="13058" width="13.6640625" style="1" customWidth="1"/>
    <col min="13059" max="13313" width="9.33203125" style="1"/>
    <col min="13314" max="13314" width="13.6640625" style="1" customWidth="1"/>
    <col min="13315" max="13569" width="9.33203125" style="1"/>
    <col min="13570" max="13570" width="13.6640625" style="1" customWidth="1"/>
    <col min="13571" max="13825" width="9.33203125" style="1"/>
    <col min="13826" max="13826" width="13.6640625" style="1" customWidth="1"/>
    <col min="13827" max="14081" width="9.33203125" style="1"/>
    <col min="14082" max="14082" width="13.6640625" style="1" customWidth="1"/>
    <col min="14083" max="14337" width="9.33203125" style="1"/>
    <col min="14338" max="14338" width="13.6640625" style="1" customWidth="1"/>
    <col min="14339" max="14593" width="9.33203125" style="1"/>
    <col min="14594" max="14594" width="13.6640625" style="1" customWidth="1"/>
    <col min="14595" max="14849" width="9.33203125" style="1"/>
    <col min="14850" max="14850" width="13.6640625" style="1" customWidth="1"/>
    <col min="14851" max="15105" width="9.33203125" style="1"/>
    <col min="15106" max="15106" width="13.6640625" style="1" customWidth="1"/>
    <col min="15107" max="15361" width="9.33203125" style="1"/>
    <col min="15362" max="15362" width="13.6640625" style="1" customWidth="1"/>
    <col min="15363" max="15617" width="9.33203125" style="1"/>
    <col min="15618" max="15618" width="13.6640625" style="1" customWidth="1"/>
    <col min="15619" max="15873" width="9.33203125" style="1"/>
    <col min="15874" max="15874" width="13.6640625" style="1" customWidth="1"/>
    <col min="15875" max="16129" width="9.33203125" style="1"/>
    <col min="16130" max="16130" width="13.6640625" style="1" customWidth="1"/>
    <col min="16131" max="16384" width="9.33203125" style="1"/>
  </cols>
  <sheetData>
    <row r="2" spans="1:15" x14ac:dyDescent="0.25">
      <c r="A2" s="1" t="s">
        <v>165</v>
      </c>
      <c r="B2" s="2" t="s">
        <v>166</v>
      </c>
      <c r="C2" s="2">
        <v>23</v>
      </c>
    </row>
    <row r="3" spans="1:15" x14ac:dyDescent="0.25">
      <c r="B3" s="1" t="s">
        <v>167</v>
      </c>
      <c r="C3" s="1" t="s">
        <v>168</v>
      </c>
    </row>
    <row r="4" spans="1:15" x14ac:dyDescent="0.25">
      <c r="A4" s="1" t="s">
        <v>169</v>
      </c>
      <c r="B4" s="3">
        <v>10</v>
      </c>
      <c r="C4" s="3">
        <v>10</v>
      </c>
      <c r="D4" s="4"/>
      <c r="E4" s="4">
        <f>(100/B4)*C4</f>
        <v>100</v>
      </c>
    </row>
    <row r="5" spans="1:15" x14ac:dyDescent="0.25">
      <c r="A5" s="1" t="s">
        <v>170</v>
      </c>
      <c r="B5" s="1" t="s">
        <v>171</v>
      </c>
      <c r="C5" s="1" t="s">
        <v>172</v>
      </c>
      <c r="E5" s="4">
        <f>(100/B6)*C6</f>
        <v>83.333333333333343</v>
      </c>
      <c r="I5" s="3" t="s">
        <v>173</v>
      </c>
      <c r="J5" s="3" t="s">
        <v>174</v>
      </c>
      <c r="K5" s="3" t="s">
        <v>175</v>
      </c>
      <c r="L5" s="3" t="s">
        <v>176</v>
      </c>
      <c r="M5" s="3" t="s">
        <v>177</v>
      </c>
      <c r="N5" s="3" t="s">
        <v>178</v>
      </c>
      <c r="O5" s="3" t="s">
        <v>179</v>
      </c>
    </row>
    <row r="6" spans="1:15" x14ac:dyDescent="0.25">
      <c r="B6" s="3">
        <f>C2+1</f>
        <v>24</v>
      </c>
      <c r="C6" s="3">
        <v>20</v>
      </c>
      <c r="E6" s="4">
        <f>(100/B8)*C8</f>
        <v>56.521739130434781</v>
      </c>
      <c r="F6" s="5" t="s">
        <v>180</v>
      </c>
      <c r="I6" s="5">
        <f>C4</f>
        <v>10</v>
      </c>
      <c r="J6" s="5">
        <f>40/B6*C6</f>
        <v>33.333333333333336</v>
      </c>
      <c r="K6" s="5">
        <f>15/B8*C8</f>
        <v>8.4782608695652169</v>
      </c>
      <c r="L6" s="5">
        <f>10/B10*C10</f>
        <v>5.2173913043478262</v>
      </c>
      <c r="M6" s="5">
        <f>10/B12*C12</f>
        <v>0.86956521739130432</v>
      </c>
      <c r="N6" s="5">
        <f>5/B14*C14</f>
        <v>0</v>
      </c>
      <c r="O6" s="5">
        <f>5/B16*C16</f>
        <v>0</v>
      </c>
    </row>
    <row r="7" spans="1:15" x14ac:dyDescent="0.25">
      <c r="A7" s="1" t="s">
        <v>181</v>
      </c>
      <c r="B7" s="1" t="s">
        <v>182</v>
      </c>
      <c r="C7" s="1" t="s">
        <v>183</v>
      </c>
      <c r="E7" s="4">
        <f>(100/B10)*C10</f>
        <v>52.173913043478258</v>
      </c>
      <c r="F7" s="3" t="s">
        <v>184</v>
      </c>
      <c r="G7" s="3"/>
      <c r="H7" s="3"/>
      <c r="I7" s="3">
        <f>I6+20</f>
        <v>30</v>
      </c>
      <c r="J7" s="3">
        <f>30/B6*C6</f>
        <v>25</v>
      </c>
      <c r="K7" s="3">
        <f>15/B8*C8</f>
        <v>8.4782608695652169</v>
      </c>
      <c r="L7" s="3">
        <f>10/B10*C10</f>
        <v>5.2173913043478262</v>
      </c>
      <c r="M7" s="3">
        <f>5/B12*C12</f>
        <v>0.43478260869565216</v>
      </c>
      <c r="N7" s="3">
        <f>5/B14*C14</f>
        <v>0</v>
      </c>
      <c r="O7" s="3">
        <f>5/B16*C16</f>
        <v>0</v>
      </c>
    </row>
    <row r="8" spans="1:15" x14ac:dyDescent="0.25">
      <c r="B8" s="3">
        <f>C2</f>
        <v>23</v>
      </c>
      <c r="C8" s="3">
        <v>13</v>
      </c>
      <c r="D8" s="4"/>
      <c r="E8" s="4">
        <f>(100/B12)*C12</f>
        <v>8.695652173913043</v>
      </c>
    </row>
    <row r="9" spans="1:15" x14ac:dyDescent="0.25">
      <c r="A9" s="1" t="s">
        <v>185</v>
      </c>
      <c r="B9" s="1" t="s">
        <v>182</v>
      </c>
      <c r="C9" s="1" t="s">
        <v>183</v>
      </c>
      <c r="E9" s="4">
        <f>(100/B14)*C14</f>
        <v>0</v>
      </c>
    </row>
    <row r="10" spans="1:15" x14ac:dyDescent="0.25">
      <c r="B10" s="3">
        <f>C2</f>
        <v>23</v>
      </c>
      <c r="C10" s="3">
        <v>12</v>
      </c>
      <c r="D10" s="4"/>
      <c r="E10" s="4">
        <f>(100/B16)*C16</f>
        <v>0</v>
      </c>
    </row>
    <row r="11" spans="1:15" x14ac:dyDescent="0.25">
      <c r="A11" s="1" t="s">
        <v>177</v>
      </c>
      <c r="B11" s="1" t="s">
        <v>182</v>
      </c>
      <c r="C11" s="1" t="s">
        <v>183</v>
      </c>
    </row>
    <row r="12" spans="1:15" x14ac:dyDescent="0.25">
      <c r="B12" s="3">
        <f>C2</f>
        <v>23</v>
      </c>
      <c r="C12" s="3">
        <v>2</v>
      </c>
      <c r="D12" s="4"/>
      <c r="F12" s="3"/>
      <c r="G12" s="3" t="s">
        <v>180</v>
      </c>
      <c r="H12" s="3" t="s">
        <v>186</v>
      </c>
      <c r="L12" s="4" t="s">
        <v>187</v>
      </c>
    </row>
    <row r="13" spans="1:15" ht="60" x14ac:dyDescent="0.25">
      <c r="A13" s="6" t="s">
        <v>178</v>
      </c>
      <c r="B13" s="1" t="s">
        <v>182</v>
      </c>
      <c r="C13" s="1" t="s">
        <v>183</v>
      </c>
      <c r="F13" s="3" t="s">
        <v>188</v>
      </c>
      <c r="G13" s="3">
        <f>I6</f>
        <v>10</v>
      </c>
      <c r="H13" s="3">
        <f>I7</f>
        <v>30</v>
      </c>
      <c r="L13" s="4" t="s">
        <v>187</v>
      </c>
    </row>
    <row r="14" spans="1:15" x14ac:dyDescent="0.25">
      <c r="B14" s="3">
        <f>C2</f>
        <v>23</v>
      </c>
      <c r="C14" s="3">
        <v>0</v>
      </c>
      <c r="D14" s="4"/>
      <c r="F14" s="3" t="s">
        <v>189</v>
      </c>
      <c r="G14" s="3">
        <f>J6</f>
        <v>33.333333333333336</v>
      </c>
      <c r="H14" s="3">
        <f>J7</f>
        <v>25</v>
      </c>
      <c r="L14" s="4"/>
    </row>
    <row r="15" spans="1:15" x14ac:dyDescent="0.25">
      <c r="A15" s="1" t="s">
        <v>179</v>
      </c>
      <c r="B15" s="1" t="s">
        <v>182</v>
      </c>
      <c r="C15" s="1" t="s">
        <v>183</v>
      </c>
      <c r="F15" s="3" t="s">
        <v>175</v>
      </c>
      <c r="G15" s="3">
        <f>K6</f>
        <v>8.4782608695652169</v>
      </c>
      <c r="H15" s="3">
        <f>K7</f>
        <v>8.4782608695652169</v>
      </c>
      <c r="L15" s="4"/>
    </row>
    <row r="16" spans="1:15" x14ac:dyDescent="0.25">
      <c r="B16" s="3">
        <f>C2</f>
        <v>23</v>
      </c>
      <c r="C16" s="3">
        <v>0</v>
      </c>
      <c r="D16" s="4"/>
      <c r="F16" s="3" t="s">
        <v>176</v>
      </c>
      <c r="G16" s="3">
        <f>L6</f>
        <v>5.2173913043478262</v>
      </c>
      <c r="H16" s="3">
        <f>L7</f>
        <v>5.2173913043478262</v>
      </c>
      <c r="L16" s="4"/>
    </row>
    <row r="17" spans="6:12" x14ac:dyDescent="0.25">
      <c r="F17" s="3" t="s">
        <v>177</v>
      </c>
      <c r="G17" s="3">
        <f>M6</f>
        <v>0.86956521739130432</v>
      </c>
      <c r="H17" s="3">
        <f>M7</f>
        <v>0.43478260869565216</v>
      </c>
      <c r="L17" s="4"/>
    </row>
    <row r="18" spans="6:12" ht="60" x14ac:dyDescent="0.25">
      <c r="F18" s="7" t="s">
        <v>178</v>
      </c>
      <c r="G18" s="3">
        <f>N6</f>
        <v>0</v>
      </c>
      <c r="H18" s="3">
        <f>N7</f>
        <v>0</v>
      </c>
      <c r="L18" s="4"/>
    </row>
    <row r="19" spans="6:12" x14ac:dyDescent="0.25">
      <c r="F19" s="3" t="s">
        <v>179</v>
      </c>
      <c r="G19" s="3">
        <f>O6</f>
        <v>0</v>
      </c>
      <c r="H19" s="3">
        <f>O7</f>
        <v>0</v>
      </c>
      <c r="L19" s="4"/>
    </row>
    <row r="20" spans="6:12" x14ac:dyDescent="0.25">
      <c r="F20" s="3" t="s">
        <v>190</v>
      </c>
      <c r="G20" s="3">
        <f>G13+G14+G15+G16+G17+G18+G19</f>
        <v>57.898550724637687</v>
      </c>
      <c r="H20" s="3">
        <f>H13+H14+H15+H16+H17+H18+H19</f>
        <v>69.130434782608702</v>
      </c>
      <c r="L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Table 1</vt:lpstr>
      <vt:lpstr>NOTE</vt:lpstr>
      <vt:lpstr>VALUATION</vt:lpstr>
      <vt:lpstr>A %</vt:lpstr>
      <vt:lpstr>B %</vt:lpstr>
      <vt:lpstr>'Table 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Old - Dec 19 - 014116</dc:title>
  <dc:creator>VSJ-01</dc:creator>
  <cp:lastModifiedBy>Welcome</cp:lastModifiedBy>
  <cp:lastPrinted>2025-09-10T12:20:45Z</cp:lastPrinted>
  <dcterms:created xsi:type="dcterms:W3CDTF">2020-08-20T08:37:00Z</dcterms:created>
  <dcterms:modified xsi:type="dcterms:W3CDTF">2025-09-10T12:21:33Z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1033-11.2.0.10223</vt:lpwstr>
  </property>
</Properties>
</file>