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6525"/>
  </bookViews>
  <sheets>
    <sheet name="Sheet1" sheetId="1" r:id="rId1"/>
    <sheet name="If Ground C%" sheetId="11" r:id="rId2"/>
    <sheet name="Wing B" sheetId="12" r:id="rId3"/>
    <sheet name="Wing C" sheetId="13" r:id="rId4"/>
  </sheets>
  <definedNames>
    <definedName name="_xlnm.Print_Area" localSheetId="0">Sheet1!$A$1:$J$212</definedName>
  </definedNames>
  <calcPr calcId="144525"/>
</workbook>
</file>

<file path=xl/calcChain.xml><?xml version="1.0" encoding="utf-8"?>
<calcChain xmlns="http://schemas.openxmlformats.org/spreadsheetml/2006/main">
  <c r="H92" i="1" l="1"/>
  <c r="F3" i="1" l="1"/>
  <c r="M103" i="1" l="1"/>
  <c r="M108" i="1"/>
  <c r="M113" i="1"/>
  <c r="G117" i="1"/>
  <c r="G116" i="1"/>
  <c r="G115" i="1"/>
  <c r="G114" i="1"/>
  <c r="G112" i="1"/>
  <c r="G111" i="1"/>
  <c r="G110" i="1"/>
  <c r="G109" i="1"/>
  <c r="G107" i="1"/>
  <c r="G105" i="1"/>
  <c r="G104" i="1"/>
  <c r="G102" i="1"/>
  <c r="G101" i="1"/>
  <c r="G100" i="1"/>
  <c r="G99" i="1"/>
  <c r="D97" i="1" l="1"/>
  <c r="F97" i="1" s="1"/>
  <c r="H97" i="1" s="1"/>
  <c r="D96" i="1"/>
  <c r="F96" i="1" s="1"/>
  <c r="E89" i="1" l="1"/>
  <c r="C89" i="1"/>
  <c r="H96" i="1"/>
  <c r="H89" i="1" s="1"/>
  <c r="M97" i="1"/>
  <c r="M96" i="1"/>
  <c r="P106" i="1"/>
  <c r="O106" i="1" l="1"/>
  <c r="L106" i="1"/>
  <c r="N106" i="1" s="1"/>
  <c r="L101" i="1"/>
  <c r="N101" i="1" s="1"/>
  <c r="D131" i="1" l="1"/>
  <c r="C42" i="1"/>
  <c r="C43" i="1" s="1"/>
  <c r="B16" i="11"/>
  <c r="O7" i="11" s="1"/>
  <c r="H19" i="11" s="1"/>
  <c r="B14" i="11"/>
  <c r="N7" i="11" s="1"/>
  <c r="H18" i="11" s="1"/>
  <c r="B12" i="11"/>
  <c r="E8" i="11" s="1"/>
  <c r="B10" i="11"/>
  <c r="E7" i="11" s="1"/>
  <c r="B8" i="11"/>
  <c r="K7" i="11" s="1"/>
  <c r="H15" i="11" s="1"/>
  <c r="O6" i="11"/>
  <c r="G19" i="11" s="1"/>
  <c r="I6" i="11"/>
  <c r="G13" i="11" s="1"/>
  <c r="B6" i="11"/>
  <c r="J7" i="11" s="1"/>
  <c r="H14" i="11" s="1"/>
  <c r="E4" i="11"/>
  <c r="G85" i="1"/>
  <c r="E117" i="1"/>
  <c r="D117" i="1"/>
  <c r="D116" i="1"/>
  <c r="E116" i="1"/>
  <c r="E115" i="1"/>
  <c r="D115" i="1"/>
  <c r="D114" i="1"/>
  <c r="F114" i="1" s="1"/>
  <c r="M114" i="1" s="1"/>
  <c r="E102" i="1"/>
  <c r="E101" i="1"/>
  <c r="E107" i="1"/>
  <c r="E106" i="1"/>
  <c r="E112" i="1"/>
  <c r="E111" i="1"/>
  <c r="D112" i="1"/>
  <c r="D111" i="1"/>
  <c r="D110" i="1"/>
  <c r="F110" i="1" s="1"/>
  <c r="M110" i="1" s="1"/>
  <c r="D109" i="1"/>
  <c r="F109" i="1" s="1"/>
  <c r="M109" i="1" s="1"/>
  <c r="D107" i="1"/>
  <c r="D106" i="1"/>
  <c r="D105" i="1"/>
  <c r="F105" i="1" s="1"/>
  <c r="M105" i="1" s="1"/>
  <c r="D104" i="1"/>
  <c r="F104" i="1" s="1"/>
  <c r="M104" i="1" s="1"/>
  <c r="D102" i="1"/>
  <c r="F102" i="1" s="1"/>
  <c r="M102" i="1" s="1"/>
  <c r="D101" i="1"/>
  <c r="D100" i="1"/>
  <c r="F100" i="1" s="1"/>
  <c r="M100" i="1" s="1"/>
  <c r="D99" i="1"/>
  <c r="F99" i="1" s="1"/>
  <c r="H42" i="1"/>
  <c r="H43" i="1" s="1"/>
  <c r="D48" i="1"/>
  <c r="D46" i="1"/>
  <c r="G81"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E6" i="11"/>
  <c r="I53" i="1"/>
  <c r="M99" i="1" l="1"/>
  <c r="M35" i="12"/>
  <c r="L35" i="12" s="1"/>
  <c r="K35" i="13"/>
  <c r="J35" i="13" s="1"/>
  <c r="K6" i="11"/>
  <c r="G15" i="11" s="1"/>
  <c r="E10" i="11"/>
  <c r="F35" i="12"/>
  <c r="E35" i="12" s="1"/>
  <c r="F111" i="1"/>
  <c r="M111" i="1" s="1"/>
  <c r="F117" i="1"/>
  <c r="M117" i="1" s="1"/>
  <c r="F101" i="1"/>
  <c r="M101" i="1" s="1"/>
  <c r="E5" i="11"/>
  <c r="N6" i="11"/>
  <c r="G18" i="11" s="1"/>
  <c r="J35" i="12"/>
  <c r="I35" i="12" s="1"/>
  <c r="L7" i="11"/>
  <c r="H16" i="11" s="1"/>
  <c r="L6" i="11"/>
  <c r="G16" i="11" s="1"/>
  <c r="F115" i="1"/>
  <c r="M115" i="1" s="1"/>
  <c r="G35" i="13"/>
  <c r="F35" i="13" s="1"/>
  <c r="N35" i="13"/>
  <c r="M35" i="13" s="1"/>
  <c r="E9" i="11"/>
  <c r="I7" i="11"/>
  <c r="H13" i="11" s="1"/>
  <c r="J6" i="11"/>
  <c r="G14" i="11" s="1"/>
  <c r="F112" i="1"/>
  <c r="M112" i="1" s="1"/>
  <c r="F106" i="1"/>
  <c r="M106" i="1" s="1"/>
  <c r="F107" i="1"/>
  <c r="M107" i="1" s="1"/>
  <c r="M7" i="11"/>
  <c r="H17" i="11" s="1"/>
  <c r="F116" i="1"/>
  <c r="M116" i="1" s="1"/>
  <c r="M6" i="11"/>
  <c r="G17" i="11" s="1"/>
  <c r="C58" i="1"/>
  <c r="D58" i="1" s="1"/>
  <c r="M56" i="1"/>
  <c r="M58" i="1"/>
  <c r="M59" i="1" s="1"/>
  <c r="D64" i="1"/>
  <c r="D60" i="1"/>
  <c r="D65" i="1"/>
  <c r="D63" i="1"/>
  <c r="D61" i="1"/>
  <c r="D59" i="1"/>
  <c r="M57" i="1"/>
  <c r="C56" i="1" s="1"/>
  <c r="M55" i="1"/>
  <c r="D62" i="1"/>
  <c r="E92" i="1" l="1"/>
  <c r="H20" i="11"/>
  <c r="C92" i="1"/>
  <c r="G20" i="11"/>
  <c r="M60" i="1"/>
  <c r="M61" i="1" s="1"/>
  <c r="M62" i="1" s="1"/>
  <c r="M63" i="1" s="1"/>
  <c r="D56" i="1"/>
  <c r="M64" i="1" l="1"/>
  <c r="M65" i="1" s="1"/>
  <c r="C57" i="1" s="1"/>
  <c r="K52" i="1" s="1"/>
  <c r="C54" i="1" s="1"/>
  <c r="F56" i="1" s="1"/>
  <c r="D57" i="1" l="1"/>
  <c r="H56" i="1"/>
</calcChain>
</file>

<file path=xl/sharedStrings.xml><?xml version="1.0" encoding="utf-8"?>
<sst xmlns="http://schemas.openxmlformats.org/spreadsheetml/2006/main" count="374" uniqueCount="240">
  <si>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</si>
  <si>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</si>
  <si>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</si>
  <si>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</si>
  <si>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</si>
  <si>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</si>
  <si>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</si>
  <si>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</si>
  <si>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</si>
  <si>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</si>
  <si>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</si>
  <si>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</si>
  <si>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</si>
  <si>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</si>
  <si>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</si>
  <si>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</si>
  <si>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</si>
  <si>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</si>
  <si>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</si>
  <si>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</si>
  <si>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</si>
  <si>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</si>
  <si>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</si>
  <si>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</si>
  <si>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</si>
  <si>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</si>
  <si>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</si>
  <si>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</si>
  <si>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</si>
  <si>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Authorized Signatory
                                                                                                                                                                                                                                                                                     Name &amp; Seal of the agency</t>
  </si>
  <si>
    <t>2) I/We have no direct or Indirect Interest in the property being valued</t>
  </si>
  <si>
    <t>Quality of infrastructure in vicinity</t>
  </si>
  <si>
    <t>Sr.</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</si>
  <si>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</si>
  <si>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</si>
  <si>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</si>
  <si>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</si>
  <si>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</si>
  <si>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</si>
  <si>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</si>
  <si>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</si>
  <si>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</si>
  <si>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</si>
  <si>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</si>
  <si>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</si>
  <si>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</si>
  <si>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</si>
  <si>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</si>
  <si>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</si>
  <si>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</si>
  <si>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</si>
  <si>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</si>
  <si>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</si>
  <si>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</si>
  <si>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</si>
  <si>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Expiry date:NA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</si>
  <si>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</si>
  <si>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</si>
  <si>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</si>
  <si>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</si>
  <si>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</si>
  <si>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</si>
  <si>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</si>
  <si>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</si>
  <si>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</si>
  <si>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</si>
  <si>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</si>
  <si>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</si>
  <si>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</si>
  <si>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</si>
  <si>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</si>
  <si>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</si>
  <si>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</si>
  <si>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</si>
  <si>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</si>
  <si>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</si>
  <si>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</si>
  <si>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</si>
  <si>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</si>
  <si>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</si>
  <si>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</si>
  <si>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</si>
  <si>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</si>
  <si>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</si>
  <si>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Development charges Per Sq. Ft.</t>
  </si>
  <si>
    <t>Distress valuation of the property Per Sq. Ft.</t>
  </si>
  <si>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</si>
  <si>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</si>
  <si>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</si>
  <si>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</si>
  <si>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</si>
  <si>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</si>
  <si>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</si>
  <si>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</si>
  <si>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</si>
  <si>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</si>
  <si>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</si>
  <si>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</si>
  <si>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</si>
  <si>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</si>
  <si>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</si>
  <si>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</si>
  <si>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</si>
  <si>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</si>
  <si>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</si>
  <si>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</si>
  <si>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</si>
  <si>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</si>
  <si>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</si>
  <si>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</si>
  <si>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</si>
  <si>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</si>
  <si>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</si>
  <si>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</si>
  <si>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Middle class</t>
  </si>
  <si>
    <t>Axis Sanpada</t>
  </si>
  <si>
    <t>1. Copy of Plans. 2. Copy of CC.</t>
  </si>
  <si>
    <t>Open</t>
  </si>
  <si>
    <t>1BHK</t>
  </si>
  <si>
    <t>Builder Saleable area</t>
  </si>
  <si>
    <t>Other Charges( So.Charges, Develop. Charges, Etc)</t>
  </si>
  <si>
    <t>01/09/2017.</t>
  </si>
  <si>
    <t>Dronagiri</t>
  </si>
  <si>
    <t>Raigad</t>
  </si>
  <si>
    <t>24/08/2017.</t>
  </si>
  <si>
    <t>1st  Floor</t>
  </si>
  <si>
    <t>Ground Floor For Commercial Shops</t>
  </si>
  <si>
    <t>1RK</t>
  </si>
  <si>
    <t>2nd Floor</t>
  </si>
  <si>
    <t>3rd Floor</t>
  </si>
  <si>
    <t>4th Floor</t>
  </si>
  <si>
    <t>Shree Krupa Chahu Pride</t>
  </si>
  <si>
    <t>O. Certificate No.:  NA</t>
  </si>
  <si>
    <t>No of floors at site : See Construction Details.</t>
  </si>
  <si>
    <t xml:space="preserve">Open </t>
  </si>
  <si>
    <t>400 702.</t>
  </si>
  <si>
    <t>Dated- NA</t>
  </si>
  <si>
    <t>Sector.No</t>
  </si>
  <si>
    <t>M/s. Shree Krupa Enterprises</t>
  </si>
  <si>
    <t>Shree Krupa Chahu Pride, Plot No.68, Sector No.52, Village-Dronagiri, Tal.Uran, Dist- Raigad, Navi Mumbai.</t>
  </si>
  <si>
    <t>Plot No</t>
  </si>
  <si>
    <t>Sector No.52 Internal Road</t>
  </si>
  <si>
    <t>Navi Mumbai.</t>
  </si>
  <si>
    <t>Recommended rate of the flat Per Sq. Ft. ( on Builder Saleble area)</t>
  </si>
  <si>
    <t xml:space="preserve">Development charges </t>
  </si>
  <si>
    <t>92,000/-</t>
  </si>
  <si>
    <t xml:space="preserve">PHOTOGRAPHS OF PROPERTY : 
</t>
  </si>
  <si>
    <t>GOOGLE MAP:</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</si>
  <si>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</si>
  <si>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</si>
  <si>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</si>
  <si>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</si>
  <si>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</si>
  <si>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</si>
  <si>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</si>
  <si>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</si>
  <si>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</si>
  <si>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</si>
  <si>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</si>
  <si>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</si>
  <si>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</si>
  <si>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</si>
  <si>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</si>
  <si>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</si>
  <si>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</si>
  <si>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</si>
  <si>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</si>
  <si>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</si>
  <si>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</si>
  <si>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Approved usage of the Property: Residential + Commercial                                                                                                                                                  (Restrictive convenants in regards to land use , if any)</t>
  </si>
  <si>
    <t xml:space="preserve">CIDCO/BP-15440/TPO(NM &amp; K)/2017/1952 </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</si>
  <si>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</si>
  <si>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</si>
  <si>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</si>
  <si>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</si>
  <si>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</si>
  <si>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</si>
  <si>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</si>
  <si>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</si>
  <si>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</si>
  <si>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</si>
  <si>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</si>
  <si>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</si>
  <si>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</si>
  <si>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</si>
  <si>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</si>
  <si>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</si>
  <si>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</si>
  <si>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</si>
  <si>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</si>
  <si>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</si>
  <si>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</si>
  <si>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</si>
  <si>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</si>
  <si>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</si>
  <si>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</si>
  <si>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</si>
  <si>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</si>
  <si>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</si>
  <si>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</si>
  <si>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</si>
  <si>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</si>
  <si>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</si>
  <si>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</si>
  <si>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</si>
  <si>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Gr.+ 1st to 4th Floor</t>
  </si>
  <si>
    <t>Gr. + 1st to 4th Floor</t>
  </si>
  <si>
    <t>Projected life : 60 Years After Completion</t>
  </si>
  <si>
    <t>P52000014847</t>
  </si>
  <si>
    <t xml:space="preserve">RERA No. </t>
  </si>
  <si>
    <t xml:space="preserve">30/12/2022
</t>
  </si>
  <si>
    <t>Recommended rate of the Shop Per Sq. Ft. ( on Builder Saleble area)</t>
  </si>
  <si>
    <t>1 Km from Dronagiri Railway Station.</t>
  </si>
  <si>
    <t>Approved no of units</t>
  </si>
  <si>
    <t>16 Flats, Shops - 2</t>
  </si>
  <si>
    <t xml:space="preserve">Recommended rate of Parking </t>
  </si>
  <si>
    <t>Shop</t>
  </si>
  <si>
    <t>8,000/-</t>
  </si>
  <si>
    <t>1,50,000/-</t>
  </si>
  <si>
    <t>1 Building</t>
  </si>
  <si>
    <t>Material laying at Site: : Bricks, Cement &amp; Steel etc.</t>
  </si>
  <si>
    <t>16/09/2022 - rate - 5500 to 4300 - market inquire - change by sachin sir.</t>
  </si>
  <si>
    <t>Location Link</t>
  </si>
  <si>
    <t>https://goo.gl/maps/MpwFHVveQhTwNAsTA</t>
  </si>
  <si>
    <t>Sai Gaurav Chs</t>
  </si>
  <si>
    <r>
      <t xml:space="preserve">Proposed Amenities :- </t>
    </r>
    <r>
      <rPr>
        <sz val="11"/>
        <rFont val="Times New Roman"/>
        <family val="1"/>
      </rPr>
      <t xml:space="preserve">1.  Vitrified tiles flooring 2. Granite Kitchen Platform  3. Decorative Enternace  etc.   </t>
    </r>
    <r>
      <rPr>
        <b/>
        <sz val="11"/>
        <rFont val="Times New Roman"/>
        <family val="1"/>
      </rPr>
      <t xml:space="preserve">                                               </t>
    </r>
  </si>
  <si>
    <t>old location wrong but new link and coordinates are right</t>
  </si>
  <si>
    <t>Building &amp; Wing</t>
  </si>
  <si>
    <t>No. of Units</t>
  </si>
  <si>
    <t>Total Carpet Area</t>
  </si>
  <si>
    <t>Total Saleable Area</t>
  </si>
  <si>
    <t xml:space="preserve">Commercial Area Details :  </t>
  </si>
  <si>
    <t>Shops</t>
  </si>
  <si>
    <t xml:space="preserve">Residential Area Details :  </t>
  </si>
  <si>
    <t>Flats</t>
  </si>
  <si>
    <t xml:space="preserve">Office No. 1031, Wing J, Akshar Business Park, Plot No. 03 Sector 25, Near APMC Market, Vashi, Navi Mumbai, Maharashtra 400703 TEL: 022-46090378/79/80                                                                       
E mail : vsjcapf@gmail.com. Web site : www.vsjadon.com
</t>
  </si>
  <si>
    <t>CIDCO/BP-15440/TPO(NM &amp; K)/2017/1952                                                                                                              Gr + 1st to 4th Floor</t>
  </si>
  <si>
    <t xml:space="preserve">C.certificate No  
Valid Up to: </t>
  </si>
  <si>
    <t>18.868349,72.969138</t>
  </si>
  <si>
    <r>
      <t xml:space="preserve">Remarks:  
1. Construction work has stopped. Internal visit not done due to main gate locked.
2. We have considered Saleable area of Commercial as per our Calculation.
3. We considered Saleable area of Flat as per Builder area Sheet.
4. We considered Carpet area as per Approved Plan.
5. We have considered proposed No. of Floor for Stage Calculation.
6. We have considered rate by verifying it from market inquire.
7. Recommended rate should be considered as all inclusive rate if other charges are not mentioned. (Excluding GST &amp; other government Taxes)
8. Car parking is subjected to authentic documentation.
</t>
    </r>
    <r>
      <rPr>
        <b/>
        <sz val="11"/>
        <color rgb="FFFF0000"/>
        <rFont val="Times New Roman"/>
        <family val="1"/>
      </rPr>
      <t>9.</t>
    </r>
    <r>
      <rPr>
        <b/>
        <sz val="11"/>
        <rFont val="Times New Roman"/>
        <family val="1"/>
      </rPr>
      <t xml:space="preserve"> </t>
    </r>
    <r>
      <rPr>
        <b/>
        <sz val="11"/>
        <color rgb="FFFF0000"/>
        <rFont val="Times New Roman"/>
        <family val="1"/>
      </rPr>
      <t xml:space="preserve">As per RERA, completion period of project Shree Krupa Chahu Pride is expired on 30/12/2022 but still project is under construction.
</t>
    </r>
    <r>
      <rPr>
        <b/>
        <sz val="11"/>
        <rFont val="Times New Roman"/>
        <family val="1"/>
      </rPr>
      <t>10. Since the project has received first CC on 24/08/2017., But construction work is under construction.
9. On Site, we meet Mr........(........).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</si>
</sst>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0"/>
      <color indexed="8"/>
      <name val="Times New Roman"/>
      <family val="1"/>
    </font>
    <font>
      <b/>
      <sz val="11"/>
      <color theme="1"/>
      <name val="Calibri"/>
      <family val="2"/>
      <scheme val="minor"/>
    </font>
    <font>
      <sz val="11"/>
      <name val="Calibri"/>
      <family val="2"/>
      <scheme val="minor"/>
    </font>
    <font>
      <sz val="11"/>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sz val="11"/>
      <color rgb="FFFF0000"/>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4" fillId="0" borderId="0"/>
    <xf numFmtId="0" fontId="20" fillId="0" borderId="0" applyNumberFormat="0" applyFill="0" applyBorder="0" applyAlignment="0" applyProtection="0"/>
  </cellStyleXfs>
  <cellXfs count="192">
    <xf numFmtId="0" fontId="0" fillId="0" borderId="0" xfId="0"/>
    <xf numFmtId="0" fontId="2" fillId="0" borderId="0" xfId="1"/>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3" borderId="2" xfId="0" applyFill="1" applyBorder="1"/>
    <xf numFmtId="0" fontId="12" fillId="0" borderId="2" xfId="0" applyFont="1" applyBorder="1" applyAlignment="1">
      <alignment horizontal="center"/>
    </xf>
    <xf numFmtId="1" fontId="10" fillId="0" borderId="2" xfId="0" applyNumberFormat="1" applyFont="1" applyBorder="1" applyAlignment="1">
      <alignment horizontal="center" vertical="center" wrapText="1"/>
    </xf>
    <xf numFmtId="0" fontId="4" fillId="0" borderId="2" xfId="0" applyFont="1" applyBorder="1" applyAlignment="1">
      <alignment horizontal="center" vertical="top"/>
    </xf>
    <xf numFmtId="0" fontId="1" fillId="0" borderId="0" xfId="1" applyFont="1"/>
    <xf numFmtId="0" fontId="11" fillId="0" borderId="0" xfId="0" applyFont="1" applyAlignment="1">
      <alignment vertical="top"/>
    </xf>
    <xf numFmtId="0" fontId="3" fillId="0" borderId="0" xfId="0" applyFont="1" applyAlignment="1">
      <alignment vertical="top" wrapText="1"/>
    </xf>
    <xf numFmtId="0" fontId="12"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0" fillId="0" borderId="2" xfId="0" applyNumberFormat="1" applyBorder="1"/>
    <xf numFmtId="0" fontId="13" fillId="0" borderId="0" xfId="0" applyFont="1"/>
    <xf numFmtId="0" fontId="15" fillId="0" borderId="17" xfId="2" applyFont="1" applyBorder="1" applyProtection="1">
      <protection hidden="1"/>
    </xf>
    <xf numFmtId="0" fontId="15" fillId="0" borderId="18" xfId="2" applyFont="1" applyBorder="1" applyProtection="1">
      <protection hidden="1"/>
    </xf>
    <xf numFmtId="0" fontId="16" fillId="0" borderId="19" xfId="2" applyFont="1" applyBorder="1" applyAlignment="1" applyProtection="1">
      <alignment horizontal="center" vertical="top"/>
      <protection locked="0"/>
    </xf>
    <xf numFmtId="0" fontId="16" fillId="0" borderId="2" xfId="2" applyFont="1" applyBorder="1" applyAlignment="1" applyProtection="1">
      <alignment horizontal="center" vertical="top"/>
      <protection locked="0"/>
    </xf>
    <xf numFmtId="0" fontId="15" fillId="0" borderId="0" xfId="2" applyFont="1" applyProtection="1">
      <protection hidden="1"/>
    </xf>
    <xf numFmtId="0" fontId="15" fillId="0" borderId="21" xfId="2" applyFont="1" applyBorder="1" applyProtection="1">
      <protection hidden="1"/>
    </xf>
    <xf numFmtId="0" fontId="18" fillId="0" borderId="0" xfId="0" applyFont="1" applyProtection="1">
      <protection hidden="1"/>
    </xf>
    <xf numFmtId="0" fontId="15" fillId="0" borderId="0" xfId="2" applyFont="1"/>
    <xf numFmtId="0" fontId="15" fillId="0" borderId="21" xfId="2" applyFont="1" applyBorder="1"/>
    <xf numFmtId="9" fontId="18" fillId="0" borderId="0" xfId="0" applyNumberFormat="1" applyFont="1" applyProtection="1">
      <protection hidden="1"/>
    </xf>
    <xf numFmtId="0" fontId="18" fillId="0" borderId="21" xfId="0" applyFont="1" applyBorder="1" applyProtection="1">
      <protection hidden="1"/>
    </xf>
    <xf numFmtId="1" fontId="0" fillId="0" borderId="21" xfId="0" applyNumberFormat="1" applyBorder="1"/>
    <xf numFmtId="1" fontId="0" fillId="0" borderId="0" xfId="0" applyNumberFormat="1"/>
    <xf numFmtId="164" fontId="0" fillId="0" borderId="0" xfId="0" applyNumberFormat="1"/>
    <xf numFmtId="1" fontId="0" fillId="0" borderId="21" xfId="0" applyNumberFormat="1" applyBorder="1" applyAlignment="1">
      <alignment horizontal="right"/>
    </xf>
    <xf numFmtId="0" fontId="0" fillId="0" borderId="21" xfId="0" applyBorder="1"/>
    <xf numFmtId="0" fontId="18" fillId="0" borderId="25" xfId="0" applyFont="1" applyBorder="1" applyProtection="1">
      <protection hidden="1"/>
    </xf>
    <xf numFmtId="9" fontId="18" fillId="0" borderId="25" xfId="0" applyNumberFormat="1" applyFont="1" applyBorder="1" applyProtection="1">
      <protection hidden="1"/>
    </xf>
    <xf numFmtId="1" fontId="0" fillId="0" borderId="26" xfId="0" applyNumberFormat="1" applyBorder="1"/>
    <xf numFmtId="0" fontId="16" fillId="0" borderId="2" xfId="2" applyFont="1" applyBorder="1" applyAlignment="1" applyProtection="1">
      <alignment horizontal="center" vertical="top" wrapText="1"/>
      <protection locked="0"/>
    </xf>
    <xf numFmtId="0" fontId="16" fillId="0" borderId="2" xfId="2" applyFont="1" applyBorder="1" applyAlignment="1" applyProtection="1">
      <alignment horizontal="center" wrapText="1"/>
      <protection locked="0"/>
    </xf>
    <xf numFmtId="1" fontId="16" fillId="0" borderId="2" xfId="2" applyNumberFormat="1" applyFont="1" applyBorder="1" applyAlignment="1" applyProtection="1">
      <alignment horizontal="center" wrapText="1"/>
      <protection locked="0"/>
    </xf>
    <xf numFmtId="0" fontId="16" fillId="0" borderId="23" xfId="2" applyFont="1" applyBorder="1" applyAlignment="1" applyProtection="1">
      <alignment horizontal="center" wrapText="1"/>
      <protection locked="0"/>
    </xf>
    <xf numFmtId="2" fontId="0" fillId="0" borderId="0" xfId="0" applyNumberFormat="1"/>
    <xf numFmtId="0" fontId="0" fillId="3" borderId="0" xfId="0" applyFill="1"/>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 fontId="10"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3" fillId="0" borderId="2" xfId="0" applyFont="1" applyBorder="1" applyAlignment="1">
      <alignment horizontal="center" vertical="top"/>
    </xf>
    <xf numFmtId="0" fontId="4" fillId="0" borderId="2" xfId="0" applyFont="1" applyBorder="1" applyAlignment="1">
      <alignment horizontal="center" vertical="top"/>
    </xf>
    <xf numFmtId="1" fontId="4" fillId="0" borderId="2" xfId="0" applyNumberFormat="1" applyFont="1" applyBorder="1" applyAlignment="1">
      <alignment horizontal="center" vertical="top"/>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9" fillId="2" borderId="1" xfId="0" applyFont="1" applyFill="1" applyBorder="1" applyAlignment="1">
      <alignment horizontal="left" vertical="top" wrapText="1"/>
    </xf>
    <xf numFmtId="3" fontId="4" fillId="2" borderId="1" xfId="0" applyNumberFormat="1"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3" fontId="3" fillId="2" borderId="1" xfId="0" applyNumberFormat="1"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19" fillId="0" borderId="1" xfId="0" applyFont="1" applyBorder="1" applyAlignment="1">
      <alignment horizontal="left" vertical="top"/>
    </xf>
    <xf numFmtId="0" fontId="19" fillId="0" borderId="5" xfId="0" applyFont="1" applyBorder="1" applyAlignment="1">
      <alignment horizontal="left" vertical="top"/>
    </xf>
    <xf numFmtId="0" fontId="19" fillId="0" borderId="6"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17" fillId="0" borderId="14" xfId="2" applyFont="1" applyBorder="1" applyAlignment="1" applyProtection="1">
      <alignment horizontal="center" vertical="top" wrapText="1"/>
      <protection locked="0"/>
    </xf>
    <xf numFmtId="0" fontId="17" fillId="0" borderId="15" xfId="2" applyFont="1" applyBorder="1" applyAlignment="1" applyProtection="1">
      <alignment horizontal="center" vertical="top" wrapText="1"/>
      <protection locked="0"/>
    </xf>
    <xf numFmtId="0" fontId="17" fillId="0" borderId="15" xfId="2" applyFont="1" applyBorder="1" applyAlignment="1" applyProtection="1">
      <alignment horizontal="left" vertical="top" wrapText="1"/>
      <protection locked="0"/>
    </xf>
    <xf numFmtId="0" fontId="17" fillId="0" borderId="16" xfId="2" applyFont="1" applyBorder="1" applyAlignment="1" applyProtection="1">
      <alignment horizontal="left" vertical="top" wrapText="1"/>
      <protection locked="0"/>
    </xf>
    <xf numFmtId="0" fontId="16" fillId="0" borderId="2" xfId="2" applyFont="1" applyBorder="1" applyAlignment="1" applyProtection="1">
      <alignment horizontal="center" vertical="top"/>
      <protection locked="0"/>
    </xf>
    <xf numFmtId="0" fontId="16" fillId="0" borderId="20" xfId="2" applyFont="1" applyBorder="1" applyAlignment="1" applyProtection="1">
      <alignment horizontal="center" vertical="top"/>
      <protection locked="0"/>
    </xf>
    <xf numFmtId="0" fontId="17" fillId="0" borderId="19" xfId="2" applyFont="1" applyBorder="1" applyAlignment="1" applyProtection="1">
      <alignment horizontal="left" vertical="top"/>
      <protection locked="0"/>
    </xf>
    <xf numFmtId="0" fontId="17" fillId="0" borderId="2" xfId="2" applyFont="1" applyBorder="1" applyAlignment="1" applyProtection="1">
      <alignment horizontal="left" vertical="top"/>
      <protection locked="0"/>
    </xf>
    <xf numFmtId="0" fontId="17" fillId="0" borderId="2" xfId="2" applyFont="1" applyBorder="1" applyAlignment="1" applyProtection="1">
      <alignment horizontal="left" vertical="top" wrapText="1"/>
      <protection locked="0"/>
    </xf>
    <xf numFmtId="0" fontId="17" fillId="0" borderId="20" xfId="2" applyFont="1" applyBorder="1" applyAlignment="1" applyProtection="1">
      <alignment horizontal="left" vertical="top" wrapText="1"/>
      <protection locked="0"/>
    </xf>
    <xf numFmtId="0" fontId="16" fillId="0" borderId="19" xfId="2" applyFont="1" applyBorder="1" applyAlignment="1" applyProtection="1">
      <alignment horizontal="center" vertical="top" wrapText="1"/>
      <protection locked="0"/>
    </xf>
    <xf numFmtId="0" fontId="16" fillId="0" borderId="2" xfId="2" applyFont="1" applyBorder="1" applyAlignment="1" applyProtection="1">
      <alignment horizontal="center" vertical="top" wrapText="1"/>
      <protection locked="0"/>
    </xf>
    <xf numFmtId="0" fontId="16" fillId="0" borderId="20" xfId="2" applyFont="1" applyBorder="1" applyAlignment="1" applyProtection="1">
      <alignment horizontal="center" vertical="top" wrapText="1"/>
      <protection locked="0"/>
    </xf>
    <xf numFmtId="0" fontId="5" fillId="0" borderId="5" xfId="0" applyFont="1" applyBorder="1" applyAlignment="1">
      <alignment horizontal="left" vertical="top"/>
    </xf>
    <xf numFmtId="0" fontId="5" fillId="0" borderId="6"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4" fillId="0" borderId="2" xfId="0" applyFont="1"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2" borderId="1" xfId="0" applyFont="1" applyFill="1" applyBorder="1" applyAlignment="1">
      <alignment horizontal="left" vertical="top"/>
    </xf>
    <xf numFmtId="0" fontId="0" fillId="0" borderId="6" xfId="0" applyBorder="1" applyAlignment="1">
      <alignment horizontal="left"/>
    </xf>
    <xf numFmtId="0" fontId="4" fillId="0" borderId="2" xfId="0" applyFont="1" applyBorder="1" applyAlignment="1">
      <alignment horizontal="center" vertical="top" wrapText="1"/>
    </xf>
    <xf numFmtId="0" fontId="5" fillId="0" borderId="1" xfId="0" applyFont="1" applyBorder="1" applyAlignment="1">
      <alignment horizontal="left"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9" fontId="16" fillId="2" borderId="2" xfId="2" applyNumberFormat="1" applyFont="1" applyFill="1" applyBorder="1" applyAlignment="1" applyProtection="1">
      <alignment horizontal="center" vertical="center" wrapText="1"/>
      <protection hidden="1"/>
    </xf>
    <xf numFmtId="9" fontId="16" fillId="2" borderId="23" xfId="2" applyNumberFormat="1" applyFont="1" applyFill="1" applyBorder="1" applyAlignment="1" applyProtection="1">
      <alignment horizontal="center" vertical="center" wrapText="1"/>
      <protection hidden="1"/>
    </xf>
    <xf numFmtId="9" fontId="16" fillId="2" borderId="20" xfId="2" applyNumberFormat="1" applyFont="1" applyFill="1" applyBorder="1" applyAlignment="1" applyProtection="1">
      <alignment horizontal="center" vertical="center" wrapText="1"/>
      <protection hidden="1"/>
    </xf>
    <xf numFmtId="9" fontId="16" fillId="2" borderId="24" xfId="2" applyNumberFormat="1" applyFont="1" applyFill="1" applyBorder="1" applyAlignment="1" applyProtection="1">
      <alignment horizontal="center" vertical="center" wrapText="1"/>
      <protection hidden="1"/>
    </xf>
    <xf numFmtId="0" fontId="16" fillId="0" borderId="22" xfId="2" applyFont="1" applyBorder="1" applyAlignment="1" applyProtection="1">
      <alignment horizontal="center" vertical="top" wrapText="1"/>
      <protection locked="0"/>
    </xf>
    <xf numFmtId="0" fontId="16" fillId="0" borderId="23" xfId="2" applyFont="1" applyBorder="1" applyAlignment="1" applyProtection="1">
      <alignment horizontal="center" vertical="top" wrapText="1"/>
      <protection locked="0"/>
    </xf>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3" fillId="0" borderId="0" xfId="0" applyFont="1" applyAlignment="1">
      <alignment vertical="top" wrapText="1"/>
    </xf>
    <xf numFmtId="0" fontId="12" fillId="0" borderId="0" xfId="0" applyFont="1"/>
    <xf numFmtId="0" fontId="5" fillId="0" borderId="1" xfId="0" applyFont="1" applyBorder="1" applyAlignment="1">
      <alignment vertical="top"/>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2" xfId="1" applyFont="1" applyBorder="1" applyAlignment="1">
      <alignment horizontal="left" vertical="top" wrapText="1"/>
    </xf>
    <xf numFmtId="0" fontId="8" fillId="0" borderId="3" xfId="1" applyFont="1" applyBorder="1" applyAlignment="1">
      <alignment horizontal="left" vertical="top" wrapText="1"/>
    </xf>
    <xf numFmtId="0" fontId="8" fillId="0" borderId="13" xfId="1" applyFont="1" applyBorder="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20" fillId="0" borderId="1" xfId="3" applyFill="1" applyBorder="1" applyAlignment="1">
      <alignment horizontal="left" vertical="top"/>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Alignment="1">
      <alignment vertical="top" wrapText="1"/>
    </xf>
    <xf numFmtId="0" fontId="8" fillId="0" borderId="11" xfId="0" applyFont="1" applyBorder="1" applyAlignment="1">
      <alignment vertical="top" wrapText="1"/>
    </xf>
    <xf numFmtId="0" fontId="8" fillId="0" borderId="12" xfId="0" applyFont="1" applyBorder="1" applyAlignment="1">
      <alignment vertical="top" wrapText="1"/>
    </xf>
    <xf numFmtId="0" fontId="8" fillId="0" borderId="3" xfId="0" applyFont="1" applyBorder="1" applyAlignment="1">
      <alignment vertical="top" wrapText="1"/>
    </xf>
    <xf numFmtId="0" fontId="8" fillId="0" borderId="13" xfId="0" applyFont="1" applyBorder="1" applyAlignment="1">
      <alignment vertical="top" wrapText="1"/>
    </xf>
    <xf numFmtId="0" fontId="7" fillId="0" borderId="1" xfId="0" applyFont="1" applyBorder="1" applyAlignment="1">
      <alignment horizontal="left" vertical="top"/>
    </xf>
    <xf numFmtId="0" fontId="0" fillId="3" borderId="2" xfId="0" applyFill="1" applyBorder="1" applyAlignment="1">
      <alignment horizontal="center" wrapText="1"/>
    </xf>
    <xf numFmtId="0" fontId="12" fillId="0" borderId="2" xfId="0" applyFont="1" applyBorder="1" applyAlignment="1">
      <alignment horizontal="center"/>
    </xf>
  </cellXfs>
  <cellStyles count="4">
    <cellStyle name="Excel Built-in Normal" xfId="1"/>
    <cellStyle name="Hyperlink" xfId="3"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1</xdr:col>
      <xdr:colOff>102839</xdr:colOff>
      <xdr:row>193</xdr:row>
      <xdr:rowOff>120359</xdr:rowOff>
    </xdr:from>
    <xdr:to>
      <xdr:col>8</xdr:col>
      <xdr:colOff>349946</xdr:colOff>
      <xdr:row>209</xdr:row>
      <xdr:rowOff>131654</xdr:rowOff>
    </xdr:to>
    <xdr:pic>
      <xdr:nvPicPr>
        <xdr:cNvPr id="1136" name="Picture 4">
          <a:extLst>
            <a:ext uri="{FF2B5EF4-FFF2-40B4-BE49-F238E27FC236}">
              <a16:creationId xmlns:a16="http://schemas.microsoft.com/office/drawing/2014/main" xmlns="" id="{00000000-0008-0000-0000-00007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682998" y="38159745"/>
          <a:ext cx="4723857" cy="305929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102536</xdr:colOff>
      <xdr:row>177</xdr:row>
      <xdr:rowOff>7283</xdr:rowOff>
    </xdr:from>
    <xdr:to>
      <xdr:col>8</xdr:col>
      <xdr:colOff>368115</xdr:colOff>
      <xdr:row>193</xdr:row>
      <xdr:rowOff>18578</xdr:rowOff>
    </xdr:to>
    <xdr:pic>
      <xdr:nvPicPr>
        <xdr:cNvPr id="1137" name="Picture 5">
          <a:extLst>
            <a:ext uri="{FF2B5EF4-FFF2-40B4-BE49-F238E27FC236}">
              <a16:creationId xmlns:a16="http://schemas.microsoft.com/office/drawing/2014/main" xmlns="" id="{00000000-0008-0000-0000-000071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31186" y="35021183"/>
          <a:ext cx="5085229" cy="305929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457200</xdr:colOff>
      <xdr:row>131</xdr:row>
      <xdr:rowOff>123825</xdr:rowOff>
    </xdr:from>
    <xdr:to>
      <xdr:col>20</xdr:col>
      <xdr:colOff>8119</xdr:colOff>
      <xdr:row>170</xdr:row>
      <xdr:rowOff>15150</xdr:rowOff>
    </xdr:to>
    <xdr:grpSp>
      <xdr:nvGrpSpPr>
        <xdr:cNvPr id="17" name="Group 16">
          <a:extLst>
            <a:ext uri="{FF2B5EF4-FFF2-40B4-BE49-F238E27FC236}">
              <a16:creationId xmlns:a16="http://schemas.microsoft.com/office/drawing/2014/main" xmlns="" id="{1D3B2673-979F-4477-9CF9-E5DF208B875B}"/>
            </a:ext>
          </a:extLst>
        </xdr:cNvPr>
        <xdr:cNvGrpSpPr/>
      </xdr:nvGrpSpPr>
      <xdr:grpSpPr>
        <a:xfrm>
          <a:off x="7534275" y="27765375"/>
          <a:ext cx="5037319" cy="7539900"/>
          <a:chOff x="819150" y="438150"/>
          <a:chExt cx="5037319" cy="7539900"/>
        </a:xfrm>
      </xdr:grpSpPr>
      <xdr:pic>
        <xdr:nvPicPr>
          <xdr:cNvPr id="18" name="Picture 17">
            <a:extLst>
              <a:ext uri="{FF2B5EF4-FFF2-40B4-BE49-F238E27FC236}">
                <a16:creationId xmlns:a16="http://schemas.microsoft.com/office/drawing/2014/main" xmlns="" id="{B274FC11-C8E7-4DA2-888E-ADF254995AB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19150" y="438150"/>
            <a:ext cx="2427469" cy="3240000"/>
          </a:xfrm>
          <a:prstGeom prst="rect">
            <a:avLst/>
          </a:prstGeom>
          <a:ln>
            <a:solidFill>
              <a:schemeClr val="tx1"/>
            </a:solidFill>
          </a:ln>
        </xdr:spPr>
      </xdr:pic>
      <xdr:pic>
        <xdr:nvPicPr>
          <xdr:cNvPr id="19" name="Picture 18">
            <a:extLst>
              <a:ext uri="{FF2B5EF4-FFF2-40B4-BE49-F238E27FC236}">
                <a16:creationId xmlns:a16="http://schemas.microsoft.com/office/drawing/2014/main" xmlns="" id="{DC9FF8A5-75C7-4E6A-ACD3-E38595D731FF}"/>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429000" y="438150"/>
            <a:ext cx="2427469" cy="3240000"/>
          </a:xfrm>
          <a:prstGeom prst="rect">
            <a:avLst/>
          </a:prstGeom>
          <a:ln>
            <a:solidFill>
              <a:schemeClr val="tx1"/>
            </a:solidFill>
          </a:ln>
        </xdr:spPr>
      </xdr:pic>
      <xdr:pic>
        <xdr:nvPicPr>
          <xdr:cNvPr id="20" name="Picture 19">
            <a:extLst>
              <a:ext uri="{FF2B5EF4-FFF2-40B4-BE49-F238E27FC236}">
                <a16:creationId xmlns:a16="http://schemas.microsoft.com/office/drawing/2014/main" xmlns="" id="{A9C69DFC-BDB7-43FD-909F-655C76AF93CF}"/>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90600" y="3848100"/>
            <a:ext cx="1618312" cy="2160000"/>
          </a:xfrm>
          <a:prstGeom prst="rect">
            <a:avLst/>
          </a:prstGeom>
          <a:ln>
            <a:solidFill>
              <a:schemeClr val="tx1"/>
            </a:solidFill>
          </a:ln>
        </xdr:spPr>
      </xdr:pic>
      <xdr:pic>
        <xdr:nvPicPr>
          <xdr:cNvPr id="21" name="Picture 20">
            <a:extLst>
              <a:ext uri="{FF2B5EF4-FFF2-40B4-BE49-F238E27FC236}">
                <a16:creationId xmlns:a16="http://schemas.microsoft.com/office/drawing/2014/main" xmlns="" id="{2963EABB-9AA4-4353-B372-6A2DE72ABA0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766779" y="3848100"/>
            <a:ext cx="2877333" cy="2160000"/>
          </a:xfrm>
          <a:prstGeom prst="rect">
            <a:avLst/>
          </a:prstGeom>
          <a:ln>
            <a:solidFill>
              <a:schemeClr val="tx1"/>
            </a:solidFill>
          </a:ln>
        </xdr:spPr>
      </xdr:pic>
      <xdr:pic>
        <xdr:nvPicPr>
          <xdr:cNvPr id="22" name="Picture 21">
            <a:extLst>
              <a:ext uri="{FF2B5EF4-FFF2-40B4-BE49-F238E27FC236}">
                <a16:creationId xmlns:a16="http://schemas.microsoft.com/office/drawing/2014/main" xmlns="" id="{921894DD-6B9F-49BB-908D-4AC97E1D77D2}"/>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627962" y="6178050"/>
            <a:ext cx="1348594" cy="1800000"/>
          </a:xfrm>
          <a:prstGeom prst="rect">
            <a:avLst/>
          </a:prstGeom>
          <a:ln>
            <a:solidFill>
              <a:schemeClr val="tx1"/>
            </a:solidFill>
          </a:ln>
        </xdr:spPr>
      </xdr:pic>
      <xdr:pic>
        <xdr:nvPicPr>
          <xdr:cNvPr id="25" name="Picture 24">
            <a:extLst>
              <a:ext uri="{FF2B5EF4-FFF2-40B4-BE49-F238E27FC236}">
                <a16:creationId xmlns:a16="http://schemas.microsoft.com/office/drawing/2014/main" xmlns="" id="{7B4C7E4E-EE5F-498C-9226-D06AB2D32FF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100525" y="6178050"/>
            <a:ext cx="1348594" cy="1800000"/>
          </a:xfrm>
          <a:prstGeom prst="rect">
            <a:avLst/>
          </a:prstGeom>
          <a:ln>
            <a:solidFill>
              <a:schemeClr val="tx1"/>
            </a:solidFill>
          </a:ln>
        </xdr:spPr>
      </xdr:pic>
      <xdr:pic>
        <xdr:nvPicPr>
          <xdr:cNvPr id="26" name="Picture 25">
            <a:extLst>
              <a:ext uri="{FF2B5EF4-FFF2-40B4-BE49-F238E27FC236}">
                <a16:creationId xmlns:a16="http://schemas.microsoft.com/office/drawing/2014/main" xmlns="" id="{96894456-1EE2-4AB4-8D0B-1B1996954FF7}"/>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155399" y="6178050"/>
            <a:ext cx="1348594" cy="1800000"/>
          </a:xfrm>
          <a:prstGeom prst="rect">
            <a:avLst/>
          </a:prstGeom>
          <a:ln>
            <a:solidFill>
              <a:schemeClr val="tx1"/>
            </a:solidFill>
          </a:ln>
        </xdr:spPr>
      </xdr:pic>
    </xdr:grpSp>
    <xdr:clientData/>
  </xdr:twoCellAnchor>
  <xdr:twoCellAnchor>
    <xdr:from>
      <xdr:col>0</xdr:col>
      <xdr:colOff>314325</xdr:colOff>
      <xdr:row>131</xdr:row>
      <xdr:rowOff>76199</xdr:rowOff>
    </xdr:from>
    <xdr:to>
      <xdr:col>9</xdr:col>
      <xdr:colOff>855108</xdr:colOff>
      <xdr:row>174</xdr:row>
      <xdr:rowOff>54975</xdr:rowOff>
    </xdr:to>
    <xdr:grpSp>
      <xdr:nvGrpSpPr>
        <xdr:cNvPr id="2" name="Group 1"/>
        <xdr:cNvGrpSpPr/>
      </xdr:nvGrpSpPr>
      <xdr:grpSpPr>
        <a:xfrm>
          <a:off x="314325" y="27717749"/>
          <a:ext cx="6341508" cy="8389351"/>
          <a:chOff x="314325" y="27717749"/>
          <a:chExt cx="6341508" cy="8389351"/>
        </a:xfrm>
      </xdr:grpSpPr>
      <xdr:pic>
        <xdr:nvPicPr>
          <xdr:cNvPr id="27" name="Picture 26" descr="https://vsjcllp.vsjadon.com/upload/insp-246793-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324226" y="34156650"/>
            <a:ext cx="1461314" cy="1950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793-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66750" y="27717749"/>
            <a:ext cx="2647571" cy="3533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793-84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14325" y="313372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793-84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447925" y="313372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793-847.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419475" y="27717749"/>
            <a:ext cx="2647571" cy="3533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793-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762126" y="34147125"/>
            <a:ext cx="1461314" cy="19504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6793-86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600575" y="313372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pwFHVveQhTwNAsT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6"/>
  <sheetViews>
    <sheetView tabSelected="1" view="pageBreakPreview" zoomScaleNormal="100" zoomScaleSheetLayoutView="100" workbookViewId="0">
      <selection activeCell="R9" sqref="R9"/>
    </sheetView>
  </sheetViews>
  <sheetFormatPr defaultRowHeight="15" x14ac:dyDescent="0.25"/>
  <cols>
    <col min="1" max="1" width="8.7109375" customWidth="1"/>
    <col min="2" max="2" width="9.85546875" customWidth="1"/>
    <col min="3" max="3" width="14.42578125" customWidth="1"/>
    <col min="4" max="4" width="7.28515625" customWidth="1"/>
    <col min="5" max="5" width="6.85546875" customWidth="1"/>
    <col min="6" max="6" width="9" customWidth="1"/>
    <col min="7" max="8" width="9.85546875" customWidth="1"/>
    <col min="9" max="9" width="11.140625" customWidth="1"/>
    <col min="10" max="10" width="15.5703125" customWidth="1"/>
    <col min="11" max="11" width="3.5703125" customWidth="1"/>
  </cols>
  <sheetData>
    <row r="1" spans="1:14" ht="43.9" customHeight="1" x14ac:dyDescent="0.25">
      <c r="A1" s="105" t="s">
        <v>235</v>
      </c>
      <c r="B1" s="106"/>
      <c r="C1" s="106"/>
      <c r="D1" s="106"/>
      <c r="E1" s="106"/>
      <c r="F1" s="106"/>
      <c r="G1" s="106"/>
      <c r="H1" s="106"/>
      <c r="I1" s="106"/>
      <c r="J1" s="107"/>
    </row>
    <row r="2" spans="1:14" x14ac:dyDescent="0.25">
      <c r="A2" s="50" t="s">
        <v>50</v>
      </c>
      <c r="B2" s="51"/>
      <c r="C2" s="51"/>
      <c r="D2" s="51"/>
      <c r="E2" s="51"/>
      <c r="F2" s="51"/>
      <c r="G2" s="51"/>
      <c r="H2" s="51"/>
      <c r="I2" s="51"/>
      <c r="J2" s="52"/>
    </row>
    <row r="3" spans="1:14" x14ac:dyDescent="0.25">
      <c r="A3" s="114" t="s">
        <v>0</v>
      </c>
      <c r="B3" s="103"/>
      <c r="C3" s="103"/>
      <c r="D3" s="103"/>
      <c r="E3" s="104"/>
      <c r="F3" s="132" t="str">
        <f ca="1">TEXT(TODAY(),"DD/MM/YYYY")</f>
        <v>10/09/2025</v>
      </c>
      <c r="G3" s="133"/>
      <c r="H3" s="133"/>
      <c r="I3" s="133"/>
      <c r="J3" s="134"/>
    </row>
    <row r="4" spans="1:14" x14ac:dyDescent="0.25">
      <c r="A4" s="114" t="s">
        <v>1</v>
      </c>
      <c r="B4" s="103"/>
      <c r="C4" s="103"/>
      <c r="D4" s="103"/>
      <c r="E4" s="104"/>
      <c r="F4" s="56" t="s">
        <v>115</v>
      </c>
      <c r="G4" s="57"/>
      <c r="H4" s="57"/>
      <c r="I4" s="57"/>
      <c r="J4" s="58"/>
    </row>
    <row r="5" spans="1:14" x14ac:dyDescent="0.25">
      <c r="A5" s="114" t="s">
        <v>2</v>
      </c>
      <c r="B5" s="103"/>
      <c r="C5" s="103"/>
      <c r="D5" s="103"/>
      <c r="E5" s="104"/>
      <c r="F5" s="132">
        <v>45909</v>
      </c>
      <c r="G5" s="133"/>
      <c r="H5" s="133"/>
      <c r="I5" s="133"/>
      <c r="J5" s="134"/>
    </row>
    <row r="6" spans="1:14" ht="16.5" customHeight="1" x14ac:dyDescent="0.25">
      <c r="A6" s="114" t="s">
        <v>3</v>
      </c>
      <c r="B6" s="103"/>
      <c r="C6" s="103"/>
      <c r="D6" s="103"/>
      <c r="E6" s="104"/>
      <c r="F6" s="87" t="s">
        <v>138</v>
      </c>
      <c r="G6" s="88"/>
      <c r="H6" s="88"/>
      <c r="I6" s="88"/>
      <c r="J6" s="89"/>
    </row>
    <row r="7" spans="1:14" ht="15" customHeight="1" x14ac:dyDescent="0.25">
      <c r="A7" s="114" t="s">
        <v>4</v>
      </c>
      <c r="B7" s="103"/>
      <c r="C7" s="103"/>
      <c r="D7" s="103"/>
      <c r="E7" s="104"/>
      <c r="F7" s="87" t="s">
        <v>138</v>
      </c>
      <c r="G7" s="88"/>
      <c r="H7" s="88"/>
      <c r="I7" s="88"/>
      <c r="J7" s="89"/>
    </row>
    <row r="8" spans="1:14" x14ac:dyDescent="0.25">
      <c r="A8" s="114" t="s">
        <v>5</v>
      </c>
      <c r="B8" s="103"/>
      <c r="C8" s="103"/>
      <c r="D8" s="103"/>
      <c r="E8" s="104"/>
      <c r="F8" s="76" t="s">
        <v>131</v>
      </c>
      <c r="G8" s="77"/>
      <c r="H8" s="77"/>
      <c r="I8" s="77"/>
      <c r="J8" s="78"/>
    </row>
    <row r="9" spans="1:14" x14ac:dyDescent="0.25">
      <c r="A9" s="114" t="s">
        <v>6</v>
      </c>
      <c r="B9" s="103"/>
      <c r="C9" s="103"/>
      <c r="D9" s="103"/>
      <c r="E9" s="104"/>
      <c r="F9" s="56" t="s">
        <v>116</v>
      </c>
      <c r="G9" s="57"/>
      <c r="H9" s="57"/>
      <c r="I9" s="57"/>
      <c r="J9" s="58"/>
    </row>
    <row r="10" spans="1:14" x14ac:dyDescent="0.25">
      <c r="A10" s="56" t="s">
        <v>209</v>
      </c>
      <c r="B10" s="103"/>
      <c r="C10" s="103"/>
      <c r="D10" s="103"/>
      <c r="E10" s="104"/>
      <c r="F10" s="56" t="s">
        <v>208</v>
      </c>
      <c r="G10" s="57"/>
      <c r="H10" s="57"/>
      <c r="I10" s="57"/>
      <c r="J10" s="58"/>
    </row>
    <row r="11" spans="1:14" x14ac:dyDescent="0.25">
      <c r="A11" s="108" t="s">
        <v>69</v>
      </c>
      <c r="B11" s="108"/>
      <c r="C11" s="87" t="s">
        <v>170</v>
      </c>
      <c r="D11" s="88"/>
      <c r="E11" s="88"/>
      <c r="F11" s="88"/>
      <c r="G11" s="89"/>
      <c r="H11" s="4" t="s">
        <v>70</v>
      </c>
      <c r="I11" s="56" t="s">
        <v>121</v>
      </c>
      <c r="J11" s="58"/>
    </row>
    <row r="12" spans="1:14" ht="30" customHeight="1" x14ac:dyDescent="0.25">
      <c r="A12" s="108" t="s">
        <v>71</v>
      </c>
      <c r="B12" s="108"/>
      <c r="C12" s="87" t="s">
        <v>139</v>
      </c>
      <c r="D12" s="88"/>
      <c r="E12" s="88"/>
      <c r="F12" s="88"/>
      <c r="G12" s="88"/>
      <c r="H12" s="88"/>
      <c r="I12" s="88"/>
      <c r="J12" s="89"/>
      <c r="N12" t="s">
        <v>208</v>
      </c>
    </row>
    <row r="13" spans="1:14" ht="16.5" customHeight="1" x14ac:dyDescent="0.25">
      <c r="A13" s="2" t="s">
        <v>137</v>
      </c>
      <c r="B13" s="56">
        <v>52</v>
      </c>
      <c r="C13" s="57"/>
      <c r="D13" s="58"/>
      <c r="E13" s="2" t="s">
        <v>140</v>
      </c>
      <c r="F13" s="15">
        <v>68</v>
      </c>
      <c r="G13" s="5" t="s">
        <v>72</v>
      </c>
      <c r="H13" s="87" t="s">
        <v>122</v>
      </c>
      <c r="I13" s="88"/>
      <c r="J13" s="89"/>
    </row>
    <row r="14" spans="1:14" x14ac:dyDescent="0.25">
      <c r="A14" s="3" t="s">
        <v>7</v>
      </c>
      <c r="B14" s="56" t="s">
        <v>141</v>
      </c>
      <c r="C14" s="57"/>
      <c r="D14" s="57"/>
      <c r="E14" s="58"/>
      <c r="F14" s="4" t="s">
        <v>73</v>
      </c>
      <c r="G14" s="56" t="s">
        <v>123</v>
      </c>
      <c r="H14" s="57"/>
      <c r="I14" s="57"/>
      <c r="J14" s="58"/>
    </row>
    <row r="15" spans="1:14" x14ac:dyDescent="0.25">
      <c r="A15" s="3" t="s">
        <v>8</v>
      </c>
      <c r="B15" s="56" t="s">
        <v>142</v>
      </c>
      <c r="C15" s="57"/>
      <c r="D15" s="57"/>
      <c r="E15" s="58"/>
      <c r="F15" s="4" t="s">
        <v>74</v>
      </c>
      <c r="G15" s="56" t="s">
        <v>135</v>
      </c>
      <c r="H15" s="57"/>
      <c r="I15" s="57"/>
      <c r="J15" s="58"/>
    </row>
    <row r="16" spans="1:14" ht="31.5" customHeight="1" x14ac:dyDescent="0.25">
      <c r="A16" s="108" t="s">
        <v>75</v>
      </c>
      <c r="B16" s="108"/>
      <c r="C16" s="69" t="s">
        <v>224</v>
      </c>
      <c r="D16" s="70"/>
      <c r="E16" s="71"/>
      <c r="F16" s="143" t="s">
        <v>60</v>
      </c>
      <c r="G16" s="143"/>
      <c r="H16" s="54" t="s">
        <v>212</v>
      </c>
      <c r="I16" s="54"/>
      <c r="J16" s="55"/>
      <c r="M16" t="s">
        <v>226</v>
      </c>
    </row>
    <row r="17" spans="1:10" ht="18.75" customHeight="1" x14ac:dyDescent="0.25">
      <c r="A17" s="126" t="s">
        <v>62</v>
      </c>
      <c r="B17" s="127"/>
      <c r="C17" s="127"/>
      <c r="D17" s="127"/>
      <c r="E17" s="128"/>
      <c r="F17" s="144" t="s">
        <v>68</v>
      </c>
      <c r="G17" s="145"/>
      <c r="H17" s="145"/>
      <c r="I17" s="145"/>
      <c r="J17" s="146"/>
    </row>
    <row r="18" spans="1:10" ht="18.75" customHeight="1" x14ac:dyDescent="0.25">
      <c r="A18" s="129"/>
      <c r="B18" s="130"/>
      <c r="C18" s="130"/>
      <c r="D18" s="130"/>
      <c r="E18" s="131"/>
      <c r="F18" s="147"/>
      <c r="G18" s="148"/>
      <c r="H18" s="148"/>
      <c r="I18" s="148"/>
      <c r="J18" s="149"/>
    </row>
    <row r="19" spans="1:10" ht="15" customHeight="1" x14ac:dyDescent="0.25">
      <c r="A19" s="137" t="s">
        <v>9</v>
      </c>
      <c r="B19" s="138"/>
      <c r="C19" s="138"/>
      <c r="D19" s="138"/>
      <c r="E19" s="139"/>
      <c r="F19" s="126" t="s">
        <v>52</v>
      </c>
      <c r="G19" s="127"/>
      <c r="H19" s="127"/>
      <c r="I19" s="127"/>
      <c r="J19" s="128"/>
    </row>
    <row r="20" spans="1:10" ht="13.5" customHeight="1" x14ac:dyDescent="0.25">
      <c r="A20" s="140"/>
      <c r="B20" s="141"/>
      <c r="C20" s="141"/>
      <c r="D20" s="141"/>
      <c r="E20" s="142"/>
      <c r="F20" s="129"/>
      <c r="G20" s="130"/>
      <c r="H20" s="130"/>
      <c r="I20" s="130"/>
      <c r="J20" s="131"/>
    </row>
    <row r="21" spans="1:10" x14ac:dyDescent="0.25">
      <c r="A21" s="114" t="s">
        <v>10</v>
      </c>
      <c r="B21" s="103"/>
      <c r="C21" s="103"/>
      <c r="D21" s="103"/>
      <c r="E21" s="104"/>
      <c r="F21" s="115" t="s">
        <v>114</v>
      </c>
      <c r="G21" s="116"/>
      <c r="H21" s="116"/>
      <c r="I21" s="116"/>
      <c r="J21" s="117"/>
    </row>
    <row r="22" spans="1:10" x14ac:dyDescent="0.25">
      <c r="A22" s="114" t="s">
        <v>11</v>
      </c>
      <c r="B22" s="103"/>
      <c r="C22" s="103"/>
      <c r="D22" s="103"/>
      <c r="E22" s="104"/>
      <c r="F22" s="115" t="s">
        <v>61</v>
      </c>
      <c r="G22" s="116"/>
      <c r="H22" s="116"/>
      <c r="I22" s="116"/>
      <c r="J22" s="117"/>
    </row>
    <row r="23" spans="1:10" x14ac:dyDescent="0.25">
      <c r="A23" s="114" t="s">
        <v>12</v>
      </c>
      <c r="B23" s="103"/>
      <c r="C23" s="103"/>
      <c r="D23" s="103"/>
      <c r="E23" s="104"/>
      <c r="F23" s="115" t="s">
        <v>53</v>
      </c>
      <c r="G23" s="116"/>
      <c r="H23" s="116"/>
      <c r="I23" s="116"/>
      <c r="J23" s="117"/>
    </row>
    <row r="24" spans="1:10" x14ac:dyDescent="0.25">
      <c r="A24" s="114" t="s">
        <v>31</v>
      </c>
      <c r="B24" s="103"/>
      <c r="C24" s="103"/>
      <c r="D24" s="103"/>
      <c r="E24" s="104"/>
      <c r="F24" s="115" t="s">
        <v>76</v>
      </c>
      <c r="G24" s="135"/>
      <c r="H24" s="135"/>
      <c r="I24" s="135"/>
      <c r="J24" s="136"/>
    </row>
    <row r="25" spans="1:10" x14ac:dyDescent="0.25">
      <c r="A25" s="124" t="s">
        <v>13</v>
      </c>
      <c r="B25" s="125"/>
      <c r="C25" s="124" t="s">
        <v>14</v>
      </c>
      <c r="D25" s="125"/>
      <c r="E25" s="109" t="s">
        <v>15</v>
      </c>
      <c r="F25" s="125"/>
      <c r="G25" s="109" t="s">
        <v>59</v>
      </c>
      <c r="H25" s="110"/>
      <c r="I25" s="124" t="s">
        <v>16</v>
      </c>
      <c r="J25" s="125"/>
    </row>
    <row r="26" spans="1:10" x14ac:dyDescent="0.25">
      <c r="A26" s="109" t="s">
        <v>17</v>
      </c>
      <c r="B26" s="110"/>
      <c r="C26" s="109" t="s">
        <v>58</v>
      </c>
      <c r="D26" s="110"/>
      <c r="E26" s="109" t="s">
        <v>58</v>
      </c>
      <c r="F26" s="110"/>
      <c r="G26" s="109" t="s">
        <v>58</v>
      </c>
      <c r="H26" s="110"/>
      <c r="I26" s="109" t="s">
        <v>58</v>
      </c>
      <c r="J26" s="110"/>
    </row>
    <row r="27" spans="1:10" x14ac:dyDescent="0.25">
      <c r="A27" s="124" t="s">
        <v>18</v>
      </c>
      <c r="B27" s="125"/>
      <c r="C27" s="109" t="s">
        <v>134</v>
      </c>
      <c r="D27" s="110"/>
      <c r="E27" s="109" t="s">
        <v>117</v>
      </c>
      <c r="F27" s="110"/>
      <c r="G27" s="109" t="s">
        <v>7</v>
      </c>
      <c r="H27" s="110"/>
      <c r="I27" s="109" t="s">
        <v>117</v>
      </c>
      <c r="J27" s="110"/>
    </row>
    <row r="28" spans="1:10" x14ac:dyDescent="0.25">
      <c r="A28" s="56" t="s">
        <v>66</v>
      </c>
      <c r="B28" s="57"/>
      <c r="C28" s="57"/>
      <c r="D28" s="57"/>
      <c r="E28" s="57"/>
      <c r="F28" s="57"/>
      <c r="G28" s="57"/>
      <c r="H28" s="57"/>
      <c r="I28" s="57"/>
      <c r="J28" s="58"/>
    </row>
    <row r="29" spans="1:10" x14ac:dyDescent="0.25">
      <c r="A29" s="56" t="s">
        <v>54</v>
      </c>
      <c r="B29" s="57"/>
      <c r="C29" s="57"/>
      <c r="D29" s="57"/>
      <c r="E29" s="57"/>
      <c r="F29" s="57"/>
      <c r="G29" s="57"/>
      <c r="H29" s="57"/>
      <c r="I29" s="57"/>
      <c r="J29" s="58"/>
    </row>
    <row r="30" spans="1:10" x14ac:dyDescent="0.25">
      <c r="A30" s="76" t="s">
        <v>47</v>
      </c>
      <c r="B30" s="78"/>
      <c r="C30" s="168" t="s">
        <v>238</v>
      </c>
      <c r="D30" s="169"/>
      <c r="E30" s="169"/>
      <c r="F30" s="169"/>
      <c r="G30" s="169"/>
      <c r="H30" s="169"/>
      <c r="I30" s="169"/>
      <c r="J30" s="170"/>
    </row>
    <row r="31" spans="1:10" x14ac:dyDescent="0.25">
      <c r="A31" s="76" t="s">
        <v>222</v>
      </c>
      <c r="B31" s="78"/>
      <c r="C31" s="171" t="s">
        <v>223</v>
      </c>
      <c r="D31" s="67"/>
      <c r="E31" s="67"/>
      <c r="F31" s="67"/>
      <c r="G31" s="67"/>
      <c r="H31" s="67"/>
      <c r="I31" s="67"/>
      <c r="J31" s="68"/>
    </row>
    <row r="32" spans="1:10" x14ac:dyDescent="0.25">
      <c r="A32" s="76" t="s">
        <v>19</v>
      </c>
      <c r="B32" s="77"/>
      <c r="C32" s="77"/>
      <c r="D32" s="77"/>
      <c r="E32" s="77"/>
      <c r="F32" s="77"/>
      <c r="G32" s="77"/>
      <c r="H32" s="77"/>
      <c r="I32" s="77"/>
      <c r="J32" s="78"/>
    </row>
    <row r="33" spans="1:10" ht="15" customHeight="1" x14ac:dyDescent="0.25">
      <c r="A33" s="126" t="s">
        <v>169</v>
      </c>
      <c r="B33" s="127"/>
      <c r="C33" s="127"/>
      <c r="D33" s="127"/>
      <c r="E33" s="127"/>
      <c r="F33" s="127"/>
      <c r="G33" s="127"/>
      <c r="H33" s="127"/>
      <c r="I33" s="127"/>
      <c r="J33" s="128"/>
    </row>
    <row r="34" spans="1:10" x14ac:dyDescent="0.25">
      <c r="A34" s="129"/>
      <c r="B34" s="130"/>
      <c r="C34" s="130"/>
      <c r="D34" s="130"/>
      <c r="E34" s="130"/>
      <c r="F34" s="130"/>
      <c r="G34" s="130"/>
      <c r="H34" s="130"/>
      <c r="I34" s="130"/>
      <c r="J34" s="131"/>
    </row>
    <row r="35" spans="1:10" ht="16.5" customHeight="1" x14ac:dyDescent="0.25">
      <c r="A35" s="56" t="s">
        <v>77</v>
      </c>
      <c r="B35" s="103"/>
      <c r="C35" s="103"/>
      <c r="D35" s="103"/>
      <c r="E35" s="104"/>
      <c r="F35" s="87">
        <v>249.81</v>
      </c>
      <c r="G35" s="88"/>
      <c r="H35" s="88"/>
      <c r="I35" s="88"/>
      <c r="J35" s="89"/>
    </row>
    <row r="36" spans="1:10" x14ac:dyDescent="0.25">
      <c r="A36" s="114" t="s">
        <v>20</v>
      </c>
      <c r="B36" s="103"/>
      <c r="C36" s="103"/>
      <c r="D36" s="103"/>
      <c r="E36" s="104"/>
      <c r="F36" s="56">
        <v>1.5</v>
      </c>
      <c r="G36" s="57"/>
      <c r="H36" s="57"/>
      <c r="I36" s="57"/>
      <c r="J36" s="58"/>
    </row>
    <row r="37" spans="1:10" x14ac:dyDescent="0.25">
      <c r="A37" s="114" t="s">
        <v>21</v>
      </c>
      <c r="B37" s="103"/>
      <c r="C37" s="103"/>
      <c r="D37" s="103"/>
      <c r="E37" s="104"/>
      <c r="F37" s="56">
        <v>0</v>
      </c>
      <c r="G37" s="57"/>
      <c r="H37" s="57"/>
      <c r="I37" s="57"/>
      <c r="J37" s="58"/>
    </row>
    <row r="38" spans="1:10" x14ac:dyDescent="0.25">
      <c r="A38" s="114" t="s">
        <v>22</v>
      </c>
      <c r="B38" s="103"/>
      <c r="C38" s="103"/>
      <c r="D38" s="103"/>
      <c r="E38" s="104"/>
      <c r="F38" s="56">
        <v>1.5</v>
      </c>
      <c r="G38" s="57"/>
      <c r="H38" s="57"/>
      <c r="I38" s="57"/>
      <c r="J38" s="58"/>
    </row>
    <row r="39" spans="1:10" x14ac:dyDescent="0.25">
      <c r="A39" s="56" t="s">
        <v>78</v>
      </c>
      <c r="B39" s="103"/>
      <c r="C39" s="103"/>
      <c r="D39" s="103"/>
      <c r="E39" s="104"/>
      <c r="F39" s="56">
        <v>374.71</v>
      </c>
      <c r="G39" s="57"/>
      <c r="H39" s="57"/>
      <c r="I39" s="57"/>
      <c r="J39" s="58"/>
    </row>
    <row r="40" spans="1:10" x14ac:dyDescent="0.25">
      <c r="A40" s="114" t="s">
        <v>23</v>
      </c>
      <c r="B40" s="103"/>
      <c r="C40" s="103"/>
      <c r="D40" s="103"/>
      <c r="E40" s="104"/>
      <c r="F40" s="56" t="s">
        <v>219</v>
      </c>
      <c r="G40" s="57"/>
      <c r="H40" s="57"/>
      <c r="I40" s="57"/>
      <c r="J40" s="58"/>
    </row>
    <row r="41" spans="1:10" x14ac:dyDescent="0.25">
      <c r="A41" s="76" t="s">
        <v>80</v>
      </c>
      <c r="B41" s="77"/>
      <c r="C41" s="77"/>
      <c r="D41" s="77"/>
      <c r="E41" s="77"/>
      <c r="F41" s="77"/>
      <c r="G41" s="77"/>
      <c r="H41" s="77"/>
      <c r="I41" s="77"/>
      <c r="J41" s="78"/>
    </row>
    <row r="42" spans="1:10" x14ac:dyDescent="0.25">
      <c r="A42" s="113" t="s">
        <v>79</v>
      </c>
      <c r="B42" s="113"/>
      <c r="C42" s="111" t="str">
        <f>C11</f>
        <v xml:space="preserve">CIDCO/BP-15440/TPO(NM &amp; K)/2017/1952 </v>
      </c>
      <c r="D42" s="74"/>
      <c r="E42" s="74"/>
      <c r="F42" s="75"/>
      <c r="G42" s="6" t="s">
        <v>70</v>
      </c>
      <c r="H42" s="111" t="str">
        <f>I11</f>
        <v>01/09/2017.</v>
      </c>
      <c r="I42" s="74"/>
      <c r="J42" s="75"/>
    </row>
    <row r="43" spans="1:10" x14ac:dyDescent="0.25">
      <c r="A43" s="87" t="s">
        <v>81</v>
      </c>
      <c r="B43" s="89"/>
      <c r="C43" s="111" t="str">
        <f>C42</f>
        <v xml:space="preserve">CIDCO/BP-15440/TPO(NM &amp; K)/2017/1952 </v>
      </c>
      <c r="D43" s="74"/>
      <c r="E43" s="74"/>
      <c r="F43" s="75"/>
      <c r="G43" s="6" t="s">
        <v>70</v>
      </c>
      <c r="H43" s="111" t="str">
        <f>H42</f>
        <v>01/09/2017.</v>
      </c>
      <c r="I43" s="74" t="s">
        <v>55</v>
      </c>
      <c r="J43" s="75"/>
    </row>
    <row r="44" spans="1:10" ht="48.75" customHeight="1" x14ac:dyDescent="0.25">
      <c r="A44" s="87" t="s">
        <v>237</v>
      </c>
      <c r="B44" s="89"/>
      <c r="C44" s="69" t="s">
        <v>236</v>
      </c>
      <c r="D44" s="70"/>
      <c r="E44" s="70"/>
      <c r="F44" s="71"/>
      <c r="G44" s="6" t="s">
        <v>70</v>
      </c>
      <c r="H44" s="111" t="s">
        <v>124</v>
      </c>
      <c r="I44" s="74"/>
      <c r="J44" s="75"/>
    </row>
    <row r="45" spans="1:10" x14ac:dyDescent="0.25">
      <c r="A45" s="56" t="s">
        <v>132</v>
      </c>
      <c r="B45" s="57"/>
      <c r="C45" s="57"/>
      <c r="D45" s="57"/>
      <c r="E45" s="58"/>
      <c r="F45" s="56" t="s">
        <v>136</v>
      </c>
      <c r="G45" s="57"/>
      <c r="H45" s="58"/>
      <c r="I45" s="56" t="s">
        <v>63</v>
      </c>
      <c r="J45" s="58"/>
    </row>
    <row r="46" spans="1:10" x14ac:dyDescent="0.25">
      <c r="A46" s="108" t="s">
        <v>86</v>
      </c>
      <c r="B46" s="108"/>
      <c r="C46" s="108"/>
      <c r="D46" s="64" t="str">
        <f>H44</f>
        <v>24/08/2017.</v>
      </c>
      <c r="E46" s="64"/>
      <c r="F46" s="56" t="s">
        <v>82</v>
      </c>
      <c r="G46" s="112"/>
      <c r="H46" s="87" t="s">
        <v>210</v>
      </c>
      <c r="I46" s="57"/>
      <c r="J46" s="58"/>
    </row>
    <row r="47" spans="1:10" x14ac:dyDescent="0.25">
      <c r="A47" s="177" t="s">
        <v>24</v>
      </c>
      <c r="B47" s="178"/>
      <c r="C47" s="178"/>
      <c r="D47" s="178"/>
      <c r="E47" s="178"/>
      <c r="F47" s="178"/>
      <c r="G47" s="178"/>
      <c r="H47" s="178"/>
      <c r="I47" s="178"/>
      <c r="J47" s="179"/>
    </row>
    <row r="48" spans="1:10" ht="17.25" customHeight="1" x14ac:dyDescent="0.25">
      <c r="A48" s="56" t="s">
        <v>113</v>
      </c>
      <c r="B48" s="57"/>
      <c r="C48" s="58"/>
      <c r="D48" s="109">
        <f>F39</f>
        <v>374.71</v>
      </c>
      <c r="E48" s="110"/>
      <c r="F48" s="172" t="s">
        <v>213</v>
      </c>
      <c r="G48" s="173"/>
      <c r="H48" s="172" t="s">
        <v>214</v>
      </c>
      <c r="I48" s="174"/>
      <c r="J48" s="173"/>
    </row>
    <row r="49" spans="1:13" x14ac:dyDescent="0.25">
      <c r="A49" s="109" t="s">
        <v>83</v>
      </c>
      <c r="B49" s="110"/>
      <c r="C49" s="88" t="s">
        <v>205</v>
      </c>
      <c r="D49" s="88"/>
      <c r="E49" s="89"/>
      <c r="F49" s="87" t="s">
        <v>133</v>
      </c>
      <c r="G49" s="88"/>
      <c r="H49" s="88"/>
      <c r="I49" s="88"/>
      <c r="J49" s="89"/>
    </row>
    <row r="50" spans="1:13" x14ac:dyDescent="0.25">
      <c r="A50" s="56" t="s">
        <v>56</v>
      </c>
      <c r="B50" s="57"/>
      <c r="C50" s="57"/>
      <c r="D50" s="57"/>
      <c r="E50" s="58"/>
      <c r="F50" s="87" t="s">
        <v>207</v>
      </c>
      <c r="G50" s="88"/>
      <c r="H50" s="88"/>
      <c r="I50" s="88"/>
      <c r="J50" s="89"/>
    </row>
    <row r="51" spans="1:13" ht="15.75" thickBot="1" x14ac:dyDescent="0.3">
      <c r="A51" s="56" t="s">
        <v>220</v>
      </c>
      <c r="B51" s="57"/>
      <c r="C51" s="57"/>
      <c r="D51" s="57"/>
      <c r="E51" s="57"/>
      <c r="F51" s="57"/>
      <c r="G51" s="57"/>
      <c r="H51" s="57"/>
      <c r="I51" s="57"/>
      <c r="J51" s="58"/>
    </row>
    <row r="52" spans="1:13" ht="15.75" customHeight="1" x14ac:dyDescent="0.25">
      <c r="A52" s="90" t="s">
        <v>171</v>
      </c>
      <c r="B52" s="91"/>
      <c r="C52" s="92" t="s">
        <v>206</v>
      </c>
      <c r="D52" s="92"/>
      <c r="E52" s="92"/>
      <c r="F52" s="92"/>
      <c r="G52" s="92"/>
      <c r="H52" s="92"/>
      <c r="I52" s="92"/>
      <c r="J52" s="93"/>
      <c r="K52" s="25" t="str">
        <f ca="1">(IF(C56=0,"Work not yet Started.",IF(D56=25%,"Piling work in process",IF(D56=50%,"Excavation work in process",IF(D56=100%,"Excavation work completed, ","0")))&amp;(IF(C57=0%,"",IF(C57=M58,"Footing work is process",IF(C57=M59,"Footing work Completed",IF(C57=M60,"1st Basement Completed",IF(C57=M61,"1st &amp; 2nd Basement Completed",IF(C57=M62,"1st to 3rd Basement Completed",IF(C57=M63,"1st to 4th Basement Completed",IF(C57=M64,"Plinth work is process",IF(C57=M65,"Plinth work completed","0")))))))))))&amp;(IF(C58&gt;0,", RCC upto "&amp;C58&amp;" Slab completed",""))&amp;(IF(C59&gt;0,", Brickwork upto "&amp;C59&amp;" Floor completed"," "))&amp;(IF(C60&gt;0,", Internal Plaster upto "&amp;C60&amp;" Floor completed"," "))&amp;(IF(C61&gt;0,", External Plaster upto "&amp;C61&amp;" Floor completed"," "))&amp;(IF(C62&gt;0,", Flooring upto "&amp;C62&amp;" Floor completed"," "))&amp;(IF(C63&gt;0,", Painting upto "&amp;C63&amp;" Floor completed"," "))&amp;(IF(C64&gt;0,", Finishing upto "&amp;C64&amp;" Floor completed"," ")))</f>
        <v xml:space="preserve">Excavation work completed, Plinth work completed, RCC upto 5 Slab completed, Brickwork upto 4 Floor completed, Internal Plaster upto 4 Floor completed, External Plaster upto 4 Floor completed, Flooring upto 4 Floor completed, Painting upto 3 Floor completed </v>
      </c>
      <c r="L52" s="25"/>
      <c r="M52" s="26"/>
    </row>
    <row r="53" spans="1:13" ht="15.75" x14ac:dyDescent="0.25">
      <c r="A53" s="27" t="s">
        <v>172</v>
      </c>
      <c r="B53" s="28">
        <v>0</v>
      </c>
      <c r="C53" s="28" t="s">
        <v>173</v>
      </c>
      <c r="D53" s="28">
        <v>1</v>
      </c>
      <c r="E53" s="28" t="s">
        <v>174</v>
      </c>
      <c r="F53" s="94">
        <v>0</v>
      </c>
      <c r="G53" s="94"/>
      <c r="H53" s="28" t="s">
        <v>175</v>
      </c>
      <c r="I53" s="94">
        <f ca="1">--TRIM(RIGHT(SUBSTITUTE(LEFT(C52,_xlfn.AGGREGATE(16,6,FIND({0,1,2,3,4,5,6,7,8,9},C52,ROW(INDIRECT("1:"&amp;LEN(C52)))),1))," ",REPT(" ",LEN(C52))),LEN(C52)))</f>
        <v>4</v>
      </c>
      <c r="J53" s="95"/>
      <c r="K53" s="29" t="s">
        <v>176</v>
      </c>
      <c r="L53" s="29"/>
      <c r="M53" s="30"/>
    </row>
    <row r="54" spans="1:13" ht="67.5" customHeight="1" x14ac:dyDescent="0.25">
      <c r="A54" s="96" t="s">
        <v>177</v>
      </c>
      <c r="B54" s="97"/>
      <c r="C54" s="98" t="str">
        <f ca="1">K52</f>
        <v xml:space="preserve">Excavation work completed, Plinth work completed, RCC upto 5 Slab completed, Brickwork upto 4 Floor completed, Internal Plaster upto 4 Floor completed, External Plaster upto 4 Floor completed, Flooring upto 4 Floor completed, Painting upto 3 Floor completed </v>
      </c>
      <c r="D54" s="98"/>
      <c r="E54" s="98"/>
      <c r="F54" s="98"/>
      <c r="G54" s="98"/>
      <c r="H54" s="98"/>
      <c r="I54" s="98"/>
      <c r="J54" s="99"/>
      <c r="K54" s="29" t="s">
        <v>178</v>
      </c>
      <c r="L54" s="29"/>
      <c r="M54" s="30"/>
    </row>
    <row r="55" spans="1:13" ht="15.75" x14ac:dyDescent="0.25">
      <c r="A55" s="100" t="s">
        <v>38</v>
      </c>
      <c r="B55" s="101"/>
      <c r="C55" s="44" t="s">
        <v>179</v>
      </c>
      <c r="D55" s="101" t="s">
        <v>180</v>
      </c>
      <c r="E55" s="101"/>
      <c r="F55" s="101" t="s">
        <v>181</v>
      </c>
      <c r="G55" s="101"/>
      <c r="H55" s="101" t="s">
        <v>182</v>
      </c>
      <c r="I55" s="101"/>
      <c r="J55" s="102"/>
      <c r="K55" s="31" t="s">
        <v>183</v>
      </c>
      <c r="L55" s="32"/>
      <c r="M55" s="33">
        <f ca="1">I53*25%</f>
        <v>1</v>
      </c>
    </row>
    <row r="56" spans="1:13" ht="15.75" x14ac:dyDescent="0.25">
      <c r="A56" s="100" t="s">
        <v>184</v>
      </c>
      <c r="B56" s="101"/>
      <c r="C56" s="45">
        <f ca="1">M57</f>
        <v>4</v>
      </c>
      <c r="D56" s="118">
        <f ca="1">((100/I53)*C56)/100</f>
        <v>1</v>
      </c>
      <c r="E56" s="118"/>
      <c r="F56" s="118">
        <f ca="1">(IF(C54=K53,"100%",IF(C54=K54,"100%",(((C57/I53*10)+(40/(B53+D53+F53+I53)*C58)+(7.5/(I53)*C59)+(7.5/(I53)*C60)+(10/I53*C61)+(10/I53*C62)+(5/I53*C63)+(5/I53*C64)+(5/I53*C65))/100))))</f>
        <v>0.88749999999999996</v>
      </c>
      <c r="G56" s="118"/>
      <c r="H56" s="118">
        <f ca="1">((((C56/I53)*20)+((C57/I53)*25)+(30/(B53+I53+F53+D53)*C58)+(5/I53*C59)+(5/I53*C60)+(5/I53*C61)+(5/I53*C62)+(0/I53*C63)+(0/I53*C64)+(5/I53*C65))/100)</f>
        <v>0.95</v>
      </c>
      <c r="I56" s="118"/>
      <c r="J56" s="120"/>
      <c r="K56" s="31" t="s">
        <v>185</v>
      </c>
      <c r="L56" s="34"/>
      <c r="M56" s="35">
        <f ca="1">I53*50%</f>
        <v>2</v>
      </c>
    </row>
    <row r="57" spans="1:13" ht="15.75" x14ac:dyDescent="0.25">
      <c r="A57" s="100" t="s">
        <v>39</v>
      </c>
      <c r="B57" s="101"/>
      <c r="C57" s="46">
        <f ca="1">M65</f>
        <v>4</v>
      </c>
      <c r="D57" s="118">
        <f ca="1">((100/I53)*C57)/100</f>
        <v>1</v>
      </c>
      <c r="E57" s="118"/>
      <c r="F57" s="118"/>
      <c r="G57" s="118"/>
      <c r="H57" s="118"/>
      <c r="I57" s="118"/>
      <c r="J57" s="120"/>
      <c r="K57" s="31" t="s">
        <v>186</v>
      </c>
      <c r="L57" s="34"/>
      <c r="M57" s="35">
        <f ca="1">I53</f>
        <v>4</v>
      </c>
    </row>
    <row r="58" spans="1:13" ht="15.75" x14ac:dyDescent="0.25">
      <c r="A58" s="100" t="s">
        <v>187</v>
      </c>
      <c r="B58" s="101"/>
      <c r="C58" s="46">
        <f ca="1">B53+D53+F53+I53</f>
        <v>5</v>
      </c>
      <c r="D58" s="118">
        <f ca="1">((100/(B53+D53+F53+I53))*C58)/100</f>
        <v>1</v>
      </c>
      <c r="E58" s="118"/>
      <c r="F58" s="118"/>
      <c r="G58" s="118"/>
      <c r="H58" s="118"/>
      <c r="I58" s="118"/>
      <c r="J58" s="120"/>
      <c r="K58" s="31" t="s">
        <v>188</v>
      </c>
      <c r="L58" s="34"/>
      <c r="M58" s="36">
        <f ca="1">(IF(B53=0,I53/4,(I53/(B53+4))))</f>
        <v>1</v>
      </c>
    </row>
    <row r="59" spans="1:13" ht="15.75" x14ac:dyDescent="0.25">
      <c r="A59" s="100" t="s">
        <v>189</v>
      </c>
      <c r="B59" s="101" t="s">
        <v>190</v>
      </c>
      <c r="C59" s="45">
        <v>4</v>
      </c>
      <c r="D59" s="118">
        <f ca="1">((100/I53)*C59)/100</f>
        <v>1</v>
      </c>
      <c r="E59" s="118"/>
      <c r="F59" s="118"/>
      <c r="G59" s="118"/>
      <c r="H59" s="118"/>
      <c r="I59" s="118"/>
      <c r="J59" s="120"/>
      <c r="K59" s="31" t="s">
        <v>191</v>
      </c>
      <c r="L59" s="34"/>
      <c r="M59" s="36">
        <f ca="1">(IF(B53=0,I53/4+M58,(I53/(B53+4)+M58)))</f>
        <v>2</v>
      </c>
    </row>
    <row r="60" spans="1:13" ht="15.75" x14ac:dyDescent="0.25">
      <c r="A60" s="100" t="s">
        <v>192</v>
      </c>
      <c r="B60" s="101" t="s">
        <v>190</v>
      </c>
      <c r="C60" s="45">
        <v>4</v>
      </c>
      <c r="D60" s="118">
        <f ca="1">((100/I53)*C60)/100</f>
        <v>1</v>
      </c>
      <c r="E60" s="118"/>
      <c r="F60" s="118"/>
      <c r="G60" s="118"/>
      <c r="H60" s="118"/>
      <c r="I60" s="118"/>
      <c r="J60" s="120"/>
      <c r="K60" s="31" t="s">
        <v>193</v>
      </c>
      <c r="L60" s="37"/>
      <c r="M60" s="36">
        <f>(IF(B53=0,0,(I53/(B53+4)+M59)))</f>
        <v>0</v>
      </c>
    </row>
    <row r="61" spans="1:13" ht="15.75" x14ac:dyDescent="0.25">
      <c r="A61" s="100" t="s">
        <v>194</v>
      </c>
      <c r="B61" s="101" t="s">
        <v>195</v>
      </c>
      <c r="C61" s="45">
        <v>4</v>
      </c>
      <c r="D61" s="118">
        <f ca="1">((100/(I53))*C61)/100</f>
        <v>1</v>
      </c>
      <c r="E61" s="118"/>
      <c r="F61" s="118"/>
      <c r="G61" s="118"/>
      <c r="H61" s="118"/>
      <c r="I61" s="118"/>
      <c r="J61" s="120"/>
      <c r="K61" s="31" t="s">
        <v>196</v>
      </c>
      <c r="L61" s="37"/>
      <c r="M61" s="36">
        <f>(IF(B53&gt;1,(I53/(B53+4)+M60),0))</f>
        <v>0</v>
      </c>
    </row>
    <row r="62" spans="1:13" ht="15.75" x14ac:dyDescent="0.25">
      <c r="A62" s="100" t="s">
        <v>197</v>
      </c>
      <c r="B62" s="101" t="s">
        <v>197</v>
      </c>
      <c r="C62" s="45">
        <v>4</v>
      </c>
      <c r="D62" s="118">
        <f ca="1">((100/I53)*C62)/100</f>
        <v>1</v>
      </c>
      <c r="E62" s="118"/>
      <c r="F62" s="118"/>
      <c r="G62" s="118"/>
      <c r="H62" s="118"/>
      <c r="I62" s="118"/>
      <c r="J62" s="120"/>
      <c r="K62" s="31" t="s">
        <v>198</v>
      </c>
      <c r="L62" s="38"/>
      <c r="M62" s="39">
        <f>(IF(B53&gt;2,(I53/(B53+4)+M61),0))</f>
        <v>0</v>
      </c>
    </row>
    <row r="63" spans="1:13" ht="15.75" x14ac:dyDescent="0.25">
      <c r="A63" s="100" t="s">
        <v>199</v>
      </c>
      <c r="B63" s="101"/>
      <c r="C63" s="45">
        <v>3</v>
      </c>
      <c r="D63" s="118">
        <f ca="1">((100/I53)*C63)/100</f>
        <v>0.75</v>
      </c>
      <c r="E63" s="118"/>
      <c r="F63" s="118"/>
      <c r="G63" s="118"/>
      <c r="H63" s="118"/>
      <c r="I63" s="118"/>
      <c r="J63" s="120"/>
      <c r="K63" s="31" t="s">
        <v>200</v>
      </c>
      <c r="M63" s="40">
        <f>(IF(B53&gt;3,(I53/(B53+4)+M62),0))</f>
        <v>0</v>
      </c>
    </row>
    <row r="64" spans="1:13" ht="15.75" x14ac:dyDescent="0.25">
      <c r="A64" s="100" t="s">
        <v>201</v>
      </c>
      <c r="B64" s="101" t="s">
        <v>201</v>
      </c>
      <c r="C64" s="45">
        <v>0</v>
      </c>
      <c r="D64" s="118">
        <f ca="1">((100/(I53))*C64)/100</f>
        <v>0</v>
      </c>
      <c r="E64" s="118"/>
      <c r="F64" s="118"/>
      <c r="G64" s="118"/>
      <c r="H64" s="118"/>
      <c r="I64" s="118"/>
      <c r="J64" s="120"/>
      <c r="K64" s="31" t="s">
        <v>202</v>
      </c>
      <c r="L64" s="34"/>
      <c r="M64" s="36">
        <f ca="1">(IF(B53=0,I53/4+M59,(I53/(B53+4)+M59+MAX(0,M60-M59)+MAX(0,M61-M60)+MAX(0,M62-M61)+MAX(0,M63-M62))))</f>
        <v>3</v>
      </c>
    </row>
    <row r="65" spans="1:13" ht="16.5" thickBot="1" x14ac:dyDescent="0.3">
      <c r="A65" s="122" t="s">
        <v>203</v>
      </c>
      <c r="B65" s="123"/>
      <c r="C65" s="47">
        <v>0</v>
      </c>
      <c r="D65" s="119">
        <f ca="1">((100/(I53))*C65)/100</f>
        <v>0</v>
      </c>
      <c r="E65" s="119"/>
      <c r="F65" s="119"/>
      <c r="G65" s="119"/>
      <c r="H65" s="119"/>
      <c r="I65" s="119"/>
      <c r="J65" s="121"/>
      <c r="K65" s="41" t="s">
        <v>204</v>
      </c>
      <c r="L65" s="42"/>
      <c r="M65" s="43">
        <f ca="1">(IF(B53=0,I53/4+M64,(I53/(B53+4)+M64)))</f>
        <v>4</v>
      </c>
    </row>
    <row r="66" spans="1:13" s="24" customFormat="1" x14ac:dyDescent="0.25">
      <c r="A66" s="66" t="s">
        <v>64</v>
      </c>
      <c r="B66" s="67"/>
      <c r="C66" s="67"/>
      <c r="D66" s="67"/>
      <c r="E66" s="67"/>
      <c r="F66" s="67"/>
      <c r="G66" s="67"/>
      <c r="H66" s="67"/>
      <c r="I66" s="67"/>
      <c r="J66" s="68"/>
    </row>
    <row r="67" spans="1:13" s="24" customFormat="1" ht="15" customHeight="1" x14ac:dyDescent="0.25">
      <c r="A67" s="66" t="s">
        <v>57</v>
      </c>
      <c r="B67" s="67"/>
      <c r="C67" s="67"/>
      <c r="D67" s="67"/>
      <c r="E67" s="67"/>
      <c r="F67" s="67"/>
      <c r="G67" s="67"/>
      <c r="H67" s="67"/>
      <c r="I67" s="67"/>
      <c r="J67" s="68"/>
    </row>
    <row r="68" spans="1:13" x14ac:dyDescent="0.25">
      <c r="A68" s="180" t="s">
        <v>225</v>
      </c>
      <c r="B68" s="181"/>
      <c r="C68" s="181"/>
      <c r="D68" s="181"/>
      <c r="E68" s="181"/>
      <c r="F68" s="181"/>
      <c r="G68" s="181"/>
      <c r="H68" s="181"/>
      <c r="I68" s="181"/>
      <c r="J68" s="182"/>
    </row>
    <row r="69" spans="1:13" ht="3" hidden="1" customHeight="1" x14ac:dyDescent="0.25">
      <c r="A69" s="183"/>
      <c r="B69" s="184"/>
      <c r="C69" s="184"/>
      <c r="D69" s="184"/>
      <c r="E69" s="184"/>
      <c r="F69" s="184"/>
      <c r="G69" s="184"/>
      <c r="H69" s="184"/>
      <c r="I69" s="184"/>
      <c r="J69" s="185"/>
    </row>
    <row r="70" spans="1:13" hidden="1" x14ac:dyDescent="0.25">
      <c r="A70" s="183"/>
      <c r="B70" s="184"/>
      <c r="C70" s="184"/>
      <c r="D70" s="184"/>
      <c r="E70" s="184"/>
      <c r="F70" s="184"/>
      <c r="G70" s="184"/>
      <c r="H70" s="184"/>
      <c r="I70" s="184"/>
      <c r="J70" s="185"/>
    </row>
    <row r="71" spans="1:13" hidden="1" x14ac:dyDescent="0.25">
      <c r="A71" s="183"/>
      <c r="B71" s="184"/>
      <c r="C71" s="184"/>
      <c r="D71" s="184"/>
      <c r="E71" s="184"/>
      <c r="F71" s="184"/>
      <c r="G71" s="184"/>
      <c r="H71" s="184"/>
      <c r="I71" s="184"/>
      <c r="J71" s="185"/>
    </row>
    <row r="72" spans="1:13" ht="15" hidden="1" customHeight="1" x14ac:dyDescent="0.25">
      <c r="A72" s="183"/>
      <c r="B72" s="184"/>
      <c r="C72" s="184"/>
      <c r="D72" s="184"/>
      <c r="E72" s="184"/>
      <c r="F72" s="184"/>
      <c r="G72" s="184"/>
      <c r="H72" s="184"/>
      <c r="I72" s="184"/>
      <c r="J72" s="185"/>
    </row>
    <row r="73" spans="1:13" hidden="1" x14ac:dyDescent="0.25">
      <c r="A73" s="186"/>
      <c r="B73" s="187"/>
      <c r="C73" s="187"/>
      <c r="D73" s="187"/>
      <c r="E73" s="187"/>
      <c r="F73" s="187"/>
      <c r="G73" s="187"/>
      <c r="H73" s="187"/>
      <c r="I73" s="187"/>
      <c r="J73" s="188"/>
    </row>
    <row r="74" spans="1:13" x14ac:dyDescent="0.25">
      <c r="A74" s="189" t="s">
        <v>25</v>
      </c>
      <c r="B74" s="79"/>
      <c r="C74" s="79"/>
      <c r="D74" s="79"/>
      <c r="E74" s="79"/>
      <c r="F74" s="79"/>
      <c r="G74" s="79"/>
      <c r="H74" s="79"/>
      <c r="I74" s="79"/>
      <c r="J74" s="80"/>
    </row>
    <row r="75" spans="1:13" x14ac:dyDescent="0.25">
      <c r="A75" s="66" t="s">
        <v>143</v>
      </c>
      <c r="B75" s="67"/>
      <c r="C75" s="67"/>
      <c r="D75" s="67"/>
      <c r="E75" s="67"/>
      <c r="F75" s="68"/>
      <c r="G75" s="81">
        <v>4300</v>
      </c>
      <c r="H75" s="82"/>
      <c r="I75" s="82"/>
      <c r="J75" s="83"/>
    </row>
    <row r="76" spans="1:13" x14ac:dyDescent="0.25">
      <c r="A76" s="66" t="s">
        <v>211</v>
      </c>
      <c r="B76" s="67"/>
      <c r="C76" s="67"/>
      <c r="D76" s="67"/>
      <c r="E76" s="67"/>
      <c r="F76" s="68"/>
      <c r="G76" s="69" t="s">
        <v>217</v>
      </c>
      <c r="H76" s="70"/>
      <c r="I76" s="70"/>
      <c r="J76" s="71"/>
    </row>
    <row r="77" spans="1:13" ht="15" hidden="1" customHeight="1" x14ac:dyDescent="0.25">
      <c r="A77" s="84" t="s">
        <v>87</v>
      </c>
      <c r="B77" s="85"/>
      <c r="C77" s="85"/>
      <c r="D77" s="85"/>
      <c r="E77" s="85"/>
      <c r="F77" s="86"/>
      <c r="G77" s="69" t="s">
        <v>58</v>
      </c>
      <c r="H77" s="70"/>
      <c r="I77" s="70"/>
      <c r="J77" s="71"/>
    </row>
    <row r="78" spans="1:13" hidden="1" x14ac:dyDescent="0.25">
      <c r="A78" s="56" t="s">
        <v>120</v>
      </c>
      <c r="B78" s="57"/>
      <c r="C78" s="57"/>
      <c r="D78" s="57"/>
      <c r="E78" s="57"/>
      <c r="F78" s="58"/>
      <c r="G78" s="72" t="s">
        <v>58</v>
      </c>
      <c r="H78" s="70"/>
      <c r="I78" s="70"/>
      <c r="J78" s="71"/>
    </row>
    <row r="79" spans="1:13" ht="15" hidden="1" customHeight="1" x14ac:dyDescent="0.25">
      <c r="A79" s="56" t="s">
        <v>84</v>
      </c>
      <c r="B79" s="57"/>
      <c r="C79" s="57"/>
      <c r="D79" s="57"/>
      <c r="E79" s="57"/>
      <c r="F79" s="58"/>
      <c r="G79" s="69" t="s">
        <v>58</v>
      </c>
      <c r="H79" s="70"/>
      <c r="I79" s="70"/>
      <c r="J79" s="71"/>
    </row>
    <row r="80" spans="1:13" ht="15" hidden="1" customHeight="1" x14ac:dyDescent="0.25">
      <c r="A80" s="56" t="s">
        <v>26</v>
      </c>
      <c r="B80" s="57"/>
      <c r="C80" s="57"/>
      <c r="D80" s="57"/>
      <c r="E80" s="57"/>
      <c r="F80" s="58"/>
      <c r="G80" s="73" t="s">
        <v>58</v>
      </c>
      <c r="H80" s="74"/>
      <c r="I80" s="74"/>
      <c r="J80" s="75"/>
    </row>
    <row r="81" spans="1:18" ht="15" hidden="1" customHeight="1" x14ac:dyDescent="0.25">
      <c r="A81" s="76" t="s">
        <v>85</v>
      </c>
      <c r="B81" s="79"/>
      <c r="C81" s="79"/>
      <c r="D81" s="79"/>
      <c r="E81" s="79"/>
      <c r="F81" s="80"/>
      <c r="G81" s="73">
        <f>G75*0.8</f>
        <v>3440</v>
      </c>
      <c r="H81" s="74"/>
      <c r="I81" s="74"/>
      <c r="J81" s="75"/>
    </row>
    <row r="82" spans="1:18" ht="15" customHeight="1" x14ac:dyDescent="0.25">
      <c r="A82" s="56" t="s">
        <v>144</v>
      </c>
      <c r="B82" s="57"/>
      <c r="C82" s="57"/>
      <c r="D82" s="57"/>
      <c r="E82" s="57"/>
      <c r="F82" s="58"/>
      <c r="G82" s="69" t="s">
        <v>145</v>
      </c>
      <c r="H82" s="70"/>
      <c r="I82" s="70"/>
      <c r="J82" s="71"/>
    </row>
    <row r="83" spans="1:18" hidden="1" x14ac:dyDescent="0.25">
      <c r="A83" s="84" t="s">
        <v>26</v>
      </c>
      <c r="B83" s="85"/>
      <c r="C83" s="85"/>
      <c r="D83" s="85"/>
      <c r="E83" s="85"/>
      <c r="F83" s="86"/>
      <c r="G83" s="69" t="s">
        <v>58</v>
      </c>
      <c r="H83" s="70"/>
      <c r="I83" s="70"/>
      <c r="J83" s="71"/>
    </row>
    <row r="84" spans="1:18" ht="15" customHeight="1" x14ac:dyDescent="0.25">
      <c r="A84" s="56" t="s">
        <v>215</v>
      </c>
      <c r="B84" s="57"/>
      <c r="C84" s="57"/>
      <c r="D84" s="57"/>
      <c r="E84" s="57"/>
      <c r="F84" s="58"/>
      <c r="G84" s="69" t="s">
        <v>218</v>
      </c>
      <c r="H84" s="70"/>
      <c r="I84" s="70"/>
      <c r="J84" s="71"/>
    </row>
    <row r="85" spans="1:18" s="16" customFormat="1" ht="14.45" customHeight="1" x14ac:dyDescent="0.25">
      <c r="A85" s="76" t="s">
        <v>85</v>
      </c>
      <c r="B85" s="77"/>
      <c r="C85" s="77"/>
      <c r="D85" s="77"/>
      <c r="E85" s="77"/>
      <c r="F85" s="78"/>
      <c r="G85" s="73">
        <f>G75*0.8</f>
        <v>3440</v>
      </c>
      <c r="H85" s="74"/>
      <c r="I85" s="74"/>
      <c r="J85" s="75"/>
    </row>
    <row r="86" spans="1:18" x14ac:dyDescent="0.25">
      <c r="A86" s="76" t="s">
        <v>27</v>
      </c>
      <c r="B86" s="77"/>
      <c r="C86" s="77"/>
      <c r="D86" s="77"/>
      <c r="E86" s="77"/>
      <c r="F86" s="77"/>
      <c r="G86" s="77"/>
      <c r="H86" s="77"/>
      <c r="I86" s="77"/>
      <c r="J86" s="78"/>
      <c r="L86" s="49" t="s">
        <v>221</v>
      </c>
      <c r="M86" s="49"/>
      <c r="N86" s="49"/>
      <c r="O86" s="49"/>
      <c r="P86" s="49"/>
      <c r="Q86" s="49"/>
      <c r="R86" s="49"/>
    </row>
    <row r="87" spans="1:18" x14ac:dyDescent="0.25">
      <c r="A87" s="50" t="s">
        <v>231</v>
      </c>
      <c r="B87" s="51"/>
      <c r="C87" s="51"/>
      <c r="D87" s="51"/>
      <c r="E87" s="51"/>
      <c r="F87" s="51"/>
      <c r="G87" s="51"/>
      <c r="H87" s="51"/>
      <c r="I87" s="51"/>
      <c r="J87" s="52"/>
    </row>
    <row r="88" spans="1:18" x14ac:dyDescent="0.25">
      <c r="A88" s="63" t="s">
        <v>227</v>
      </c>
      <c r="B88" s="63"/>
      <c r="C88" s="63" t="s">
        <v>228</v>
      </c>
      <c r="D88" s="63"/>
      <c r="E88" s="63" t="s">
        <v>229</v>
      </c>
      <c r="F88" s="63"/>
      <c r="G88" s="63"/>
      <c r="H88" s="63" t="s">
        <v>230</v>
      </c>
      <c r="I88" s="63"/>
      <c r="J88" s="63"/>
    </row>
    <row r="89" spans="1:18" x14ac:dyDescent="0.25">
      <c r="A89" s="64" t="s">
        <v>232</v>
      </c>
      <c r="B89" s="64"/>
      <c r="C89" s="65">
        <f>COUNT(F96:F97)</f>
        <v>2</v>
      </c>
      <c r="D89" s="64"/>
      <c r="E89" s="65">
        <f>SUM(F96:F97)</f>
        <v>166.820472</v>
      </c>
      <c r="F89" s="64"/>
      <c r="G89" s="64"/>
      <c r="H89" s="65">
        <f>SUM(H96:H97)</f>
        <v>266.91275519999999</v>
      </c>
      <c r="I89" s="64"/>
      <c r="J89" s="64"/>
    </row>
    <row r="90" spans="1:18" x14ac:dyDescent="0.25">
      <c r="A90" s="50" t="s">
        <v>233</v>
      </c>
      <c r="B90" s="51"/>
      <c r="C90" s="51"/>
      <c r="D90" s="51"/>
      <c r="E90" s="51"/>
      <c r="F90" s="51"/>
      <c r="G90" s="51"/>
      <c r="H90" s="51"/>
      <c r="I90" s="51"/>
      <c r="J90" s="52"/>
    </row>
    <row r="91" spans="1:18" x14ac:dyDescent="0.25">
      <c r="A91" s="63" t="s">
        <v>227</v>
      </c>
      <c r="B91" s="63"/>
      <c r="C91" s="63" t="s">
        <v>228</v>
      </c>
      <c r="D91" s="63"/>
      <c r="E91" s="63" t="s">
        <v>229</v>
      </c>
      <c r="F91" s="63"/>
      <c r="G91" s="63"/>
      <c r="H91" s="63" t="s">
        <v>230</v>
      </c>
      <c r="I91" s="63"/>
      <c r="J91" s="63"/>
    </row>
    <row r="92" spans="1:18" x14ac:dyDescent="0.25">
      <c r="A92" s="64" t="s">
        <v>234</v>
      </c>
      <c r="B92" s="64"/>
      <c r="C92" s="65">
        <f>COUNT(F99:F102)+COUNT(F104:F107)+COUNT(F109:F112)+COUNT(F114:F117)</f>
        <v>16</v>
      </c>
      <c r="D92" s="64"/>
      <c r="E92" s="65">
        <f t="shared" ref="E92" si="0">SUM(F99:F102)+SUM(F104:F107)+SUM(F109:F112)+SUM(F114:F117)</f>
        <v>3872.1337199999998</v>
      </c>
      <c r="F92" s="64"/>
      <c r="G92" s="64"/>
      <c r="H92" s="65">
        <f>SUM(H99:H102)+SUM(H104:H107)+SUM(H109:H112)+SUM(H114:H117)</f>
        <v>8796</v>
      </c>
      <c r="I92" s="64"/>
      <c r="J92" s="64"/>
    </row>
    <row r="93" spans="1:18" x14ac:dyDescent="0.25">
      <c r="A93" s="50" t="s">
        <v>51</v>
      </c>
      <c r="B93" s="51"/>
      <c r="C93" s="51"/>
      <c r="D93" s="51"/>
      <c r="E93" s="51"/>
      <c r="F93" s="51"/>
      <c r="G93" s="51"/>
      <c r="H93" s="51"/>
      <c r="I93" s="51"/>
      <c r="J93" s="52"/>
    </row>
    <row r="94" spans="1:18" ht="47.25" x14ac:dyDescent="0.25">
      <c r="A94" s="7" t="s">
        <v>32</v>
      </c>
      <c r="B94" s="7" t="s">
        <v>36</v>
      </c>
      <c r="C94" s="7" t="s">
        <v>33</v>
      </c>
      <c r="D94" s="8" t="s">
        <v>88</v>
      </c>
      <c r="E94" s="7" t="s">
        <v>67</v>
      </c>
      <c r="F94" s="7" t="s">
        <v>46</v>
      </c>
      <c r="G94" s="7" t="s">
        <v>34</v>
      </c>
      <c r="H94" s="7" t="s">
        <v>119</v>
      </c>
      <c r="I94" s="175" t="s">
        <v>35</v>
      </c>
      <c r="J94" s="176"/>
    </row>
    <row r="95" spans="1:18" ht="15.75" x14ac:dyDescent="0.25">
      <c r="A95" s="60" t="s">
        <v>126</v>
      </c>
      <c r="B95" s="61"/>
      <c r="C95" s="61"/>
      <c r="D95" s="61"/>
      <c r="E95" s="61"/>
      <c r="F95" s="61"/>
      <c r="G95" s="61"/>
      <c r="H95" s="61"/>
      <c r="I95" s="61"/>
      <c r="J95" s="62"/>
    </row>
    <row r="96" spans="1:18" ht="15.75" x14ac:dyDescent="0.25">
      <c r="A96" s="14">
        <v>1</v>
      </c>
      <c r="B96" s="14">
        <v>1</v>
      </c>
      <c r="C96" s="14" t="s">
        <v>216</v>
      </c>
      <c r="D96" s="14">
        <f>(2.55*2.87)*10.764</f>
        <v>78.776333999999991</v>
      </c>
      <c r="E96" s="14">
        <v>0</v>
      </c>
      <c r="F96" s="14">
        <f>E96+D96</f>
        <v>78.776333999999991</v>
      </c>
      <c r="G96" s="14">
        <v>0</v>
      </c>
      <c r="H96" s="14">
        <f>F96*1.6+G96</f>
        <v>126.04213439999999</v>
      </c>
      <c r="I96" s="59" t="s">
        <v>58</v>
      </c>
      <c r="J96" s="59"/>
      <c r="M96" s="48">
        <f>H96/F96</f>
        <v>1.6</v>
      </c>
    </row>
    <row r="97" spans="1:16" ht="15.75" x14ac:dyDescent="0.25">
      <c r="A97" s="14">
        <v>2</v>
      </c>
      <c r="B97" s="14">
        <v>2</v>
      </c>
      <c r="C97" s="14" t="s">
        <v>216</v>
      </c>
      <c r="D97" s="14">
        <f>(2.85*2.87)*10.764</f>
        <v>88.044138000000004</v>
      </c>
      <c r="E97" s="14">
        <v>0</v>
      </c>
      <c r="F97" s="14">
        <f>E97+D97</f>
        <v>88.044138000000004</v>
      </c>
      <c r="G97" s="14">
        <v>0</v>
      </c>
      <c r="H97" s="14">
        <f>F97*1.6+G97</f>
        <v>140.87062080000001</v>
      </c>
      <c r="I97" s="59" t="s">
        <v>58</v>
      </c>
      <c r="J97" s="59"/>
      <c r="M97" s="48">
        <f t="shared" ref="M97" si="1">H97/F97</f>
        <v>1.6</v>
      </c>
    </row>
    <row r="98" spans="1:16" ht="15.75" x14ac:dyDescent="0.25">
      <c r="A98" s="60" t="s">
        <v>125</v>
      </c>
      <c r="B98" s="61"/>
      <c r="C98" s="61"/>
      <c r="D98" s="61"/>
      <c r="E98" s="61"/>
      <c r="F98" s="61"/>
      <c r="G98" s="61"/>
      <c r="H98" s="61"/>
      <c r="I98" s="61"/>
      <c r="J98" s="62"/>
    </row>
    <row r="99" spans="1:16" ht="15.75" x14ac:dyDescent="0.25">
      <c r="A99" s="14">
        <v>1</v>
      </c>
      <c r="B99" s="14">
        <v>1</v>
      </c>
      <c r="C99" s="14" t="s">
        <v>127</v>
      </c>
      <c r="D99" s="14">
        <f>17.97*10.764</f>
        <v>193.42907999999997</v>
      </c>
      <c r="E99" s="14">
        <v>0</v>
      </c>
      <c r="F99" s="14">
        <f>E99+D99</f>
        <v>193.42907999999997</v>
      </c>
      <c r="G99" s="14">
        <f>(2*1.35)*10.764</f>
        <v>29.062799999999999</v>
      </c>
      <c r="H99" s="14">
        <v>448</v>
      </c>
      <c r="I99" s="59" t="s">
        <v>58</v>
      </c>
      <c r="J99" s="59"/>
      <c r="M99" s="48">
        <f>(H99-G99)/F99</f>
        <v>2.1658439361858108</v>
      </c>
    </row>
    <row r="100" spans="1:16" ht="15.75" x14ac:dyDescent="0.25">
      <c r="A100" s="14">
        <v>2</v>
      </c>
      <c r="B100" s="14">
        <v>2</v>
      </c>
      <c r="C100" s="14" t="s">
        <v>118</v>
      </c>
      <c r="D100" s="14">
        <f>26.06*10.764</f>
        <v>280.50984</v>
      </c>
      <c r="E100" s="14">
        <v>0</v>
      </c>
      <c r="F100" s="14">
        <f>E100+D100</f>
        <v>280.50984</v>
      </c>
      <c r="G100" s="14">
        <f>(2.97*1.35)*10.764</f>
        <v>43.158258000000011</v>
      </c>
      <c r="H100" s="14">
        <v>605</v>
      </c>
      <c r="I100" s="59" t="s">
        <v>58</v>
      </c>
      <c r="J100" s="59"/>
      <c r="M100" s="48">
        <f t="shared" ref="M100:M117" si="2">(H100-G100)/F100</f>
        <v>2.0029305995112328</v>
      </c>
    </row>
    <row r="101" spans="1:16" ht="15.75" x14ac:dyDescent="0.25">
      <c r="A101" s="14">
        <v>3</v>
      </c>
      <c r="B101" s="14">
        <v>3</v>
      </c>
      <c r="C101" s="14" t="s">
        <v>118</v>
      </c>
      <c r="D101" s="14">
        <f>18.81*10.764</f>
        <v>202.47083999999998</v>
      </c>
      <c r="E101" s="14">
        <f>7.12*10.764</f>
        <v>76.639679999999998</v>
      </c>
      <c r="F101" s="14">
        <f>E101+D101</f>
        <v>279.11051999999995</v>
      </c>
      <c r="G101" s="14">
        <f>(3.15*1.4)*10.764</f>
        <v>47.469239999999992</v>
      </c>
      <c r="H101" s="14">
        <v>610</v>
      </c>
      <c r="I101" s="59" t="s">
        <v>58</v>
      </c>
      <c r="J101" s="59"/>
      <c r="L101">
        <f>(2.95*3.65+1.7*2.05+2.55*2.95+1.2*1.2+1.2*0.9+1.2*0.9+2.8*0.75+0.8*0.75+3*0.75)*10.764</f>
        <v>326.41829999999999</v>
      </c>
      <c r="M101" s="48">
        <f t="shared" si="2"/>
        <v>2.0154409084974656</v>
      </c>
      <c r="N101">
        <f>H101/L101</f>
        <v>1.8687677743557882</v>
      </c>
    </row>
    <row r="102" spans="1:16" s="1" customFormat="1" ht="15.75" x14ac:dyDescent="0.25">
      <c r="A102" s="14">
        <v>4</v>
      </c>
      <c r="B102" s="14">
        <v>4</v>
      </c>
      <c r="C102" s="14" t="s">
        <v>118</v>
      </c>
      <c r="D102" s="14">
        <f>18.72*10.764</f>
        <v>201.50207999999998</v>
      </c>
      <c r="E102" s="14">
        <f>7.05*10.764</f>
        <v>75.886199999999988</v>
      </c>
      <c r="F102" s="14">
        <f>E102+D102</f>
        <v>277.38827999999995</v>
      </c>
      <c r="G102" s="14">
        <f>(3.1*1.4+2.8*0.75)*10.764</f>
        <v>69.320159999999987</v>
      </c>
      <c r="H102" s="14">
        <v>605</v>
      </c>
      <c r="I102" s="59" t="s">
        <v>58</v>
      </c>
      <c r="J102" s="59"/>
      <c r="M102" s="48">
        <f t="shared" si="2"/>
        <v>1.9311552744766294</v>
      </c>
    </row>
    <row r="103" spans="1:16" s="1" customFormat="1" ht="15.75" x14ac:dyDescent="0.25">
      <c r="A103" s="60" t="s">
        <v>128</v>
      </c>
      <c r="B103" s="61"/>
      <c r="C103" s="61"/>
      <c r="D103" s="61"/>
      <c r="E103" s="61"/>
      <c r="F103" s="61"/>
      <c r="G103" s="61"/>
      <c r="H103" s="61"/>
      <c r="I103" s="61"/>
      <c r="J103" s="62"/>
      <c r="M103" s="48" t="e">
        <f t="shared" si="2"/>
        <v>#DIV/0!</v>
      </c>
    </row>
    <row r="104" spans="1:16" ht="15.75" x14ac:dyDescent="0.25">
      <c r="A104" s="14">
        <v>5</v>
      </c>
      <c r="B104" s="14">
        <v>1</v>
      </c>
      <c r="C104" s="14" t="s">
        <v>127</v>
      </c>
      <c r="D104" s="14">
        <f>17.97*10.764</f>
        <v>193.42907999999997</v>
      </c>
      <c r="E104" s="14">
        <v>0</v>
      </c>
      <c r="F104" s="14">
        <f>E104+D104</f>
        <v>193.42907999999997</v>
      </c>
      <c r="G104" s="14">
        <f>(2.8*1.4)*10.764</f>
        <v>42.194879999999991</v>
      </c>
      <c r="H104" s="14">
        <v>460</v>
      </c>
      <c r="I104" s="59" t="s">
        <v>58</v>
      </c>
      <c r="J104" s="59"/>
      <c r="M104" s="48">
        <f t="shared" si="2"/>
        <v>2.1599912484720503</v>
      </c>
    </row>
    <row r="105" spans="1:16" ht="15.75" x14ac:dyDescent="0.25">
      <c r="A105" s="14">
        <v>6</v>
      </c>
      <c r="B105" s="14">
        <v>2</v>
      </c>
      <c r="C105" s="14" t="s">
        <v>118</v>
      </c>
      <c r="D105" s="14">
        <f>26.06*10.764</f>
        <v>280.50984</v>
      </c>
      <c r="E105" s="14">
        <v>0</v>
      </c>
      <c r="F105" s="14">
        <f>E105+D105</f>
        <v>280.50984</v>
      </c>
      <c r="G105" s="14">
        <f>(2.83*1.4)*10.764</f>
        <v>42.646967999999994</v>
      </c>
      <c r="H105" s="14">
        <v>605</v>
      </c>
      <c r="I105" s="59" t="s">
        <v>58</v>
      </c>
      <c r="J105" s="59"/>
      <c r="M105" s="48">
        <f t="shared" si="2"/>
        <v>2.0047533163186002</v>
      </c>
    </row>
    <row r="106" spans="1:16" ht="15.75" x14ac:dyDescent="0.25">
      <c r="A106" s="14">
        <v>7</v>
      </c>
      <c r="B106" s="14">
        <v>3</v>
      </c>
      <c r="C106" s="14" t="s">
        <v>118</v>
      </c>
      <c r="D106" s="14">
        <f>18.81*10.764</f>
        <v>202.47083999999998</v>
      </c>
      <c r="E106" s="14">
        <f>7.12*10.764</f>
        <v>76.639679999999998</v>
      </c>
      <c r="F106" s="14">
        <f>E106+D106</f>
        <v>279.11051999999995</v>
      </c>
      <c r="G106" s="14">
        <v>0</v>
      </c>
      <c r="H106" s="14">
        <v>576</v>
      </c>
      <c r="I106" s="59" t="s">
        <v>58</v>
      </c>
      <c r="J106" s="59"/>
      <c r="L106">
        <f>(2.95*3.65+1.7*2.05+2.55*2.95+1.2*1.2+1.2*0.9+1.2*0.9+2.8*0.75+0.8*0.75+3*0.75)*10.764</f>
        <v>326.41829999999999</v>
      </c>
      <c r="M106" s="48">
        <f t="shared" si="2"/>
        <v>2.0636986380878803</v>
      </c>
      <c r="N106">
        <f>H106/L106</f>
        <v>1.7646069475884165</v>
      </c>
      <c r="O106">
        <f>5500*576</f>
        <v>3168000</v>
      </c>
      <c r="P106">
        <f>2500000/H106</f>
        <v>4340.2777777777774</v>
      </c>
    </row>
    <row r="107" spans="1:16" ht="15.75" x14ac:dyDescent="0.25">
      <c r="A107" s="14">
        <v>8</v>
      </c>
      <c r="B107" s="14">
        <v>4</v>
      </c>
      <c r="C107" s="14" t="s">
        <v>118</v>
      </c>
      <c r="D107" s="14">
        <f>18.72*10.764</f>
        <v>201.50207999999998</v>
      </c>
      <c r="E107" s="14">
        <f>7.05*10.764</f>
        <v>75.886199999999988</v>
      </c>
      <c r="F107" s="14">
        <f>E107+D107</f>
        <v>277.38827999999995</v>
      </c>
      <c r="G107" s="14">
        <f>(2.8*1.5)*10.764</f>
        <v>45.208799999999989</v>
      </c>
      <c r="H107" s="14">
        <v>608</v>
      </c>
      <c r="I107" s="59" t="s">
        <v>58</v>
      </c>
      <c r="J107" s="59"/>
      <c r="M107" s="48">
        <f t="shared" si="2"/>
        <v>2.0288932178389083</v>
      </c>
    </row>
    <row r="108" spans="1:16" ht="15.75" x14ac:dyDescent="0.25">
      <c r="A108" s="60" t="s">
        <v>129</v>
      </c>
      <c r="B108" s="61"/>
      <c r="C108" s="61"/>
      <c r="D108" s="61"/>
      <c r="E108" s="61"/>
      <c r="F108" s="61"/>
      <c r="G108" s="61"/>
      <c r="H108" s="61"/>
      <c r="I108" s="61"/>
      <c r="J108" s="62"/>
      <c r="M108" s="48" t="e">
        <f t="shared" si="2"/>
        <v>#DIV/0!</v>
      </c>
    </row>
    <row r="109" spans="1:16" ht="15.75" x14ac:dyDescent="0.25">
      <c r="A109" s="14">
        <v>9</v>
      </c>
      <c r="B109" s="14">
        <v>1</v>
      </c>
      <c r="C109" s="14" t="s">
        <v>127</v>
      </c>
      <c r="D109" s="14">
        <f>17.97*10.764</f>
        <v>193.42907999999997</v>
      </c>
      <c r="E109" s="14">
        <v>0</v>
      </c>
      <c r="F109" s="14">
        <f>E109+D109</f>
        <v>193.42907999999997</v>
      </c>
      <c r="G109" s="14">
        <f>(2*1.35)*10.764</f>
        <v>29.062799999999999</v>
      </c>
      <c r="H109" s="14">
        <v>448</v>
      </c>
      <c r="I109" s="59" t="s">
        <v>58</v>
      </c>
      <c r="J109" s="59"/>
      <c r="M109" s="48">
        <f t="shared" si="2"/>
        <v>2.1658439361858108</v>
      </c>
    </row>
    <row r="110" spans="1:16" ht="15.75" x14ac:dyDescent="0.25">
      <c r="A110" s="14">
        <v>10</v>
      </c>
      <c r="B110" s="14">
        <v>2</v>
      </c>
      <c r="C110" s="14" t="s">
        <v>118</v>
      </c>
      <c r="D110" s="14">
        <f>26.06*10.764</f>
        <v>280.50984</v>
      </c>
      <c r="E110" s="14">
        <v>0</v>
      </c>
      <c r="F110" s="14">
        <f>E110+D110</f>
        <v>280.50984</v>
      </c>
      <c r="G110" s="14">
        <f>(2.97*1.35)*10.764</f>
        <v>43.158258000000011</v>
      </c>
      <c r="H110" s="14">
        <v>603</v>
      </c>
      <c r="I110" s="59" t="s">
        <v>58</v>
      </c>
      <c r="J110" s="59"/>
      <c r="M110" s="48">
        <f t="shared" si="2"/>
        <v>1.9958007248515772</v>
      </c>
    </row>
    <row r="111" spans="1:16" ht="15.75" x14ac:dyDescent="0.25">
      <c r="A111" s="14">
        <v>11</v>
      </c>
      <c r="B111" s="14">
        <v>3</v>
      </c>
      <c r="C111" s="14" t="s">
        <v>118</v>
      </c>
      <c r="D111" s="14">
        <f>18.81*10.764</f>
        <v>202.47083999999998</v>
      </c>
      <c r="E111" s="14">
        <f>7.12*10.764</f>
        <v>76.639679999999998</v>
      </c>
      <c r="F111" s="14">
        <f>E111+D111</f>
        <v>279.11051999999995</v>
      </c>
      <c r="G111" s="14">
        <f>(3.15*1.4)*10.764</f>
        <v>47.469239999999992</v>
      </c>
      <c r="H111" s="14">
        <v>608</v>
      </c>
      <c r="I111" s="59" t="s">
        <v>58</v>
      </c>
      <c r="J111" s="59"/>
      <c r="M111" s="48">
        <f t="shared" si="2"/>
        <v>2.0082752882263271</v>
      </c>
    </row>
    <row r="112" spans="1:16" ht="15.75" x14ac:dyDescent="0.25">
      <c r="A112" s="14">
        <v>12</v>
      </c>
      <c r="B112" s="14">
        <v>4</v>
      </c>
      <c r="C112" s="14" t="s">
        <v>118</v>
      </c>
      <c r="D112" s="14">
        <f>18.72*10.764</f>
        <v>201.50207999999998</v>
      </c>
      <c r="E112" s="14">
        <f>7.05*10.764</f>
        <v>75.886199999999988</v>
      </c>
      <c r="F112" s="14">
        <f>E112+D112</f>
        <v>277.38827999999995</v>
      </c>
      <c r="G112" s="14">
        <f>(3.15*1.4)*10.764</f>
        <v>47.469239999999992</v>
      </c>
      <c r="H112" s="14">
        <v>603</v>
      </c>
      <c r="I112" s="59" t="s">
        <v>58</v>
      </c>
      <c r="J112" s="59"/>
      <c r="M112" s="48">
        <f t="shared" si="2"/>
        <v>2.0027189324653518</v>
      </c>
    </row>
    <row r="113" spans="1:13" ht="15.75" x14ac:dyDescent="0.25">
      <c r="A113" s="60" t="s">
        <v>130</v>
      </c>
      <c r="B113" s="61"/>
      <c r="C113" s="61"/>
      <c r="D113" s="61"/>
      <c r="E113" s="61"/>
      <c r="F113" s="61"/>
      <c r="G113" s="61"/>
      <c r="H113" s="61"/>
      <c r="I113" s="61"/>
      <c r="J113" s="62"/>
      <c r="M113" s="48" t="e">
        <f t="shared" si="2"/>
        <v>#DIV/0!</v>
      </c>
    </row>
    <row r="114" spans="1:13" ht="15.75" x14ac:dyDescent="0.25">
      <c r="A114" s="14">
        <v>13</v>
      </c>
      <c r="B114" s="14">
        <v>1</v>
      </c>
      <c r="C114" s="14" t="s">
        <v>127</v>
      </c>
      <c r="D114" s="14">
        <f>17.97*10.764</f>
        <v>193.42907999999997</v>
      </c>
      <c r="E114" s="14">
        <v>0</v>
      </c>
      <c r="F114" s="14">
        <f>E114+D114</f>
        <v>193.42907999999997</v>
      </c>
      <c r="G114" s="14">
        <f>(2.8*1.4)*10.764</f>
        <v>42.194879999999991</v>
      </c>
      <c r="H114" s="14">
        <v>460</v>
      </c>
      <c r="I114" s="59" t="s">
        <v>58</v>
      </c>
      <c r="J114" s="59"/>
      <c r="M114" s="48">
        <f t="shared" si="2"/>
        <v>2.1599912484720503</v>
      </c>
    </row>
    <row r="115" spans="1:13" ht="15.75" x14ac:dyDescent="0.25">
      <c r="A115" s="14">
        <v>14</v>
      </c>
      <c r="B115" s="14">
        <v>2</v>
      </c>
      <c r="C115" s="14" t="s">
        <v>127</v>
      </c>
      <c r="D115" s="14">
        <f>15.22*10.764</f>
        <v>163.82808</v>
      </c>
      <c r="E115" s="14">
        <f>3.28*10.764</f>
        <v>35.305919999999993</v>
      </c>
      <c r="F115" s="14">
        <f>E115+D115</f>
        <v>199.13399999999999</v>
      </c>
      <c r="G115" s="14">
        <f>(2.83*1.4+2.83*2.95)*10.764</f>
        <v>132.510222</v>
      </c>
      <c r="H115" s="14">
        <v>539</v>
      </c>
      <c r="I115" s="59" t="s">
        <v>58</v>
      </c>
      <c r="J115" s="59"/>
      <c r="M115" s="48">
        <f t="shared" si="2"/>
        <v>2.0412876655920136</v>
      </c>
    </row>
    <row r="116" spans="1:13" ht="15.75" x14ac:dyDescent="0.25">
      <c r="A116" s="14">
        <v>15</v>
      </c>
      <c r="B116" s="14">
        <v>3</v>
      </c>
      <c r="C116" s="14" t="s">
        <v>127</v>
      </c>
      <c r="D116" s="14">
        <f>14.55*10.764</f>
        <v>156.61619999999999</v>
      </c>
      <c r="E116" s="14">
        <f>3.28*10.764</f>
        <v>35.305919999999993</v>
      </c>
      <c r="F116" s="14">
        <f>E116+D116</f>
        <v>191.92211999999998</v>
      </c>
      <c r="G116" s="14">
        <f>(3*2.6)*10.764</f>
        <v>83.959199999999996</v>
      </c>
      <c r="H116" s="14">
        <v>511</v>
      </c>
      <c r="I116" s="59" t="s">
        <v>58</v>
      </c>
      <c r="J116" s="59"/>
      <c r="M116" s="48">
        <f t="shared" si="2"/>
        <v>2.2250733787225778</v>
      </c>
    </row>
    <row r="117" spans="1:13" ht="15.75" x14ac:dyDescent="0.25">
      <c r="A117" s="14">
        <v>16</v>
      </c>
      <c r="B117" s="14">
        <v>4</v>
      </c>
      <c r="C117" s="14" t="s">
        <v>127</v>
      </c>
      <c r="D117" s="14">
        <f>14.44*10.764</f>
        <v>155.43215999999998</v>
      </c>
      <c r="E117" s="14">
        <f>3.8*10.764</f>
        <v>40.903199999999998</v>
      </c>
      <c r="F117" s="14">
        <f>E117+D117</f>
        <v>196.33535999999998</v>
      </c>
      <c r="G117" s="14">
        <f>(3*2.6)*10.764</f>
        <v>83.959199999999996</v>
      </c>
      <c r="H117" s="14">
        <v>507</v>
      </c>
      <c r="I117" s="59" t="s">
        <v>58</v>
      </c>
      <c r="J117" s="59"/>
      <c r="M117" s="48">
        <f t="shared" si="2"/>
        <v>2.1546847190439871</v>
      </c>
    </row>
    <row r="118" spans="1:13" x14ac:dyDescent="0.25">
      <c r="A118" s="153" t="s">
        <v>239</v>
      </c>
      <c r="B118" s="154"/>
      <c r="C118" s="154"/>
      <c r="D118" s="154"/>
      <c r="E118" s="154"/>
      <c r="F118" s="154"/>
      <c r="G118" s="154"/>
      <c r="H118" s="154"/>
      <c r="I118" s="154"/>
      <c r="J118" s="155"/>
    </row>
    <row r="119" spans="1:13" ht="171.75" customHeight="1" x14ac:dyDescent="0.25">
      <c r="A119" s="156"/>
      <c r="B119" s="157"/>
      <c r="C119" s="157"/>
      <c r="D119" s="157"/>
      <c r="E119" s="157"/>
      <c r="F119" s="157"/>
      <c r="G119" s="157"/>
      <c r="H119" s="157"/>
      <c r="I119" s="157"/>
      <c r="J119" s="158"/>
    </row>
    <row r="120" spans="1:13" x14ac:dyDescent="0.25">
      <c r="A120" s="152" t="s">
        <v>28</v>
      </c>
      <c r="B120" s="135"/>
      <c r="C120" s="135"/>
      <c r="D120" s="135"/>
      <c r="E120" s="135"/>
      <c r="F120" s="135"/>
      <c r="G120" s="135"/>
      <c r="H120" s="135"/>
      <c r="I120" s="135"/>
      <c r="J120" s="136"/>
    </row>
    <row r="121" spans="1:13" x14ac:dyDescent="0.25">
      <c r="A121" s="114" t="s">
        <v>37</v>
      </c>
      <c r="B121" s="103"/>
      <c r="C121" s="103"/>
      <c r="D121" s="103"/>
      <c r="E121" s="103"/>
      <c r="F121" s="103"/>
      <c r="G121" s="103"/>
      <c r="H121" s="103"/>
      <c r="I121" s="103"/>
      <c r="J121" s="104"/>
    </row>
    <row r="122" spans="1:13" x14ac:dyDescent="0.25">
      <c r="A122" s="152" t="s">
        <v>30</v>
      </c>
      <c r="B122" s="135"/>
      <c r="C122" s="135"/>
      <c r="D122" s="135"/>
      <c r="E122" s="135"/>
      <c r="F122" s="135"/>
      <c r="G122" s="135"/>
      <c r="H122" s="135"/>
      <c r="I122" s="135"/>
      <c r="J122" s="136"/>
    </row>
    <row r="123" spans="1:13" x14ac:dyDescent="0.25">
      <c r="A123" s="56" t="s">
        <v>42</v>
      </c>
      <c r="B123" s="57"/>
      <c r="C123" s="57"/>
      <c r="D123" s="57"/>
      <c r="E123" s="57"/>
      <c r="F123" s="57"/>
      <c r="G123" s="57"/>
      <c r="H123" s="57"/>
      <c r="I123" s="57"/>
      <c r="J123" s="58"/>
    </row>
    <row r="124" spans="1:13" x14ac:dyDescent="0.25">
      <c r="A124" s="53" t="s">
        <v>65</v>
      </c>
      <c r="B124" s="54"/>
      <c r="C124" s="54"/>
      <c r="D124" s="54"/>
      <c r="E124" s="54"/>
      <c r="F124" s="54"/>
      <c r="G124" s="54"/>
      <c r="H124" s="54"/>
      <c r="I124" s="54"/>
      <c r="J124" s="55"/>
    </row>
    <row r="125" spans="1:13" x14ac:dyDescent="0.25">
      <c r="A125" s="56" t="s">
        <v>43</v>
      </c>
      <c r="B125" s="57"/>
      <c r="C125" s="57"/>
      <c r="D125" s="57"/>
      <c r="E125" s="57"/>
      <c r="F125" s="57"/>
      <c r="G125" s="57"/>
      <c r="H125" s="57"/>
      <c r="I125" s="57"/>
      <c r="J125" s="58"/>
    </row>
    <row r="126" spans="1:13" x14ac:dyDescent="0.25">
      <c r="A126" s="56" t="s">
        <v>44</v>
      </c>
      <c r="B126" s="57"/>
      <c r="C126" s="57"/>
      <c r="D126" s="57"/>
      <c r="E126" s="57"/>
      <c r="F126" s="57"/>
      <c r="G126" s="57"/>
      <c r="H126" s="57"/>
      <c r="I126" s="57"/>
      <c r="J126" s="58"/>
    </row>
    <row r="127" spans="1:13" x14ac:dyDescent="0.25">
      <c r="A127" s="87" t="s">
        <v>45</v>
      </c>
      <c r="B127" s="88"/>
      <c r="C127" s="88"/>
      <c r="D127" s="88"/>
      <c r="E127" s="88"/>
      <c r="F127" s="88"/>
      <c r="G127" s="88"/>
      <c r="H127" s="88"/>
      <c r="I127" s="88"/>
      <c r="J127" s="89"/>
    </row>
    <row r="128" spans="1:13" ht="19.5" customHeight="1" x14ac:dyDescent="0.25">
      <c r="A128" s="159" t="s">
        <v>29</v>
      </c>
      <c r="B128" s="160"/>
      <c r="C128" s="160"/>
      <c r="D128" s="160"/>
      <c r="E128" s="160"/>
      <c r="F128" s="160"/>
      <c r="G128" s="160"/>
      <c r="H128" s="160"/>
      <c r="I128" s="160"/>
      <c r="J128" s="161"/>
    </row>
    <row r="129" spans="1:10" x14ac:dyDescent="0.25">
      <c r="A129" s="162"/>
      <c r="B129" s="163"/>
      <c r="C129" s="163"/>
      <c r="D129" s="163"/>
      <c r="E129" s="163"/>
      <c r="F129" s="163"/>
      <c r="G129" s="163"/>
      <c r="H129" s="163"/>
      <c r="I129" s="163"/>
      <c r="J129" s="164"/>
    </row>
    <row r="130" spans="1:10" ht="11.25" customHeight="1" x14ac:dyDescent="0.25">
      <c r="A130" s="165"/>
      <c r="B130" s="166"/>
      <c r="C130" s="166"/>
      <c r="D130" s="166"/>
      <c r="E130" s="166"/>
      <c r="F130" s="166"/>
      <c r="G130" s="166"/>
      <c r="H130" s="166"/>
      <c r="I130" s="166"/>
      <c r="J130" s="167"/>
    </row>
    <row r="131" spans="1:10" x14ac:dyDescent="0.25">
      <c r="A131" s="17" t="s">
        <v>146</v>
      </c>
      <c r="B131" s="18"/>
      <c r="C131" s="18"/>
      <c r="D131" s="150" t="str">
        <f>F8</f>
        <v>Shree Krupa Chahu Pride</v>
      </c>
      <c r="E131" s="150"/>
      <c r="F131" s="150"/>
      <c r="G131" s="150"/>
    </row>
    <row r="132" spans="1:10" x14ac:dyDescent="0.25">
      <c r="A132" s="17"/>
      <c r="B132" s="18"/>
      <c r="C132" s="18"/>
      <c r="D132" s="150"/>
      <c r="E132" s="150"/>
      <c r="F132" s="150"/>
      <c r="G132" s="150"/>
    </row>
    <row r="133" spans="1:10" ht="15" customHeight="1" x14ac:dyDescent="0.25"/>
    <row r="134" spans="1:10" ht="15" customHeight="1" x14ac:dyDescent="0.25"/>
    <row r="139" spans="1:10" ht="16.5" customHeight="1" x14ac:dyDescent="0.25"/>
    <row r="142" spans="1:10" ht="30.75" customHeight="1" x14ac:dyDescent="0.25"/>
    <row r="143" spans="1:10" ht="15" customHeight="1" x14ac:dyDescent="0.25"/>
    <row r="176" spans="1:2" x14ac:dyDescent="0.25">
      <c r="A176" s="151" t="s">
        <v>147</v>
      </c>
      <c r="B176" s="151"/>
    </row>
  </sheetData>
  <mergeCells count="223">
    <mergeCell ref="C30:J30"/>
    <mergeCell ref="A31:B31"/>
    <mergeCell ref="C31:J31"/>
    <mergeCell ref="F48:G48"/>
    <mergeCell ref="H48:J48"/>
    <mergeCell ref="A84:F84"/>
    <mergeCell ref="G84:J84"/>
    <mergeCell ref="A95:J95"/>
    <mergeCell ref="I96:J96"/>
    <mergeCell ref="A78:F78"/>
    <mergeCell ref="I94:J94"/>
    <mergeCell ref="F37:J37"/>
    <mergeCell ref="H46:J46"/>
    <mergeCell ref="A40:E40"/>
    <mergeCell ref="A41:J41"/>
    <mergeCell ref="D46:E46"/>
    <mergeCell ref="C43:F43"/>
    <mergeCell ref="C44:F44"/>
    <mergeCell ref="A47:J47"/>
    <mergeCell ref="A43:B43"/>
    <mergeCell ref="H44:J44"/>
    <mergeCell ref="A33:J34"/>
    <mergeCell ref="A68:J73"/>
    <mergeCell ref="A74:J74"/>
    <mergeCell ref="F10:J10"/>
    <mergeCell ref="F17:J18"/>
    <mergeCell ref="F21:J21"/>
    <mergeCell ref="A23:E23"/>
    <mergeCell ref="I97:J97"/>
    <mergeCell ref="D132:G132"/>
    <mergeCell ref="A176:B176"/>
    <mergeCell ref="A113:J113"/>
    <mergeCell ref="A103:J103"/>
    <mergeCell ref="I104:J104"/>
    <mergeCell ref="I105:J105"/>
    <mergeCell ref="A123:J123"/>
    <mergeCell ref="A121:J121"/>
    <mergeCell ref="A122:J122"/>
    <mergeCell ref="A118:J119"/>
    <mergeCell ref="A128:J130"/>
    <mergeCell ref="A120:J120"/>
    <mergeCell ref="A127:J127"/>
    <mergeCell ref="A126:J126"/>
    <mergeCell ref="I107:J107"/>
    <mergeCell ref="A108:J108"/>
    <mergeCell ref="D131:G131"/>
    <mergeCell ref="I106:J106"/>
    <mergeCell ref="I111:J111"/>
    <mergeCell ref="C16:E16"/>
    <mergeCell ref="F22:J22"/>
    <mergeCell ref="H16:J16"/>
    <mergeCell ref="A22:E22"/>
    <mergeCell ref="I25:J25"/>
    <mergeCell ref="A38:E38"/>
    <mergeCell ref="F8:J8"/>
    <mergeCell ref="A35:E35"/>
    <mergeCell ref="B13:D13"/>
    <mergeCell ref="H13:J13"/>
    <mergeCell ref="G15:J15"/>
    <mergeCell ref="A9:E9"/>
    <mergeCell ref="F9:J9"/>
    <mergeCell ref="B14:E14"/>
    <mergeCell ref="A11:B11"/>
    <mergeCell ref="A8:E8"/>
    <mergeCell ref="F24:J24"/>
    <mergeCell ref="A19:E20"/>
    <mergeCell ref="F19:J20"/>
    <mergeCell ref="A37:E37"/>
    <mergeCell ref="G14:J14"/>
    <mergeCell ref="F16:G16"/>
    <mergeCell ref="B15:E15"/>
    <mergeCell ref="A10:E10"/>
    <mergeCell ref="F3:J3"/>
    <mergeCell ref="A4:E4"/>
    <mergeCell ref="F4:J4"/>
    <mergeCell ref="A6:E6"/>
    <mergeCell ref="F6:J6"/>
    <mergeCell ref="A5:E5"/>
    <mergeCell ref="A7:E7"/>
    <mergeCell ref="F7:J7"/>
    <mergeCell ref="F5:J5"/>
    <mergeCell ref="G85:J85"/>
    <mergeCell ref="A83:F83"/>
    <mergeCell ref="G27:H27"/>
    <mergeCell ref="A16:B16"/>
    <mergeCell ref="I26:J26"/>
    <mergeCell ref="F35:J35"/>
    <mergeCell ref="A36:E36"/>
    <mergeCell ref="C26:D26"/>
    <mergeCell ref="E26:F26"/>
    <mergeCell ref="G26:H26"/>
    <mergeCell ref="A26:B26"/>
    <mergeCell ref="I27:J27"/>
    <mergeCell ref="A28:J28"/>
    <mergeCell ref="A29:J29"/>
    <mergeCell ref="A27:B27"/>
    <mergeCell ref="C27:D27"/>
    <mergeCell ref="A32:J32"/>
    <mergeCell ref="F36:J36"/>
    <mergeCell ref="A25:B25"/>
    <mergeCell ref="C25:D25"/>
    <mergeCell ref="E25:F25"/>
    <mergeCell ref="G25:H25"/>
    <mergeCell ref="A21:E21"/>
    <mergeCell ref="A17:E18"/>
    <mergeCell ref="A51:J51"/>
    <mergeCell ref="A58:B58"/>
    <mergeCell ref="D58:E58"/>
    <mergeCell ref="A59:B59"/>
    <mergeCell ref="D59:E59"/>
    <mergeCell ref="A60:B60"/>
    <mergeCell ref="D60:E60"/>
    <mergeCell ref="A61:B61"/>
    <mergeCell ref="D61:E61"/>
    <mergeCell ref="D56:E56"/>
    <mergeCell ref="F56:G65"/>
    <mergeCell ref="H56:J65"/>
    <mergeCell ref="A57:B57"/>
    <mergeCell ref="D57:E57"/>
    <mergeCell ref="D62:E62"/>
    <mergeCell ref="A63:B63"/>
    <mergeCell ref="D63:E63"/>
    <mergeCell ref="A64:B64"/>
    <mergeCell ref="D64:E64"/>
    <mergeCell ref="A65:B65"/>
    <mergeCell ref="D65:E65"/>
    <mergeCell ref="A1:J1"/>
    <mergeCell ref="A50:E50"/>
    <mergeCell ref="F50:J50"/>
    <mergeCell ref="A45:E45"/>
    <mergeCell ref="I11:J11"/>
    <mergeCell ref="C11:G11"/>
    <mergeCell ref="A12:B12"/>
    <mergeCell ref="C12:J12"/>
    <mergeCell ref="C49:E49"/>
    <mergeCell ref="A49:B49"/>
    <mergeCell ref="C42:F42"/>
    <mergeCell ref="F46:G46"/>
    <mergeCell ref="A44:B44"/>
    <mergeCell ref="H42:J42"/>
    <mergeCell ref="H43:J43"/>
    <mergeCell ref="A48:C48"/>
    <mergeCell ref="A46:C46"/>
    <mergeCell ref="D48:E48"/>
    <mergeCell ref="A42:B42"/>
    <mergeCell ref="E27:F27"/>
    <mergeCell ref="A24:E24"/>
    <mergeCell ref="F23:J23"/>
    <mergeCell ref="A2:J2"/>
    <mergeCell ref="A3:E3"/>
    <mergeCell ref="A30:B30"/>
    <mergeCell ref="G77:J77"/>
    <mergeCell ref="G75:J75"/>
    <mergeCell ref="A77:F77"/>
    <mergeCell ref="A75:F75"/>
    <mergeCell ref="F45:H45"/>
    <mergeCell ref="I45:J45"/>
    <mergeCell ref="F49:J49"/>
    <mergeCell ref="A52:B52"/>
    <mergeCell ref="C52:J52"/>
    <mergeCell ref="F53:G53"/>
    <mergeCell ref="I53:J53"/>
    <mergeCell ref="A54:B54"/>
    <mergeCell ref="C54:J54"/>
    <mergeCell ref="A55:B55"/>
    <mergeCell ref="D55:E55"/>
    <mergeCell ref="F55:G55"/>
    <mergeCell ref="H55:J55"/>
    <mergeCell ref="A56:B56"/>
    <mergeCell ref="A62:B62"/>
    <mergeCell ref="F40:J40"/>
    <mergeCell ref="F39:J39"/>
    <mergeCell ref="F38:J38"/>
    <mergeCell ref="A39:E39"/>
    <mergeCell ref="A91:B91"/>
    <mergeCell ref="C91:D91"/>
    <mergeCell ref="E91:G91"/>
    <mergeCell ref="H91:J91"/>
    <mergeCell ref="A92:B92"/>
    <mergeCell ref="C92:D92"/>
    <mergeCell ref="E92:G92"/>
    <mergeCell ref="H92:J92"/>
    <mergeCell ref="A66:J66"/>
    <mergeCell ref="A67:J67"/>
    <mergeCell ref="G76:J76"/>
    <mergeCell ref="A76:F76"/>
    <mergeCell ref="G78:J78"/>
    <mergeCell ref="A82:F82"/>
    <mergeCell ref="G82:J82"/>
    <mergeCell ref="G81:J81"/>
    <mergeCell ref="A86:J86"/>
    <mergeCell ref="A79:F79"/>
    <mergeCell ref="G79:J79"/>
    <mergeCell ref="A80:F80"/>
    <mergeCell ref="G80:J80"/>
    <mergeCell ref="A81:F81"/>
    <mergeCell ref="G83:J83"/>
    <mergeCell ref="A85:F85"/>
    <mergeCell ref="A87:J87"/>
    <mergeCell ref="A90:J90"/>
    <mergeCell ref="A88:B88"/>
    <mergeCell ref="C88:D88"/>
    <mergeCell ref="E88:G88"/>
    <mergeCell ref="H88:J88"/>
    <mergeCell ref="A89:B89"/>
    <mergeCell ref="C89:D89"/>
    <mergeCell ref="E89:G89"/>
    <mergeCell ref="H89:J89"/>
    <mergeCell ref="A93:J93"/>
    <mergeCell ref="A124:J124"/>
    <mergeCell ref="A125:J125"/>
    <mergeCell ref="I101:J101"/>
    <mergeCell ref="I116:J116"/>
    <mergeCell ref="I117:J117"/>
    <mergeCell ref="I100:J100"/>
    <mergeCell ref="I115:J115"/>
    <mergeCell ref="I109:J109"/>
    <mergeCell ref="I110:J110"/>
    <mergeCell ref="I114:J114"/>
    <mergeCell ref="I112:J112"/>
    <mergeCell ref="I99:J99"/>
    <mergeCell ref="A98:J98"/>
    <mergeCell ref="I102:J102"/>
  </mergeCells>
  <phoneticPr fontId="0" type="noConversion"/>
  <hyperlinks>
    <hyperlink ref="C31" r:id="rId1"/>
  </hyperlinks>
  <pageMargins left="0.70866141732283472" right="0.70866141732283472" top="0.82677165354330717" bottom="0.74803149606299213" header="0.31496062992125984" footer="0.31496062992125984"/>
  <pageSetup paperSize="2" scale="88" fitToHeight="0" orientation="portrait" r:id="rId2"/>
  <headerFooter>
    <oddHeader>&amp;C&amp;"Times New Roman,Bold"&amp;20&amp;G</oddHeader>
    <oddFooter>&amp;L&amp;"Times New Roman,Bold"Ref No: &amp;F&amp;C&amp;G&amp;R&amp;P</oddFooter>
  </headerFooter>
  <rowBreaks count="3" manualBreakCount="3">
    <brk id="102" max="9" man="1"/>
    <brk id="130" max="16383" man="1"/>
    <brk id="17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F12" sqref="F12"/>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3" max="13" width="16.5703125" customWidth="1"/>
  </cols>
  <sheetData>
    <row r="2" spans="1:15" x14ac:dyDescent="0.25">
      <c r="A2" t="s">
        <v>148</v>
      </c>
      <c r="B2" s="19" t="s">
        <v>149</v>
      </c>
      <c r="C2" s="19">
        <v>4</v>
      </c>
    </row>
    <row r="3" spans="1:15" x14ac:dyDescent="0.25">
      <c r="B3" t="s">
        <v>150</v>
      </c>
      <c r="C3" t="s">
        <v>151</v>
      </c>
    </row>
    <row r="4" spans="1:15" x14ac:dyDescent="0.25">
      <c r="A4" t="s">
        <v>152</v>
      </c>
      <c r="B4" s="9">
        <v>10</v>
      </c>
      <c r="C4" s="9">
        <v>10</v>
      </c>
      <c r="E4">
        <f>(100/B4)*C4</f>
        <v>100</v>
      </c>
    </row>
    <row r="5" spans="1:15" x14ac:dyDescent="0.25">
      <c r="A5" t="s">
        <v>153</v>
      </c>
      <c r="B5" t="s">
        <v>154</v>
      </c>
      <c r="C5" t="s">
        <v>155</v>
      </c>
      <c r="E5">
        <f>(100/B6)*C6</f>
        <v>100</v>
      </c>
      <c r="I5" s="9" t="s">
        <v>156</v>
      </c>
      <c r="J5" s="9" t="s">
        <v>157</v>
      </c>
      <c r="K5" s="9" t="s">
        <v>158</v>
      </c>
      <c r="L5" s="9" t="s">
        <v>41</v>
      </c>
      <c r="M5" s="9" t="s">
        <v>48</v>
      </c>
      <c r="N5" s="9" t="s">
        <v>159</v>
      </c>
      <c r="O5" s="9" t="s">
        <v>49</v>
      </c>
    </row>
    <row r="6" spans="1:15" x14ac:dyDescent="0.25">
      <c r="B6" s="9">
        <f>C2+1</f>
        <v>5</v>
      </c>
      <c r="C6" s="9">
        <v>5</v>
      </c>
      <c r="E6">
        <f>(100/B8)*C8</f>
        <v>100</v>
      </c>
      <c r="F6" s="20" t="s">
        <v>160</v>
      </c>
      <c r="I6" s="20">
        <f>C4</f>
        <v>10</v>
      </c>
      <c r="J6" s="20">
        <f>40/B6*C6</f>
        <v>40</v>
      </c>
      <c r="K6" s="20">
        <f>15/B8*C8</f>
        <v>15</v>
      </c>
      <c r="L6" s="20">
        <f>10/B10*C10</f>
        <v>5</v>
      </c>
      <c r="M6" s="20">
        <f>10/B12*C12</f>
        <v>0</v>
      </c>
      <c r="N6" s="20">
        <f>5/B14*C14</f>
        <v>0</v>
      </c>
      <c r="O6" s="20">
        <f>5/B16*C16</f>
        <v>0</v>
      </c>
    </row>
    <row r="7" spans="1:15" x14ac:dyDescent="0.25">
      <c r="A7" t="s">
        <v>161</v>
      </c>
      <c r="B7" t="s">
        <v>162</v>
      </c>
      <c r="C7" t="s">
        <v>163</v>
      </c>
      <c r="E7">
        <f>(100/B10)*C10</f>
        <v>50</v>
      </c>
      <c r="F7" s="9" t="s">
        <v>164</v>
      </c>
      <c r="G7" s="9"/>
      <c r="H7" s="9"/>
      <c r="I7" s="9">
        <f>I6+20</f>
        <v>30</v>
      </c>
      <c r="J7" s="9">
        <f>30/B6*C6</f>
        <v>30</v>
      </c>
      <c r="K7" s="9">
        <f>15/B8*C8</f>
        <v>15</v>
      </c>
      <c r="L7" s="9">
        <f>10/B10*C10</f>
        <v>5</v>
      </c>
      <c r="M7" s="9">
        <f>5/B12*C12</f>
        <v>0</v>
      </c>
      <c r="N7" s="9">
        <f>5/B14*C14</f>
        <v>0</v>
      </c>
      <c r="O7" s="9">
        <f>5/B16*C16</f>
        <v>0</v>
      </c>
    </row>
    <row r="8" spans="1:15" x14ac:dyDescent="0.25">
      <c r="B8" s="9">
        <f>C2</f>
        <v>4</v>
      </c>
      <c r="C8" s="9">
        <v>4</v>
      </c>
      <c r="E8">
        <f>(100/B12)*C12</f>
        <v>0</v>
      </c>
    </row>
    <row r="9" spans="1:15" x14ac:dyDescent="0.25">
      <c r="A9" t="s">
        <v>165</v>
      </c>
      <c r="B9" t="s">
        <v>162</v>
      </c>
      <c r="C9" t="s">
        <v>163</v>
      </c>
      <c r="E9">
        <f>(100/B14)*C14</f>
        <v>0</v>
      </c>
    </row>
    <row r="10" spans="1:15" x14ac:dyDescent="0.25">
      <c r="B10" s="9">
        <f>C2</f>
        <v>4</v>
      </c>
      <c r="C10" s="9">
        <v>2</v>
      </c>
      <c r="E10">
        <f>(100/B16)*C16</f>
        <v>0</v>
      </c>
    </row>
    <row r="11" spans="1:15" x14ac:dyDescent="0.25">
      <c r="A11" t="s">
        <v>48</v>
      </c>
      <c r="B11" t="s">
        <v>162</v>
      </c>
      <c r="C11" t="s">
        <v>163</v>
      </c>
    </row>
    <row r="12" spans="1:15" x14ac:dyDescent="0.25">
      <c r="B12" s="9">
        <f>C2</f>
        <v>4</v>
      </c>
      <c r="C12" s="9">
        <v>0</v>
      </c>
      <c r="F12" s="9"/>
      <c r="G12" s="9" t="s">
        <v>160</v>
      </c>
      <c r="H12" s="9" t="s">
        <v>166</v>
      </c>
      <c r="L12" t="s">
        <v>167</v>
      </c>
    </row>
    <row r="13" spans="1:15" ht="31.5" customHeight="1" x14ac:dyDescent="0.25">
      <c r="A13" s="21" t="s">
        <v>159</v>
      </c>
      <c r="B13" t="s">
        <v>162</v>
      </c>
      <c r="C13" t="s">
        <v>163</v>
      </c>
      <c r="F13" s="9" t="s">
        <v>39</v>
      </c>
      <c r="G13" s="9">
        <f>I6</f>
        <v>10</v>
      </c>
      <c r="H13" s="9">
        <f>I7</f>
        <v>30</v>
      </c>
      <c r="L13" t="s">
        <v>167</v>
      </c>
    </row>
    <row r="14" spans="1:15" x14ac:dyDescent="0.25">
      <c r="B14" s="9">
        <f>C2</f>
        <v>4</v>
      </c>
      <c r="C14" s="9">
        <v>0</v>
      </c>
      <c r="F14" s="9" t="s">
        <v>40</v>
      </c>
      <c r="G14" s="9">
        <f>J6</f>
        <v>40</v>
      </c>
      <c r="H14" s="9">
        <f>J7</f>
        <v>30</v>
      </c>
    </row>
    <row r="15" spans="1:15" x14ac:dyDescent="0.25">
      <c r="A15" t="s">
        <v>49</v>
      </c>
      <c r="B15" t="s">
        <v>162</v>
      </c>
      <c r="C15" t="s">
        <v>163</v>
      </c>
      <c r="F15" s="9" t="s">
        <v>158</v>
      </c>
      <c r="G15" s="9">
        <f>K6</f>
        <v>15</v>
      </c>
      <c r="H15" s="9">
        <f>K7</f>
        <v>15</v>
      </c>
    </row>
    <row r="16" spans="1:15" x14ac:dyDescent="0.25">
      <c r="B16" s="9">
        <f>C2</f>
        <v>4</v>
      </c>
      <c r="C16" s="9">
        <v>0</v>
      </c>
      <c r="F16" s="9" t="s">
        <v>41</v>
      </c>
      <c r="G16" s="9">
        <f>L6</f>
        <v>5</v>
      </c>
      <c r="H16" s="9">
        <f>L7</f>
        <v>5</v>
      </c>
    </row>
    <row r="17" spans="6:8" x14ac:dyDescent="0.25">
      <c r="F17" s="9" t="s">
        <v>48</v>
      </c>
      <c r="G17" s="9">
        <f>M6</f>
        <v>0</v>
      </c>
      <c r="H17" s="9">
        <f>M7</f>
        <v>0</v>
      </c>
    </row>
    <row r="18" spans="6:8" ht="29.25" customHeight="1" x14ac:dyDescent="0.25">
      <c r="F18" s="22" t="s">
        <v>159</v>
      </c>
      <c r="G18" s="9">
        <f>N6</f>
        <v>0</v>
      </c>
      <c r="H18" s="9">
        <f>N7</f>
        <v>0</v>
      </c>
    </row>
    <row r="19" spans="6:8" x14ac:dyDescent="0.25">
      <c r="F19" s="9" t="s">
        <v>49</v>
      </c>
      <c r="G19" s="9">
        <f>O6</f>
        <v>0</v>
      </c>
      <c r="H19" s="9">
        <f>O7</f>
        <v>0</v>
      </c>
    </row>
    <row r="20" spans="6:8" x14ac:dyDescent="0.25">
      <c r="F20" s="9" t="s">
        <v>168</v>
      </c>
      <c r="G20" s="23">
        <f>G13+G14+G15+G16+G17+G18+G19</f>
        <v>70</v>
      </c>
      <c r="H20" s="23">
        <f>H13+H14+H15+H16+H17+H18+H19</f>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12" t="s">
        <v>108</v>
      </c>
      <c r="D3" s="190"/>
      <c r="E3" s="190"/>
    </row>
    <row r="4" spans="2:13" x14ac:dyDescent="0.25">
      <c r="E4" s="11"/>
      <c r="F4" s="11"/>
      <c r="G4" s="11"/>
      <c r="H4" s="11"/>
      <c r="I4" s="11"/>
      <c r="J4" s="11"/>
    </row>
    <row r="5" spans="2:13" x14ac:dyDescent="0.25">
      <c r="B5" s="12" t="s">
        <v>109</v>
      </c>
      <c r="C5" s="10" t="s">
        <v>89</v>
      </c>
      <c r="D5" s="191" t="s">
        <v>90</v>
      </c>
      <c r="E5" s="191"/>
      <c r="F5" s="191"/>
      <c r="G5" s="13"/>
      <c r="H5" s="191" t="s">
        <v>91</v>
      </c>
      <c r="I5" s="191"/>
      <c r="J5" s="191"/>
      <c r="K5" s="191" t="s">
        <v>92</v>
      </c>
      <c r="L5" s="191"/>
      <c r="M5" s="191"/>
    </row>
    <row r="6" spans="2:13" x14ac:dyDescent="0.25">
      <c r="B6" s="12">
        <v>1</v>
      </c>
      <c r="C6" s="10"/>
      <c r="D6" s="10" t="s">
        <v>93</v>
      </c>
      <c r="E6" s="10" t="s">
        <v>94</v>
      </c>
      <c r="F6" s="10" t="s">
        <v>95</v>
      </c>
      <c r="G6" s="10"/>
      <c r="H6" s="10" t="s">
        <v>93</v>
      </c>
      <c r="I6" s="10" t="s">
        <v>94</v>
      </c>
      <c r="J6" s="10" t="s">
        <v>95</v>
      </c>
      <c r="K6" s="10" t="s">
        <v>93</v>
      </c>
      <c r="L6" s="10" t="s">
        <v>94</v>
      </c>
      <c r="M6" s="10" t="s">
        <v>95</v>
      </c>
    </row>
    <row r="7" spans="2:13" x14ac:dyDescent="0.25">
      <c r="C7" s="9" t="s">
        <v>96</v>
      </c>
      <c r="D7" s="9"/>
      <c r="E7" s="9"/>
      <c r="F7" s="9">
        <f>D7*E7</f>
        <v>0</v>
      </c>
      <c r="G7" s="9" t="s">
        <v>110</v>
      </c>
      <c r="H7" s="9"/>
      <c r="I7" s="9"/>
      <c r="J7" s="9">
        <f>H7*I7</f>
        <v>0</v>
      </c>
      <c r="K7" s="9"/>
      <c r="L7" s="9"/>
      <c r="M7" s="9">
        <f>K7*L7</f>
        <v>0</v>
      </c>
    </row>
    <row r="8" spans="2:13" x14ac:dyDescent="0.25">
      <c r="C8" s="9"/>
      <c r="D8" s="9"/>
      <c r="E8" s="9"/>
      <c r="F8" s="9">
        <f t="shared" ref="F8:F34" si="0">D8*E8</f>
        <v>0</v>
      </c>
      <c r="G8" s="9" t="s">
        <v>111</v>
      </c>
      <c r="H8" s="9"/>
      <c r="I8" s="9"/>
      <c r="J8" s="9">
        <f t="shared" ref="J8:J34" si="1">H8*I8</f>
        <v>0</v>
      </c>
      <c r="K8" s="9"/>
      <c r="L8" s="9"/>
      <c r="M8" s="9">
        <f t="shared" ref="M8:M34" si="2">K8*L8</f>
        <v>0</v>
      </c>
    </row>
    <row r="9" spans="2:13" x14ac:dyDescent="0.25">
      <c r="C9" s="9"/>
      <c r="D9" s="9"/>
      <c r="E9" s="9"/>
      <c r="F9" s="9">
        <f t="shared" si="0"/>
        <v>0</v>
      </c>
      <c r="G9" s="9"/>
      <c r="H9" s="9"/>
      <c r="I9" s="9"/>
      <c r="J9" s="9">
        <f t="shared" si="1"/>
        <v>0</v>
      </c>
      <c r="K9" s="9"/>
      <c r="L9" s="9"/>
      <c r="M9" s="9">
        <f t="shared" si="2"/>
        <v>0</v>
      </c>
    </row>
    <row r="10" spans="2:13" x14ac:dyDescent="0.25">
      <c r="C10" s="9" t="s">
        <v>99</v>
      </c>
      <c r="D10" s="9"/>
      <c r="E10" s="9"/>
      <c r="F10" s="9">
        <f t="shared" si="0"/>
        <v>0</v>
      </c>
      <c r="G10" s="9" t="s">
        <v>110</v>
      </c>
      <c r="H10" s="9"/>
      <c r="I10" s="9"/>
      <c r="J10" s="9">
        <f t="shared" si="1"/>
        <v>0</v>
      </c>
      <c r="K10" s="9"/>
      <c r="L10" s="9"/>
      <c r="M10" s="9">
        <f t="shared" si="2"/>
        <v>0</v>
      </c>
    </row>
    <row r="11" spans="2:13" x14ac:dyDescent="0.25">
      <c r="C11" s="9"/>
      <c r="D11" s="9"/>
      <c r="E11" s="9"/>
      <c r="F11" s="9">
        <f t="shared" si="0"/>
        <v>0</v>
      </c>
      <c r="G11" s="9" t="s">
        <v>111</v>
      </c>
      <c r="H11" s="9"/>
      <c r="I11" s="9"/>
      <c r="J11" s="9">
        <f t="shared" si="1"/>
        <v>0</v>
      </c>
      <c r="K11" s="9"/>
      <c r="L11" s="9"/>
      <c r="M11" s="9">
        <f t="shared" si="2"/>
        <v>0</v>
      </c>
    </row>
    <row r="12" spans="2:13" x14ac:dyDescent="0.25">
      <c r="C12" s="9"/>
      <c r="D12" s="9"/>
      <c r="E12" s="9"/>
      <c r="F12" s="9">
        <f t="shared" si="0"/>
        <v>0</v>
      </c>
      <c r="G12" s="9"/>
      <c r="H12" s="9"/>
      <c r="I12" s="9"/>
      <c r="J12" s="9">
        <f t="shared" si="1"/>
        <v>0</v>
      </c>
      <c r="K12" s="9"/>
      <c r="L12" s="9"/>
      <c r="M12" s="9">
        <f t="shared" si="2"/>
        <v>0</v>
      </c>
    </row>
    <row r="13" spans="2:13" x14ac:dyDescent="0.25">
      <c r="C13" s="9"/>
      <c r="D13" s="9"/>
      <c r="E13" s="9"/>
      <c r="F13" s="9">
        <f t="shared" si="0"/>
        <v>0</v>
      </c>
      <c r="G13" s="9"/>
      <c r="H13" s="9"/>
      <c r="I13" s="9"/>
      <c r="J13" s="9">
        <f t="shared" si="1"/>
        <v>0</v>
      </c>
      <c r="K13" s="9"/>
      <c r="L13" s="9"/>
      <c r="M13" s="9">
        <f t="shared" si="2"/>
        <v>0</v>
      </c>
    </row>
    <row r="14" spans="2:13" x14ac:dyDescent="0.25">
      <c r="C14" s="9" t="s">
        <v>97</v>
      </c>
      <c r="D14" s="9"/>
      <c r="E14" s="9"/>
      <c r="F14" s="9">
        <f t="shared" si="0"/>
        <v>0</v>
      </c>
      <c r="G14" s="9" t="s">
        <v>110</v>
      </c>
      <c r="H14" s="9"/>
      <c r="I14" s="9"/>
      <c r="J14" s="9">
        <f t="shared" si="1"/>
        <v>0</v>
      </c>
      <c r="K14" s="9"/>
      <c r="L14" s="9"/>
      <c r="M14" s="9">
        <f t="shared" si="2"/>
        <v>0</v>
      </c>
    </row>
    <row r="15" spans="2:13" x14ac:dyDescent="0.25">
      <c r="C15" s="9"/>
      <c r="D15" s="9"/>
      <c r="E15" s="9"/>
      <c r="F15" s="9">
        <f t="shared" si="0"/>
        <v>0</v>
      </c>
      <c r="G15" s="9" t="s">
        <v>111</v>
      </c>
      <c r="H15" s="9"/>
      <c r="I15" s="9"/>
      <c r="J15" s="9">
        <f t="shared" si="1"/>
        <v>0</v>
      </c>
      <c r="K15" s="9"/>
      <c r="L15" s="9"/>
      <c r="M15" s="9">
        <f t="shared" si="2"/>
        <v>0</v>
      </c>
    </row>
    <row r="16" spans="2:13" x14ac:dyDescent="0.25">
      <c r="C16" s="9"/>
      <c r="D16" s="9"/>
      <c r="E16" s="9"/>
      <c r="F16" s="9">
        <f t="shared" si="0"/>
        <v>0</v>
      </c>
      <c r="G16" s="9"/>
      <c r="H16" s="9"/>
      <c r="I16" s="9"/>
      <c r="J16" s="9">
        <f t="shared" si="1"/>
        <v>0</v>
      </c>
      <c r="K16" s="9"/>
      <c r="L16" s="9"/>
      <c r="M16" s="9">
        <f t="shared" si="2"/>
        <v>0</v>
      </c>
    </row>
    <row r="17" spans="3:13" x14ac:dyDescent="0.25">
      <c r="C17" s="9"/>
      <c r="D17" s="9"/>
      <c r="E17" s="9"/>
      <c r="F17" s="9">
        <f t="shared" si="0"/>
        <v>0</v>
      </c>
      <c r="G17" s="9"/>
      <c r="H17" s="9"/>
      <c r="I17" s="9"/>
      <c r="J17" s="9">
        <f t="shared" si="1"/>
        <v>0</v>
      </c>
      <c r="K17" s="9"/>
      <c r="L17" s="9"/>
      <c r="M17" s="9">
        <f t="shared" si="2"/>
        <v>0</v>
      </c>
    </row>
    <row r="18" spans="3:13" x14ac:dyDescent="0.25">
      <c r="C18" s="9" t="s">
        <v>98</v>
      </c>
      <c r="D18" s="9"/>
      <c r="E18" s="9"/>
      <c r="F18" s="9">
        <f t="shared" si="0"/>
        <v>0</v>
      </c>
      <c r="G18" s="9" t="s">
        <v>110</v>
      </c>
      <c r="H18" s="9"/>
      <c r="I18" s="9"/>
      <c r="J18" s="9">
        <f t="shared" si="1"/>
        <v>0</v>
      </c>
      <c r="K18" s="9"/>
      <c r="L18" s="9"/>
      <c r="M18" s="9">
        <f t="shared" si="2"/>
        <v>0</v>
      </c>
    </row>
    <row r="19" spans="3:13" x14ac:dyDescent="0.25">
      <c r="C19" s="9"/>
      <c r="D19" s="9"/>
      <c r="E19" s="9"/>
      <c r="F19" s="9">
        <f t="shared" si="0"/>
        <v>0</v>
      </c>
      <c r="G19" s="9" t="s">
        <v>111</v>
      </c>
      <c r="H19" s="9"/>
      <c r="I19" s="9"/>
      <c r="J19" s="9">
        <f t="shared" si="1"/>
        <v>0</v>
      </c>
      <c r="K19" s="9"/>
      <c r="L19" s="9"/>
      <c r="M19" s="9">
        <f t="shared" si="2"/>
        <v>0</v>
      </c>
    </row>
    <row r="20" spans="3:13" x14ac:dyDescent="0.25">
      <c r="C20" s="9"/>
      <c r="D20" s="9"/>
      <c r="E20" s="9"/>
      <c r="F20" s="9">
        <f t="shared" si="0"/>
        <v>0</v>
      </c>
      <c r="G20" s="9"/>
      <c r="H20" s="9"/>
      <c r="I20" s="9"/>
      <c r="J20" s="9">
        <f t="shared" si="1"/>
        <v>0</v>
      </c>
      <c r="K20" s="9"/>
      <c r="L20" s="9"/>
      <c r="M20" s="9">
        <f t="shared" si="2"/>
        <v>0</v>
      </c>
    </row>
    <row r="21" spans="3:13" x14ac:dyDescent="0.25">
      <c r="C21" s="9" t="s">
        <v>98</v>
      </c>
      <c r="D21" s="9"/>
      <c r="E21" s="9"/>
      <c r="F21" s="9">
        <f t="shared" si="0"/>
        <v>0</v>
      </c>
      <c r="G21" s="9" t="s">
        <v>110</v>
      </c>
      <c r="H21" s="9"/>
      <c r="I21" s="9"/>
      <c r="J21" s="9">
        <f t="shared" si="1"/>
        <v>0</v>
      </c>
      <c r="K21" s="9"/>
      <c r="L21" s="9"/>
      <c r="M21" s="9">
        <f t="shared" si="2"/>
        <v>0</v>
      </c>
    </row>
    <row r="22" spans="3:13" x14ac:dyDescent="0.25">
      <c r="C22" s="9"/>
      <c r="D22" s="9"/>
      <c r="E22" s="9"/>
      <c r="F22" s="9">
        <f t="shared" si="0"/>
        <v>0</v>
      </c>
      <c r="G22" s="9" t="s">
        <v>111</v>
      </c>
      <c r="H22" s="9"/>
      <c r="I22" s="9"/>
      <c r="J22" s="9">
        <f t="shared" si="1"/>
        <v>0</v>
      </c>
      <c r="K22" s="9"/>
      <c r="L22" s="9"/>
      <c r="M22" s="9">
        <f t="shared" si="2"/>
        <v>0</v>
      </c>
    </row>
    <row r="23" spans="3:13" x14ac:dyDescent="0.25">
      <c r="C23" s="9"/>
      <c r="D23" s="9"/>
      <c r="E23" s="9"/>
      <c r="F23" s="9">
        <f t="shared" si="0"/>
        <v>0</v>
      </c>
      <c r="G23" s="9"/>
      <c r="H23" s="9"/>
      <c r="I23" s="9"/>
      <c r="J23" s="9">
        <f t="shared" si="1"/>
        <v>0</v>
      </c>
      <c r="K23" s="9"/>
      <c r="L23" s="9"/>
      <c r="M23" s="9">
        <f t="shared" si="2"/>
        <v>0</v>
      </c>
    </row>
    <row r="24" spans="3:13" x14ac:dyDescent="0.25">
      <c r="C24" s="9" t="s">
        <v>104</v>
      </c>
      <c r="D24" s="9"/>
      <c r="E24" s="9"/>
      <c r="F24" s="9">
        <f t="shared" si="0"/>
        <v>0</v>
      </c>
      <c r="G24" s="9" t="s">
        <v>112</v>
      </c>
      <c r="H24" s="9"/>
      <c r="I24" s="9"/>
      <c r="J24" s="9">
        <f t="shared" si="1"/>
        <v>0</v>
      </c>
      <c r="K24" s="9"/>
      <c r="L24" s="9"/>
      <c r="M24" s="9">
        <f t="shared" si="2"/>
        <v>0</v>
      </c>
    </row>
    <row r="25" spans="3:13" x14ac:dyDescent="0.25">
      <c r="C25" s="9" t="s">
        <v>105</v>
      </c>
      <c r="D25" s="9"/>
      <c r="E25" s="9"/>
      <c r="F25" s="9">
        <f t="shared" si="0"/>
        <v>0</v>
      </c>
      <c r="G25" s="9" t="s">
        <v>112</v>
      </c>
      <c r="H25" s="9"/>
      <c r="I25" s="9"/>
      <c r="J25" s="9">
        <f t="shared" si="1"/>
        <v>0</v>
      </c>
      <c r="K25" s="9"/>
      <c r="L25" s="9"/>
      <c r="M25" s="9">
        <f t="shared" si="2"/>
        <v>0</v>
      </c>
    </row>
    <row r="26" spans="3:13" x14ac:dyDescent="0.25">
      <c r="C26" s="9" t="s">
        <v>106</v>
      </c>
      <c r="D26" s="9"/>
      <c r="E26" s="9"/>
      <c r="F26" s="9">
        <f t="shared" si="0"/>
        <v>0</v>
      </c>
      <c r="G26" s="9" t="s">
        <v>112</v>
      </c>
      <c r="H26" s="9"/>
      <c r="I26" s="9"/>
      <c r="J26" s="9">
        <f t="shared" si="1"/>
        <v>0</v>
      </c>
      <c r="K26" s="9"/>
      <c r="L26" s="9"/>
      <c r="M26" s="9">
        <f t="shared" si="2"/>
        <v>0</v>
      </c>
    </row>
    <row r="27" spans="3:13" x14ac:dyDescent="0.25">
      <c r="C27" s="9"/>
      <c r="D27" s="9"/>
      <c r="E27" s="9"/>
      <c r="F27" s="9">
        <f t="shared" si="0"/>
        <v>0</v>
      </c>
      <c r="G27" s="9"/>
      <c r="H27" s="9"/>
      <c r="I27" s="9"/>
      <c r="J27" s="9">
        <f t="shared" si="1"/>
        <v>0</v>
      </c>
      <c r="K27" s="9"/>
      <c r="L27" s="9"/>
      <c r="M27" s="9">
        <f t="shared" si="2"/>
        <v>0</v>
      </c>
    </row>
    <row r="28" spans="3:13" x14ac:dyDescent="0.25">
      <c r="C28" s="9" t="s">
        <v>100</v>
      </c>
      <c r="D28" s="9"/>
      <c r="E28" s="9"/>
      <c r="F28" s="9">
        <f t="shared" si="0"/>
        <v>0</v>
      </c>
      <c r="G28" s="9"/>
      <c r="H28" s="9"/>
      <c r="I28" s="9"/>
      <c r="J28" s="9">
        <f t="shared" si="1"/>
        <v>0</v>
      </c>
      <c r="K28" s="9"/>
      <c r="L28" s="9"/>
      <c r="M28" s="9">
        <f t="shared" si="2"/>
        <v>0</v>
      </c>
    </row>
    <row r="29" spans="3:13" x14ac:dyDescent="0.25">
      <c r="C29" s="9" t="s">
        <v>101</v>
      </c>
      <c r="D29" s="9"/>
      <c r="E29" s="9"/>
      <c r="F29" s="9">
        <f t="shared" si="0"/>
        <v>0</v>
      </c>
      <c r="G29" s="9"/>
      <c r="H29" s="9"/>
      <c r="I29" s="9"/>
      <c r="J29" s="9">
        <f t="shared" si="1"/>
        <v>0</v>
      </c>
      <c r="K29" s="9"/>
      <c r="L29" s="9"/>
      <c r="M29" s="9">
        <f t="shared" si="2"/>
        <v>0</v>
      </c>
    </row>
    <row r="30" spans="3:13" x14ac:dyDescent="0.25">
      <c r="C30" s="9" t="s">
        <v>102</v>
      </c>
      <c r="D30" s="9"/>
      <c r="E30" s="9"/>
      <c r="F30" s="9">
        <f t="shared" si="0"/>
        <v>0</v>
      </c>
      <c r="G30" s="9"/>
      <c r="H30" s="9"/>
      <c r="I30" s="9"/>
      <c r="J30" s="9">
        <f t="shared" si="1"/>
        <v>0</v>
      </c>
      <c r="K30" s="9"/>
      <c r="L30" s="9"/>
      <c r="M30" s="9">
        <f t="shared" si="2"/>
        <v>0</v>
      </c>
    </row>
    <row r="31" spans="3:13" x14ac:dyDescent="0.25">
      <c r="C31" s="9" t="s">
        <v>103</v>
      </c>
      <c r="D31" s="9"/>
      <c r="E31" s="9"/>
      <c r="F31" s="9">
        <f t="shared" si="0"/>
        <v>0</v>
      </c>
      <c r="G31" s="9"/>
      <c r="H31" s="9"/>
      <c r="I31" s="9"/>
      <c r="J31" s="9">
        <f t="shared" si="1"/>
        <v>0</v>
      </c>
      <c r="K31" s="9"/>
      <c r="L31" s="9"/>
      <c r="M31" s="9">
        <f t="shared" si="2"/>
        <v>0</v>
      </c>
    </row>
    <row r="32" spans="3:13" x14ac:dyDescent="0.25">
      <c r="C32" s="9"/>
      <c r="D32" s="9"/>
      <c r="E32" s="9"/>
      <c r="F32" s="9">
        <f t="shared" si="0"/>
        <v>0</v>
      </c>
      <c r="G32" s="9"/>
      <c r="H32" s="9"/>
      <c r="I32" s="9"/>
      <c r="J32" s="9">
        <f t="shared" si="1"/>
        <v>0</v>
      </c>
      <c r="K32" s="9"/>
      <c r="L32" s="9"/>
      <c r="M32" s="9">
        <f t="shared" si="2"/>
        <v>0</v>
      </c>
    </row>
    <row r="33" spans="3:13" x14ac:dyDescent="0.25">
      <c r="C33" s="9"/>
      <c r="D33" s="9"/>
      <c r="E33" s="9"/>
      <c r="F33" s="9">
        <f t="shared" si="0"/>
        <v>0</v>
      </c>
      <c r="G33" s="9"/>
      <c r="H33" s="9"/>
      <c r="I33" s="9"/>
      <c r="J33" s="9">
        <f t="shared" si="1"/>
        <v>0</v>
      </c>
      <c r="K33" s="9"/>
      <c r="L33" s="9"/>
      <c r="M33" s="9">
        <f t="shared" si="2"/>
        <v>0</v>
      </c>
    </row>
    <row r="34" spans="3:13" x14ac:dyDescent="0.25">
      <c r="C34" s="9"/>
      <c r="D34" s="9"/>
      <c r="E34" s="9"/>
      <c r="F34" s="9">
        <f t="shared" si="0"/>
        <v>0</v>
      </c>
      <c r="G34" s="9"/>
      <c r="H34" s="9"/>
      <c r="I34" s="9"/>
      <c r="J34" s="9">
        <f t="shared" si="1"/>
        <v>0</v>
      </c>
      <c r="K34" s="9"/>
      <c r="L34" s="9"/>
      <c r="M34" s="9">
        <f t="shared" si="2"/>
        <v>0</v>
      </c>
    </row>
    <row r="35" spans="3:13" x14ac:dyDescent="0.25">
      <c r="C35" s="9" t="s">
        <v>107</v>
      </c>
      <c r="D35" s="9"/>
      <c r="E35" s="9">
        <f>F35*10.764</f>
        <v>0</v>
      </c>
      <c r="F35" s="9">
        <f>SUM(F7:F34)</f>
        <v>0</v>
      </c>
      <c r="G35" s="9"/>
      <c r="H35" s="9"/>
      <c r="I35" s="9">
        <f>J35*10.764</f>
        <v>0</v>
      </c>
      <c r="J35" s="9">
        <f>SUM(J7:J34)</f>
        <v>0</v>
      </c>
      <c r="K35" s="9"/>
      <c r="L35" s="9">
        <f>M35*10.764</f>
        <v>0</v>
      </c>
      <c r="M35" s="9">
        <f>SUM(M7:M34)</f>
        <v>0</v>
      </c>
    </row>
  </sheetData>
  <mergeCells count="4">
    <mergeCell ref="D3:E3"/>
    <mergeCell ref="D5:F5"/>
    <mergeCell ref="H5:J5"/>
    <mergeCell ref="K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F25" sqref="F25"/>
    </sheetView>
  </sheetViews>
  <sheetFormatPr defaultRowHeight="15" x14ac:dyDescent="0.25"/>
  <sheetData>
    <row r="3" spans="3:14" x14ac:dyDescent="0.25">
      <c r="D3" s="12" t="s">
        <v>108</v>
      </c>
      <c r="E3" s="190"/>
      <c r="F3" s="190"/>
    </row>
    <row r="4" spans="3:14" x14ac:dyDescent="0.25">
      <c r="F4" s="11"/>
      <c r="G4" s="11"/>
      <c r="H4" s="11"/>
      <c r="I4" s="11"/>
      <c r="J4" s="11"/>
      <c r="K4" s="11"/>
    </row>
    <row r="5" spans="3:14" x14ac:dyDescent="0.25">
      <c r="C5" s="12" t="s">
        <v>109</v>
      </c>
      <c r="D5" s="10" t="s">
        <v>89</v>
      </c>
      <c r="E5" s="191" t="s">
        <v>90</v>
      </c>
      <c r="F5" s="191"/>
      <c r="G5" s="191"/>
      <c r="H5" s="13"/>
      <c r="I5" s="191" t="s">
        <v>91</v>
      </c>
      <c r="J5" s="191"/>
      <c r="K5" s="191"/>
      <c r="L5" s="191" t="s">
        <v>92</v>
      </c>
      <c r="M5" s="191"/>
      <c r="N5" s="191"/>
    </row>
    <row r="6" spans="3:14" x14ac:dyDescent="0.25">
      <c r="C6" s="12">
        <v>1</v>
      </c>
      <c r="D6" s="10"/>
      <c r="E6" s="10" t="s">
        <v>93</v>
      </c>
      <c r="F6" s="10" t="s">
        <v>94</v>
      </c>
      <c r="G6" s="10" t="s">
        <v>95</v>
      </c>
      <c r="H6" s="10"/>
      <c r="I6" s="10" t="s">
        <v>93</v>
      </c>
      <c r="J6" s="10" t="s">
        <v>94</v>
      </c>
      <c r="K6" s="10" t="s">
        <v>95</v>
      </c>
      <c r="L6" s="10" t="s">
        <v>93</v>
      </c>
      <c r="M6" s="10" t="s">
        <v>94</v>
      </c>
      <c r="N6" s="10" t="s">
        <v>95</v>
      </c>
    </row>
    <row r="7" spans="3:14" x14ac:dyDescent="0.25">
      <c r="D7" s="9" t="s">
        <v>96</v>
      </c>
      <c r="E7" s="9">
        <v>2.9</v>
      </c>
      <c r="F7" s="9">
        <v>3.65</v>
      </c>
      <c r="G7" s="9">
        <f>E7*F7</f>
        <v>10.584999999999999</v>
      </c>
      <c r="H7" s="9" t="s">
        <v>110</v>
      </c>
      <c r="I7" s="9"/>
      <c r="J7" s="9"/>
      <c r="K7" s="9">
        <f>I7*J7</f>
        <v>0</v>
      </c>
      <c r="L7" s="9"/>
      <c r="M7" s="9"/>
      <c r="N7" s="9">
        <f>L7*M7</f>
        <v>0</v>
      </c>
    </row>
    <row r="8" spans="3:14" x14ac:dyDescent="0.25">
      <c r="D8" s="9"/>
      <c r="E8" s="9"/>
      <c r="F8" s="9"/>
      <c r="G8" s="9">
        <f t="shared" ref="G8:G34" si="0">E8*F8</f>
        <v>0</v>
      </c>
      <c r="H8" s="9" t="s">
        <v>111</v>
      </c>
      <c r="I8" s="9"/>
      <c r="J8" s="9"/>
      <c r="K8" s="9">
        <f t="shared" ref="K8:K34" si="1">I8*J8</f>
        <v>0</v>
      </c>
      <c r="L8" s="9"/>
      <c r="M8" s="9"/>
      <c r="N8" s="9">
        <f t="shared" ref="N8:N34" si="2">L8*M8</f>
        <v>0</v>
      </c>
    </row>
    <row r="9" spans="3:14" x14ac:dyDescent="0.25">
      <c r="D9" s="9"/>
      <c r="E9" s="9"/>
      <c r="F9" s="9"/>
      <c r="G9" s="9">
        <f t="shared" si="0"/>
        <v>0</v>
      </c>
      <c r="H9" s="9"/>
      <c r="I9" s="9"/>
      <c r="J9" s="9"/>
      <c r="K9" s="9">
        <f t="shared" si="1"/>
        <v>0</v>
      </c>
      <c r="L9" s="9"/>
      <c r="M9" s="9"/>
      <c r="N9" s="9">
        <f t="shared" si="2"/>
        <v>0</v>
      </c>
    </row>
    <row r="10" spans="3:14" x14ac:dyDescent="0.25">
      <c r="D10" s="9" t="s">
        <v>99</v>
      </c>
      <c r="E10" s="9">
        <v>2.5499999999999998</v>
      </c>
      <c r="F10" s="9">
        <v>2.95</v>
      </c>
      <c r="G10" s="9">
        <f t="shared" si="0"/>
        <v>7.5225</v>
      </c>
      <c r="H10" s="9" t="s">
        <v>110</v>
      </c>
      <c r="I10" s="9"/>
      <c r="J10" s="9"/>
      <c r="K10" s="9">
        <f t="shared" si="1"/>
        <v>0</v>
      </c>
      <c r="L10" s="9"/>
      <c r="M10" s="9"/>
      <c r="N10" s="9">
        <f t="shared" si="2"/>
        <v>0</v>
      </c>
    </row>
    <row r="11" spans="3:14" x14ac:dyDescent="0.25">
      <c r="D11" s="9"/>
      <c r="E11" s="9"/>
      <c r="F11" s="9"/>
      <c r="G11" s="9">
        <f t="shared" si="0"/>
        <v>0</v>
      </c>
      <c r="H11" s="9" t="s">
        <v>111</v>
      </c>
      <c r="I11" s="9"/>
      <c r="J11" s="9"/>
      <c r="K11" s="9">
        <f t="shared" si="1"/>
        <v>0</v>
      </c>
      <c r="L11" s="9"/>
      <c r="M11" s="9"/>
      <c r="N11" s="9">
        <f t="shared" si="2"/>
        <v>0</v>
      </c>
    </row>
    <row r="12" spans="3:14" x14ac:dyDescent="0.25">
      <c r="D12" s="9"/>
      <c r="E12" s="9"/>
      <c r="F12" s="9"/>
      <c r="G12" s="9">
        <f t="shared" si="0"/>
        <v>0</v>
      </c>
      <c r="H12" s="9"/>
      <c r="I12" s="9"/>
      <c r="J12" s="9"/>
      <c r="K12" s="9">
        <f t="shared" si="1"/>
        <v>0</v>
      </c>
      <c r="L12" s="9"/>
      <c r="M12" s="9"/>
      <c r="N12" s="9">
        <f t="shared" si="2"/>
        <v>0</v>
      </c>
    </row>
    <row r="13" spans="3:14" x14ac:dyDescent="0.25">
      <c r="D13" s="9"/>
      <c r="E13" s="9"/>
      <c r="F13" s="9"/>
      <c r="G13" s="9">
        <f t="shared" si="0"/>
        <v>0</v>
      </c>
      <c r="H13" s="9"/>
      <c r="I13" s="9"/>
      <c r="J13" s="9"/>
      <c r="K13" s="9">
        <f t="shared" si="1"/>
        <v>0</v>
      </c>
      <c r="L13" s="9"/>
      <c r="M13" s="9"/>
      <c r="N13" s="9">
        <f t="shared" si="2"/>
        <v>0</v>
      </c>
    </row>
    <row r="14" spans="3:14" x14ac:dyDescent="0.25">
      <c r="D14" s="9" t="s">
        <v>97</v>
      </c>
      <c r="E14" s="9">
        <v>1.7</v>
      </c>
      <c r="F14" s="9">
        <v>2.0499999999999998</v>
      </c>
      <c r="G14" s="9">
        <f t="shared" si="0"/>
        <v>3.4849999999999994</v>
      </c>
      <c r="H14" s="9" t="s">
        <v>110</v>
      </c>
      <c r="I14" s="9"/>
      <c r="J14" s="9"/>
      <c r="K14" s="9">
        <f t="shared" si="1"/>
        <v>0</v>
      </c>
      <c r="L14" s="9"/>
      <c r="M14" s="9"/>
      <c r="N14" s="9">
        <f t="shared" si="2"/>
        <v>0</v>
      </c>
    </row>
    <row r="15" spans="3:14" x14ac:dyDescent="0.25">
      <c r="D15" s="9"/>
      <c r="E15" s="9"/>
      <c r="F15" s="9"/>
      <c r="G15" s="9">
        <f t="shared" si="0"/>
        <v>0</v>
      </c>
      <c r="H15" s="9" t="s">
        <v>111</v>
      </c>
      <c r="I15" s="9"/>
      <c r="J15" s="9"/>
      <c r="K15" s="9">
        <f t="shared" si="1"/>
        <v>0</v>
      </c>
      <c r="L15" s="9"/>
      <c r="M15" s="9"/>
      <c r="N15" s="9">
        <f t="shared" si="2"/>
        <v>0</v>
      </c>
    </row>
    <row r="16" spans="3:14" x14ac:dyDescent="0.25">
      <c r="D16" s="9"/>
      <c r="E16" s="9"/>
      <c r="F16" s="9"/>
      <c r="G16" s="9">
        <f t="shared" si="0"/>
        <v>0</v>
      </c>
      <c r="H16" s="9"/>
      <c r="I16" s="9"/>
      <c r="J16" s="9"/>
      <c r="K16" s="9">
        <f t="shared" si="1"/>
        <v>0</v>
      </c>
      <c r="L16" s="9"/>
      <c r="M16" s="9"/>
      <c r="N16" s="9">
        <f t="shared" si="2"/>
        <v>0</v>
      </c>
    </row>
    <row r="17" spans="4:14" x14ac:dyDescent="0.25">
      <c r="D17" s="9"/>
      <c r="E17" s="9"/>
      <c r="F17" s="9"/>
      <c r="G17" s="9">
        <f t="shared" si="0"/>
        <v>0</v>
      </c>
      <c r="H17" s="9"/>
      <c r="I17" s="9"/>
      <c r="J17" s="9"/>
      <c r="K17" s="9">
        <f t="shared" si="1"/>
        <v>0</v>
      </c>
      <c r="L17" s="9"/>
      <c r="M17" s="9"/>
      <c r="N17" s="9">
        <f t="shared" si="2"/>
        <v>0</v>
      </c>
    </row>
    <row r="18" spans="4:14" x14ac:dyDescent="0.25">
      <c r="D18" s="9" t="s">
        <v>98</v>
      </c>
      <c r="E18" s="9">
        <v>1.2</v>
      </c>
      <c r="F18" s="9">
        <v>1.2</v>
      </c>
      <c r="G18" s="9">
        <f t="shared" si="0"/>
        <v>1.44</v>
      </c>
      <c r="H18" s="9" t="s">
        <v>110</v>
      </c>
      <c r="I18" s="9"/>
      <c r="J18" s="9"/>
      <c r="K18" s="9">
        <f t="shared" si="1"/>
        <v>0</v>
      </c>
      <c r="L18" s="9"/>
      <c r="M18" s="9"/>
      <c r="N18" s="9">
        <f t="shared" si="2"/>
        <v>0</v>
      </c>
    </row>
    <row r="19" spans="4:14" x14ac:dyDescent="0.25">
      <c r="D19" s="9"/>
      <c r="E19" s="9"/>
      <c r="F19" s="9"/>
      <c r="G19" s="9">
        <f t="shared" si="0"/>
        <v>0</v>
      </c>
      <c r="H19" s="9" t="s">
        <v>111</v>
      </c>
      <c r="I19" s="9"/>
      <c r="J19" s="9"/>
      <c r="K19" s="9">
        <f t="shared" si="1"/>
        <v>0</v>
      </c>
      <c r="L19" s="9"/>
      <c r="M19" s="9"/>
      <c r="N19" s="9">
        <f t="shared" si="2"/>
        <v>0</v>
      </c>
    </row>
    <row r="20" spans="4:14" x14ac:dyDescent="0.25">
      <c r="D20" s="9"/>
      <c r="E20" s="9"/>
      <c r="F20" s="9"/>
      <c r="G20" s="9">
        <f t="shared" si="0"/>
        <v>0</v>
      </c>
      <c r="H20" s="9"/>
      <c r="I20" s="9"/>
      <c r="J20" s="9"/>
      <c r="K20" s="9">
        <f t="shared" si="1"/>
        <v>0</v>
      </c>
      <c r="L20" s="9"/>
      <c r="M20" s="9"/>
      <c r="N20" s="9">
        <f t="shared" si="2"/>
        <v>0</v>
      </c>
    </row>
    <row r="21" spans="4:14" x14ac:dyDescent="0.25">
      <c r="D21" s="9" t="s">
        <v>98</v>
      </c>
      <c r="E21" s="9">
        <v>1.2</v>
      </c>
      <c r="F21" s="9">
        <v>0.9</v>
      </c>
      <c r="G21" s="9">
        <f t="shared" si="0"/>
        <v>1.08</v>
      </c>
      <c r="H21" s="9" t="s">
        <v>110</v>
      </c>
      <c r="I21" s="9"/>
      <c r="J21" s="9"/>
      <c r="K21" s="9">
        <f t="shared" si="1"/>
        <v>0</v>
      </c>
      <c r="L21" s="9"/>
      <c r="M21" s="9"/>
      <c r="N21" s="9">
        <f t="shared" si="2"/>
        <v>0</v>
      </c>
    </row>
    <row r="22" spans="4:14" x14ac:dyDescent="0.25">
      <c r="D22" s="9"/>
      <c r="E22" s="9"/>
      <c r="F22" s="9"/>
      <c r="G22" s="9">
        <f t="shared" si="0"/>
        <v>0</v>
      </c>
      <c r="H22" s="9" t="s">
        <v>111</v>
      </c>
      <c r="I22" s="9"/>
      <c r="J22" s="9"/>
      <c r="K22" s="9">
        <f t="shared" si="1"/>
        <v>0</v>
      </c>
      <c r="L22" s="9"/>
      <c r="M22" s="9"/>
      <c r="N22" s="9">
        <f t="shared" si="2"/>
        <v>0</v>
      </c>
    </row>
    <row r="23" spans="4:14" x14ac:dyDescent="0.25">
      <c r="D23" s="9"/>
      <c r="E23" s="9"/>
      <c r="F23" s="9"/>
      <c r="G23" s="9">
        <f t="shared" si="0"/>
        <v>0</v>
      </c>
      <c r="H23" s="9"/>
      <c r="I23" s="9"/>
      <c r="J23" s="9"/>
      <c r="K23" s="9">
        <f t="shared" si="1"/>
        <v>0</v>
      </c>
      <c r="L23" s="9"/>
      <c r="M23" s="9"/>
      <c r="N23" s="9">
        <f t="shared" si="2"/>
        <v>0</v>
      </c>
    </row>
    <row r="24" spans="4:14" x14ac:dyDescent="0.25">
      <c r="D24" s="9" t="s">
        <v>104</v>
      </c>
      <c r="E24" s="9">
        <v>1.2</v>
      </c>
      <c r="F24" s="9">
        <v>0.9</v>
      </c>
      <c r="G24" s="9">
        <f t="shared" si="0"/>
        <v>1.08</v>
      </c>
      <c r="H24" s="9" t="s">
        <v>112</v>
      </c>
      <c r="I24" s="9"/>
      <c r="J24" s="9"/>
      <c r="K24" s="9">
        <f t="shared" si="1"/>
        <v>0</v>
      </c>
      <c r="L24" s="9"/>
      <c r="M24" s="9"/>
      <c r="N24" s="9">
        <f t="shared" si="2"/>
        <v>0</v>
      </c>
    </row>
    <row r="25" spans="4:14" x14ac:dyDescent="0.25">
      <c r="D25" s="9" t="s">
        <v>105</v>
      </c>
      <c r="E25" s="9"/>
      <c r="F25" s="9"/>
      <c r="G25" s="9">
        <f t="shared" si="0"/>
        <v>0</v>
      </c>
      <c r="H25" s="9" t="s">
        <v>112</v>
      </c>
      <c r="I25" s="9"/>
      <c r="J25" s="9"/>
      <c r="K25" s="9">
        <f t="shared" si="1"/>
        <v>0</v>
      </c>
      <c r="L25" s="9"/>
      <c r="M25" s="9"/>
      <c r="N25" s="9">
        <f t="shared" si="2"/>
        <v>0</v>
      </c>
    </row>
    <row r="26" spans="4:14" x14ac:dyDescent="0.25">
      <c r="D26" s="9" t="s">
        <v>106</v>
      </c>
      <c r="E26" s="9"/>
      <c r="F26" s="9"/>
      <c r="G26" s="9">
        <f t="shared" si="0"/>
        <v>0</v>
      </c>
      <c r="H26" s="9" t="s">
        <v>112</v>
      </c>
      <c r="I26" s="9"/>
      <c r="J26" s="9"/>
      <c r="K26" s="9">
        <f t="shared" si="1"/>
        <v>0</v>
      </c>
      <c r="L26" s="9"/>
      <c r="M26" s="9"/>
      <c r="N26" s="9">
        <f t="shared" si="2"/>
        <v>0</v>
      </c>
    </row>
    <row r="27" spans="4:14" x14ac:dyDescent="0.25">
      <c r="D27" s="9"/>
      <c r="E27" s="9"/>
      <c r="F27" s="9"/>
      <c r="G27" s="9">
        <f t="shared" si="0"/>
        <v>0</v>
      </c>
      <c r="H27" s="9"/>
      <c r="I27" s="9"/>
      <c r="J27" s="9"/>
      <c r="K27" s="9">
        <f t="shared" si="1"/>
        <v>0</v>
      </c>
      <c r="L27" s="9"/>
      <c r="M27" s="9"/>
      <c r="N27" s="9">
        <f t="shared" si="2"/>
        <v>0</v>
      </c>
    </row>
    <row r="28" spans="4:14" x14ac:dyDescent="0.25">
      <c r="D28" s="9" t="s">
        <v>100</v>
      </c>
      <c r="E28" s="9"/>
      <c r="F28" s="9"/>
      <c r="G28" s="9">
        <f t="shared" si="0"/>
        <v>0</v>
      </c>
      <c r="H28" s="9"/>
      <c r="I28" s="9"/>
      <c r="J28" s="9"/>
      <c r="K28" s="9">
        <f t="shared" si="1"/>
        <v>0</v>
      </c>
      <c r="L28" s="9"/>
      <c r="M28" s="9"/>
      <c r="N28" s="9">
        <f t="shared" si="2"/>
        <v>0</v>
      </c>
    </row>
    <row r="29" spans="4:14" x14ac:dyDescent="0.25">
      <c r="D29" s="9" t="s">
        <v>101</v>
      </c>
      <c r="E29" s="9"/>
      <c r="F29" s="9"/>
      <c r="G29" s="9">
        <f t="shared" si="0"/>
        <v>0</v>
      </c>
      <c r="H29" s="9"/>
      <c r="I29" s="9"/>
      <c r="J29" s="9"/>
      <c r="K29" s="9">
        <f t="shared" si="1"/>
        <v>0</v>
      </c>
      <c r="L29" s="9"/>
      <c r="M29" s="9"/>
      <c r="N29" s="9">
        <f t="shared" si="2"/>
        <v>0</v>
      </c>
    </row>
    <row r="30" spans="4:14" x14ac:dyDescent="0.25">
      <c r="D30" s="9" t="s">
        <v>102</v>
      </c>
      <c r="E30" s="9"/>
      <c r="F30" s="9"/>
      <c r="G30" s="9">
        <f t="shared" si="0"/>
        <v>0</v>
      </c>
      <c r="H30" s="9"/>
      <c r="I30" s="9"/>
      <c r="J30" s="9"/>
      <c r="K30" s="9">
        <f t="shared" si="1"/>
        <v>0</v>
      </c>
      <c r="L30" s="9"/>
      <c r="M30" s="9"/>
      <c r="N30" s="9">
        <f t="shared" si="2"/>
        <v>0</v>
      </c>
    </row>
    <row r="31" spans="4:14" x14ac:dyDescent="0.25">
      <c r="D31" s="9" t="s">
        <v>103</v>
      </c>
      <c r="E31" s="9"/>
      <c r="F31" s="9"/>
      <c r="G31" s="9">
        <f t="shared" si="0"/>
        <v>0</v>
      </c>
      <c r="H31" s="9"/>
      <c r="I31" s="9"/>
      <c r="J31" s="9"/>
      <c r="K31" s="9">
        <f t="shared" si="1"/>
        <v>0</v>
      </c>
      <c r="L31" s="9"/>
      <c r="M31" s="9"/>
      <c r="N31" s="9">
        <f t="shared" si="2"/>
        <v>0</v>
      </c>
    </row>
    <row r="32" spans="4:14" x14ac:dyDescent="0.25">
      <c r="D32" s="9"/>
      <c r="E32" s="9"/>
      <c r="F32" s="9"/>
      <c r="G32" s="9">
        <f t="shared" si="0"/>
        <v>0</v>
      </c>
      <c r="H32" s="9"/>
      <c r="I32" s="9"/>
      <c r="J32" s="9"/>
      <c r="K32" s="9">
        <f t="shared" si="1"/>
        <v>0</v>
      </c>
      <c r="L32" s="9"/>
      <c r="M32" s="9"/>
      <c r="N32" s="9">
        <f t="shared" si="2"/>
        <v>0</v>
      </c>
    </row>
    <row r="33" spans="4:14" x14ac:dyDescent="0.25">
      <c r="D33" s="9"/>
      <c r="E33" s="9"/>
      <c r="F33" s="9"/>
      <c r="G33" s="9">
        <f t="shared" si="0"/>
        <v>0</v>
      </c>
      <c r="H33" s="9"/>
      <c r="I33" s="9"/>
      <c r="J33" s="9"/>
      <c r="K33" s="9">
        <f t="shared" si="1"/>
        <v>0</v>
      </c>
      <c r="L33" s="9"/>
      <c r="M33" s="9"/>
      <c r="N33" s="9">
        <f t="shared" si="2"/>
        <v>0</v>
      </c>
    </row>
    <row r="34" spans="4:14" x14ac:dyDescent="0.25">
      <c r="D34" s="9"/>
      <c r="E34" s="9"/>
      <c r="F34" s="9"/>
      <c r="G34" s="9">
        <f t="shared" si="0"/>
        <v>0</v>
      </c>
      <c r="H34" s="9"/>
      <c r="I34" s="9"/>
      <c r="J34" s="9"/>
      <c r="K34" s="9">
        <f t="shared" si="1"/>
        <v>0</v>
      </c>
      <c r="L34" s="9"/>
      <c r="M34" s="9"/>
      <c r="N34" s="9">
        <f t="shared" si="2"/>
        <v>0</v>
      </c>
    </row>
    <row r="35" spans="4:14" x14ac:dyDescent="0.25">
      <c r="D35" s="9" t="s">
        <v>107</v>
      </c>
      <c r="E35" s="9"/>
      <c r="F35" s="9">
        <f>G35*10.764</f>
        <v>271.17206999999996</v>
      </c>
      <c r="G35" s="9">
        <f>SUM(G7:G34)</f>
        <v>25.192499999999995</v>
      </c>
      <c r="H35" s="9"/>
      <c r="I35" s="9"/>
      <c r="J35" s="9">
        <f>K35*10.764</f>
        <v>0</v>
      </c>
      <c r="K35" s="9">
        <f>SUM(K7:K34)</f>
        <v>0</v>
      </c>
      <c r="L35" s="9"/>
      <c r="M35" s="9">
        <f>N35*10.764</f>
        <v>0</v>
      </c>
      <c r="N35" s="9">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If Ground C%</vt:lpstr>
      <vt:lpstr>Wing B</vt:lpstr>
      <vt:lpstr>Wing C</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2025-09-10T08:27:28Z</cp:lastPrinted>
  <dcterms:created xsi:type="dcterms:W3CDTF">2013-11-23T05:32:33Z</dcterms:created>
  <dcterms:modified xsi:type="dcterms:W3CDTF">2025-09-10T08:27:48Z</dcterms:modified>
</cp:coreProperties>
</file>