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2"/>
  <workbookPr codeName="ThisWorkbook"/>
  <bookViews>
    <workbookView xWindow="0" yWindow="0" windowWidth="20490" windowHeight="7755" tabRatio="725"/>
  </bookViews>
  <sheets>
    <sheet name="Report" sheetId="1" r:id="rId1"/>
    <sheet name="valuation" sheetId="5" r:id="rId2"/>
    <sheet name="Research" sheetId="4" r:id="rId3"/>
  </sheets>
  <definedNames>
    <definedName name="_xlnm.Print_Area" localSheetId="0">Report!$A$1:$H$259</definedName>
  </definedNames>
  <calcPr calcId="144525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95" i="1" l="1"/>
  <c r="I94" i="1"/>
  <c r="I93" i="1"/>
  <c r="I96" i="1" l="1"/>
  <c r="I97" i="1" s="1"/>
  <c r="D114" i="1"/>
  <c r="D113" i="1"/>
  <c r="D111" i="1"/>
  <c r="D110" i="1"/>
  <c r="I106" i="1"/>
  <c r="I113" i="1"/>
  <c r="I108" i="1"/>
  <c r="A111" i="1"/>
  <c r="A114" i="1" s="1"/>
  <c r="D103" i="1"/>
  <c r="K103" i="1" s="1"/>
  <c r="D104" i="1"/>
  <c r="K104" i="1" s="1"/>
  <c r="D105" i="1"/>
  <c r="K105" i="1" s="1"/>
  <c r="D106" i="1"/>
  <c r="K106" i="1" s="1"/>
  <c r="D107" i="1"/>
  <c r="K107" i="1" s="1"/>
  <c r="D108" i="1"/>
  <c r="A103" i="1"/>
  <c r="K108" i="1" l="1"/>
  <c r="G96" i="1"/>
  <c r="K113" i="1"/>
  <c r="C96" i="1"/>
  <c r="C97" i="1" s="1"/>
  <c r="E96" i="1"/>
  <c r="E97" i="1" s="1"/>
  <c r="Z12" i="1"/>
  <c r="I14" i="1"/>
  <c r="A104" i="1"/>
  <c r="E43" i="1" l="1"/>
  <c r="E44" i="1" s="1"/>
  <c r="A105" i="1"/>
  <c r="C15" i="1" l="1"/>
  <c r="A106" i="1"/>
  <c r="E30" i="1" l="1"/>
  <c r="A107" i="1"/>
  <c r="G103" i="1" l="1"/>
  <c r="A108" i="1"/>
  <c r="F93" i="1" l="1"/>
  <c r="B118" i="1" l="1"/>
  <c r="G97" i="1" l="1"/>
  <c r="F11" i="5" l="1"/>
  <c r="G11" i="5" s="1"/>
  <c r="F10" i="5"/>
  <c r="G10" i="5" s="1"/>
  <c r="F9" i="5"/>
  <c r="G9" i="5" s="1"/>
  <c r="F8" i="5"/>
  <c r="G8" i="5" s="1"/>
  <c r="F7" i="5"/>
  <c r="G7" i="5" s="1"/>
  <c r="F6" i="5"/>
  <c r="G6" i="5" s="1"/>
  <c r="F5" i="5"/>
  <c r="G5" i="5" s="1"/>
  <c r="G12" i="5" s="1"/>
  <c r="D137" i="1"/>
  <c r="G110" i="1"/>
  <c r="C66" i="1"/>
  <c r="B67" i="1" s="1"/>
  <c r="D55" i="1"/>
  <c r="G50" i="1"/>
  <c r="G51" i="1" s="1"/>
  <c r="C50" i="1"/>
  <c r="E27" i="1"/>
  <c r="E25" i="1"/>
  <c r="E3" i="1"/>
  <c r="D60" i="1" l="1"/>
  <c r="H67" i="1"/>
  <c r="D79" i="1" l="1"/>
  <c r="D77" i="1"/>
  <c r="D76" i="1"/>
  <c r="D73" i="1"/>
  <c r="D75" i="1"/>
  <c r="J72" i="1"/>
  <c r="J73" i="1" s="1"/>
  <c r="J78" i="1" s="1"/>
  <c r="D78" i="1"/>
  <c r="J66" i="1"/>
  <c r="J68" i="1" s="1"/>
  <c r="D74" i="1"/>
  <c r="J70" i="1"/>
  <c r="J71" i="1"/>
  <c r="J69" i="1"/>
  <c r="J74" i="1"/>
  <c r="J75" i="1" s="1"/>
  <c r="J76" i="1" s="1"/>
  <c r="J77" i="1" s="1"/>
  <c r="D72" i="1"/>
  <c r="C70" i="1" l="1"/>
  <c r="D70" i="1" s="1"/>
  <c r="J79" i="1"/>
  <c r="C71" i="1" l="1"/>
  <c r="J67" i="1" s="1"/>
  <c r="G70" i="1" l="1"/>
  <c r="D64" i="1" s="1"/>
  <c r="E70" i="1"/>
  <c r="D71" i="1"/>
  <c r="I67" i="1" s="1"/>
  <c r="I68" i="1" s="1"/>
  <c r="I66" i="1" l="1"/>
  <c r="C68" i="1" s="1"/>
  <c r="D65" i="1"/>
  <c r="F65" i="1"/>
</calcChain>
</file>

<file path=xl/comments1.xml><?xml version="1.0" encoding="utf-8"?>
<comments xmlns="http://schemas.openxmlformats.org/spreadsheetml/2006/main">
  <authors>
    <author>Sachin</author>
  </authors>
  <commentList>
    <comment ref="E11" authorId="0">
      <text>
        <r>
          <rPr>
            <b/>
            <sz val="9"/>
            <color indexed="81"/>
            <rFont val="Tahoma"/>
            <family val="2"/>
          </rPr>
          <t>Sachin:</t>
        </r>
        <r>
          <rPr>
            <sz val="9"/>
            <color indexed="81"/>
            <rFont val="Tahoma"/>
            <family val="2"/>
          </rPr>
          <t xml:space="preserve">
Building No. 
Tower No.
Wing 
Bunglow No., etc</t>
        </r>
      </text>
    </comment>
    <comment ref="E12" authorId="0">
      <text>
        <r>
          <rPr>
            <b/>
            <sz val="9"/>
            <color indexed="81"/>
            <rFont val="Tahoma"/>
            <family val="2"/>
          </rPr>
          <t>Sachin:</t>
        </r>
        <r>
          <rPr>
            <sz val="9"/>
            <color indexed="81"/>
            <rFont val="Tahoma"/>
            <family val="2"/>
          </rPr>
          <t xml:space="preserve">
If exisiting Building is provided write it or else
NA</t>
        </r>
      </text>
    </comment>
    <comment ref="D55" authorId="0">
      <text>
        <r>
          <rPr>
            <b/>
            <sz val="9"/>
            <color indexed="81"/>
            <rFont val="Tahoma"/>
            <family val="2"/>
          </rPr>
          <t>Sachin:</t>
        </r>
        <r>
          <rPr>
            <sz val="9"/>
            <color indexed="81"/>
            <rFont val="Tahoma"/>
            <family val="2"/>
          </rPr>
          <t xml:space="preserve">
If multiple building in project or complex just mention builtup of required building</t>
        </r>
      </text>
    </comment>
  </commentList>
</comments>
</file>

<file path=xl/sharedStrings.xml><?xml version="1.0" encoding="utf-8"?>
<sst xmlns="http://schemas.openxmlformats.org/spreadsheetml/2006/main" count="377" uniqueCount="279">
  <si>
    <t xml:space="preserve">Valuation Report </t>
  </si>
  <si>
    <t>Date:</t>
  </si>
  <si>
    <t>CPC Name:</t>
  </si>
  <si>
    <t>Date Of Property Visit</t>
  </si>
  <si>
    <t>Name of the builder company</t>
  </si>
  <si>
    <t>Name of the Project</t>
  </si>
  <si>
    <t>Name / No of the Building</t>
  </si>
  <si>
    <t>Docouments Provided</t>
  </si>
  <si>
    <t>RERA No.</t>
  </si>
  <si>
    <t xml:space="preserve">Project location details       </t>
  </si>
  <si>
    <t>Road</t>
  </si>
  <si>
    <t>District</t>
  </si>
  <si>
    <t>City</t>
  </si>
  <si>
    <t>Pin Code</t>
  </si>
  <si>
    <t xml:space="preserve">Distance from city centre: </t>
  </si>
  <si>
    <t>all available at  1 to 2 km.</t>
  </si>
  <si>
    <t>Does property have Electricity / Water / Drainage Connection</t>
  </si>
  <si>
    <t>Yes</t>
  </si>
  <si>
    <t>Class of locality</t>
  </si>
  <si>
    <t>Nature of land with topographical condtion</t>
  </si>
  <si>
    <t>Plane</t>
  </si>
  <si>
    <t xml:space="preserve">Nature of the locality </t>
  </si>
  <si>
    <t>Quality of infrastructure in vicinity</t>
  </si>
  <si>
    <t>Good</t>
  </si>
  <si>
    <t>East</t>
  </si>
  <si>
    <t>West</t>
  </si>
  <si>
    <t>South</t>
  </si>
  <si>
    <t>North</t>
  </si>
  <si>
    <t>NA</t>
  </si>
  <si>
    <t>At site</t>
  </si>
  <si>
    <t>Does the boundaries at site match, as mentioned in the Docoumentation: NA</t>
  </si>
  <si>
    <t xml:space="preserve">Approved usage of the Property:                                                                                                                                             </t>
  </si>
  <si>
    <t>No</t>
  </si>
  <si>
    <t>Area Statement Details :</t>
  </si>
  <si>
    <t>Total land area of the project in Sq. Mt.</t>
  </si>
  <si>
    <t>Permissible FSI</t>
  </si>
  <si>
    <t>Permissible TDR/Paid FSI</t>
  </si>
  <si>
    <t>Total FSI availaible for the project</t>
  </si>
  <si>
    <t>Total number of Buildings</t>
  </si>
  <si>
    <t xml:space="preserve">Approval Detail : Plan approval </t>
  </si>
  <si>
    <t xml:space="preserve">Layout Approval No     </t>
  </si>
  <si>
    <t>Dated</t>
  </si>
  <si>
    <t xml:space="preserve">Approved Floor plan No.  </t>
  </si>
  <si>
    <t xml:space="preserve">O. Certificate No.: </t>
  </si>
  <si>
    <t>Expected Completion</t>
  </si>
  <si>
    <t>Building wise Construction details</t>
  </si>
  <si>
    <t>Approved no of units</t>
  </si>
  <si>
    <t>Approved no of Floors</t>
  </si>
  <si>
    <t>Type of Work</t>
  </si>
  <si>
    <t>Plinth</t>
  </si>
  <si>
    <t xml:space="preserve">Recommended rate of Parking </t>
  </si>
  <si>
    <t>Distressed valuation of the Property</t>
  </si>
  <si>
    <t>Building &amp; Wing</t>
  </si>
  <si>
    <t>Total Carpet Area</t>
  </si>
  <si>
    <t>Total Saleable Area</t>
  </si>
  <si>
    <t>Building details Floor Wise</t>
  </si>
  <si>
    <t>Description</t>
  </si>
  <si>
    <t>Gross Carpet area</t>
  </si>
  <si>
    <t>Attached Terrace area</t>
  </si>
  <si>
    <t>Floor</t>
  </si>
  <si>
    <t>Undertaking :</t>
  </si>
  <si>
    <t>1) We have personally visited the property &amp; identified the same based on the documents provided.</t>
  </si>
  <si>
    <t>2) I/We have no direct or Indirect Interest in the property being valued</t>
  </si>
  <si>
    <t>3) The information furnished above is true and correct to my/our knowledge.</t>
  </si>
  <si>
    <t>4) Legal title of the property is not verified by us.</t>
  </si>
  <si>
    <t xml:space="preserve">PHOTOGRAPHS OF PROPERTY : 
</t>
  </si>
  <si>
    <t>Google Map :</t>
  </si>
  <si>
    <t xml:space="preserve">Remarks:  </t>
  </si>
  <si>
    <t>Flat</t>
  </si>
  <si>
    <t>Residential Area Details :</t>
  </si>
  <si>
    <t>Podium</t>
  </si>
  <si>
    <t>Ground</t>
  </si>
  <si>
    <t>Locality/Village</t>
  </si>
  <si>
    <t>Taluka</t>
  </si>
  <si>
    <t>Accessibility to the Project from the City: (Proximity to civic amenities like school, hospital, market, etc.)</t>
  </si>
  <si>
    <t>Inspected By :</t>
  </si>
  <si>
    <t>No. of Units</t>
  </si>
  <si>
    <t>Authorized Signatory
Name &amp; Seal of the agency</t>
  </si>
  <si>
    <t>Floors</t>
  </si>
  <si>
    <t>Type of Structure</t>
  </si>
  <si>
    <t>RCC Frame Structure</t>
  </si>
  <si>
    <t>Complition %</t>
  </si>
  <si>
    <t>Disbursement %</t>
  </si>
  <si>
    <t>Progress %</t>
  </si>
  <si>
    <t xml:space="preserve">Material laying at Site: </t>
  </si>
  <si>
    <t>Projected life of the structure</t>
  </si>
  <si>
    <t xml:space="preserve">Quality of construction: </t>
  </si>
  <si>
    <t>Proposed no of Floors</t>
  </si>
  <si>
    <t xml:space="preserve">Stage of construction: </t>
  </si>
  <si>
    <t>Approved area of building (Sq.Mt)</t>
  </si>
  <si>
    <t>Total Approved Builtup area of the project (Sq.Mt)</t>
  </si>
  <si>
    <t>Restrictive Covenants in regard to Land Use</t>
  </si>
  <si>
    <t>Boundries</t>
  </si>
  <si>
    <t>Club Charges</t>
  </si>
  <si>
    <t>Gas Connection Charges</t>
  </si>
  <si>
    <t>Water, Electricity, Drainages, Sewerage Connection</t>
  </si>
  <si>
    <t>Society Formation Charges</t>
  </si>
  <si>
    <t>Advance Maintenance Charges</t>
  </si>
  <si>
    <t>Excavation in process</t>
  </si>
  <si>
    <t>Excavation Completed</t>
  </si>
  <si>
    <t>Footing in Process</t>
  </si>
  <si>
    <t>Footing Completed</t>
  </si>
  <si>
    <t>Plinth completed</t>
  </si>
  <si>
    <t>NA
Approved upto : NA</t>
  </si>
  <si>
    <t>Report By :</t>
  </si>
  <si>
    <t>Market Research Data</t>
  </si>
  <si>
    <t>Source</t>
  </si>
  <si>
    <t>Distance from proposed property</t>
  </si>
  <si>
    <t>Net Carpet</t>
  </si>
  <si>
    <t>Market Value</t>
  </si>
  <si>
    <t>Magic Brick</t>
  </si>
  <si>
    <t>99 Acres</t>
  </si>
  <si>
    <t>Average</t>
  </si>
  <si>
    <t xml:space="preserve">Valuation Adopted </t>
  </si>
  <si>
    <t>Saleable Area</t>
  </si>
  <si>
    <t>Rate on Saleable</t>
  </si>
  <si>
    <t xml:space="preserve">Wheather the construction is as per approved Building plan : </t>
  </si>
  <si>
    <r>
      <t xml:space="preserve">Flat No.
</t>
    </r>
    <r>
      <rPr>
        <b/>
        <sz val="11"/>
        <color rgb="FF000000"/>
        <rFont val="Times New Roman"/>
        <family val="1"/>
      </rPr>
      <t>(Approved Plan)</t>
    </r>
  </si>
  <si>
    <t>01 Building</t>
  </si>
  <si>
    <t>Nearby Landmark</t>
  </si>
  <si>
    <t>We considered Carpet area as per Approved Plan.</t>
  </si>
  <si>
    <t>We have considered rate by verifying it from market inquire.</t>
  </si>
  <si>
    <t>Car parking is subjected to authentic documentation.</t>
  </si>
  <si>
    <t>5) Gross carpet area =  Net Carpet area + Fungible area.</t>
  </si>
  <si>
    <t>6) Fungible Area= Enclosed Balcony + Flower Bed + Covered Balcony + Service Slab + Duct + Chajja + Wheather Shed area.</t>
  </si>
  <si>
    <t>Excavation</t>
  </si>
  <si>
    <t>RCC (Including podiums)</t>
  </si>
  <si>
    <t>Brickwork &amp; Internal Plaster</t>
  </si>
  <si>
    <t>Flooring &amp; Fitting</t>
  </si>
  <si>
    <t>External Plaster &amp; Plumbing</t>
  </si>
  <si>
    <t>Building Common Amenities</t>
  </si>
  <si>
    <t>Possession</t>
  </si>
  <si>
    <t>Ext. Plaster &amp; Plumbing</t>
  </si>
  <si>
    <t>Brickwork</t>
  </si>
  <si>
    <t>Internal Plaster</t>
  </si>
  <si>
    <t>Painting &amp; Wooden</t>
  </si>
  <si>
    <t>Slab/Floor</t>
  </si>
  <si>
    <t>Construction details:</t>
  </si>
  <si>
    <t>Piling Work in process</t>
  </si>
  <si>
    <t>Basement</t>
  </si>
  <si>
    <t>Basement 2</t>
  </si>
  <si>
    <t>Basement 3</t>
  </si>
  <si>
    <t>Basement 4</t>
  </si>
  <si>
    <t>Basement 1</t>
  </si>
  <si>
    <t>Plinth in process</t>
  </si>
  <si>
    <t xml:space="preserve">Violations Observed if any : </t>
  </si>
  <si>
    <t>Name of Municipal Corporation/Authority</t>
  </si>
  <si>
    <t>We have considered proposed No. of Floor for Stage Calculation.</t>
  </si>
  <si>
    <t>*</t>
  </si>
  <si>
    <t>Recommended rate should be considered as all inclusive rate if other charges are not mentioned. (Excluding GST &amp; other government Taxes)</t>
  </si>
  <si>
    <t xml:space="preserve">Recommended Rates of the Property : </t>
  </si>
  <si>
    <t>Recommended rate of the Shop Per Sq. Ft.</t>
  </si>
  <si>
    <t>Recommended rate of the Flat Per Sq. Ft.</t>
  </si>
  <si>
    <t>Recommended rate of the Office Per Sq. Ft.</t>
  </si>
  <si>
    <t>On Saleable Area</t>
  </si>
  <si>
    <t>Legal Charges</t>
  </si>
  <si>
    <t>Location Link</t>
  </si>
  <si>
    <t>Locality</t>
  </si>
  <si>
    <t>Layout :</t>
  </si>
  <si>
    <t>Office No. 1031, Wing J, Akshar Business Park, Plot No. 03 Sector 25, Near APMC Market, Vashi, Navi Mumbai, Maharashtra 400703 TEL: 022-46090378/79/80                                                                       
E mail : vsjcapf@gmail.com. Web site : www.vsjadon.com</t>
  </si>
  <si>
    <t>Latitude, Longitude</t>
  </si>
  <si>
    <t>Grand Total</t>
  </si>
  <si>
    <t>Provided Contact Details (Name &amp; Contact No.)</t>
  </si>
  <si>
    <t>Site Person - Contact Details (Name &amp; Contact No.)</t>
  </si>
  <si>
    <t>Approved Plans, CC, Sale Plans, Builder Saleable Area, Cost Sheet, Airport Noc, Railway Noc, OC</t>
  </si>
  <si>
    <t>Name / No of the Existing Building</t>
  </si>
  <si>
    <t>Mumbai</t>
  </si>
  <si>
    <t>As per Layout</t>
  </si>
  <si>
    <t>Floor Rise Rate from    Floor</t>
  </si>
  <si>
    <t>Flat No. (Sale Plan)</t>
  </si>
  <si>
    <t xml:space="preserve">Thane </t>
  </si>
  <si>
    <t>Thane</t>
  </si>
  <si>
    <t>Shahpur</t>
  </si>
  <si>
    <t>Kalyan</t>
  </si>
  <si>
    <t>Bhiwandi</t>
  </si>
  <si>
    <t>Ulhasnagar</t>
  </si>
  <si>
    <t>Ambernath</t>
  </si>
  <si>
    <t>Murbad</t>
  </si>
  <si>
    <t>Mokhada</t>
  </si>
  <si>
    <t>Talasari</t>
  </si>
  <si>
    <t>Palghar</t>
  </si>
  <si>
    <t>Vasai</t>
  </si>
  <si>
    <t>Vikramgad</t>
  </si>
  <si>
    <t>Dahanu</t>
  </si>
  <si>
    <t>Wada</t>
  </si>
  <si>
    <t>Raigad</t>
  </si>
  <si>
    <t>Alibag</t>
  </si>
  <si>
    <t>Panvel</t>
  </si>
  <si>
    <t>Uran</t>
  </si>
  <si>
    <t>Karjat</t>
  </si>
  <si>
    <t>Khalapur</t>
  </si>
  <si>
    <t>Pen</t>
  </si>
  <si>
    <t>Sudhagad</t>
  </si>
  <si>
    <t>Mahad</t>
  </si>
  <si>
    <t>Roha</t>
  </si>
  <si>
    <t>Mangaon</t>
  </si>
  <si>
    <t>Poladpur</t>
  </si>
  <si>
    <t>Mahasala</t>
  </si>
  <si>
    <t>Shriwardhan</t>
  </si>
  <si>
    <t>Murud</t>
  </si>
  <si>
    <t>Andheri</t>
  </si>
  <si>
    <t>Borivali</t>
  </si>
  <si>
    <t>Kurla</t>
  </si>
  <si>
    <t>Pune</t>
  </si>
  <si>
    <t>Pune City</t>
  </si>
  <si>
    <t>Khed</t>
  </si>
  <si>
    <t>Baramati</t>
  </si>
  <si>
    <t>Junnar</t>
  </si>
  <si>
    <t>Shirur</t>
  </si>
  <si>
    <t>Indapur</t>
  </si>
  <si>
    <t>Daund</t>
  </si>
  <si>
    <t>Mawal</t>
  </si>
  <si>
    <t>Ambegaon</t>
  </si>
  <si>
    <t>Purandhar</t>
  </si>
  <si>
    <t>Bhor</t>
  </si>
  <si>
    <t>Mulshi</t>
  </si>
  <si>
    <t>Velhe</t>
  </si>
  <si>
    <t>Haveli</t>
  </si>
  <si>
    <t>Approved Plans, CC</t>
  </si>
  <si>
    <t>Approved Plans, CC, Sale Plans</t>
  </si>
  <si>
    <t>Approved Plans, CC, Sale Plans, Builder Saleable Area</t>
  </si>
  <si>
    <t>Approved Plans, CC, Sale Plans, Builder Saleable Area, Cost Sheet,</t>
  </si>
  <si>
    <t>Approved Plans, CC, Builder Saleable Area,</t>
  </si>
  <si>
    <t xml:space="preserve">Valid Up to: </t>
  </si>
  <si>
    <r>
      <t xml:space="preserve">Proposed Amenities :                                                                                                                                                                                                                         </t>
    </r>
    <r>
      <rPr>
        <b/>
        <sz val="12"/>
        <rFont val="Times New Roman"/>
        <family val="1"/>
      </rPr>
      <t xml:space="preserve">                                               </t>
    </r>
  </si>
  <si>
    <t>Survey No</t>
  </si>
  <si>
    <t>Axis Sanpada</t>
  </si>
  <si>
    <t>Name of the builder</t>
  </si>
  <si>
    <t>Mr. Kaustubh Jeevan Kulkarni</t>
  </si>
  <si>
    <t>P52000046434</t>
  </si>
  <si>
    <t>27/A/1/7, 29/1/A</t>
  </si>
  <si>
    <t>Chendhare</t>
  </si>
  <si>
    <t>S. No.27A/4</t>
  </si>
  <si>
    <t>S. No.29/2</t>
  </si>
  <si>
    <t>Other Plot</t>
  </si>
  <si>
    <t>MS/LNA-1S.R./98/2011</t>
  </si>
  <si>
    <t>MS/L.N.A./A-1(A)/T.No.5340/S.R.98/2011</t>
  </si>
  <si>
    <t>Ground + 1st to 7th Floor</t>
  </si>
  <si>
    <t>As per RERA - 31/12/2025</t>
  </si>
  <si>
    <t>Vitrified tiles flooring, Granite Kitchen Platform, Decorative
Entrance &amp; Landscape Garden, etc.</t>
  </si>
  <si>
    <t xml:space="preserve">Details of Residential in Building   </t>
  </si>
  <si>
    <t>Ground Floor For Parking, Society Office &amp; Drivers Room</t>
  </si>
  <si>
    <t>1st to 6th Floor For Residential</t>
  </si>
  <si>
    <t>2BHK</t>
  </si>
  <si>
    <t>1BHK</t>
  </si>
  <si>
    <t>7th Floor (Part Terrace Area)</t>
  </si>
  <si>
    <t>3BHK</t>
  </si>
  <si>
    <t>Terrace area</t>
  </si>
  <si>
    <t>Flats</t>
  </si>
  <si>
    <t>-</t>
  </si>
  <si>
    <t>Builder Saleable area</t>
  </si>
  <si>
    <t>We considered Gross carpet area = Net carpet + Balcony + D.B Area.</t>
  </si>
  <si>
    <t>Flats - 40</t>
  </si>
  <si>
    <t>Nagarrachna Vibhag, Raigad-Alibag</t>
  </si>
  <si>
    <t>Approved Plans, CC, Builder saleable area &amp; Cost Sheet.</t>
  </si>
  <si>
    <t xml:space="preserve">18.659327, 72.879405
</t>
  </si>
  <si>
    <t>https://goo.gl/maps/yzr213uRR7gYWXRJ8</t>
  </si>
  <si>
    <t>Seagull Residency CHS</t>
  </si>
  <si>
    <t>Open Plot</t>
  </si>
  <si>
    <t>Suryaprabha Apt</t>
  </si>
  <si>
    <t>Gaurinandan CHS</t>
  </si>
  <si>
    <t>Savta Mali Road</t>
  </si>
  <si>
    <t>Mhatre Wadi</t>
  </si>
  <si>
    <t>Seagull Residency Co.Op Housing Society</t>
  </si>
  <si>
    <t>1.70 KM from Alibag Bus Stand</t>
  </si>
  <si>
    <t>CP</t>
  </si>
  <si>
    <t>Nitesh patil</t>
  </si>
  <si>
    <t>M/s. Kulkarni Realtors</t>
  </si>
  <si>
    <t>CC cum NA Certificate No.</t>
  </si>
  <si>
    <t>North Direction in Layout is wrong taken as per map</t>
  </si>
  <si>
    <t>G + 1st to 7th Floor</t>
  </si>
  <si>
    <t>Shubhada Coop Housing Society proposed</t>
  </si>
  <si>
    <t>Mr. Kaustubh Kulkarni - 9881716453</t>
  </si>
  <si>
    <t>Cost Sheet</t>
  </si>
  <si>
    <t>Development Charges + Including Electric Meter + Cabeling + Transformation Etc</t>
  </si>
  <si>
    <t>31  to 34</t>
  </si>
  <si>
    <t>Balaji Palms Phase -II</t>
  </si>
  <si>
    <t>Construction work is in process at the time of Visit (Labour found).</t>
  </si>
  <si>
    <t>Shruti Tathare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</si>
</sst>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3" formatCode="_ * #,##0.00_ ;_ * \-#,##0.00_ ;_ * &quot;-&quot;??_ ;_ @_ "/>
    <numFmt numFmtId="164" formatCode="0.0"/>
    <numFmt numFmtId="165" formatCode="_(* #,##0.00_);_(* \(#,##0.00\);_(* &quot;-&quot;??_);_(@_)"/>
    <numFmt numFmtId="166" formatCode="_(* #,##0_);_(* \(#,##0\);_(* &quot;-&quot;??_);_(@_)"/>
    <numFmt numFmtId="167" formatCode="_ * #,##0_ ;_ * \-#,##0_ ;_ * &quot;-&quot;??_ ;_ @_ "/>
    <numFmt numFmtId="168" formatCode="0.000"/>
  </numFmts>
  <fonts count="29" x14ac:knownFonts="1">
    <font>
      <sz val="11"/>
      <color rgb="FF000000"/>
      <name val="Calibri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indexed="8"/>
      <name val="Times New Roman"/>
      <family val="1"/>
    </font>
    <font>
      <sz val="11"/>
      <color indexed="8"/>
      <name val="Calibri"/>
      <family val="2"/>
    </font>
    <font>
      <sz val="12"/>
      <color indexed="8"/>
      <name val="Times New Roman"/>
      <family val="1"/>
    </font>
    <font>
      <sz val="12"/>
      <color theme="1"/>
      <name val="Times New Roman"/>
      <family val="1"/>
    </font>
    <font>
      <b/>
      <sz val="12"/>
      <color indexed="8"/>
      <name val="Times New Roman"/>
      <family val="1"/>
    </font>
    <font>
      <b/>
      <sz val="11"/>
      <color theme="1"/>
      <name val="Calibri"/>
      <family val="2"/>
      <scheme val="minor"/>
    </font>
    <font>
      <b/>
      <sz val="12"/>
      <color theme="1"/>
      <name val="Times New Roman"/>
      <family val="1"/>
    </font>
    <font>
      <b/>
      <sz val="11.5"/>
      <color indexed="8"/>
      <name val="Times New Roman"/>
      <family val="1"/>
    </font>
    <font>
      <sz val="12"/>
      <name val="Times New Roman"/>
      <family val="1"/>
    </font>
    <font>
      <b/>
      <sz val="12"/>
      <name val="Times New Roman"/>
      <family val="1"/>
    </font>
    <font>
      <sz val="11"/>
      <name val="Times New Roman"/>
      <family val="1"/>
    </font>
    <font>
      <sz val="12"/>
      <color rgb="FFFF0000"/>
      <name val="Times New Roman"/>
      <family val="1"/>
    </font>
    <font>
      <sz val="11"/>
      <color theme="1"/>
      <name val="Times New Roman"/>
      <family val="1"/>
    </font>
    <font>
      <sz val="11"/>
      <color rgb="FF000000"/>
      <name val="Times New Roman"/>
      <family val="1"/>
    </font>
    <font>
      <sz val="11"/>
      <color rgb="FFFF0000"/>
      <name val="Calibri"/>
      <family val="2"/>
      <scheme val="minor"/>
    </font>
    <font>
      <sz val="11"/>
      <color rgb="FFFF0000"/>
      <name val="Calibri"/>
      <family val="2"/>
    </font>
    <font>
      <sz val="10"/>
      <name val="Arial"/>
      <family val="2"/>
    </font>
    <font>
      <sz val="11"/>
      <color rgb="FF000000"/>
      <name val="Calibri"/>
      <family val="2"/>
    </font>
    <font>
      <b/>
      <sz val="11"/>
      <color rgb="FF000000"/>
      <name val="Times New Roman"/>
      <family val="1"/>
    </font>
    <font>
      <sz val="10"/>
      <color theme="1"/>
      <name val="Times New Roman"/>
      <family val="1"/>
    </font>
    <font>
      <sz val="11"/>
      <name val="Calibri"/>
      <family val="2"/>
    </font>
    <font>
      <sz val="11"/>
      <color theme="0"/>
      <name val="Calibri"/>
      <family val="2"/>
    </font>
    <font>
      <u/>
      <sz val="11"/>
      <color theme="10"/>
      <name val="Calibri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FFFF"/>
        <bgColor indexed="64"/>
      </patternFill>
    </fill>
  </fills>
  <borders count="2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</borders>
  <cellStyleXfs count="11">
    <xf numFmtId="0" fontId="0" fillId="0" borderId="0"/>
    <xf numFmtId="0" fontId="3" fillId="0" borderId="0"/>
    <xf numFmtId="0" fontId="5" fillId="0" borderId="0"/>
    <xf numFmtId="0" fontId="2" fillId="0" borderId="0"/>
    <xf numFmtId="0" fontId="5" fillId="0" borderId="0"/>
    <xf numFmtId="0" fontId="1" fillId="0" borderId="0"/>
    <xf numFmtId="165" fontId="5" fillId="0" borderId="0" applyFont="0" applyFill="0" applyBorder="0" applyAlignment="0" applyProtection="0"/>
    <xf numFmtId="0" fontId="20" fillId="0" borderId="0"/>
    <xf numFmtId="9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26" fillId="0" borderId="0" applyNumberFormat="0" applyFill="0" applyBorder="0" applyAlignment="0" applyProtection="0"/>
  </cellStyleXfs>
  <cellXfs count="196">
    <xf numFmtId="0" fontId="0" fillId="0" borderId="0" xfId="0"/>
    <xf numFmtId="0" fontId="5" fillId="0" borderId="0" xfId="4"/>
    <xf numFmtId="0" fontId="1" fillId="0" borderId="0" xfId="5"/>
    <xf numFmtId="0" fontId="9" fillId="0" borderId="1" xfId="5" applyFont="1" applyBorder="1" applyAlignment="1">
      <alignment horizontal="center" vertical="top" wrapText="1"/>
    </xf>
    <xf numFmtId="0" fontId="19" fillId="0" borderId="0" xfId="4" applyFont="1"/>
    <xf numFmtId="0" fontId="1" fillId="0" borderId="1" xfId="5" applyBorder="1" applyAlignment="1">
      <alignment horizontal="center" vertical="center"/>
    </xf>
    <xf numFmtId="0" fontId="1" fillId="0" borderId="1" xfId="5" applyBorder="1" applyAlignment="1">
      <alignment horizontal="left" vertical="center"/>
    </xf>
    <xf numFmtId="1" fontId="1" fillId="0" borderId="1" xfId="5" applyNumberFormat="1" applyBorder="1" applyAlignment="1">
      <alignment horizontal="center" vertical="center"/>
    </xf>
    <xf numFmtId="166" fontId="1" fillId="0" borderId="1" xfId="6" applyNumberFormat="1" applyFont="1" applyBorder="1" applyAlignment="1">
      <alignment horizontal="right" vertical="center"/>
    </xf>
    <xf numFmtId="0" fontId="1" fillId="0" borderId="1" xfId="5" applyBorder="1" applyAlignment="1">
      <alignment horizontal="left" vertical="center" wrapText="1"/>
    </xf>
    <xf numFmtId="0" fontId="9" fillId="0" borderId="1" xfId="5" applyFont="1" applyBorder="1" applyAlignment="1">
      <alignment horizontal="center" vertical="center"/>
    </xf>
    <xf numFmtId="1" fontId="18" fillId="0" borderId="1" xfId="5" applyNumberFormat="1" applyFont="1" applyBorder="1" applyAlignment="1">
      <alignment horizontal="center" vertical="center"/>
    </xf>
    <xf numFmtId="0" fontId="5" fillId="0" borderId="1" xfId="4" applyBorder="1" applyAlignment="1">
      <alignment horizontal="center" vertical="center"/>
    </xf>
    <xf numFmtId="0" fontId="6" fillId="0" borderId="1" xfId="1" applyFont="1" applyBorder="1" applyAlignment="1" applyProtection="1">
      <alignment vertical="top" wrapText="1"/>
      <protection locked="0"/>
    </xf>
    <xf numFmtId="0" fontId="7" fillId="0" borderId="0" xfId="1" applyFont="1"/>
    <xf numFmtId="0" fontId="15" fillId="0" borderId="0" xfId="1" applyFont="1"/>
    <xf numFmtId="0" fontId="12" fillId="0" borderId="0" xfId="1" applyFont="1"/>
    <xf numFmtId="1" fontId="7" fillId="0" borderId="0" xfId="1" applyNumberFormat="1" applyFont="1"/>
    <xf numFmtId="14" fontId="7" fillId="0" borderId="0" xfId="1" applyNumberFormat="1" applyFont="1"/>
    <xf numFmtId="0" fontId="7" fillId="0" borderId="0" xfId="1" applyFont="1" applyProtection="1">
      <protection hidden="1"/>
    </xf>
    <xf numFmtId="0" fontId="23" fillId="0" borderId="0" xfId="1" applyFont="1"/>
    <xf numFmtId="0" fontId="16" fillId="0" borderId="0" xfId="1" applyFont="1"/>
    <xf numFmtId="0" fontId="6" fillId="0" borderId="0" xfId="2" applyFont="1"/>
    <xf numFmtId="0" fontId="7" fillId="0" borderId="0" xfId="0" applyFont="1" applyAlignment="1">
      <alignment horizontal="center" vertical="center"/>
    </xf>
    <xf numFmtId="1" fontId="7" fillId="0" borderId="0" xfId="1" applyNumberFormat="1" applyFont="1" applyAlignment="1">
      <alignment horizontal="center" vertical="center"/>
    </xf>
    <xf numFmtId="0" fontId="7" fillId="0" borderId="0" xfId="1" applyFont="1" applyAlignment="1">
      <alignment horizontal="center" vertical="center"/>
    </xf>
    <xf numFmtId="0" fontId="8" fillId="0" borderId="0" xfId="1" applyFont="1" applyAlignment="1" applyProtection="1">
      <alignment vertical="top"/>
      <protection locked="0"/>
    </xf>
    <xf numFmtId="0" fontId="8" fillId="0" borderId="0" xfId="1" applyFont="1" applyAlignment="1" applyProtection="1">
      <alignment vertical="top" wrapText="1"/>
      <protection locked="0"/>
    </xf>
    <xf numFmtId="0" fontId="7" fillId="0" borderId="0" xfId="1" applyFont="1" applyProtection="1">
      <protection locked="0"/>
    </xf>
    <xf numFmtId="0" fontId="10" fillId="0" borderId="0" xfId="1" applyFont="1" applyProtection="1">
      <protection locked="0"/>
    </xf>
    <xf numFmtId="1" fontId="6" fillId="0" borderId="1" xfId="1" applyNumberFormat="1" applyFont="1" applyBorder="1" applyAlignment="1" applyProtection="1">
      <alignment horizontal="center" vertical="center" wrapText="1"/>
      <protection locked="0"/>
    </xf>
    <xf numFmtId="0" fontId="8" fillId="0" borderId="1" xfId="1" applyFont="1" applyBorder="1" applyAlignment="1" applyProtection="1">
      <alignment vertical="top"/>
      <protection locked="0"/>
    </xf>
    <xf numFmtId="1" fontId="6" fillId="0" borderId="1" xfId="0" applyNumberFormat="1" applyFont="1" applyBorder="1" applyAlignment="1" applyProtection="1">
      <alignment horizontal="center" vertical="center" wrapText="1"/>
      <protection locked="0"/>
    </xf>
    <xf numFmtId="1" fontId="8" fillId="0" borderId="2" xfId="1" applyNumberFormat="1" applyFont="1" applyBorder="1" applyAlignment="1" applyProtection="1">
      <alignment horizontal="center" vertical="top" wrapText="1"/>
      <protection locked="0"/>
    </xf>
    <xf numFmtId="0" fontId="0" fillId="0" borderId="0" xfId="0" applyAlignment="1">
      <alignment horizontal="center" vertical="center"/>
    </xf>
    <xf numFmtId="0" fontId="0" fillId="0" borderId="1" xfId="0" applyBorder="1" applyAlignment="1">
      <alignment horizontal="center" vertical="center"/>
    </xf>
    <xf numFmtId="1" fontId="6" fillId="0" borderId="1" xfId="1" applyNumberFormat="1" applyFont="1" applyBorder="1" applyAlignment="1" applyProtection="1">
      <alignment horizontal="center" vertical="center" wrapText="1"/>
      <protection locked="0"/>
    </xf>
    <xf numFmtId="1" fontId="8" fillId="0" borderId="2" xfId="1" applyNumberFormat="1" applyFont="1" applyBorder="1" applyAlignment="1" applyProtection="1">
      <alignment horizontal="center" vertical="top" wrapText="1"/>
      <protection locked="0"/>
    </xf>
    <xf numFmtId="0" fontId="7" fillId="0" borderId="0" xfId="1" applyFont="1" applyAlignment="1">
      <alignment horizontal="center" vertical="center"/>
    </xf>
    <xf numFmtId="1" fontId="4" fillId="0" borderId="2" xfId="1" applyNumberFormat="1" applyFont="1" applyBorder="1" applyAlignment="1" applyProtection="1">
      <alignment horizontal="center" vertical="top" wrapText="1"/>
      <protection locked="0"/>
    </xf>
    <xf numFmtId="1" fontId="8" fillId="0" borderId="14" xfId="1" applyNumberFormat="1" applyFont="1" applyBorder="1" applyAlignment="1" applyProtection="1">
      <alignment horizontal="center" vertical="top" wrapText="1"/>
      <protection locked="0"/>
    </xf>
    <xf numFmtId="2" fontId="7" fillId="0" borderId="0" xfId="1" applyNumberFormat="1" applyFont="1" applyAlignment="1">
      <alignment horizontal="center" vertical="center"/>
    </xf>
    <xf numFmtId="168" fontId="7" fillId="0" borderId="0" xfId="1" applyNumberFormat="1" applyFont="1" applyAlignment="1">
      <alignment horizontal="center" vertical="center"/>
    </xf>
    <xf numFmtId="0" fontId="7" fillId="0" borderId="1" xfId="1" applyFont="1" applyBorder="1" applyAlignment="1">
      <alignment horizontal="center" vertical="center"/>
    </xf>
    <xf numFmtId="0" fontId="7" fillId="0" borderId="0" xfId="1" applyFont="1" applyBorder="1"/>
    <xf numFmtId="0" fontId="15" fillId="0" borderId="0" xfId="1" applyFont="1" applyBorder="1"/>
    <xf numFmtId="0" fontId="12" fillId="0" borderId="0" xfId="1" applyFont="1" applyBorder="1" applyAlignment="1" applyProtection="1">
      <alignment vertical="top"/>
      <protection locked="0"/>
    </xf>
    <xf numFmtId="0" fontId="25" fillId="0" borderId="25" xfId="0" applyFont="1" applyFill="1" applyBorder="1"/>
    <xf numFmtId="0" fontId="7" fillId="0" borderId="0" xfId="1" applyFont="1" applyFill="1"/>
    <xf numFmtId="0" fontId="12" fillId="0" borderId="1" xfId="1" applyFont="1" applyFill="1" applyBorder="1" applyAlignment="1" applyProtection="1">
      <alignment horizontal="center" vertical="top"/>
      <protection locked="0"/>
    </xf>
    <xf numFmtId="0" fontId="6" fillId="0" borderId="1" xfId="1" applyFont="1" applyFill="1" applyBorder="1" applyAlignment="1" applyProtection="1">
      <alignment horizontal="center" vertical="top"/>
      <protection locked="0"/>
    </xf>
    <xf numFmtId="0" fontId="25" fillId="0" borderId="1" xfId="0" applyFont="1" applyFill="1" applyBorder="1"/>
    <xf numFmtId="0" fontId="25" fillId="0" borderId="4" xfId="0" applyFont="1" applyFill="1" applyBorder="1"/>
    <xf numFmtId="0" fontId="7" fillId="0" borderId="1" xfId="1" applyFont="1" applyFill="1" applyBorder="1" applyAlignment="1" applyProtection="1">
      <alignment horizontal="center" vertical="top" wrapText="1"/>
      <protection locked="0"/>
    </xf>
    <xf numFmtId="0" fontId="17" fillId="0" borderId="0" xfId="0" applyFont="1" applyFill="1" applyProtection="1">
      <protection hidden="1"/>
    </xf>
    <xf numFmtId="0" fontId="7" fillId="0" borderId="9" xfId="1" applyFont="1" applyFill="1" applyBorder="1"/>
    <xf numFmtId="9" fontId="7" fillId="0" borderId="1" xfId="8" applyFont="1" applyFill="1" applyBorder="1" applyAlignment="1" applyProtection="1">
      <alignment horizontal="center" vertical="top" wrapText="1"/>
      <protection locked="0"/>
    </xf>
    <xf numFmtId="0" fontId="17" fillId="0" borderId="9" xfId="0" applyFont="1" applyFill="1" applyBorder="1" applyProtection="1">
      <protection hidden="1"/>
    </xf>
    <xf numFmtId="1" fontId="0" fillId="0" borderId="9" xfId="0" applyNumberFormat="1" applyFill="1" applyBorder="1"/>
    <xf numFmtId="1" fontId="0" fillId="0" borderId="9" xfId="0" applyNumberFormat="1" applyFill="1" applyBorder="1" applyAlignment="1">
      <alignment horizontal="right"/>
    </xf>
    <xf numFmtId="0" fontId="7" fillId="0" borderId="6" xfId="1" applyFont="1" applyFill="1" applyBorder="1" applyAlignment="1" applyProtection="1">
      <alignment horizontal="center" vertical="top" wrapText="1"/>
      <protection locked="0"/>
    </xf>
    <xf numFmtId="9" fontId="7" fillId="0" borderId="6" xfId="8" applyFont="1" applyFill="1" applyBorder="1" applyAlignment="1" applyProtection="1">
      <alignment horizontal="center" vertical="top" wrapText="1"/>
      <protection locked="0"/>
    </xf>
    <xf numFmtId="0" fontId="17" fillId="0" borderId="10" xfId="0" applyFont="1" applyFill="1" applyBorder="1" applyProtection="1">
      <protection hidden="1"/>
    </xf>
    <xf numFmtId="1" fontId="0" fillId="0" borderId="11" xfId="0" applyNumberFormat="1" applyFill="1" applyBorder="1"/>
    <xf numFmtId="1" fontId="7" fillId="0" borderId="1" xfId="1" applyNumberFormat="1" applyFont="1" applyFill="1" applyBorder="1" applyAlignment="1" applyProtection="1">
      <alignment horizontal="center" vertical="top" wrapText="1"/>
      <protection locked="0"/>
    </xf>
    <xf numFmtId="1" fontId="6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7" fillId="0" borderId="0" xfId="1" applyFont="1" applyAlignment="1"/>
    <xf numFmtId="1" fontId="7" fillId="0" borderId="0" xfId="0" applyNumberFormat="1" applyFont="1" applyAlignment="1">
      <alignment horizontal="center" vertical="center"/>
    </xf>
    <xf numFmtId="1" fontId="10" fillId="0" borderId="0" xfId="0" applyNumberFormat="1" applyFont="1" applyAlignment="1">
      <alignment horizontal="center" vertical="center"/>
    </xf>
    <xf numFmtId="1" fontId="6" fillId="0" borderId="0" xfId="2" applyNumberFormat="1" applyFont="1" applyAlignment="1">
      <alignment horizontal="right"/>
    </xf>
    <xf numFmtId="0" fontId="10" fillId="0" borderId="0" xfId="1" applyFont="1"/>
    <xf numFmtId="0" fontId="0" fillId="3" borderId="0" xfId="0" applyFill="1" applyAlignment="1">
      <alignment horizontal="left" vertical="center" wrapText="1"/>
    </xf>
    <xf numFmtId="0" fontId="7" fillId="0" borderId="0" xfId="1" applyFont="1" applyBorder="1" applyAlignment="1"/>
    <xf numFmtId="0" fontId="24" fillId="2" borderId="12" xfId="0" applyFont="1" applyFill="1" applyBorder="1"/>
    <xf numFmtId="0" fontId="25" fillId="0" borderId="8" xfId="0" applyFont="1" applyFill="1" applyBorder="1"/>
    <xf numFmtId="0" fontId="7" fillId="0" borderId="3" xfId="1" applyFont="1" applyFill="1" applyBorder="1" applyAlignment="1" applyProtection="1">
      <alignment horizontal="center" vertical="top" wrapText="1"/>
      <protection locked="0"/>
    </xf>
    <xf numFmtId="0" fontId="7" fillId="0" borderId="1" xfId="1" applyFont="1" applyFill="1" applyBorder="1" applyAlignment="1" applyProtection="1">
      <alignment horizontal="center" vertical="top" wrapText="1"/>
      <protection locked="0"/>
    </xf>
    <xf numFmtId="0" fontId="12" fillId="0" borderId="1" xfId="1" applyFont="1" applyBorder="1" applyAlignment="1" applyProtection="1">
      <alignment horizontal="left" vertical="top"/>
      <protection locked="0"/>
    </xf>
    <xf numFmtId="0" fontId="12" fillId="0" borderId="1" xfId="1" applyFont="1" applyBorder="1" applyAlignment="1" applyProtection="1">
      <alignment horizontal="left" vertical="top" wrapText="1"/>
      <protection locked="0"/>
    </xf>
    <xf numFmtId="0" fontId="6" fillId="0" borderId="1" xfId="1" applyFont="1" applyBorder="1" applyAlignment="1" applyProtection="1">
      <alignment horizontal="left" vertical="top" wrapText="1"/>
      <protection locked="0"/>
    </xf>
    <xf numFmtId="1" fontId="6" fillId="0" borderId="7" xfId="1" applyNumberFormat="1" applyFont="1" applyBorder="1" applyAlignment="1" applyProtection="1">
      <alignment horizontal="center" vertical="center" wrapText="1"/>
      <protection locked="0"/>
    </xf>
    <xf numFmtId="1" fontId="6" fillId="0" borderId="8" xfId="1" applyNumberFormat="1" applyFont="1" applyBorder="1" applyAlignment="1" applyProtection="1">
      <alignment horizontal="center" vertical="center" wrapText="1"/>
      <protection locked="0"/>
    </xf>
    <xf numFmtId="0" fontId="7" fillId="0" borderId="0" xfId="1" applyFont="1" applyAlignment="1">
      <alignment horizontal="center" vertical="center"/>
    </xf>
    <xf numFmtId="1" fontId="6" fillId="0" borderId="1" xfId="1" applyNumberFormat="1" applyFont="1" applyBorder="1" applyAlignment="1" applyProtection="1">
      <alignment horizontal="center" vertical="center" wrapText="1"/>
      <protection locked="0"/>
    </xf>
    <xf numFmtId="1" fontId="6" fillId="0" borderId="14" xfId="1" applyNumberFormat="1" applyFont="1" applyBorder="1" applyAlignment="1" applyProtection="1">
      <alignment horizontal="center" vertical="center" wrapText="1"/>
      <protection locked="0"/>
    </xf>
    <xf numFmtId="1" fontId="6" fillId="0" borderId="15" xfId="1" applyNumberFormat="1" applyFont="1" applyBorder="1" applyAlignment="1" applyProtection="1">
      <alignment horizontal="center" vertical="center" wrapText="1"/>
      <protection locked="0"/>
    </xf>
    <xf numFmtId="1" fontId="6" fillId="0" borderId="20" xfId="1" applyNumberFormat="1" applyFont="1" applyBorder="1" applyAlignment="1" applyProtection="1">
      <alignment horizontal="center" vertical="center" wrapText="1"/>
      <protection locked="0"/>
    </xf>
    <xf numFmtId="1" fontId="6" fillId="0" borderId="21" xfId="1" applyNumberFormat="1" applyFont="1" applyBorder="1" applyAlignment="1" applyProtection="1">
      <alignment horizontal="center" vertical="center" wrapText="1"/>
      <protection locked="0"/>
    </xf>
    <xf numFmtId="1" fontId="6" fillId="0" borderId="16" xfId="1" applyNumberFormat="1" applyFont="1" applyBorder="1" applyAlignment="1" applyProtection="1">
      <alignment horizontal="center" vertical="center" wrapText="1"/>
      <protection locked="0"/>
    </xf>
    <xf numFmtId="1" fontId="6" fillId="0" borderId="17" xfId="1" applyNumberFormat="1" applyFont="1" applyBorder="1" applyAlignment="1" applyProtection="1">
      <alignment horizontal="center" vertical="center" wrapText="1"/>
      <protection locked="0"/>
    </xf>
    <xf numFmtId="1" fontId="7" fillId="0" borderId="20" xfId="1" applyNumberFormat="1" applyFont="1" applyBorder="1" applyAlignment="1">
      <alignment horizontal="center" vertical="center"/>
    </xf>
    <xf numFmtId="1" fontId="7" fillId="0" borderId="0" xfId="1" applyNumberFormat="1" applyFont="1" applyAlignment="1">
      <alignment horizontal="center" vertical="center"/>
    </xf>
    <xf numFmtId="0" fontId="6" fillId="0" borderId="1" xfId="1" applyFont="1" applyBorder="1" applyAlignment="1" applyProtection="1">
      <alignment horizontal="left" vertical="top"/>
      <protection locked="0"/>
    </xf>
    <xf numFmtId="0" fontId="26" fillId="0" borderId="1" xfId="10" applyFill="1" applyBorder="1" applyAlignment="1" applyProtection="1">
      <alignment horizontal="left" vertical="top" wrapText="1"/>
      <protection locked="0"/>
    </xf>
    <xf numFmtId="1" fontId="8" fillId="0" borderId="7" xfId="0" applyNumberFormat="1" applyFont="1" applyBorder="1" applyAlignment="1" applyProtection="1">
      <alignment vertical="top" wrapText="1"/>
      <protection locked="0"/>
    </xf>
    <xf numFmtId="1" fontId="8" fillId="0" borderId="18" xfId="0" applyNumberFormat="1" applyFont="1" applyBorder="1" applyAlignment="1" applyProtection="1">
      <alignment vertical="top" wrapText="1"/>
      <protection locked="0"/>
    </xf>
    <xf numFmtId="1" fontId="8" fillId="0" borderId="8" xfId="0" applyNumberFormat="1" applyFont="1" applyBorder="1" applyAlignment="1" applyProtection="1">
      <alignment vertical="top" wrapText="1"/>
      <protection locked="0"/>
    </xf>
    <xf numFmtId="0" fontId="6" fillId="0" borderId="7" xfId="1" applyFont="1" applyBorder="1" applyAlignment="1" applyProtection="1">
      <alignment horizontal="left" vertical="top" wrapText="1"/>
      <protection locked="0"/>
    </xf>
    <xf numFmtId="0" fontId="6" fillId="0" borderId="8" xfId="1" applyFont="1" applyBorder="1" applyAlignment="1" applyProtection="1">
      <alignment horizontal="left" vertical="top" wrapText="1"/>
      <protection locked="0"/>
    </xf>
    <xf numFmtId="0" fontId="13" fillId="0" borderId="7" xfId="1" applyFont="1" applyBorder="1" applyAlignment="1" applyProtection="1">
      <alignment horizontal="left" vertical="top"/>
      <protection locked="0"/>
    </xf>
    <xf numFmtId="0" fontId="13" fillId="0" borderId="18" xfId="1" applyFont="1" applyBorder="1" applyAlignment="1" applyProtection="1">
      <alignment horizontal="left" vertical="top"/>
      <protection locked="0"/>
    </xf>
    <xf numFmtId="0" fontId="13" fillId="0" borderId="8" xfId="1" applyFont="1" applyBorder="1" applyAlignment="1" applyProtection="1">
      <alignment horizontal="left" vertical="top"/>
      <protection locked="0"/>
    </xf>
    <xf numFmtId="167" fontId="12" fillId="0" borderId="1" xfId="9" applyNumberFormat="1" applyFont="1" applyFill="1" applyBorder="1" applyAlignment="1" applyProtection="1">
      <alignment horizontal="left" vertical="top"/>
      <protection locked="0"/>
    </xf>
    <xf numFmtId="0" fontId="13" fillId="0" borderId="13" xfId="1" applyFont="1" applyBorder="1" applyAlignment="1" applyProtection="1">
      <alignment horizontal="left" vertical="top"/>
      <protection locked="0"/>
    </xf>
    <xf numFmtId="1" fontId="10" fillId="0" borderId="27" xfId="0" applyNumberFormat="1" applyFont="1" applyBorder="1" applyAlignment="1" applyProtection="1">
      <alignment horizontal="center" vertical="center"/>
      <protection locked="0"/>
    </xf>
    <xf numFmtId="1" fontId="8" fillId="0" borderId="1" xfId="0" applyNumberFormat="1" applyFont="1" applyBorder="1" applyAlignment="1" applyProtection="1">
      <alignment horizontal="left" vertical="top" wrapText="1"/>
      <protection locked="0"/>
    </xf>
    <xf numFmtId="1" fontId="8" fillId="0" borderId="7" xfId="1" applyNumberFormat="1" applyFont="1" applyBorder="1" applyAlignment="1" applyProtection="1">
      <alignment horizontal="center" vertical="center" wrapText="1"/>
      <protection locked="0"/>
    </xf>
    <xf numFmtId="1" fontId="8" fillId="0" borderId="18" xfId="1" applyNumberFormat="1" applyFont="1" applyBorder="1" applyAlignment="1" applyProtection="1">
      <alignment horizontal="center" vertical="center" wrapText="1"/>
      <protection locked="0"/>
    </xf>
    <xf numFmtId="1" fontId="8" fillId="0" borderId="8" xfId="1" applyNumberFormat="1" applyFont="1" applyBorder="1" applyAlignment="1" applyProtection="1">
      <alignment horizontal="center" vertical="center" wrapText="1"/>
      <protection locked="0"/>
    </xf>
    <xf numFmtId="0" fontId="7" fillId="0" borderId="1" xfId="0" applyFont="1" applyBorder="1" applyAlignment="1" applyProtection="1">
      <alignment horizontal="center" vertical="center"/>
      <protection locked="0"/>
    </xf>
    <xf numFmtId="1" fontId="7" fillId="0" borderId="1" xfId="0" applyNumberFormat="1" applyFont="1" applyBorder="1" applyAlignment="1" applyProtection="1">
      <alignment horizontal="center" vertical="top" wrapText="1"/>
      <protection locked="0"/>
    </xf>
    <xf numFmtId="9" fontId="7" fillId="0" borderId="14" xfId="8" applyFont="1" applyFill="1" applyBorder="1" applyAlignment="1" applyProtection="1">
      <alignment horizontal="center" vertical="center" wrapText="1"/>
      <protection locked="0"/>
    </xf>
    <xf numFmtId="9" fontId="7" fillId="0" borderId="15" xfId="8" applyFont="1" applyFill="1" applyBorder="1" applyAlignment="1" applyProtection="1">
      <alignment horizontal="center" vertical="center" wrapText="1"/>
      <protection locked="0"/>
    </xf>
    <xf numFmtId="9" fontId="7" fillId="0" borderId="20" xfId="8" applyFont="1" applyFill="1" applyBorder="1" applyAlignment="1" applyProtection="1">
      <alignment horizontal="center" vertical="center" wrapText="1"/>
      <protection locked="0"/>
    </xf>
    <xf numFmtId="9" fontId="7" fillId="0" borderId="21" xfId="8" applyFont="1" applyFill="1" applyBorder="1" applyAlignment="1" applyProtection="1">
      <alignment horizontal="center" vertical="center" wrapText="1"/>
      <protection locked="0"/>
    </xf>
    <xf numFmtId="9" fontId="7" fillId="0" borderId="23" xfId="8" applyFont="1" applyFill="1" applyBorder="1" applyAlignment="1" applyProtection="1">
      <alignment horizontal="center" vertical="center" wrapText="1"/>
      <protection locked="0"/>
    </xf>
    <xf numFmtId="9" fontId="7" fillId="0" borderId="24" xfId="8" applyFont="1" applyFill="1" applyBorder="1" applyAlignment="1" applyProtection="1">
      <alignment horizontal="center" vertical="center" wrapText="1"/>
      <protection locked="0"/>
    </xf>
    <xf numFmtId="9" fontId="7" fillId="0" borderId="22" xfId="8" applyFont="1" applyFill="1" applyBorder="1" applyAlignment="1" applyProtection="1">
      <alignment horizontal="center" vertical="center" wrapText="1"/>
      <protection locked="0"/>
    </xf>
    <xf numFmtId="9" fontId="7" fillId="0" borderId="9" xfId="8" applyFont="1" applyFill="1" applyBorder="1" applyAlignment="1" applyProtection="1">
      <alignment horizontal="center" vertical="center" wrapText="1"/>
      <protection locked="0"/>
    </xf>
    <xf numFmtId="9" fontId="7" fillId="0" borderId="11" xfId="8" applyFont="1" applyFill="1" applyBorder="1" applyAlignment="1" applyProtection="1">
      <alignment horizontal="center" vertical="center" wrapText="1"/>
      <protection locked="0"/>
    </xf>
    <xf numFmtId="0" fontId="7" fillId="0" borderId="5" xfId="1" applyFont="1" applyFill="1" applyBorder="1" applyAlignment="1" applyProtection="1">
      <alignment horizontal="center" vertical="top" wrapText="1"/>
      <protection locked="0"/>
    </xf>
    <xf numFmtId="0" fontId="7" fillId="0" borderId="6" xfId="1" applyFont="1" applyFill="1" applyBorder="1" applyAlignment="1" applyProtection="1">
      <alignment horizontal="center" vertical="top" wrapText="1"/>
      <protection locked="0"/>
    </xf>
    <xf numFmtId="0" fontId="13" fillId="0" borderId="3" xfId="1" applyFont="1" applyFill="1" applyBorder="1" applyAlignment="1" applyProtection="1">
      <alignment horizontal="left" vertical="top"/>
      <protection locked="0"/>
    </xf>
    <xf numFmtId="0" fontId="13" fillId="0" borderId="1" xfId="1" applyFont="1" applyFill="1" applyBorder="1" applyAlignment="1" applyProtection="1">
      <alignment horizontal="left" vertical="top"/>
      <protection locked="0"/>
    </xf>
    <xf numFmtId="0" fontId="8" fillId="0" borderId="1" xfId="1" applyFont="1" applyFill="1" applyBorder="1" applyAlignment="1" applyProtection="1">
      <alignment horizontal="left" vertical="top" wrapText="1"/>
      <protection locked="0"/>
    </xf>
    <xf numFmtId="0" fontId="13" fillId="0" borderId="1" xfId="1" applyFont="1" applyFill="1" applyBorder="1" applyAlignment="1" applyProtection="1">
      <alignment horizontal="left" vertical="top" wrapText="1"/>
      <protection locked="0"/>
    </xf>
    <xf numFmtId="0" fontId="13" fillId="0" borderId="4" xfId="1" applyFont="1" applyFill="1" applyBorder="1" applyAlignment="1" applyProtection="1">
      <alignment horizontal="left" vertical="top" wrapText="1"/>
      <protection locked="0"/>
    </xf>
    <xf numFmtId="0" fontId="6" fillId="0" borderId="18" xfId="1" applyFont="1" applyBorder="1" applyAlignment="1" applyProtection="1">
      <alignment horizontal="left" vertical="top" wrapText="1"/>
      <protection locked="0"/>
    </xf>
    <xf numFmtId="0" fontId="12" fillId="0" borderId="1" xfId="1" applyFont="1" applyBorder="1" applyAlignment="1" applyProtection="1">
      <alignment horizontal="center"/>
      <protection locked="0"/>
    </xf>
    <xf numFmtId="0" fontId="12" fillId="0" borderId="1" xfId="1" applyFont="1" applyBorder="1" applyAlignment="1" applyProtection="1">
      <alignment horizontal="center" vertical="top"/>
      <protection locked="0"/>
    </xf>
    <xf numFmtId="2" fontId="12" fillId="0" borderId="1" xfId="1" applyNumberFormat="1" applyFont="1" applyBorder="1" applyAlignment="1" applyProtection="1">
      <alignment horizontal="left" vertical="top" wrapText="1"/>
      <protection locked="0"/>
    </xf>
    <xf numFmtId="0" fontId="8" fillId="0" borderId="1" xfId="1" applyFont="1" applyBorder="1" applyAlignment="1" applyProtection="1">
      <alignment horizontal="left" vertical="top"/>
      <protection locked="0"/>
    </xf>
    <xf numFmtId="0" fontId="6" fillId="0" borderId="13" xfId="1" applyFont="1" applyBorder="1" applyAlignment="1" applyProtection="1">
      <alignment horizontal="left" vertical="top" wrapText="1"/>
      <protection locked="0"/>
    </xf>
    <xf numFmtId="1" fontId="6" fillId="0" borderId="1" xfId="1" applyNumberFormat="1" applyFont="1" applyBorder="1" applyAlignment="1" applyProtection="1">
      <alignment horizontal="left" vertical="top" wrapText="1"/>
      <protection locked="0"/>
    </xf>
    <xf numFmtId="164" fontId="12" fillId="0" borderId="1" xfId="1" applyNumberFormat="1" applyFont="1" applyBorder="1" applyAlignment="1" applyProtection="1">
      <alignment horizontal="left" vertical="top"/>
      <protection locked="0"/>
    </xf>
    <xf numFmtId="2" fontId="12" fillId="0" borderId="1" xfId="1" applyNumberFormat="1" applyFont="1" applyBorder="1" applyAlignment="1" applyProtection="1">
      <alignment horizontal="left" vertical="top"/>
      <protection locked="0"/>
    </xf>
    <xf numFmtId="0" fontId="6" fillId="0" borderId="16" xfId="1" applyFont="1" applyBorder="1" applyAlignment="1" applyProtection="1">
      <alignment horizontal="left" vertical="top" wrapText="1"/>
      <protection locked="0"/>
    </xf>
    <xf numFmtId="0" fontId="6" fillId="0" borderId="17" xfId="1" applyFont="1" applyBorder="1" applyAlignment="1" applyProtection="1">
      <alignment horizontal="left" vertical="top" wrapText="1"/>
      <protection locked="0"/>
    </xf>
    <xf numFmtId="0" fontId="12" fillId="0" borderId="14" xfId="1" applyFont="1" applyBorder="1" applyAlignment="1" applyProtection="1">
      <alignment horizontal="left" vertical="top" wrapText="1"/>
      <protection locked="0"/>
    </xf>
    <xf numFmtId="0" fontId="12" fillId="0" borderId="19" xfId="1" applyFont="1" applyBorder="1" applyAlignment="1" applyProtection="1">
      <alignment horizontal="left" vertical="top" wrapText="1"/>
      <protection locked="0"/>
    </xf>
    <xf numFmtId="0" fontId="13" fillId="0" borderId="1" xfId="1" applyFont="1" applyBorder="1" applyAlignment="1" applyProtection="1">
      <alignment horizontal="left" vertical="top" wrapText="1"/>
      <protection locked="0"/>
    </xf>
    <xf numFmtId="0" fontId="13" fillId="0" borderId="1" xfId="1" applyFont="1" applyBorder="1" applyAlignment="1" applyProtection="1">
      <alignment horizontal="left" vertical="top"/>
      <protection locked="0"/>
    </xf>
    <xf numFmtId="0" fontId="13" fillId="0" borderId="7" xfId="1" applyFont="1" applyBorder="1" applyAlignment="1" applyProtection="1">
      <alignment horizontal="center" vertical="top"/>
      <protection locked="0"/>
    </xf>
    <xf numFmtId="0" fontId="13" fillId="0" borderId="18" xfId="1" applyFont="1" applyBorder="1" applyAlignment="1" applyProtection="1">
      <alignment horizontal="center" vertical="top"/>
      <protection locked="0"/>
    </xf>
    <xf numFmtId="0" fontId="13" fillId="0" borderId="8" xfId="1" applyFont="1" applyBorder="1" applyAlignment="1" applyProtection="1">
      <alignment horizontal="center" vertical="top"/>
      <protection locked="0"/>
    </xf>
    <xf numFmtId="0" fontId="13" fillId="0" borderId="1" xfId="1" applyFont="1" applyBorder="1" applyAlignment="1" applyProtection="1">
      <alignment horizontal="center"/>
      <protection locked="0"/>
    </xf>
    <xf numFmtId="0" fontId="12" fillId="0" borderId="1" xfId="1" applyFont="1" applyFill="1" applyBorder="1" applyAlignment="1" applyProtection="1">
      <alignment horizontal="left" vertical="top" wrapText="1"/>
      <protection locked="0"/>
    </xf>
    <xf numFmtId="0" fontId="6" fillId="0" borderId="1" xfId="1" applyFont="1" applyFill="1" applyBorder="1" applyAlignment="1" applyProtection="1">
      <alignment horizontal="left" vertical="top" wrapText="1"/>
      <protection locked="0"/>
    </xf>
    <xf numFmtId="0" fontId="12" fillId="0" borderId="1" xfId="1" applyFont="1" applyFill="1" applyBorder="1" applyAlignment="1" applyProtection="1">
      <alignment horizontal="left" vertical="top"/>
      <protection locked="0"/>
    </xf>
    <xf numFmtId="0" fontId="6" fillId="0" borderId="1" xfId="1" applyFont="1" applyFill="1" applyBorder="1" applyAlignment="1" applyProtection="1">
      <alignment horizontal="left" vertical="top"/>
      <protection locked="0"/>
    </xf>
    <xf numFmtId="0" fontId="12" fillId="0" borderId="1" xfId="1" applyFont="1" applyFill="1" applyBorder="1" applyAlignment="1" applyProtection="1">
      <alignment horizontal="left"/>
      <protection locked="0"/>
    </xf>
    <xf numFmtId="0" fontId="11" fillId="0" borderId="1" xfId="1" applyFont="1" applyBorder="1" applyAlignment="1" applyProtection="1">
      <alignment horizontal="center" vertical="top" wrapText="1"/>
      <protection locked="0"/>
    </xf>
    <xf numFmtId="0" fontId="8" fillId="0" borderId="1" xfId="1" applyFont="1" applyBorder="1" applyAlignment="1" applyProtection="1">
      <alignment horizontal="center" vertical="top"/>
      <protection locked="0"/>
    </xf>
    <xf numFmtId="14" fontId="12" fillId="0" borderId="1" xfId="1" applyNumberFormat="1" applyFont="1" applyBorder="1" applyAlignment="1" applyProtection="1">
      <alignment horizontal="left" vertical="top"/>
      <protection locked="0"/>
    </xf>
    <xf numFmtId="0" fontId="12" fillId="0" borderId="2" xfId="1" applyFont="1" applyBorder="1" applyAlignment="1" applyProtection="1">
      <alignment horizontal="left" vertical="top" wrapText="1"/>
      <protection locked="0"/>
    </xf>
    <xf numFmtId="0" fontId="12" fillId="0" borderId="2" xfId="1" applyFont="1" applyBorder="1" applyAlignment="1" applyProtection="1">
      <alignment horizontal="left" vertical="top"/>
      <protection locked="0"/>
    </xf>
    <xf numFmtId="0" fontId="12" fillId="0" borderId="15" xfId="1" applyFont="1" applyBorder="1" applyAlignment="1" applyProtection="1">
      <alignment horizontal="left" vertical="top" wrapText="1"/>
      <protection locked="0"/>
    </xf>
    <xf numFmtId="14" fontId="6" fillId="0" borderId="7" xfId="1" applyNumberFormat="1" applyFont="1" applyBorder="1" applyAlignment="1" applyProtection="1">
      <alignment horizontal="left" vertical="top" wrapText="1"/>
      <protection locked="0"/>
    </xf>
    <xf numFmtId="14" fontId="6" fillId="0" borderId="8" xfId="1" applyNumberFormat="1" applyFont="1" applyBorder="1" applyAlignment="1" applyProtection="1">
      <alignment horizontal="left" vertical="top" wrapText="1"/>
      <protection locked="0"/>
    </xf>
    <xf numFmtId="0" fontId="8" fillId="0" borderId="7" xfId="1" applyFont="1" applyBorder="1" applyAlignment="1" applyProtection="1">
      <alignment horizontal="left" vertical="top"/>
      <protection locked="0"/>
    </xf>
    <xf numFmtId="0" fontId="8" fillId="0" borderId="8" xfId="1" applyFont="1" applyBorder="1" applyAlignment="1" applyProtection="1">
      <alignment horizontal="left" vertical="top"/>
      <protection locked="0"/>
    </xf>
    <xf numFmtId="0" fontId="12" fillId="0" borderId="7" xfId="1" applyFont="1" applyBorder="1" applyAlignment="1" applyProtection="1">
      <alignment horizontal="center" vertical="top"/>
      <protection locked="0"/>
    </xf>
    <xf numFmtId="0" fontId="12" fillId="0" borderId="18" xfId="1" applyFont="1" applyBorder="1" applyAlignment="1" applyProtection="1">
      <alignment horizontal="center" vertical="top"/>
      <protection locked="0"/>
    </xf>
    <xf numFmtId="0" fontId="12" fillId="0" borderId="8" xfId="1" applyFont="1" applyBorder="1" applyAlignment="1" applyProtection="1">
      <alignment horizontal="center" vertical="top"/>
      <protection locked="0"/>
    </xf>
    <xf numFmtId="0" fontId="8" fillId="0" borderId="1" xfId="1" applyFont="1" applyBorder="1" applyAlignment="1" applyProtection="1">
      <alignment vertical="top"/>
      <protection locked="0"/>
    </xf>
    <xf numFmtId="0" fontId="13" fillId="0" borderId="1" xfId="1" applyFont="1" applyBorder="1" applyAlignment="1" applyProtection="1">
      <alignment horizontal="center" vertical="top" wrapText="1"/>
      <protection locked="0"/>
    </xf>
    <xf numFmtId="0" fontId="14" fillId="0" borderId="1" xfId="1" applyFont="1" applyBorder="1" applyAlignment="1" applyProtection="1">
      <alignment horizontal="center" vertical="top" wrapText="1"/>
      <protection locked="0"/>
    </xf>
    <xf numFmtId="1" fontId="8" fillId="0" borderId="1" xfId="1" applyNumberFormat="1" applyFont="1" applyBorder="1" applyAlignment="1" applyProtection="1">
      <alignment horizontal="center" vertical="center" wrapText="1"/>
      <protection locked="0"/>
    </xf>
    <xf numFmtId="1" fontId="6" fillId="0" borderId="1" xfId="0" applyNumberFormat="1" applyFont="1" applyBorder="1" applyAlignment="1" applyProtection="1">
      <alignment horizontal="center" vertical="center" wrapText="1"/>
      <protection locked="0"/>
    </xf>
    <xf numFmtId="1" fontId="8" fillId="0" borderId="1" xfId="0" applyNumberFormat="1" applyFont="1" applyBorder="1" applyAlignment="1" applyProtection="1">
      <alignment horizontal="center" vertical="center" wrapText="1"/>
      <protection locked="0"/>
    </xf>
    <xf numFmtId="1" fontId="8" fillId="0" borderId="1" xfId="0" applyNumberFormat="1" applyFont="1" applyBorder="1" applyAlignment="1" applyProtection="1">
      <alignment horizontal="center" vertical="top" wrapText="1"/>
      <protection locked="0"/>
    </xf>
    <xf numFmtId="1" fontId="13" fillId="0" borderId="7" xfId="0" applyNumberFormat="1" applyFont="1" applyFill="1" applyBorder="1" applyAlignment="1" applyProtection="1">
      <alignment vertical="top" wrapText="1"/>
      <protection locked="0"/>
    </xf>
    <xf numFmtId="1" fontId="13" fillId="0" borderId="18" xfId="0" applyNumberFormat="1" applyFont="1" applyFill="1" applyBorder="1" applyAlignment="1" applyProtection="1">
      <alignment vertical="top" wrapText="1"/>
      <protection locked="0"/>
    </xf>
    <xf numFmtId="1" fontId="13" fillId="0" borderId="8" xfId="0" applyNumberFormat="1" applyFont="1" applyFill="1" applyBorder="1" applyAlignment="1" applyProtection="1">
      <alignment vertical="top" wrapText="1"/>
      <protection locked="0"/>
    </xf>
    <xf numFmtId="1" fontId="13" fillId="0" borderId="7" xfId="0" applyNumberFormat="1" applyFont="1" applyBorder="1" applyAlignment="1" applyProtection="1">
      <alignment vertical="top" wrapText="1"/>
      <protection locked="0"/>
    </xf>
    <xf numFmtId="1" fontId="13" fillId="0" borderId="18" xfId="0" applyNumberFormat="1" applyFont="1" applyBorder="1" applyAlignment="1" applyProtection="1">
      <alignment vertical="top" wrapText="1"/>
      <protection locked="0"/>
    </xf>
    <xf numFmtId="1" fontId="13" fillId="0" borderId="8" xfId="0" applyNumberFormat="1" applyFont="1" applyBorder="1" applyAlignment="1" applyProtection="1">
      <alignment vertical="top" wrapText="1"/>
      <protection locked="0"/>
    </xf>
    <xf numFmtId="0" fontId="6" fillId="0" borderId="1" xfId="1" applyFont="1" applyBorder="1" applyAlignment="1" applyProtection="1">
      <alignment vertical="top"/>
      <protection locked="0"/>
    </xf>
    <xf numFmtId="1" fontId="8" fillId="0" borderId="14" xfId="1" applyNumberFormat="1" applyFont="1" applyBorder="1" applyAlignment="1" applyProtection="1">
      <alignment horizontal="center" vertical="top" wrapText="1"/>
      <protection locked="0"/>
    </xf>
    <xf numFmtId="1" fontId="8" fillId="0" borderId="15" xfId="1" applyNumberFormat="1" applyFont="1" applyBorder="1" applyAlignment="1" applyProtection="1">
      <alignment horizontal="center" vertical="top" wrapText="1"/>
      <protection locked="0"/>
    </xf>
    <xf numFmtId="1" fontId="8" fillId="0" borderId="26" xfId="0" applyNumberFormat="1" applyFont="1" applyBorder="1" applyAlignment="1" applyProtection="1">
      <alignment horizontal="center" vertical="center" wrapText="1"/>
      <protection locked="0"/>
    </xf>
    <xf numFmtId="1" fontId="8" fillId="0" borderId="27" xfId="0" applyNumberFormat="1" applyFont="1" applyBorder="1" applyAlignment="1" applyProtection="1">
      <alignment horizontal="center" vertical="center" wrapText="1"/>
      <protection locked="0"/>
    </xf>
    <xf numFmtId="0" fontId="10" fillId="0" borderId="27" xfId="0" applyFont="1" applyBorder="1" applyAlignment="1" applyProtection="1">
      <alignment horizontal="center" vertical="center"/>
      <protection locked="0"/>
    </xf>
    <xf numFmtId="0" fontId="7" fillId="0" borderId="4" xfId="1" applyFont="1" applyFill="1" applyBorder="1" applyAlignment="1" applyProtection="1">
      <alignment horizontal="center" vertical="top" wrapText="1"/>
      <protection locked="0"/>
    </xf>
    <xf numFmtId="0" fontId="13" fillId="0" borderId="13" xfId="1" applyFont="1" applyBorder="1" applyAlignment="1" applyProtection="1">
      <alignment horizontal="center" vertical="top"/>
      <protection locked="0"/>
    </xf>
    <xf numFmtId="0" fontId="7" fillId="0" borderId="20" xfId="1" applyFont="1" applyBorder="1" applyAlignment="1">
      <alignment horizontal="center"/>
    </xf>
    <xf numFmtId="0" fontId="7" fillId="0" borderId="0" xfId="1" applyFont="1" applyAlignment="1">
      <alignment horizontal="center"/>
    </xf>
    <xf numFmtId="0" fontId="8" fillId="0" borderId="7" xfId="1" applyFont="1" applyBorder="1" applyAlignment="1" applyProtection="1">
      <alignment horizontal="left" vertical="top" wrapText="1"/>
      <protection locked="0"/>
    </xf>
    <xf numFmtId="0" fontId="8" fillId="0" borderId="8" xfId="1" applyFont="1" applyBorder="1" applyAlignment="1" applyProtection="1">
      <alignment horizontal="left" vertical="top" wrapText="1"/>
      <protection locked="0"/>
    </xf>
    <xf numFmtId="0" fontId="8" fillId="0" borderId="18" xfId="1" applyFont="1" applyBorder="1" applyAlignment="1" applyProtection="1">
      <alignment horizontal="left" vertical="top" wrapText="1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0" fontId="15" fillId="0" borderId="20" xfId="1" applyFont="1" applyBorder="1" applyAlignment="1">
      <alignment horizontal="left"/>
    </xf>
    <xf numFmtId="0" fontId="15" fillId="0" borderId="0" xfId="1" applyFont="1" applyAlignment="1">
      <alignment horizontal="left"/>
    </xf>
    <xf numFmtId="0" fontId="10" fillId="0" borderId="1" xfId="0" applyFont="1" applyBorder="1" applyAlignment="1" applyProtection="1">
      <alignment horizontal="center" vertical="top" wrapText="1"/>
      <protection locked="0"/>
    </xf>
    <xf numFmtId="0" fontId="8" fillId="0" borderId="13" xfId="1" applyFont="1" applyBorder="1" applyAlignment="1" applyProtection="1">
      <alignment horizontal="center" vertical="top"/>
      <protection locked="0"/>
    </xf>
    <xf numFmtId="0" fontId="9" fillId="0" borderId="1" xfId="5" applyFont="1" applyBorder="1" applyAlignment="1">
      <alignment horizontal="left"/>
    </xf>
  </cellXfs>
  <cellStyles count="11">
    <cellStyle name="Comma" xfId="9" builtinId="3"/>
    <cellStyle name="Comma 2" xfId="6"/>
    <cellStyle name="Excel Built-in Normal" xfId="2"/>
    <cellStyle name="Excel Built-in Normal 2" xfId="4"/>
    <cellStyle name="Hyperlink" xfId="10" builtinId="8"/>
    <cellStyle name="Normal" xfId="0" builtinId="0"/>
    <cellStyle name="Normal 2" xfId="3"/>
    <cellStyle name="Normal 3" xfId="1"/>
    <cellStyle name="Normal 3 3" xfId="7"/>
    <cellStyle name="Normal 4" xfId="5"/>
    <cellStyle name="Percent" xfId="8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png"/><Relationship Id="rId7" Type="http://schemas.openxmlformats.org/officeDocument/2006/relationships/image" Target="../media/image7.jpe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76200</xdr:colOff>
      <xdr:row>218</xdr:row>
      <xdr:rowOff>38100</xdr:rowOff>
    </xdr:from>
    <xdr:to>
      <xdr:col>5</xdr:col>
      <xdr:colOff>765278</xdr:colOff>
      <xdr:row>236</xdr:row>
      <xdr:rowOff>37649</xdr:rowOff>
    </xdr:to>
    <xdr:pic>
      <xdr:nvPicPr>
        <xdr:cNvPr id="11" name="Picture 10"/>
        <xdr:cNvPicPr>
          <a:picLocks noChangeAspect="1"/>
        </xdr:cNvPicPr>
      </xdr:nvPicPr>
      <xdr:blipFill rotWithShape="1"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752600" y="48358425"/>
          <a:ext cx="3451328" cy="360000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2</xdr:col>
      <xdr:colOff>95458</xdr:colOff>
      <xdr:row>237</xdr:row>
      <xdr:rowOff>14838</xdr:rowOff>
    </xdr:from>
    <xdr:to>
      <xdr:col>5</xdr:col>
      <xdr:colOff>765278</xdr:colOff>
      <xdr:row>255</xdr:row>
      <xdr:rowOff>14389</xdr:rowOff>
    </xdr:to>
    <xdr:pic>
      <xdr:nvPicPr>
        <xdr:cNvPr id="12" name="Picture 11"/>
        <xdr:cNvPicPr>
          <a:picLocks noChangeAspect="1"/>
        </xdr:cNvPicPr>
      </xdr:nvPicPr>
      <xdr:blipFill rotWithShape="1"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771858" y="52135638"/>
          <a:ext cx="3432070" cy="360000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>
    <xdr:from>
      <xdr:col>3</xdr:col>
      <xdr:colOff>465746</xdr:colOff>
      <xdr:row>242</xdr:row>
      <xdr:rowOff>94157</xdr:rowOff>
    </xdr:from>
    <xdr:to>
      <xdr:col>4</xdr:col>
      <xdr:colOff>252509</xdr:colOff>
      <xdr:row>248</xdr:row>
      <xdr:rowOff>132873</xdr:rowOff>
    </xdr:to>
    <xdr:sp macro="" textlink="">
      <xdr:nvSpPr>
        <xdr:cNvPr id="13" name="Rectangle 12"/>
        <xdr:cNvSpPr/>
      </xdr:nvSpPr>
      <xdr:spPr>
        <a:xfrm>
          <a:off x="3056546" y="53215082"/>
          <a:ext cx="796413" cy="1238866"/>
        </a:xfrm>
        <a:prstGeom prst="rect">
          <a:avLst/>
        </a:prstGeom>
        <a:noFill/>
        <a:ln w="76200"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n-IN"/>
        </a:p>
      </xdr:txBody>
    </xdr:sp>
    <xdr:clientData/>
  </xdr:twoCellAnchor>
  <xdr:twoCellAnchor editAs="oneCell">
    <xdr:from>
      <xdr:col>1</xdr:col>
      <xdr:colOff>276225</xdr:colOff>
      <xdr:row>181</xdr:row>
      <xdr:rowOff>28575</xdr:rowOff>
    </xdr:from>
    <xdr:to>
      <xdr:col>6</xdr:col>
      <xdr:colOff>514178</xdr:colOff>
      <xdr:row>208</xdr:row>
      <xdr:rowOff>27900</xdr:rowOff>
    </xdr:to>
    <xdr:pic>
      <xdr:nvPicPr>
        <xdr:cNvPr id="15" name="Picture 14"/>
        <xdr:cNvPicPr>
          <a:picLocks noChangeAspect="1"/>
        </xdr:cNvPicPr>
      </xdr:nvPicPr>
      <xdr:blipFill rotWithShape="1"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95375" y="39547800"/>
          <a:ext cx="4695653" cy="540000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>
    <xdr:from>
      <xdr:col>3</xdr:col>
      <xdr:colOff>996378</xdr:colOff>
      <xdr:row>195</xdr:row>
      <xdr:rowOff>91102</xdr:rowOff>
    </xdr:from>
    <xdr:to>
      <xdr:col>5</xdr:col>
      <xdr:colOff>753041</xdr:colOff>
      <xdr:row>201</xdr:row>
      <xdr:rowOff>184914</xdr:rowOff>
    </xdr:to>
    <xdr:sp macro="" textlink="">
      <xdr:nvSpPr>
        <xdr:cNvPr id="16" name="Rectangle 15"/>
        <xdr:cNvSpPr/>
      </xdr:nvSpPr>
      <xdr:spPr>
        <a:xfrm>
          <a:off x="3587178" y="42410677"/>
          <a:ext cx="1604513" cy="1293962"/>
        </a:xfrm>
        <a:prstGeom prst="rect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n-IN"/>
        </a:p>
      </xdr:txBody>
    </xdr:sp>
    <xdr:clientData/>
  </xdr:twoCellAnchor>
  <xdr:twoCellAnchor>
    <xdr:from>
      <xdr:col>0</xdr:col>
      <xdr:colOff>228650</xdr:colOff>
      <xdr:row>137</xdr:row>
      <xdr:rowOff>61954</xdr:rowOff>
    </xdr:from>
    <xdr:to>
      <xdr:col>7</xdr:col>
      <xdr:colOff>389744</xdr:colOff>
      <xdr:row>178</xdr:row>
      <xdr:rowOff>54854</xdr:rowOff>
    </xdr:to>
    <xdr:grpSp>
      <xdr:nvGrpSpPr>
        <xdr:cNvPr id="2" name="Group 1"/>
        <xdr:cNvGrpSpPr/>
      </xdr:nvGrpSpPr>
      <xdr:grpSpPr>
        <a:xfrm>
          <a:off x="228650" y="29170354"/>
          <a:ext cx="5837994" cy="8184400"/>
          <a:chOff x="228650" y="28860297"/>
          <a:chExt cx="5843249" cy="8065743"/>
        </a:xfrm>
      </xdr:grpSpPr>
      <xdr:pic>
        <xdr:nvPicPr>
          <xdr:cNvPr id="18" name="Picture 17" descr="https://vsjcllp.vsjadon.com/upload/insp-246795-1525.jpg"/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3965839" y="34788036"/>
            <a:ext cx="1624653" cy="2138004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9" name="Picture 18" descr="https://vsjcllp.vsjadon.com/upload/insp-246795-843.jpg"/>
          <xdr:cNvPicPr>
            <a:picLocks noChangeAspect="1" noChangeArrowheads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318568" y="28860297"/>
            <a:ext cx="2769917" cy="3638560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21" name="Picture 20" descr="https://vsjcllp.vsjadon.com/upload/insp-246795-847.jpg"/>
          <xdr:cNvPicPr>
            <a:picLocks noChangeAspect="1" noChangeArrowheads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2254550" y="34788337"/>
            <a:ext cx="1627747" cy="2135592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23" name="Picture 22" descr="https://vsjcllp.vsjadon.com/upload/insp-246795-861.jpg"/>
          <xdr:cNvPicPr>
            <a:picLocks noChangeAspect="1" noChangeArrowheads="1"/>
          </xdr:cNvPicPr>
        </xdr:nvPicPr>
        <xdr:blipFill>
          <a:blip xmlns:r="http://schemas.openxmlformats.org/officeDocument/2006/relationships" r:embed="rId7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228650" y="32569106"/>
            <a:ext cx="2881786" cy="2132122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25" name="Picture 24" descr="https://vsjcllp.vsjadon.com/upload/insp-246795-1022.jpg"/>
          <xdr:cNvPicPr>
            <a:picLocks noChangeAspect="1" noChangeArrowheads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530856" y="34782427"/>
            <a:ext cx="1633360" cy="2139694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26" name="Picture 25" descr="https://vsjcllp.vsjadon.com/upload/insp-246795-928.jpg"/>
          <xdr:cNvPicPr>
            <a:picLocks noChangeAspect="1" noChangeArrowheads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3187494" y="32576800"/>
            <a:ext cx="2884405" cy="2133614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27" name="Picture 26" descr="https://vsjcllp.vsjadon.com/upload/insp-246795-845.jpg"/>
          <xdr:cNvPicPr>
            <a:picLocks noChangeAspect="1" noChangeArrowheads="1"/>
          </xdr:cNvPicPr>
        </xdr:nvPicPr>
        <xdr:blipFill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3200023" y="28879988"/>
            <a:ext cx="2829515" cy="3631306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14</xdr:row>
      <xdr:rowOff>0</xdr:rowOff>
    </xdr:from>
    <xdr:to>
      <xdr:col>6</xdr:col>
      <xdr:colOff>718712</xdr:colOff>
      <xdr:row>26</xdr:row>
      <xdr:rowOff>9238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61882" y="2678206"/>
          <a:ext cx="5638095" cy="229523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goo.gl/maps/yzr213uRR7gYWXRJ8" TargetMode="External"/><Relationship Id="rId6" Type="http://schemas.openxmlformats.org/officeDocument/2006/relationships/comments" Target="../comments1.xml"/><Relationship Id="rId5" Type="http://schemas.openxmlformats.org/officeDocument/2006/relationships/vmlDrawing" Target="../drawings/vmlDrawing2.vml"/><Relationship Id="rId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>
    <pageSetUpPr fitToPage="1"/>
  </sheetPr>
  <dimension ref="A1:Z217"/>
  <sheetViews>
    <sheetView tabSelected="1" view="pageBreakPreview" zoomScaleNormal="100" zoomScaleSheetLayoutView="100" zoomScalePageLayoutView="85" workbookViewId="0">
      <selection activeCell="I15" sqref="I15"/>
    </sheetView>
  </sheetViews>
  <sheetFormatPr defaultColWidth="9.140625" defaultRowHeight="15.75" x14ac:dyDescent="0.25"/>
  <cols>
    <col min="1" max="1" width="11.42578125" style="28" customWidth="1"/>
    <col min="2" max="2" width="12" style="28" customWidth="1"/>
    <col min="3" max="3" width="12.7109375" style="28" customWidth="1"/>
    <col min="4" max="4" width="14.140625" style="28" customWidth="1"/>
    <col min="5" max="6" width="11.7109375" style="28" customWidth="1"/>
    <col min="7" max="7" width="11.42578125" style="28" customWidth="1"/>
    <col min="8" max="8" width="10.5703125" style="28" customWidth="1"/>
    <col min="9" max="9" width="22.28515625" style="14" customWidth="1"/>
    <col min="10" max="10" width="11.42578125" style="14" customWidth="1"/>
    <col min="11" max="11" width="11.85546875" style="14" bestFit="1" customWidth="1"/>
    <col min="12" max="12" width="10.5703125" style="14" customWidth="1"/>
    <col min="13" max="13" width="11.85546875" style="14" customWidth="1"/>
    <col min="14" max="14" width="12.5703125" style="14" customWidth="1"/>
    <col min="15" max="15" width="9.85546875" style="14" customWidth="1"/>
    <col min="16" max="16" width="11.7109375" style="14" customWidth="1"/>
    <col min="17" max="247" width="9.140625" style="14"/>
    <col min="248" max="248" width="8.7109375" style="14" customWidth="1"/>
    <col min="249" max="249" width="9.85546875" style="14" customWidth="1"/>
    <col min="250" max="250" width="14.42578125" style="14" customWidth="1"/>
    <col min="251" max="251" width="7.28515625" style="14" customWidth="1"/>
    <col min="252" max="252" width="5.5703125" style="14" customWidth="1"/>
    <col min="253" max="253" width="9" style="14" customWidth="1"/>
    <col min="254" max="255" width="9.85546875" style="14" customWidth="1"/>
    <col min="256" max="256" width="11.140625" style="14" customWidth="1"/>
    <col min="257" max="257" width="2.85546875" style="14" customWidth="1"/>
    <col min="258" max="258" width="3.5703125" style="14" customWidth="1"/>
    <col min="259" max="503" width="9.140625" style="14"/>
    <col min="504" max="504" width="8.7109375" style="14" customWidth="1"/>
    <col min="505" max="505" width="9.85546875" style="14" customWidth="1"/>
    <col min="506" max="506" width="14.42578125" style="14" customWidth="1"/>
    <col min="507" max="507" width="7.28515625" style="14" customWidth="1"/>
    <col min="508" max="508" width="5.5703125" style="14" customWidth="1"/>
    <col min="509" max="509" width="9" style="14" customWidth="1"/>
    <col min="510" max="511" width="9.85546875" style="14" customWidth="1"/>
    <col min="512" max="512" width="11.140625" style="14" customWidth="1"/>
    <col min="513" max="513" width="2.85546875" style="14" customWidth="1"/>
    <col min="514" max="514" width="3.5703125" style="14" customWidth="1"/>
    <col min="515" max="759" width="9.140625" style="14"/>
    <col min="760" max="760" width="8.7109375" style="14" customWidth="1"/>
    <col min="761" max="761" width="9.85546875" style="14" customWidth="1"/>
    <col min="762" max="762" width="14.42578125" style="14" customWidth="1"/>
    <col min="763" max="763" width="7.28515625" style="14" customWidth="1"/>
    <col min="764" max="764" width="5.5703125" style="14" customWidth="1"/>
    <col min="765" max="765" width="9" style="14" customWidth="1"/>
    <col min="766" max="767" width="9.85546875" style="14" customWidth="1"/>
    <col min="768" max="768" width="11.140625" style="14" customWidth="1"/>
    <col min="769" max="769" width="2.85546875" style="14" customWidth="1"/>
    <col min="770" max="770" width="3.5703125" style="14" customWidth="1"/>
    <col min="771" max="1015" width="9.140625" style="14"/>
    <col min="1016" max="1016" width="8.7109375" style="14" customWidth="1"/>
    <col min="1017" max="1017" width="9.85546875" style="14" customWidth="1"/>
    <col min="1018" max="1018" width="14.42578125" style="14" customWidth="1"/>
    <col min="1019" max="1019" width="7.28515625" style="14" customWidth="1"/>
    <col min="1020" max="1020" width="5.5703125" style="14" customWidth="1"/>
    <col min="1021" max="1021" width="9" style="14" customWidth="1"/>
    <col min="1022" max="1023" width="9.85546875" style="14" customWidth="1"/>
    <col min="1024" max="1024" width="11.140625" style="14" customWidth="1"/>
    <col min="1025" max="1025" width="2.85546875" style="14" customWidth="1"/>
    <col min="1026" max="1026" width="3.5703125" style="14" customWidth="1"/>
    <col min="1027" max="1271" width="9.140625" style="14"/>
    <col min="1272" max="1272" width="8.7109375" style="14" customWidth="1"/>
    <col min="1273" max="1273" width="9.85546875" style="14" customWidth="1"/>
    <col min="1274" max="1274" width="14.42578125" style="14" customWidth="1"/>
    <col min="1275" max="1275" width="7.28515625" style="14" customWidth="1"/>
    <col min="1276" max="1276" width="5.5703125" style="14" customWidth="1"/>
    <col min="1277" max="1277" width="9" style="14" customWidth="1"/>
    <col min="1278" max="1279" width="9.85546875" style="14" customWidth="1"/>
    <col min="1280" max="1280" width="11.140625" style="14" customWidth="1"/>
    <col min="1281" max="1281" width="2.85546875" style="14" customWidth="1"/>
    <col min="1282" max="1282" width="3.5703125" style="14" customWidth="1"/>
    <col min="1283" max="1527" width="9.140625" style="14"/>
    <col min="1528" max="1528" width="8.7109375" style="14" customWidth="1"/>
    <col min="1529" max="1529" width="9.85546875" style="14" customWidth="1"/>
    <col min="1530" max="1530" width="14.42578125" style="14" customWidth="1"/>
    <col min="1531" max="1531" width="7.28515625" style="14" customWidth="1"/>
    <col min="1532" max="1532" width="5.5703125" style="14" customWidth="1"/>
    <col min="1533" max="1533" width="9" style="14" customWidth="1"/>
    <col min="1534" max="1535" width="9.85546875" style="14" customWidth="1"/>
    <col min="1536" max="1536" width="11.140625" style="14" customWidth="1"/>
    <col min="1537" max="1537" width="2.85546875" style="14" customWidth="1"/>
    <col min="1538" max="1538" width="3.5703125" style="14" customWidth="1"/>
    <col min="1539" max="1783" width="9.140625" style="14"/>
    <col min="1784" max="1784" width="8.7109375" style="14" customWidth="1"/>
    <col min="1785" max="1785" width="9.85546875" style="14" customWidth="1"/>
    <col min="1786" max="1786" width="14.42578125" style="14" customWidth="1"/>
    <col min="1787" max="1787" width="7.28515625" style="14" customWidth="1"/>
    <col min="1788" max="1788" width="5.5703125" style="14" customWidth="1"/>
    <col min="1789" max="1789" width="9" style="14" customWidth="1"/>
    <col min="1790" max="1791" width="9.85546875" style="14" customWidth="1"/>
    <col min="1792" max="1792" width="11.140625" style="14" customWidth="1"/>
    <col min="1793" max="1793" width="2.85546875" style="14" customWidth="1"/>
    <col min="1794" max="1794" width="3.5703125" style="14" customWidth="1"/>
    <col min="1795" max="2039" width="9.140625" style="14"/>
    <col min="2040" max="2040" width="8.7109375" style="14" customWidth="1"/>
    <col min="2041" max="2041" width="9.85546875" style="14" customWidth="1"/>
    <col min="2042" max="2042" width="14.42578125" style="14" customWidth="1"/>
    <col min="2043" max="2043" width="7.28515625" style="14" customWidth="1"/>
    <col min="2044" max="2044" width="5.5703125" style="14" customWidth="1"/>
    <col min="2045" max="2045" width="9" style="14" customWidth="1"/>
    <col min="2046" max="2047" width="9.85546875" style="14" customWidth="1"/>
    <col min="2048" max="2048" width="11.140625" style="14" customWidth="1"/>
    <col min="2049" max="2049" width="2.85546875" style="14" customWidth="1"/>
    <col min="2050" max="2050" width="3.5703125" style="14" customWidth="1"/>
    <col min="2051" max="2295" width="9.140625" style="14"/>
    <col min="2296" max="2296" width="8.7109375" style="14" customWidth="1"/>
    <col min="2297" max="2297" width="9.85546875" style="14" customWidth="1"/>
    <col min="2298" max="2298" width="14.42578125" style="14" customWidth="1"/>
    <col min="2299" max="2299" width="7.28515625" style="14" customWidth="1"/>
    <col min="2300" max="2300" width="5.5703125" style="14" customWidth="1"/>
    <col min="2301" max="2301" width="9" style="14" customWidth="1"/>
    <col min="2302" max="2303" width="9.85546875" style="14" customWidth="1"/>
    <col min="2304" max="2304" width="11.140625" style="14" customWidth="1"/>
    <col min="2305" max="2305" width="2.85546875" style="14" customWidth="1"/>
    <col min="2306" max="2306" width="3.5703125" style="14" customWidth="1"/>
    <col min="2307" max="2551" width="9.140625" style="14"/>
    <col min="2552" max="2552" width="8.7109375" style="14" customWidth="1"/>
    <col min="2553" max="2553" width="9.85546875" style="14" customWidth="1"/>
    <col min="2554" max="2554" width="14.42578125" style="14" customWidth="1"/>
    <col min="2555" max="2555" width="7.28515625" style="14" customWidth="1"/>
    <col min="2556" max="2556" width="5.5703125" style="14" customWidth="1"/>
    <col min="2557" max="2557" width="9" style="14" customWidth="1"/>
    <col min="2558" max="2559" width="9.85546875" style="14" customWidth="1"/>
    <col min="2560" max="2560" width="11.140625" style="14" customWidth="1"/>
    <col min="2561" max="2561" width="2.85546875" style="14" customWidth="1"/>
    <col min="2562" max="2562" width="3.5703125" style="14" customWidth="1"/>
    <col min="2563" max="2807" width="9.140625" style="14"/>
    <col min="2808" max="2808" width="8.7109375" style="14" customWidth="1"/>
    <col min="2809" max="2809" width="9.85546875" style="14" customWidth="1"/>
    <col min="2810" max="2810" width="14.42578125" style="14" customWidth="1"/>
    <col min="2811" max="2811" width="7.28515625" style="14" customWidth="1"/>
    <col min="2812" max="2812" width="5.5703125" style="14" customWidth="1"/>
    <col min="2813" max="2813" width="9" style="14" customWidth="1"/>
    <col min="2814" max="2815" width="9.85546875" style="14" customWidth="1"/>
    <col min="2816" max="2816" width="11.140625" style="14" customWidth="1"/>
    <col min="2817" max="2817" width="2.85546875" style="14" customWidth="1"/>
    <col min="2818" max="2818" width="3.5703125" style="14" customWidth="1"/>
    <col min="2819" max="3063" width="9.140625" style="14"/>
    <col min="3064" max="3064" width="8.7109375" style="14" customWidth="1"/>
    <col min="3065" max="3065" width="9.85546875" style="14" customWidth="1"/>
    <col min="3066" max="3066" width="14.42578125" style="14" customWidth="1"/>
    <col min="3067" max="3067" width="7.28515625" style="14" customWidth="1"/>
    <col min="3068" max="3068" width="5.5703125" style="14" customWidth="1"/>
    <col min="3069" max="3069" width="9" style="14" customWidth="1"/>
    <col min="3070" max="3071" width="9.85546875" style="14" customWidth="1"/>
    <col min="3072" max="3072" width="11.140625" style="14" customWidth="1"/>
    <col min="3073" max="3073" width="2.85546875" style="14" customWidth="1"/>
    <col min="3074" max="3074" width="3.5703125" style="14" customWidth="1"/>
    <col min="3075" max="3319" width="9.140625" style="14"/>
    <col min="3320" max="3320" width="8.7109375" style="14" customWidth="1"/>
    <col min="3321" max="3321" width="9.85546875" style="14" customWidth="1"/>
    <col min="3322" max="3322" width="14.42578125" style="14" customWidth="1"/>
    <col min="3323" max="3323" width="7.28515625" style="14" customWidth="1"/>
    <col min="3324" max="3324" width="5.5703125" style="14" customWidth="1"/>
    <col min="3325" max="3325" width="9" style="14" customWidth="1"/>
    <col min="3326" max="3327" width="9.85546875" style="14" customWidth="1"/>
    <col min="3328" max="3328" width="11.140625" style="14" customWidth="1"/>
    <col min="3329" max="3329" width="2.85546875" style="14" customWidth="1"/>
    <col min="3330" max="3330" width="3.5703125" style="14" customWidth="1"/>
    <col min="3331" max="3575" width="9.140625" style="14"/>
    <col min="3576" max="3576" width="8.7109375" style="14" customWidth="1"/>
    <col min="3577" max="3577" width="9.85546875" style="14" customWidth="1"/>
    <col min="3578" max="3578" width="14.42578125" style="14" customWidth="1"/>
    <col min="3579" max="3579" width="7.28515625" style="14" customWidth="1"/>
    <col min="3580" max="3580" width="5.5703125" style="14" customWidth="1"/>
    <col min="3581" max="3581" width="9" style="14" customWidth="1"/>
    <col min="3582" max="3583" width="9.85546875" style="14" customWidth="1"/>
    <col min="3584" max="3584" width="11.140625" style="14" customWidth="1"/>
    <col min="3585" max="3585" width="2.85546875" style="14" customWidth="1"/>
    <col min="3586" max="3586" width="3.5703125" style="14" customWidth="1"/>
    <col min="3587" max="3831" width="9.140625" style="14"/>
    <col min="3832" max="3832" width="8.7109375" style="14" customWidth="1"/>
    <col min="3833" max="3833" width="9.85546875" style="14" customWidth="1"/>
    <col min="3834" max="3834" width="14.42578125" style="14" customWidth="1"/>
    <col min="3835" max="3835" width="7.28515625" style="14" customWidth="1"/>
    <col min="3836" max="3836" width="5.5703125" style="14" customWidth="1"/>
    <col min="3837" max="3837" width="9" style="14" customWidth="1"/>
    <col min="3838" max="3839" width="9.85546875" style="14" customWidth="1"/>
    <col min="3840" max="3840" width="11.140625" style="14" customWidth="1"/>
    <col min="3841" max="3841" width="2.85546875" style="14" customWidth="1"/>
    <col min="3842" max="3842" width="3.5703125" style="14" customWidth="1"/>
    <col min="3843" max="4087" width="9.140625" style="14"/>
    <col min="4088" max="4088" width="8.7109375" style="14" customWidth="1"/>
    <col min="4089" max="4089" width="9.85546875" style="14" customWidth="1"/>
    <col min="4090" max="4090" width="14.42578125" style="14" customWidth="1"/>
    <col min="4091" max="4091" width="7.28515625" style="14" customWidth="1"/>
    <col min="4092" max="4092" width="5.5703125" style="14" customWidth="1"/>
    <col min="4093" max="4093" width="9" style="14" customWidth="1"/>
    <col min="4094" max="4095" width="9.85546875" style="14" customWidth="1"/>
    <col min="4096" max="4096" width="11.140625" style="14" customWidth="1"/>
    <col min="4097" max="4097" width="2.85546875" style="14" customWidth="1"/>
    <col min="4098" max="4098" width="3.5703125" style="14" customWidth="1"/>
    <col min="4099" max="4343" width="9.140625" style="14"/>
    <col min="4344" max="4344" width="8.7109375" style="14" customWidth="1"/>
    <col min="4345" max="4345" width="9.85546875" style="14" customWidth="1"/>
    <col min="4346" max="4346" width="14.42578125" style="14" customWidth="1"/>
    <col min="4347" max="4347" width="7.28515625" style="14" customWidth="1"/>
    <col min="4348" max="4348" width="5.5703125" style="14" customWidth="1"/>
    <col min="4349" max="4349" width="9" style="14" customWidth="1"/>
    <col min="4350" max="4351" width="9.85546875" style="14" customWidth="1"/>
    <col min="4352" max="4352" width="11.140625" style="14" customWidth="1"/>
    <col min="4353" max="4353" width="2.85546875" style="14" customWidth="1"/>
    <col min="4354" max="4354" width="3.5703125" style="14" customWidth="1"/>
    <col min="4355" max="4599" width="9.140625" style="14"/>
    <col min="4600" max="4600" width="8.7109375" style="14" customWidth="1"/>
    <col min="4601" max="4601" width="9.85546875" style="14" customWidth="1"/>
    <col min="4602" max="4602" width="14.42578125" style="14" customWidth="1"/>
    <col min="4603" max="4603" width="7.28515625" style="14" customWidth="1"/>
    <col min="4604" max="4604" width="5.5703125" style="14" customWidth="1"/>
    <col min="4605" max="4605" width="9" style="14" customWidth="1"/>
    <col min="4606" max="4607" width="9.85546875" style="14" customWidth="1"/>
    <col min="4608" max="4608" width="11.140625" style="14" customWidth="1"/>
    <col min="4609" max="4609" width="2.85546875" style="14" customWidth="1"/>
    <col min="4610" max="4610" width="3.5703125" style="14" customWidth="1"/>
    <col min="4611" max="4855" width="9.140625" style="14"/>
    <col min="4856" max="4856" width="8.7109375" style="14" customWidth="1"/>
    <col min="4857" max="4857" width="9.85546875" style="14" customWidth="1"/>
    <col min="4858" max="4858" width="14.42578125" style="14" customWidth="1"/>
    <col min="4859" max="4859" width="7.28515625" style="14" customWidth="1"/>
    <col min="4860" max="4860" width="5.5703125" style="14" customWidth="1"/>
    <col min="4861" max="4861" width="9" style="14" customWidth="1"/>
    <col min="4862" max="4863" width="9.85546875" style="14" customWidth="1"/>
    <col min="4864" max="4864" width="11.140625" style="14" customWidth="1"/>
    <col min="4865" max="4865" width="2.85546875" style="14" customWidth="1"/>
    <col min="4866" max="4866" width="3.5703125" style="14" customWidth="1"/>
    <col min="4867" max="5111" width="9.140625" style="14"/>
    <col min="5112" max="5112" width="8.7109375" style="14" customWidth="1"/>
    <col min="5113" max="5113" width="9.85546875" style="14" customWidth="1"/>
    <col min="5114" max="5114" width="14.42578125" style="14" customWidth="1"/>
    <col min="5115" max="5115" width="7.28515625" style="14" customWidth="1"/>
    <col min="5116" max="5116" width="5.5703125" style="14" customWidth="1"/>
    <col min="5117" max="5117" width="9" style="14" customWidth="1"/>
    <col min="5118" max="5119" width="9.85546875" style="14" customWidth="1"/>
    <col min="5120" max="5120" width="11.140625" style="14" customWidth="1"/>
    <col min="5121" max="5121" width="2.85546875" style="14" customWidth="1"/>
    <col min="5122" max="5122" width="3.5703125" style="14" customWidth="1"/>
    <col min="5123" max="5367" width="9.140625" style="14"/>
    <col min="5368" max="5368" width="8.7109375" style="14" customWidth="1"/>
    <col min="5369" max="5369" width="9.85546875" style="14" customWidth="1"/>
    <col min="5370" max="5370" width="14.42578125" style="14" customWidth="1"/>
    <col min="5371" max="5371" width="7.28515625" style="14" customWidth="1"/>
    <col min="5372" max="5372" width="5.5703125" style="14" customWidth="1"/>
    <col min="5373" max="5373" width="9" style="14" customWidth="1"/>
    <col min="5374" max="5375" width="9.85546875" style="14" customWidth="1"/>
    <col min="5376" max="5376" width="11.140625" style="14" customWidth="1"/>
    <col min="5377" max="5377" width="2.85546875" style="14" customWidth="1"/>
    <col min="5378" max="5378" width="3.5703125" style="14" customWidth="1"/>
    <col min="5379" max="5623" width="9.140625" style="14"/>
    <col min="5624" max="5624" width="8.7109375" style="14" customWidth="1"/>
    <col min="5625" max="5625" width="9.85546875" style="14" customWidth="1"/>
    <col min="5626" max="5626" width="14.42578125" style="14" customWidth="1"/>
    <col min="5627" max="5627" width="7.28515625" style="14" customWidth="1"/>
    <col min="5628" max="5628" width="5.5703125" style="14" customWidth="1"/>
    <col min="5629" max="5629" width="9" style="14" customWidth="1"/>
    <col min="5630" max="5631" width="9.85546875" style="14" customWidth="1"/>
    <col min="5632" max="5632" width="11.140625" style="14" customWidth="1"/>
    <col min="5633" max="5633" width="2.85546875" style="14" customWidth="1"/>
    <col min="5634" max="5634" width="3.5703125" style="14" customWidth="1"/>
    <col min="5635" max="5879" width="9.140625" style="14"/>
    <col min="5880" max="5880" width="8.7109375" style="14" customWidth="1"/>
    <col min="5881" max="5881" width="9.85546875" style="14" customWidth="1"/>
    <col min="5882" max="5882" width="14.42578125" style="14" customWidth="1"/>
    <col min="5883" max="5883" width="7.28515625" style="14" customWidth="1"/>
    <col min="5884" max="5884" width="5.5703125" style="14" customWidth="1"/>
    <col min="5885" max="5885" width="9" style="14" customWidth="1"/>
    <col min="5886" max="5887" width="9.85546875" style="14" customWidth="1"/>
    <col min="5888" max="5888" width="11.140625" style="14" customWidth="1"/>
    <col min="5889" max="5889" width="2.85546875" style="14" customWidth="1"/>
    <col min="5890" max="5890" width="3.5703125" style="14" customWidth="1"/>
    <col min="5891" max="6135" width="9.140625" style="14"/>
    <col min="6136" max="6136" width="8.7109375" style="14" customWidth="1"/>
    <col min="6137" max="6137" width="9.85546875" style="14" customWidth="1"/>
    <col min="6138" max="6138" width="14.42578125" style="14" customWidth="1"/>
    <col min="6139" max="6139" width="7.28515625" style="14" customWidth="1"/>
    <col min="6140" max="6140" width="5.5703125" style="14" customWidth="1"/>
    <col min="6141" max="6141" width="9" style="14" customWidth="1"/>
    <col min="6142" max="6143" width="9.85546875" style="14" customWidth="1"/>
    <col min="6144" max="6144" width="11.140625" style="14" customWidth="1"/>
    <col min="6145" max="6145" width="2.85546875" style="14" customWidth="1"/>
    <col min="6146" max="6146" width="3.5703125" style="14" customWidth="1"/>
    <col min="6147" max="6391" width="9.140625" style="14"/>
    <col min="6392" max="6392" width="8.7109375" style="14" customWidth="1"/>
    <col min="6393" max="6393" width="9.85546875" style="14" customWidth="1"/>
    <col min="6394" max="6394" width="14.42578125" style="14" customWidth="1"/>
    <col min="6395" max="6395" width="7.28515625" style="14" customWidth="1"/>
    <col min="6396" max="6396" width="5.5703125" style="14" customWidth="1"/>
    <col min="6397" max="6397" width="9" style="14" customWidth="1"/>
    <col min="6398" max="6399" width="9.85546875" style="14" customWidth="1"/>
    <col min="6400" max="6400" width="11.140625" style="14" customWidth="1"/>
    <col min="6401" max="6401" width="2.85546875" style="14" customWidth="1"/>
    <col min="6402" max="6402" width="3.5703125" style="14" customWidth="1"/>
    <col min="6403" max="6647" width="9.140625" style="14"/>
    <col min="6648" max="6648" width="8.7109375" style="14" customWidth="1"/>
    <col min="6649" max="6649" width="9.85546875" style="14" customWidth="1"/>
    <col min="6650" max="6650" width="14.42578125" style="14" customWidth="1"/>
    <col min="6651" max="6651" width="7.28515625" style="14" customWidth="1"/>
    <col min="6652" max="6652" width="5.5703125" style="14" customWidth="1"/>
    <col min="6653" max="6653" width="9" style="14" customWidth="1"/>
    <col min="6654" max="6655" width="9.85546875" style="14" customWidth="1"/>
    <col min="6656" max="6656" width="11.140625" style="14" customWidth="1"/>
    <col min="6657" max="6657" width="2.85546875" style="14" customWidth="1"/>
    <col min="6658" max="6658" width="3.5703125" style="14" customWidth="1"/>
    <col min="6659" max="6903" width="9.140625" style="14"/>
    <col min="6904" max="6904" width="8.7109375" style="14" customWidth="1"/>
    <col min="6905" max="6905" width="9.85546875" style="14" customWidth="1"/>
    <col min="6906" max="6906" width="14.42578125" style="14" customWidth="1"/>
    <col min="6907" max="6907" width="7.28515625" style="14" customWidth="1"/>
    <col min="6908" max="6908" width="5.5703125" style="14" customWidth="1"/>
    <col min="6909" max="6909" width="9" style="14" customWidth="1"/>
    <col min="6910" max="6911" width="9.85546875" style="14" customWidth="1"/>
    <col min="6912" max="6912" width="11.140625" style="14" customWidth="1"/>
    <col min="6913" max="6913" width="2.85546875" style="14" customWidth="1"/>
    <col min="6914" max="6914" width="3.5703125" style="14" customWidth="1"/>
    <col min="6915" max="7159" width="9.140625" style="14"/>
    <col min="7160" max="7160" width="8.7109375" style="14" customWidth="1"/>
    <col min="7161" max="7161" width="9.85546875" style="14" customWidth="1"/>
    <col min="7162" max="7162" width="14.42578125" style="14" customWidth="1"/>
    <col min="7163" max="7163" width="7.28515625" style="14" customWidth="1"/>
    <col min="7164" max="7164" width="5.5703125" style="14" customWidth="1"/>
    <col min="7165" max="7165" width="9" style="14" customWidth="1"/>
    <col min="7166" max="7167" width="9.85546875" style="14" customWidth="1"/>
    <col min="7168" max="7168" width="11.140625" style="14" customWidth="1"/>
    <col min="7169" max="7169" width="2.85546875" style="14" customWidth="1"/>
    <col min="7170" max="7170" width="3.5703125" style="14" customWidth="1"/>
    <col min="7171" max="7415" width="9.140625" style="14"/>
    <col min="7416" max="7416" width="8.7109375" style="14" customWidth="1"/>
    <col min="7417" max="7417" width="9.85546875" style="14" customWidth="1"/>
    <col min="7418" max="7418" width="14.42578125" style="14" customWidth="1"/>
    <col min="7419" max="7419" width="7.28515625" style="14" customWidth="1"/>
    <col min="7420" max="7420" width="5.5703125" style="14" customWidth="1"/>
    <col min="7421" max="7421" width="9" style="14" customWidth="1"/>
    <col min="7422" max="7423" width="9.85546875" style="14" customWidth="1"/>
    <col min="7424" max="7424" width="11.140625" style="14" customWidth="1"/>
    <col min="7425" max="7425" width="2.85546875" style="14" customWidth="1"/>
    <col min="7426" max="7426" width="3.5703125" style="14" customWidth="1"/>
    <col min="7427" max="7671" width="9.140625" style="14"/>
    <col min="7672" max="7672" width="8.7109375" style="14" customWidth="1"/>
    <col min="7673" max="7673" width="9.85546875" style="14" customWidth="1"/>
    <col min="7674" max="7674" width="14.42578125" style="14" customWidth="1"/>
    <col min="7675" max="7675" width="7.28515625" style="14" customWidth="1"/>
    <col min="7676" max="7676" width="5.5703125" style="14" customWidth="1"/>
    <col min="7677" max="7677" width="9" style="14" customWidth="1"/>
    <col min="7678" max="7679" width="9.85546875" style="14" customWidth="1"/>
    <col min="7680" max="7680" width="11.140625" style="14" customWidth="1"/>
    <col min="7681" max="7681" width="2.85546875" style="14" customWidth="1"/>
    <col min="7682" max="7682" width="3.5703125" style="14" customWidth="1"/>
    <col min="7683" max="7927" width="9.140625" style="14"/>
    <col min="7928" max="7928" width="8.7109375" style="14" customWidth="1"/>
    <col min="7929" max="7929" width="9.85546875" style="14" customWidth="1"/>
    <col min="7930" max="7930" width="14.42578125" style="14" customWidth="1"/>
    <col min="7931" max="7931" width="7.28515625" style="14" customWidth="1"/>
    <col min="7932" max="7932" width="5.5703125" style="14" customWidth="1"/>
    <col min="7933" max="7933" width="9" style="14" customWidth="1"/>
    <col min="7934" max="7935" width="9.85546875" style="14" customWidth="1"/>
    <col min="7936" max="7936" width="11.140625" style="14" customWidth="1"/>
    <col min="7937" max="7937" width="2.85546875" style="14" customWidth="1"/>
    <col min="7938" max="7938" width="3.5703125" style="14" customWidth="1"/>
    <col min="7939" max="8183" width="9.140625" style="14"/>
    <col min="8184" max="8184" width="8.7109375" style="14" customWidth="1"/>
    <col min="8185" max="8185" width="9.85546875" style="14" customWidth="1"/>
    <col min="8186" max="8186" width="14.42578125" style="14" customWidth="1"/>
    <col min="8187" max="8187" width="7.28515625" style="14" customWidth="1"/>
    <col min="8188" max="8188" width="5.5703125" style="14" customWidth="1"/>
    <col min="8189" max="8189" width="9" style="14" customWidth="1"/>
    <col min="8190" max="8191" width="9.85546875" style="14" customWidth="1"/>
    <col min="8192" max="8192" width="11.140625" style="14" customWidth="1"/>
    <col min="8193" max="8193" width="2.85546875" style="14" customWidth="1"/>
    <col min="8194" max="8194" width="3.5703125" style="14" customWidth="1"/>
    <col min="8195" max="8439" width="9.140625" style="14"/>
    <col min="8440" max="8440" width="8.7109375" style="14" customWidth="1"/>
    <col min="8441" max="8441" width="9.85546875" style="14" customWidth="1"/>
    <col min="8442" max="8442" width="14.42578125" style="14" customWidth="1"/>
    <col min="8443" max="8443" width="7.28515625" style="14" customWidth="1"/>
    <col min="8444" max="8444" width="5.5703125" style="14" customWidth="1"/>
    <col min="8445" max="8445" width="9" style="14" customWidth="1"/>
    <col min="8446" max="8447" width="9.85546875" style="14" customWidth="1"/>
    <col min="8448" max="8448" width="11.140625" style="14" customWidth="1"/>
    <col min="8449" max="8449" width="2.85546875" style="14" customWidth="1"/>
    <col min="8450" max="8450" width="3.5703125" style="14" customWidth="1"/>
    <col min="8451" max="8695" width="9.140625" style="14"/>
    <col min="8696" max="8696" width="8.7109375" style="14" customWidth="1"/>
    <col min="8697" max="8697" width="9.85546875" style="14" customWidth="1"/>
    <col min="8698" max="8698" width="14.42578125" style="14" customWidth="1"/>
    <col min="8699" max="8699" width="7.28515625" style="14" customWidth="1"/>
    <col min="8700" max="8700" width="5.5703125" style="14" customWidth="1"/>
    <col min="8701" max="8701" width="9" style="14" customWidth="1"/>
    <col min="8702" max="8703" width="9.85546875" style="14" customWidth="1"/>
    <col min="8704" max="8704" width="11.140625" style="14" customWidth="1"/>
    <col min="8705" max="8705" width="2.85546875" style="14" customWidth="1"/>
    <col min="8706" max="8706" width="3.5703125" style="14" customWidth="1"/>
    <col min="8707" max="8951" width="9.140625" style="14"/>
    <col min="8952" max="8952" width="8.7109375" style="14" customWidth="1"/>
    <col min="8953" max="8953" width="9.85546875" style="14" customWidth="1"/>
    <col min="8954" max="8954" width="14.42578125" style="14" customWidth="1"/>
    <col min="8955" max="8955" width="7.28515625" style="14" customWidth="1"/>
    <col min="8956" max="8956" width="5.5703125" style="14" customWidth="1"/>
    <col min="8957" max="8957" width="9" style="14" customWidth="1"/>
    <col min="8958" max="8959" width="9.85546875" style="14" customWidth="1"/>
    <col min="8960" max="8960" width="11.140625" style="14" customWidth="1"/>
    <col min="8961" max="8961" width="2.85546875" style="14" customWidth="1"/>
    <col min="8962" max="8962" width="3.5703125" style="14" customWidth="1"/>
    <col min="8963" max="9207" width="9.140625" style="14"/>
    <col min="9208" max="9208" width="8.7109375" style="14" customWidth="1"/>
    <col min="9209" max="9209" width="9.85546875" style="14" customWidth="1"/>
    <col min="9210" max="9210" width="14.42578125" style="14" customWidth="1"/>
    <col min="9211" max="9211" width="7.28515625" style="14" customWidth="1"/>
    <col min="9212" max="9212" width="5.5703125" style="14" customWidth="1"/>
    <col min="9213" max="9213" width="9" style="14" customWidth="1"/>
    <col min="9214" max="9215" width="9.85546875" style="14" customWidth="1"/>
    <col min="9216" max="9216" width="11.140625" style="14" customWidth="1"/>
    <col min="9217" max="9217" width="2.85546875" style="14" customWidth="1"/>
    <col min="9218" max="9218" width="3.5703125" style="14" customWidth="1"/>
    <col min="9219" max="9463" width="9.140625" style="14"/>
    <col min="9464" max="9464" width="8.7109375" style="14" customWidth="1"/>
    <col min="9465" max="9465" width="9.85546875" style="14" customWidth="1"/>
    <col min="9466" max="9466" width="14.42578125" style="14" customWidth="1"/>
    <col min="9467" max="9467" width="7.28515625" style="14" customWidth="1"/>
    <col min="9468" max="9468" width="5.5703125" style="14" customWidth="1"/>
    <col min="9469" max="9469" width="9" style="14" customWidth="1"/>
    <col min="9470" max="9471" width="9.85546875" style="14" customWidth="1"/>
    <col min="9472" max="9472" width="11.140625" style="14" customWidth="1"/>
    <col min="9473" max="9473" width="2.85546875" style="14" customWidth="1"/>
    <col min="9474" max="9474" width="3.5703125" style="14" customWidth="1"/>
    <col min="9475" max="9719" width="9.140625" style="14"/>
    <col min="9720" max="9720" width="8.7109375" style="14" customWidth="1"/>
    <col min="9721" max="9721" width="9.85546875" style="14" customWidth="1"/>
    <col min="9722" max="9722" width="14.42578125" style="14" customWidth="1"/>
    <col min="9723" max="9723" width="7.28515625" style="14" customWidth="1"/>
    <col min="9724" max="9724" width="5.5703125" style="14" customWidth="1"/>
    <col min="9725" max="9725" width="9" style="14" customWidth="1"/>
    <col min="9726" max="9727" width="9.85546875" style="14" customWidth="1"/>
    <col min="9728" max="9728" width="11.140625" style="14" customWidth="1"/>
    <col min="9729" max="9729" width="2.85546875" style="14" customWidth="1"/>
    <col min="9730" max="9730" width="3.5703125" style="14" customWidth="1"/>
    <col min="9731" max="9975" width="9.140625" style="14"/>
    <col min="9976" max="9976" width="8.7109375" style="14" customWidth="1"/>
    <col min="9977" max="9977" width="9.85546875" style="14" customWidth="1"/>
    <col min="9978" max="9978" width="14.42578125" style="14" customWidth="1"/>
    <col min="9979" max="9979" width="7.28515625" style="14" customWidth="1"/>
    <col min="9980" max="9980" width="5.5703125" style="14" customWidth="1"/>
    <col min="9981" max="9981" width="9" style="14" customWidth="1"/>
    <col min="9982" max="9983" width="9.85546875" style="14" customWidth="1"/>
    <col min="9984" max="9984" width="11.140625" style="14" customWidth="1"/>
    <col min="9985" max="9985" width="2.85546875" style="14" customWidth="1"/>
    <col min="9986" max="9986" width="3.5703125" style="14" customWidth="1"/>
    <col min="9987" max="10231" width="9.140625" style="14"/>
    <col min="10232" max="10232" width="8.7109375" style="14" customWidth="1"/>
    <col min="10233" max="10233" width="9.85546875" style="14" customWidth="1"/>
    <col min="10234" max="10234" width="14.42578125" style="14" customWidth="1"/>
    <col min="10235" max="10235" width="7.28515625" style="14" customWidth="1"/>
    <col min="10236" max="10236" width="5.5703125" style="14" customWidth="1"/>
    <col min="10237" max="10237" width="9" style="14" customWidth="1"/>
    <col min="10238" max="10239" width="9.85546875" style="14" customWidth="1"/>
    <col min="10240" max="10240" width="11.140625" style="14" customWidth="1"/>
    <col min="10241" max="10241" width="2.85546875" style="14" customWidth="1"/>
    <col min="10242" max="10242" width="3.5703125" style="14" customWidth="1"/>
    <col min="10243" max="10487" width="9.140625" style="14"/>
    <col min="10488" max="10488" width="8.7109375" style="14" customWidth="1"/>
    <col min="10489" max="10489" width="9.85546875" style="14" customWidth="1"/>
    <col min="10490" max="10490" width="14.42578125" style="14" customWidth="1"/>
    <col min="10491" max="10491" width="7.28515625" style="14" customWidth="1"/>
    <col min="10492" max="10492" width="5.5703125" style="14" customWidth="1"/>
    <col min="10493" max="10493" width="9" style="14" customWidth="1"/>
    <col min="10494" max="10495" width="9.85546875" style="14" customWidth="1"/>
    <col min="10496" max="10496" width="11.140625" style="14" customWidth="1"/>
    <col min="10497" max="10497" width="2.85546875" style="14" customWidth="1"/>
    <col min="10498" max="10498" width="3.5703125" style="14" customWidth="1"/>
    <col min="10499" max="10743" width="9.140625" style="14"/>
    <col min="10744" max="10744" width="8.7109375" style="14" customWidth="1"/>
    <col min="10745" max="10745" width="9.85546875" style="14" customWidth="1"/>
    <col min="10746" max="10746" width="14.42578125" style="14" customWidth="1"/>
    <col min="10747" max="10747" width="7.28515625" style="14" customWidth="1"/>
    <col min="10748" max="10748" width="5.5703125" style="14" customWidth="1"/>
    <col min="10749" max="10749" width="9" style="14" customWidth="1"/>
    <col min="10750" max="10751" width="9.85546875" style="14" customWidth="1"/>
    <col min="10752" max="10752" width="11.140625" style="14" customWidth="1"/>
    <col min="10753" max="10753" width="2.85546875" style="14" customWidth="1"/>
    <col min="10754" max="10754" width="3.5703125" style="14" customWidth="1"/>
    <col min="10755" max="10999" width="9.140625" style="14"/>
    <col min="11000" max="11000" width="8.7109375" style="14" customWidth="1"/>
    <col min="11001" max="11001" width="9.85546875" style="14" customWidth="1"/>
    <col min="11002" max="11002" width="14.42578125" style="14" customWidth="1"/>
    <col min="11003" max="11003" width="7.28515625" style="14" customWidth="1"/>
    <col min="11004" max="11004" width="5.5703125" style="14" customWidth="1"/>
    <col min="11005" max="11005" width="9" style="14" customWidth="1"/>
    <col min="11006" max="11007" width="9.85546875" style="14" customWidth="1"/>
    <col min="11008" max="11008" width="11.140625" style="14" customWidth="1"/>
    <col min="11009" max="11009" width="2.85546875" style="14" customWidth="1"/>
    <col min="11010" max="11010" width="3.5703125" style="14" customWidth="1"/>
    <col min="11011" max="11255" width="9.140625" style="14"/>
    <col min="11256" max="11256" width="8.7109375" style="14" customWidth="1"/>
    <col min="11257" max="11257" width="9.85546875" style="14" customWidth="1"/>
    <col min="11258" max="11258" width="14.42578125" style="14" customWidth="1"/>
    <col min="11259" max="11259" width="7.28515625" style="14" customWidth="1"/>
    <col min="11260" max="11260" width="5.5703125" style="14" customWidth="1"/>
    <col min="11261" max="11261" width="9" style="14" customWidth="1"/>
    <col min="11262" max="11263" width="9.85546875" style="14" customWidth="1"/>
    <col min="11264" max="11264" width="11.140625" style="14" customWidth="1"/>
    <col min="11265" max="11265" width="2.85546875" style="14" customWidth="1"/>
    <col min="11266" max="11266" width="3.5703125" style="14" customWidth="1"/>
    <col min="11267" max="11511" width="9.140625" style="14"/>
    <col min="11512" max="11512" width="8.7109375" style="14" customWidth="1"/>
    <col min="11513" max="11513" width="9.85546875" style="14" customWidth="1"/>
    <col min="11514" max="11514" width="14.42578125" style="14" customWidth="1"/>
    <col min="11515" max="11515" width="7.28515625" style="14" customWidth="1"/>
    <col min="11516" max="11516" width="5.5703125" style="14" customWidth="1"/>
    <col min="11517" max="11517" width="9" style="14" customWidth="1"/>
    <col min="11518" max="11519" width="9.85546875" style="14" customWidth="1"/>
    <col min="11520" max="11520" width="11.140625" style="14" customWidth="1"/>
    <col min="11521" max="11521" width="2.85546875" style="14" customWidth="1"/>
    <col min="11522" max="11522" width="3.5703125" style="14" customWidth="1"/>
    <col min="11523" max="11767" width="9.140625" style="14"/>
    <col min="11768" max="11768" width="8.7109375" style="14" customWidth="1"/>
    <col min="11769" max="11769" width="9.85546875" style="14" customWidth="1"/>
    <col min="11770" max="11770" width="14.42578125" style="14" customWidth="1"/>
    <col min="11771" max="11771" width="7.28515625" style="14" customWidth="1"/>
    <col min="11772" max="11772" width="5.5703125" style="14" customWidth="1"/>
    <col min="11773" max="11773" width="9" style="14" customWidth="1"/>
    <col min="11774" max="11775" width="9.85546875" style="14" customWidth="1"/>
    <col min="11776" max="11776" width="11.140625" style="14" customWidth="1"/>
    <col min="11777" max="11777" width="2.85546875" style="14" customWidth="1"/>
    <col min="11778" max="11778" width="3.5703125" style="14" customWidth="1"/>
    <col min="11779" max="12023" width="9.140625" style="14"/>
    <col min="12024" max="12024" width="8.7109375" style="14" customWidth="1"/>
    <col min="12025" max="12025" width="9.85546875" style="14" customWidth="1"/>
    <col min="12026" max="12026" width="14.42578125" style="14" customWidth="1"/>
    <col min="12027" max="12027" width="7.28515625" style="14" customWidth="1"/>
    <col min="12028" max="12028" width="5.5703125" style="14" customWidth="1"/>
    <col min="12029" max="12029" width="9" style="14" customWidth="1"/>
    <col min="12030" max="12031" width="9.85546875" style="14" customWidth="1"/>
    <col min="12032" max="12032" width="11.140625" style="14" customWidth="1"/>
    <col min="12033" max="12033" width="2.85546875" style="14" customWidth="1"/>
    <col min="12034" max="12034" width="3.5703125" style="14" customWidth="1"/>
    <col min="12035" max="12279" width="9.140625" style="14"/>
    <col min="12280" max="12280" width="8.7109375" style="14" customWidth="1"/>
    <col min="12281" max="12281" width="9.85546875" style="14" customWidth="1"/>
    <col min="12282" max="12282" width="14.42578125" style="14" customWidth="1"/>
    <col min="12283" max="12283" width="7.28515625" style="14" customWidth="1"/>
    <col min="12284" max="12284" width="5.5703125" style="14" customWidth="1"/>
    <col min="12285" max="12285" width="9" style="14" customWidth="1"/>
    <col min="12286" max="12287" width="9.85546875" style="14" customWidth="1"/>
    <col min="12288" max="12288" width="11.140625" style="14" customWidth="1"/>
    <col min="12289" max="12289" width="2.85546875" style="14" customWidth="1"/>
    <col min="12290" max="12290" width="3.5703125" style="14" customWidth="1"/>
    <col min="12291" max="12535" width="9.140625" style="14"/>
    <col min="12536" max="12536" width="8.7109375" style="14" customWidth="1"/>
    <col min="12537" max="12537" width="9.85546875" style="14" customWidth="1"/>
    <col min="12538" max="12538" width="14.42578125" style="14" customWidth="1"/>
    <col min="12539" max="12539" width="7.28515625" style="14" customWidth="1"/>
    <col min="12540" max="12540" width="5.5703125" style="14" customWidth="1"/>
    <col min="12541" max="12541" width="9" style="14" customWidth="1"/>
    <col min="12542" max="12543" width="9.85546875" style="14" customWidth="1"/>
    <col min="12544" max="12544" width="11.140625" style="14" customWidth="1"/>
    <col min="12545" max="12545" width="2.85546875" style="14" customWidth="1"/>
    <col min="12546" max="12546" width="3.5703125" style="14" customWidth="1"/>
    <col min="12547" max="12791" width="9.140625" style="14"/>
    <col min="12792" max="12792" width="8.7109375" style="14" customWidth="1"/>
    <col min="12793" max="12793" width="9.85546875" style="14" customWidth="1"/>
    <col min="12794" max="12794" width="14.42578125" style="14" customWidth="1"/>
    <col min="12795" max="12795" width="7.28515625" style="14" customWidth="1"/>
    <col min="12796" max="12796" width="5.5703125" style="14" customWidth="1"/>
    <col min="12797" max="12797" width="9" style="14" customWidth="1"/>
    <col min="12798" max="12799" width="9.85546875" style="14" customWidth="1"/>
    <col min="12800" max="12800" width="11.140625" style="14" customWidth="1"/>
    <col min="12801" max="12801" width="2.85546875" style="14" customWidth="1"/>
    <col min="12802" max="12802" width="3.5703125" style="14" customWidth="1"/>
    <col min="12803" max="13047" width="9.140625" style="14"/>
    <col min="13048" max="13048" width="8.7109375" style="14" customWidth="1"/>
    <col min="13049" max="13049" width="9.85546875" style="14" customWidth="1"/>
    <col min="13050" max="13050" width="14.42578125" style="14" customWidth="1"/>
    <col min="13051" max="13051" width="7.28515625" style="14" customWidth="1"/>
    <col min="13052" max="13052" width="5.5703125" style="14" customWidth="1"/>
    <col min="13053" max="13053" width="9" style="14" customWidth="1"/>
    <col min="13054" max="13055" width="9.85546875" style="14" customWidth="1"/>
    <col min="13056" max="13056" width="11.140625" style="14" customWidth="1"/>
    <col min="13057" max="13057" width="2.85546875" style="14" customWidth="1"/>
    <col min="13058" max="13058" width="3.5703125" style="14" customWidth="1"/>
    <col min="13059" max="13303" width="9.140625" style="14"/>
    <col min="13304" max="13304" width="8.7109375" style="14" customWidth="1"/>
    <col min="13305" max="13305" width="9.85546875" style="14" customWidth="1"/>
    <col min="13306" max="13306" width="14.42578125" style="14" customWidth="1"/>
    <col min="13307" max="13307" width="7.28515625" style="14" customWidth="1"/>
    <col min="13308" max="13308" width="5.5703125" style="14" customWidth="1"/>
    <col min="13309" max="13309" width="9" style="14" customWidth="1"/>
    <col min="13310" max="13311" width="9.85546875" style="14" customWidth="1"/>
    <col min="13312" max="13312" width="11.140625" style="14" customWidth="1"/>
    <col min="13313" max="13313" width="2.85546875" style="14" customWidth="1"/>
    <col min="13314" max="13314" width="3.5703125" style="14" customWidth="1"/>
    <col min="13315" max="13559" width="9.140625" style="14"/>
    <col min="13560" max="13560" width="8.7109375" style="14" customWidth="1"/>
    <col min="13561" max="13561" width="9.85546875" style="14" customWidth="1"/>
    <col min="13562" max="13562" width="14.42578125" style="14" customWidth="1"/>
    <col min="13563" max="13563" width="7.28515625" style="14" customWidth="1"/>
    <col min="13564" max="13564" width="5.5703125" style="14" customWidth="1"/>
    <col min="13565" max="13565" width="9" style="14" customWidth="1"/>
    <col min="13566" max="13567" width="9.85546875" style="14" customWidth="1"/>
    <col min="13568" max="13568" width="11.140625" style="14" customWidth="1"/>
    <col min="13569" max="13569" width="2.85546875" style="14" customWidth="1"/>
    <col min="13570" max="13570" width="3.5703125" style="14" customWidth="1"/>
    <col min="13571" max="13815" width="9.140625" style="14"/>
    <col min="13816" max="13816" width="8.7109375" style="14" customWidth="1"/>
    <col min="13817" max="13817" width="9.85546875" style="14" customWidth="1"/>
    <col min="13818" max="13818" width="14.42578125" style="14" customWidth="1"/>
    <col min="13819" max="13819" width="7.28515625" style="14" customWidth="1"/>
    <col min="13820" max="13820" width="5.5703125" style="14" customWidth="1"/>
    <col min="13821" max="13821" width="9" style="14" customWidth="1"/>
    <col min="13822" max="13823" width="9.85546875" style="14" customWidth="1"/>
    <col min="13824" max="13824" width="11.140625" style="14" customWidth="1"/>
    <col min="13825" max="13825" width="2.85546875" style="14" customWidth="1"/>
    <col min="13826" max="13826" width="3.5703125" style="14" customWidth="1"/>
    <col min="13827" max="14071" width="9.140625" style="14"/>
    <col min="14072" max="14072" width="8.7109375" style="14" customWidth="1"/>
    <col min="14073" max="14073" width="9.85546875" style="14" customWidth="1"/>
    <col min="14074" max="14074" width="14.42578125" style="14" customWidth="1"/>
    <col min="14075" max="14075" width="7.28515625" style="14" customWidth="1"/>
    <col min="14076" max="14076" width="5.5703125" style="14" customWidth="1"/>
    <col min="14077" max="14077" width="9" style="14" customWidth="1"/>
    <col min="14078" max="14079" width="9.85546875" style="14" customWidth="1"/>
    <col min="14080" max="14080" width="11.140625" style="14" customWidth="1"/>
    <col min="14081" max="14081" width="2.85546875" style="14" customWidth="1"/>
    <col min="14082" max="14082" width="3.5703125" style="14" customWidth="1"/>
    <col min="14083" max="14327" width="9.140625" style="14"/>
    <col min="14328" max="14328" width="8.7109375" style="14" customWidth="1"/>
    <col min="14329" max="14329" width="9.85546875" style="14" customWidth="1"/>
    <col min="14330" max="14330" width="14.42578125" style="14" customWidth="1"/>
    <col min="14331" max="14331" width="7.28515625" style="14" customWidth="1"/>
    <col min="14332" max="14332" width="5.5703125" style="14" customWidth="1"/>
    <col min="14333" max="14333" width="9" style="14" customWidth="1"/>
    <col min="14334" max="14335" width="9.85546875" style="14" customWidth="1"/>
    <col min="14336" max="14336" width="11.140625" style="14" customWidth="1"/>
    <col min="14337" max="14337" width="2.85546875" style="14" customWidth="1"/>
    <col min="14338" max="14338" width="3.5703125" style="14" customWidth="1"/>
    <col min="14339" max="14583" width="9.140625" style="14"/>
    <col min="14584" max="14584" width="8.7109375" style="14" customWidth="1"/>
    <col min="14585" max="14585" width="9.85546875" style="14" customWidth="1"/>
    <col min="14586" max="14586" width="14.42578125" style="14" customWidth="1"/>
    <col min="14587" max="14587" width="7.28515625" style="14" customWidth="1"/>
    <col min="14588" max="14588" width="5.5703125" style="14" customWidth="1"/>
    <col min="14589" max="14589" width="9" style="14" customWidth="1"/>
    <col min="14590" max="14591" width="9.85546875" style="14" customWidth="1"/>
    <col min="14592" max="14592" width="11.140625" style="14" customWidth="1"/>
    <col min="14593" max="14593" width="2.85546875" style="14" customWidth="1"/>
    <col min="14594" max="14594" width="3.5703125" style="14" customWidth="1"/>
    <col min="14595" max="14839" width="9.140625" style="14"/>
    <col min="14840" max="14840" width="8.7109375" style="14" customWidth="1"/>
    <col min="14841" max="14841" width="9.85546875" style="14" customWidth="1"/>
    <col min="14842" max="14842" width="14.42578125" style="14" customWidth="1"/>
    <col min="14843" max="14843" width="7.28515625" style="14" customWidth="1"/>
    <col min="14844" max="14844" width="5.5703125" style="14" customWidth="1"/>
    <col min="14845" max="14845" width="9" style="14" customWidth="1"/>
    <col min="14846" max="14847" width="9.85546875" style="14" customWidth="1"/>
    <col min="14848" max="14848" width="11.140625" style="14" customWidth="1"/>
    <col min="14849" max="14849" width="2.85546875" style="14" customWidth="1"/>
    <col min="14850" max="14850" width="3.5703125" style="14" customWidth="1"/>
    <col min="14851" max="15095" width="9.140625" style="14"/>
    <col min="15096" max="15096" width="8.7109375" style="14" customWidth="1"/>
    <col min="15097" max="15097" width="9.85546875" style="14" customWidth="1"/>
    <col min="15098" max="15098" width="14.42578125" style="14" customWidth="1"/>
    <col min="15099" max="15099" width="7.28515625" style="14" customWidth="1"/>
    <col min="15100" max="15100" width="5.5703125" style="14" customWidth="1"/>
    <col min="15101" max="15101" width="9" style="14" customWidth="1"/>
    <col min="15102" max="15103" width="9.85546875" style="14" customWidth="1"/>
    <col min="15104" max="15104" width="11.140625" style="14" customWidth="1"/>
    <col min="15105" max="15105" width="2.85546875" style="14" customWidth="1"/>
    <col min="15106" max="15106" width="3.5703125" style="14" customWidth="1"/>
    <col min="15107" max="15351" width="9.140625" style="14"/>
    <col min="15352" max="15352" width="8.7109375" style="14" customWidth="1"/>
    <col min="15353" max="15353" width="9.85546875" style="14" customWidth="1"/>
    <col min="15354" max="15354" width="14.42578125" style="14" customWidth="1"/>
    <col min="15355" max="15355" width="7.28515625" style="14" customWidth="1"/>
    <col min="15356" max="15356" width="5.5703125" style="14" customWidth="1"/>
    <col min="15357" max="15357" width="9" style="14" customWidth="1"/>
    <col min="15358" max="15359" width="9.85546875" style="14" customWidth="1"/>
    <col min="15360" max="15360" width="11.140625" style="14" customWidth="1"/>
    <col min="15361" max="15361" width="2.85546875" style="14" customWidth="1"/>
    <col min="15362" max="15362" width="3.5703125" style="14" customWidth="1"/>
    <col min="15363" max="15607" width="9.140625" style="14"/>
    <col min="15608" max="15608" width="8.7109375" style="14" customWidth="1"/>
    <col min="15609" max="15609" width="9.85546875" style="14" customWidth="1"/>
    <col min="15610" max="15610" width="14.42578125" style="14" customWidth="1"/>
    <col min="15611" max="15611" width="7.28515625" style="14" customWidth="1"/>
    <col min="15612" max="15612" width="5.5703125" style="14" customWidth="1"/>
    <col min="15613" max="15613" width="9" style="14" customWidth="1"/>
    <col min="15614" max="15615" width="9.85546875" style="14" customWidth="1"/>
    <col min="15616" max="15616" width="11.140625" style="14" customWidth="1"/>
    <col min="15617" max="15617" width="2.85546875" style="14" customWidth="1"/>
    <col min="15618" max="15618" width="3.5703125" style="14" customWidth="1"/>
    <col min="15619" max="15863" width="9.140625" style="14"/>
    <col min="15864" max="15864" width="8.7109375" style="14" customWidth="1"/>
    <col min="15865" max="15865" width="9.85546875" style="14" customWidth="1"/>
    <col min="15866" max="15866" width="14.42578125" style="14" customWidth="1"/>
    <col min="15867" max="15867" width="7.28515625" style="14" customWidth="1"/>
    <col min="15868" max="15868" width="5.5703125" style="14" customWidth="1"/>
    <col min="15869" max="15869" width="9" style="14" customWidth="1"/>
    <col min="15870" max="15871" width="9.85546875" style="14" customWidth="1"/>
    <col min="15872" max="15872" width="11.140625" style="14" customWidth="1"/>
    <col min="15873" max="15873" width="2.85546875" style="14" customWidth="1"/>
    <col min="15874" max="15874" width="3.5703125" style="14" customWidth="1"/>
    <col min="15875" max="16119" width="9.140625" style="14"/>
    <col min="16120" max="16120" width="8.7109375" style="14" customWidth="1"/>
    <col min="16121" max="16121" width="9.85546875" style="14" customWidth="1"/>
    <col min="16122" max="16122" width="14.42578125" style="14" customWidth="1"/>
    <col min="16123" max="16123" width="7.28515625" style="14" customWidth="1"/>
    <col min="16124" max="16124" width="5.5703125" style="14" customWidth="1"/>
    <col min="16125" max="16125" width="9" style="14" customWidth="1"/>
    <col min="16126" max="16127" width="9.85546875" style="14" customWidth="1"/>
    <col min="16128" max="16128" width="11.140625" style="14" customWidth="1"/>
    <col min="16129" max="16129" width="2.85546875" style="14" customWidth="1"/>
    <col min="16130" max="16130" width="3.5703125" style="14" customWidth="1"/>
    <col min="16131" max="16384" width="9.140625" style="14"/>
  </cols>
  <sheetData>
    <row r="1" spans="1:26" ht="46.5" customHeight="1" x14ac:dyDescent="0.25">
      <c r="A1" s="151" t="s">
        <v>159</v>
      </c>
      <c r="B1" s="151"/>
      <c r="C1" s="151"/>
      <c r="D1" s="151"/>
      <c r="E1" s="151"/>
      <c r="F1" s="151"/>
      <c r="G1" s="151"/>
      <c r="H1" s="151"/>
    </row>
    <row r="2" spans="1:26" ht="16.5" customHeight="1" x14ac:dyDescent="0.25">
      <c r="A2" s="152" t="s">
        <v>0</v>
      </c>
      <c r="B2" s="152"/>
      <c r="C2" s="152"/>
      <c r="D2" s="152"/>
      <c r="E2" s="152"/>
      <c r="F2" s="152"/>
      <c r="G2" s="152"/>
      <c r="H2" s="152"/>
    </row>
    <row r="3" spans="1:26" x14ac:dyDescent="0.25">
      <c r="A3" s="77" t="s">
        <v>1</v>
      </c>
      <c r="B3" s="77"/>
      <c r="C3" s="77"/>
      <c r="D3" s="77"/>
      <c r="E3" s="77" t="str">
        <f ca="1">TEXT(TODAY(),"DD/MM/YYYY")</f>
        <v>10/09/2025</v>
      </c>
      <c r="F3" s="77"/>
      <c r="G3" s="77"/>
      <c r="H3" s="77"/>
    </row>
    <row r="4" spans="1:26" ht="15" customHeight="1" x14ac:dyDescent="0.25">
      <c r="A4" s="77" t="s">
        <v>2</v>
      </c>
      <c r="B4" s="77"/>
      <c r="C4" s="77"/>
      <c r="D4" s="77"/>
      <c r="E4" s="77" t="s">
        <v>226</v>
      </c>
      <c r="F4" s="77"/>
      <c r="G4" s="77"/>
      <c r="H4" s="77"/>
    </row>
    <row r="5" spans="1:26" x14ac:dyDescent="0.25">
      <c r="A5" s="77" t="s">
        <v>3</v>
      </c>
      <c r="B5" s="77"/>
      <c r="C5" s="77"/>
      <c r="D5" s="77"/>
      <c r="E5" s="153">
        <v>45909</v>
      </c>
      <c r="F5" s="77"/>
      <c r="G5" s="77"/>
      <c r="H5" s="77"/>
    </row>
    <row r="6" spans="1:26" ht="16.5" customHeight="1" x14ac:dyDescent="0.25">
      <c r="A6" s="77" t="s">
        <v>227</v>
      </c>
      <c r="B6" s="77"/>
      <c r="C6" s="77"/>
      <c r="D6" s="77"/>
      <c r="E6" s="77" t="s">
        <v>228</v>
      </c>
      <c r="F6" s="77"/>
      <c r="G6" s="77"/>
      <c r="H6" s="77"/>
    </row>
    <row r="7" spans="1:26" ht="15" customHeight="1" x14ac:dyDescent="0.25">
      <c r="A7" s="77" t="s">
        <v>4</v>
      </c>
      <c r="B7" s="77"/>
      <c r="C7" s="77"/>
      <c r="D7" s="77"/>
      <c r="E7" s="77" t="s">
        <v>267</v>
      </c>
      <c r="F7" s="77"/>
      <c r="G7" s="77"/>
      <c r="H7" s="77"/>
    </row>
    <row r="8" spans="1:26" x14ac:dyDescent="0.25">
      <c r="A8" s="77" t="s">
        <v>5</v>
      </c>
      <c r="B8" s="77"/>
      <c r="C8" s="77"/>
      <c r="D8" s="77"/>
      <c r="E8" s="141" t="s">
        <v>271</v>
      </c>
      <c r="F8" s="141"/>
      <c r="G8" s="141"/>
      <c r="H8" s="141"/>
    </row>
    <row r="9" spans="1:26" x14ac:dyDescent="0.25">
      <c r="A9" s="77" t="s">
        <v>162</v>
      </c>
      <c r="B9" s="77"/>
      <c r="C9" s="77"/>
      <c r="D9" s="77"/>
      <c r="E9" s="77" t="s">
        <v>272</v>
      </c>
      <c r="F9" s="77"/>
      <c r="G9" s="77"/>
      <c r="H9" s="77"/>
    </row>
    <row r="10" spans="1:26" x14ac:dyDescent="0.25">
      <c r="A10" s="77" t="s">
        <v>163</v>
      </c>
      <c r="B10" s="77"/>
      <c r="C10" s="77"/>
      <c r="D10" s="77"/>
      <c r="E10" s="77" t="s">
        <v>28</v>
      </c>
      <c r="F10" s="77"/>
      <c r="G10" s="77"/>
      <c r="H10" s="77"/>
    </row>
    <row r="11" spans="1:26" x14ac:dyDescent="0.25">
      <c r="A11" s="77" t="s">
        <v>6</v>
      </c>
      <c r="B11" s="77"/>
      <c r="C11" s="77"/>
      <c r="D11" s="77"/>
      <c r="E11" s="77" t="s">
        <v>118</v>
      </c>
      <c r="F11" s="77"/>
      <c r="G11" s="77"/>
      <c r="H11" s="77"/>
    </row>
    <row r="12" spans="1:26" x14ac:dyDescent="0.25">
      <c r="A12" s="77" t="s">
        <v>165</v>
      </c>
      <c r="B12" s="77"/>
      <c r="C12" s="77"/>
      <c r="D12" s="77"/>
      <c r="E12" s="77" t="s">
        <v>28</v>
      </c>
      <c r="F12" s="77"/>
      <c r="G12" s="77"/>
      <c r="H12" s="77"/>
      <c r="S12" s="35" t="s">
        <v>170</v>
      </c>
      <c r="T12" s="35" t="s">
        <v>180</v>
      </c>
      <c r="U12" s="35" t="s">
        <v>166</v>
      </c>
      <c r="V12" s="35" t="s">
        <v>185</v>
      </c>
      <c r="W12" s="35" t="s">
        <v>203</v>
      </c>
      <c r="X12"/>
      <c r="Y12" t="s">
        <v>185</v>
      </c>
      <c r="Z12" t="e">
        <f ca="1">OFFSET($S$12,1,MATCH($G19,$S$12:$W$12,0)-1,15,1)</f>
        <v>#VALUE!</v>
      </c>
    </row>
    <row r="13" spans="1:26" ht="32.25" customHeight="1" x14ac:dyDescent="0.25">
      <c r="A13" s="92" t="s">
        <v>7</v>
      </c>
      <c r="B13" s="92"/>
      <c r="C13" s="92"/>
      <c r="D13" s="92"/>
      <c r="E13" s="78" t="s">
        <v>254</v>
      </c>
      <c r="F13" s="78"/>
      <c r="G13" s="78"/>
      <c r="H13" s="78"/>
      <c r="S13" s="35" t="s">
        <v>171</v>
      </c>
      <c r="T13" s="35" t="s">
        <v>178</v>
      </c>
      <c r="U13" s="35" t="s">
        <v>200</v>
      </c>
      <c r="V13" s="35" t="s">
        <v>186</v>
      </c>
      <c r="W13" s="35" t="s">
        <v>204</v>
      </c>
      <c r="X13"/>
      <c r="Y13"/>
      <c r="Z13"/>
    </row>
    <row r="14" spans="1:26" x14ac:dyDescent="0.25">
      <c r="A14" s="92" t="s">
        <v>8</v>
      </c>
      <c r="B14" s="92"/>
      <c r="C14" s="92"/>
      <c r="D14" s="92"/>
      <c r="E14" s="78" t="s">
        <v>229</v>
      </c>
      <c r="F14" s="77"/>
      <c r="G14" s="77"/>
      <c r="H14" s="77"/>
      <c r="I14" s="185" t="e">
        <f ca="1">OFFSET($D$4,1,MATCH($J12,$D$4:$H$4,0)-1,15,1)</f>
        <v>#N/A</v>
      </c>
      <c r="J14" s="186"/>
      <c r="K14" s="186"/>
      <c r="L14" s="186"/>
      <c r="M14" s="186"/>
      <c r="N14" s="186"/>
      <c r="O14" s="186"/>
      <c r="P14" s="186"/>
      <c r="S14" s="35" t="s">
        <v>172</v>
      </c>
      <c r="T14" s="35" t="s">
        <v>179</v>
      </c>
      <c r="U14" s="35" t="s">
        <v>201</v>
      </c>
      <c r="V14" s="35" t="s">
        <v>187</v>
      </c>
      <c r="W14" s="35" t="s">
        <v>217</v>
      </c>
      <c r="X14"/>
      <c r="Y14"/>
      <c r="Z14"/>
    </row>
    <row r="15" spans="1:26" ht="48.75" customHeight="1" x14ac:dyDescent="0.25">
      <c r="A15" s="79" t="s">
        <v>9</v>
      </c>
      <c r="B15" s="79"/>
      <c r="C15" s="79" t="str">
        <f>CONCATENATE((IF(OR(E8="",E8="NA"),"",E8)),", ",(IF(OR(A16="",A16="NA"),"",A16)),".",(IF(OR(C16="",C16="NA"),"",C16)),", near ",(IF(OR(C21="",C21="NA"),"",C21)),", ",(IF(OR(C18="",C18="NA"),"",C18)),", ",(IF(OR(C17="",C17="NA"),"",C17)),", ",(IF(OR(G18="",G18="NA"),"",G18)),", ",(IF(OR(C19="",C19="NA"),"",C19)),", ",(IF(OR(C20="",C20="NA"),"",C20)),", ",(IF(OR(G19="",G19="NA"),"",G19))," - ",(IF(OR(G20="",G20="NA"),"",G20)),".")</f>
        <v>Shubhada Coop Housing Society proposed, Survey No.27/A/1/7, 29/1/A, near Seagull Residency Co.Op Housing Society, Savta Mali Road, Mhatre Wadi, Chendhare, Alibag, Alibag, Raigad - 402201.</v>
      </c>
      <c r="D15" s="79"/>
      <c r="E15" s="79"/>
      <c r="F15" s="79"/>
      <c r="G15" s="79"/>
      <c r="H15" s="79"/>
      <c r="S15" s="35" t="s">
        <v>173</v>
      </c>
      <c r="T15" s="35" t="s">
        <v>181</v>
      </c>
      <c r="U15" s="35" t="s">
        <v>202</v>
      </c>
      <c r="V15" s="35" t="s">
        <v>188</v>
      </c>
      <c r="W15" s="35" t="s">
        <v>205</v>
      </c>
      <c r="X15"/>
      <c r="Y15"/>
      <c r="Z15"/>
    </row>
    <row r="16" spans="1:26" x14ac:dyDescent="0.25">
      <c r="A16" s="146" t="s">
        <v>225</v>
      </c>
      <c r="B16" s="146"/>
      <c r="C16" s="146" t="s">
        <v>230</v>
      </c>
      <c r="D16" s="146"/>
      <c r="E16" s="146"/>
      <c r="F16" s="146"/>
      <c r="G16" s="146"/>
      <c r="H16" s="146"/>
      <c r="S16" s="35" t="s">
        <v>174</v>
      </c>
      <c r="T16" s="35" t="s">
        <v>182</v>
      </c>
      <c r="U16" s="35"/>
      <c r="V16" s="35" t="s">
        <v>189</v>
      </c>
      <c r="W16" s="35" t="s">
        <v>206</v>
      </c>
      <c r="X16"/>
      <c r="Y16"/>
      <c r="Z16"/>
    </row>
    <row r="17" spans="1:26" ht="15.75" customHeight="1" x14ac:dyDescent="0.25">
      <c r="A17" s="146" t="s">
        <v>157</v>
      </c>
      <c r="B17" s="146"/>
      <c r="C17" s="146" t="s">
        <v>262</v>
      </c>
      <c r="D17" s="146"/>
      <c r="E17" s="146"/>
      <c r="F17" s="146"/>
      <c r="G17" s="146"/>
      <c r="H17" s="146"/>
      <c r="S17" s="35" t="s">
        <v>175</v>
      </c>
      <c r="T17" s="35" t="s">
        <v>180</v>
      </c>
      <c r="U17" s="35"/>
      <c r="V17" s="35" t="s">
        <v>190</v>
      </c>
      <c r="W17" s="35" t="s">
        <v>207</v>
      </c>
      <c r="X17"/>
      <c r="Y17"/>
      <c r="Z17"/>
    </row>
    <row r="18" spans="1:26" ht="15.75" customHeight="1" x14ac:dyDescent="0.25">
      <c r="A18" s="147" t="s">
        <v>10</v>
      </c>
      <c r="B18" s="147"/>
      <c r="C18" s="148" t="s">
        <v>261</v>
      </c>
      <c r="D18" s="148"/>
      <c r="E18" s="146" t="s">
        <v>72</v>
      </c>
      <c r="F18" s="146"/>
      <c r="G18" s="146" t="s">
        <v>231</v>
      </c>
      <c r="H18" s="146"/>
      <c r="S18" s="35" t="s">
        <v>176</v>
      </c>
      <c r="T18" s="35" t="s">
        <v>183</v>
      </c>
      <c r="U18" s="35"/>
      <c r="V18" s="35" t="s">
        <v>191</v>
      </c>
      <c r="W18" s="35" t="s">
        <v>208</v>
      </c>
      <c r="X18"/>
      <c r="Y18"/>
      <c r="Z18"/>
    </row>
    <row r="19" spans="1:26" x14ac:dyDescent="0.25">
      <c r="A19" s="149" t="s">
        <v>12</v>
      </c>
      <c r="B19" s="149"/>
      <c r="C19" s="146" t="s">
        <v>186</v>
      </c>
      <c r="D19" s="146"/>
      <c r="E19" s="146" t="s">
        <v>11</v>
      </c>
      <c r="F19" s="146"/>
      <c r="G19" s="150" t="s">
        <v>185</v>
      </c>
      <c r="H19" s="150"/>
      <c r="S19" s="35" t="s">
        <v>177</v>
      </c>
      <c r="T19" s="35" t="s">
        <v>184</v>
      </c>
      <c r="U19" s="35"/>
      <c r="V19" s="35" t="s">
        <v>192</v>
      </c>
      <c r="W19" s="35" t="s">
        <v>209</v>
      </c>
      <c r="X19"/>
      <c r="Y19"/>
      <c r="Z19"/>
    </row>
    <row r="20" spans="1:26" x14ac:dyDescent="0.25">
      <c r="A20" s="149" t="s">
        <v>73</v>
      </c>
      <c r="B20" s="149"/>
      <c r="C20" s="146" t="s">
        <v>186</v>
      </c>
      <c r="D20" s="146"/>
      <c r="E20" s="146" t="s">
        <v>13</v>
      </c>
      <c r="F20" s="146"/>
      <c r="G20" s="146">
        <v>402201</v>
      </c>
      <c r="H20" s="146"/>
      <c r="S20" s="35"/>
      <c r="T20" s="35"/>
      <c r="U20" s="35"/>
      <c r="V20" s="35" t="s">
        <v>193</v>
      </c>
      <c r="W20" s="35" t="s">
        <v>210</v>
      </c>
      <c r="X20"/>
      <c r="Y20"/>
      <c r="Z20"/>
    </row>
    <row r="21" spans="1:26" ht="32.25" customHeight="1" x14ac:dyDescent="0.25">
      <c r="A21" s="149" t="s">
        <v>119</v>
      </c>
      <c r="B21" s="149"/>
      <c r="C21" s="146" t="s">
        <v>263</v>
      </c>
      <c r="D21" s="146"/>
      <c r="E21" s="146" t="s">
        <v>14</v>
      </c>
      <c r="F21" s="146"/>
      <c r="G21" s="146" t="s">
        <v>264</v>
      </c>
      <c r="H21" s="146"/>
      <c r="S21" s="35"/>
      <c r="T21" s="35"/>
      <c r="U21" s="35"/>
      <c r="V21" s="35" t="s">
        <v>194</v>
      </c>
      <c r="W21" s="35" t="s">
        <v>211</v>
      </c>
      <c r="X21"/>
      <c r="Y21"/>
      <c r="Z21"/>
    </row>
    <row r="22" spans="1:26" ht="15" customHeight="1" x14ac:dyDescent="0.25">
      <c r="A22" s="147" t="s">
        <v>74</v>
      </c>
      <c r="B22" s="147"/>
      <c r="C22" s="147"/>
      <c r="D22" s="147"/>
      <c r="E22" s="148" t="s">
        <v>15</v>
      </c>
      <c r="F22" s="148"/>
      <c r="G22" s="148"/>
      <c r="H22" s="148"/>
      <c r="S22" s="35"/>
      <c r="T22" s="35"/>
      <c r="U22" s="35"/>
      <c r="V22" s="35" t="s">
        <v>195</v>
      </c>
      <c r="W22" s="35" t="s">
        <v>212</v>
      </c>
      <c r="X22"/>
      <c r="Y22"/>
      <c r="Z22"/>
    </row>
    <row r="23" spans="1:26" ht="18.75" customHeight="1" x14ac:dyDescent="0.25">
      <c r="A23" s="147"/>
      <c r="B23" s="147"/>
      <c r="C23" s="147"/>
      <c r="D23" s="147"/>
      <c r="E23" s="148"/>
      <c r="F23" s="148"/>
      <c r="G23" s="148"/>
      <c r="H23" s="148"/>
      <c r="S23" s="35"/>
      <c r="T23" s="35"/>
      <c r="U23" s="35"/>
      <c r="V23" s="35" t="s">
        <v>196</v>
      </c>
      <c r="W23" s="35" t="s">
        <v>213</v>
      </c>
      <c r="X23"/>
      <c r="Y23"/>
      <c r="Z23"/>
    </row>
    <row r="24" spans="1:26" ht="15" customHeight="1" x14ac:dyDescent="0.25">
      <c r="A24" s="79" t="s">
        <v>16</v>
      </c>
      <c r="B24" s="79"/>
      <c r="C24" s="79"/>
      <c r="D24" s="79"/>
      <c r="E24" s="78" t="s">
        <v>17</v>
      </c>
      <c r="F24" s="78"/>
      <c r="G24" s="78"/>
      <c r="H24" s="78"/>
      <c r="S24" s="35"/>
      <c r="T24" s="35"/>
      <c r="U24" s="35"/>
      <c r="V24" s="35" t="s">
        <v>197</v>
      </c>
      <c r="W24" s="35" t="s">
        <v>214</v>
      </c>
      <c r="X24"/>
      <c r="Y24"/>
      <c r="Z24"/>
    </row>
    <row r="25" spans="1:26" ht="15" customHeight="1" x14ac:dyDescent="0.25">
      <c r="A25" s="92" t="s">
        <v>18</v>
      </c>
      <c r="B25" s="92"/>
      <c r="C25" s="92"/>
      <c r="D25" s="92"/>
      <c r="E25" s="78" t="str">
        <f>IF(AND(G19="Mumbai"),"Upper Class","Middle Class")</f>
        <v>Middle Class</v>
      </c>
      <c r="F25" s="78"/>
      <c r="G25" s="78"/>
      <c r="H25" s="78"/>
      <c r="S25" s="35"/>
      <c r="T25" s="35"/>
      <c r="U25" s="35"/>
      <c r="V25" s="35" t="s">
        <v>198</v>
      </c>
      <c r="W25" s="35" t="s">
        <v>215</v>
      </c>
      <c r="X25"/>
      <c r="Y25"/>
      <c r="Z25"/>
    </row>
    <row r="26" spans="1:26" x14ac:dyDescent="0.25">
      <c r="A26" s="92" t="s">
        <v>19</v>
      </c>
      <c r="B26" s="92"/>
      <c r="C26" s="92"/>
      <c r="D26" s="92"/>
      <c r="E26" s="78" t="s">
        <v>20</v>
      </c>
      <c r="F26" s="78"/>
      <c r="G26" s="78"/>
      <c r="H26" s="78"/>
      <c r="S26" s="35"/>
      <c r="T26" s="35"/>
      <c r="U26" s="35"/>
      <c r="V26" s="35" t="s">
        <v>199</v>
      </c>
      <c r="W26" s="35" t="s">
        <v>216</v>
      </c>
      <c r="X26"/>
      <c r="Y26"/>
      <c r="Z26"/>
    </row>
    <row r="27" spans="1:26" ht="15.75" customHeight="1" x14ac:dyDescent="0.25">
      <c r="A27" s="92" t="s">
        <v>21</v>
      </c>
      <c r="B27" s="92"/>
      <c r="C27" s="92"/>
      <c r="D27" s="92"/>
      <c r="E27" s="78" t="str">
        <f>IF(AND(G19="Mumbai"),"Developed","Developing")</f>
        <v>Developing</v>
      </c>
      <c r="F27" s="78"/>
      <c r="G27" s="78"/>
      <c r="H27" s="78"/>
    </row>
    <row r="28" spans="1:26" x14ac:dyDescent="0.25">
      <c r="A28" s="92" t="s">
        <v>22</v>
      </c>
      <c r="B28" s="92"/>
      <c r="C28" s="92"/>
      <c r="D28" s="92"/>
      <c r="E28" s="78" t="s">
        <v>23</v>
      </c>
      <c r="F28" s="78"/>
      <c r="G28" s="78"/>
      <c r="H28" s="78"/>
    </row>
    <row r="29" spans="1:26" ht="15.75" customHeight="1" x14ac:dyDescent="0.25">
      <c r="A29" s="92" t="s">
        <v>79</v>
      </c>
      <c r="B29" s="92"/>
      <c r="C29" s="92"/>
      <c r="D29" s="92"/>
      <c r="E29" s="78" t="s">
        <v>80</v>
      </c>
      <c r="F29" s="78"/>
      <c r="G29" s="78"/>
      <c r="H29" s="78"/>
    </row>
    <row r="30" spans="1:26" ht="15" customHeight="1" x14ac:dyDescent="0.25">
      <c r="A30" s="92" t="s">
        <v>31</v>
      </c>
      <c r="B30" s="92"/>
      <c r="C30" s="92"/>
      <c r="D30" s="92"/>
      <c r="E30" s="78" t="str">
        <f>IF(AND(ISNUMBER(SEARCH("Flat",D56)),ISNUMBER(SEARCH("Shop",D56)),ISNUMBER(SEARCH("Office",D56))),"Residential + Commercial",IF(AND(ISNUMBER(SEARCH("Flat",D56)),ISNUMBER(SEARCH("Shop",D56))),"Residential + Commercial",IF(AND(ISNUMBER(SEARCH("Flat",D56)),ISNUMBER(SEARCH("Office",D56))),"Residential + Commercial",IF(AND(ISNUMBER(SEARCH("Shop",D56)),ISNUMBER(SEARCH("Office",D56))),"Commercial",IF(ISNUMBER(SEARCH("Shop",D56)),"Commercial",IF(ISNUMBER(SEARCH("Office",D56)),"Commercial",IF(ISNUMBER(SEARCH("Flat",D56)),"Residential")))))))</f>
        <v>Residential</v>
      </c>
      <c r="F30" s="78"/>
      <c r="G30" s="78"/>
      <c r="H30" s="78"/>
    </row>
    <row r="31" spans="1:26" ht="15.75" customHeight="1" x14ac:dyDescent="0.25">
      <c r="A31" s="92" t="s">
        <v>91</v>
      </c>
      <c r="B31" s="92"/>
      <c r="C31" s="92"/>
      <c r="D31" s="92"/>
      <c r="E31" s="78" t="s">
        <v>32</v>
      </c>
      <c r="F31" s="78"/>
      <c r="G31" s="78"/>
      <c r="H31" s="78"/>
      <c r="J31" s="44"/>
      <c r="K31" s="44"/>
      <c r="L31" s="44"/>
    </row>
    <row r="32" spans="1:26" s="15" customFormat="1" x14ac:dyDescent="0.25">
      <c r="A32" s="145" t="s">
        <v>92</v>
      </c>
      <c r="B32" s="145"/>
      <c r="C32" s="142" t="s">
        <v>167</v>
      </c>
      <c r="D32" s="143"/>
      <c r="E32" s="144"/>
      <c r="F32" s="142" t="s">
        <v>29</v>
      </c>
      <c r="G32" s="143"/>
      <c r="H32" s="144"/>
      <c r="I32" s="191" t="s">
        <v>269</v>
      </c>
      <c r="J32" s="192"/>
      <c r="K32" s="192"/>
      <c r="L32" s="192"/>
      <c r="M32" s="192"/>
    </row>
    <row r="33" spans="1:12" s="15" customFormat="1" x14ac:dyDescent="0.25">
      <c r="A33" s="128" t="s">
        <v>24</v>
      </c>
      <c r="B33" s="128" t="s">
        <v>28</v>
      </c>
      <c r="C33" s="161" t="s">
        <v>232</v>
      </c>
      <c r="D33" s="162"/>
      <c r="E33" s="163"/>
      <c r="F33" s="161" t="s">
        <v>257</v>
      </c>
      <c r="G33" s="162"/>
      <c r="H33" s="163"/>
      <c r="J33" s="46"/>
      <c r="K33" s="46"/>
      <c r="L33" s="46"/>
    </row>
    <row r="34" spans="1:12" x14ac:dyDescent="0.25">
      <c r="A34" s="128" t="s">
        <v>25</v>
      </c>
      <c r="B34" s="128" t="s">
        <v>28</v>
      </c>
      <c r="C34" s="161" t="s">
        <v>233</v>
      </c>
      <c r="D34" s="162"/>
      <c r="E34" s="163"/>
      <c r="F34" s="161" t="s">
        <v>258</v>
      </c>
      <c r="G34" s="162"/>
      <c r="H34" s="163"/>
      <c r="J34" s="46"/>
      <c r="K34" s="46"/>
      <c r="L34" s="46"/>
    </row>
    <row r="35" spans="1:12" s="15" customFormat="1" x14ac:dyDescent="0.25">
      <c r="A35" s="128" t="s">
        <v>27</v>
      </c>
      <c r="B35" s="128" t="s">
        <v>28</v>
      </c>
      <c r="C35" s="129" t="s">
        <v>234</v>
      </c>
      <c r="D35" s="129"/>
      <c r="E35" s="129"/>
      <c r="F35" s="129" t="s">
        <v>259</v>
      </c>
      <c r="G35" s="129"/>
      <c r="H35" s="129"/>
      <c r="J35" s="45"/>
      <c r="K35" s="45"/>
      <c r="L35" s="45"/>
    </row>
    <row r="36" spans="1:12" x14ac:dyDescent="0.25">
      <c r="A36" s="128" t="s">
        <v>26</v>
      </c>
      <c r="B36" s="128" t="s">
        <v>28</v>
      </c>
      <c r="C36" s="129" t="s">
        <v>234</v>
      </c>
      <c r="D36" s="129"/>
      <c r="E36" s="129"/>
      <c r="F36" s="129" t="s">
        <v>260</v>
      </c>
      <c r="G36" s="129"/>
      <c r="H36" s="129"/>
    </row>
    <row r="37" spans="1:12" x14ac:dyDescent="0.25">
      <c r="A37" s="92" t="s">
        <v>30</v>
      </c>
      <c r="B37" s="92"/>
      <c r="C37" s="92"/>
      <c r="D37" s="92"/>
      <c r="E37" s="92"/>
      <c r="F37" s="92"/>
      <c r="G37" s="92"/>
      <c r="H37" s="92"/>
    </row>
    <row r="38" spans="1:12" ht="15.75" customHeight="1" x14ac:dyDescent="0.25">
      <c r="A38" s="92" t="s">
        <v>160</v>
      </c>
      <c r="B38" s="92"/>
      <c r="C38" s="140" t="s">
        <v>255</v>
      </c>
      <c r="D38" s="141"/>
      <c r="E38" s="141"/>
      <c r="F38" s="141"/>
      <c r="G38" s="141"/>
      <c r="H38" s="141"/>
    </row>
    <row r="39" spans="1:12" x14ac:dyDescent="0.25">
      <c r="A39" s="92" t="s">
        <v>156</v>
      </c>
      <c r="B39" s="92"/>
      <c r="C39" s="93" t="s">
        <v>256</v>
      </c>
      <c r="D39" s="78"/>
      <c r="E39" s="78"/>
      <c r="F39" s="78"/>
      <c r="G39" s="78"/>
      <c r="H39" s="78"/>
    </row>
    <row r="40" spans="1:12" x14ac:dyDescent="0.25">
      <c r="A40" s="131" t="s">
        <v>33</v>
      </c>
      <c r="B40" s="131"/>
      <c r="C40" s="131"/>
      <c r="D40" s="131"/>
      <c r="E40" s="131"/>
      <c r="F40" s="131"/>
      <c r="G40" s="131"/>
      <c r="H40" s="131"/>
    </row>
    <row r="41" spans="1:12" x14ac:dyDescent="0.25">
      <c r="A41" s="92" t="s">
        <v>34</v>
      </c>
      <c r="B41" s="92"/>
      <c r="C41" s="92"/>
      <c r="D41" s="92"/>
      <c r="E41" s="130">
        <v>1218</v>
      </c>
      <c r="F41" s="130"/>
      <c r="G41" s="130"/>
      <c r="H41" s="130"/>
    </row>
    <row r="42" spans="1:12" x14ac:dyDescent="0.25">
      <c r="A42" s="92" t="s">
        <v>35</v>
      </c>
      <c r="B42" s="92"/>
      <c r="C42" s="92"/>
      <c r="D42" s="92"/>
      <c r="E42" s="134">
        <v>1.1000000000000001</v>
      </c>
      <c r="F42" s="134"/>
      <c r="G42" s="134"/>
      <c r="H42" s="134"/>
    </row>
    <row r="43" spans="1:12" x14ac:dyDescent="0.25">
      <c r="A43" s="92" t="s">
        <v>36</v>
      </c>
      <c r="B43" s="92"/>
      <c r="C43" s="92"/>
      <c r="D43" s="92"/>
      <c r="E43" s="134">
        <f>E45/E41-E42</f>
        <v>1.1207963875205254</v>
      </c>
      <c r="F43" s="134"/>
      <c r="G43" s="134"/>
      <c r="H43" s="134"/>
    </row>
    <row r="44" spans="1:12" x14ac:dyDescent="0.25">
      <c r="A44" s="92" t="s">
        <v>37</v>
      </c>
      <c r="B44" s="92"/>
      <c r="C44" s="92"/>
      <c r="D44" s="92"/>
      <c r="E44" s="134">
        <f>E42+E43</f>
        <v>2.2207963875205254</v>
      </c>
      <c r="F44" s="134"/>
      <c r="G44" s="134"/>
      <c r="H44" s="134"/>
    </row>
    <row r="45" spans="1:12" x14ac:dyDescent="0.25">
      <c r="A45" s="92" t="s">
        <v>90</v>
      </c>
      <c r="B45" s="92"/>
      <c r="C45" s="92"/>
      <c r="D45" s="92"/>
      <c r="E45" s="135">
        <v>2704.93</v>
      </c>
      <c r="F45" s="135"/>
      <c r="G45" s="135"/>
      <c r="H45" s="135"/>
    </row>
    <row r="46" spans="1:12" x14ac:dyDescent="0.25">
      <c r="A46" s="77" t="s">
        <v>38</v>
      </c>
      <c r="B46" s="77"/>
      <c r="C46" s="77"/>
      <c r="D46" s="77"/>
      <c r="E46" s="77" t="s">
        <v>118</v>
      </c>
      <c r="F46" s="77"/>
      <c r="G46" s="77"/>
      <c r="H46" s="77"/>
    </row>
    <row r="47" spans="1:12" x14ac:dyDescent="0.25">
      <c r="A47" s="131" t="s">
        <v>39</v>
      </c>
      <c r="B47" s="131"/>
      <c r="C47" s="131"/>
      <c r="D47" s="131"/>
      <c r="E47" s="131"/>
      <c r="F47" s="131"/>
      <c r="G47" s="131"/>
      <c r="H47" s="131"/>
    </row>
    <row r="48" spans="1:12" ht="33.75" customHeight="1" x14ac:dyDescent="0.25">
      <c r="A48" s="97" t="s">
        <v>146</v>
      </c>
      <c r="B48" s="98"/>
      <c r="C48" s="99" t="s">
        <v>253</v>
      </c>
      <c r="D48" s="100"/>
      <c r="E48" s="100"/>
      <c r="F48" s="100"/>
      <c r="G48" s="100"/>
      <c r="H48" s="101"/>
    </row>
    <row r="49" spans="1:14" ht="15.75" customHeight="1" x14ac:dyDescent="0.25">
      <c r="A49" s="97" t="s">
        <v>40</v>
      </c>
      <c r="B49" s="98"/>
      <c r="C49" s="97" t="s">
        <v>235</v>
      </c>
      <c r="D49" s="127"/>
      <c r="E49" s="98"/>
      <c r="F49" s="13" t="s">
        <v>41</v>
      </c>
      <c r="G49" s="157">
        <v>44722</v>
      </c>
      <c r="H49" s="158"/>
    </row>
    <row r="50" spans="1:14" x14ac:dyDescent="0.25">
      <c r="A50" s="97" t="s">
        <v>42</v>
      </c>
      <c r="B50" s="98"/>
      <c r="C50" s="97" t="str">
        <f>C49</f>
        <v>MS/LNA-1S.R./98/2011</v>
      </c>
      <c r="D50" s="127"/>
      <c r="E50" s="98"/>
      <c r="F50" s="13" t="s">
        <v>41</v>
      </c>
      <c r="G50" s="157">
        <f>G49</f>
        <v>44722</v>
      </c>
      <c r="H50" s="158"/>
    </row>
    <row r="51" spans="1:14" s="16" customFormat="1" ht="32.25" customHeight="1" x14ac:dyDescent="0.25">
      <c r="A51" s="97" t="s">
        <v>268</v>
      </c>
      <c r="B51" s="98"/>
      <c r="C51" s="97" t="s">
        <v>236</v>
      </c>
      <c r="D51" s="127"/>
      <c r="E51" s="98"/>
      <c r="F51" s="13" t="s">
        <v>41</v>
      </c>
      <c r="G51" s="157">
        <f>G50</f>
        <v>44722</v>
      </c>
      <c r="H51" s="158"/>
    </row>
    <row r="52" spans="1:14" s="16" customFormat="1" x14ac:dyDescent="0.25">
      <c r="A52" s="136" t="s">
        <v>223</v>
      </c>
      <c r="B52" s="137"/>
      <c r="C52" s="97" t="s">
        <v>237</v>
      </c>
      <c r="D52" s="127"/>
      <c r="E52" s="127"/>
      <c r="F52" s="127"/>
      <c r="G52" s="127"/>
      <c r="H52" s="98"/>
    </row>
    <row r="53" spans="1:14" x14ac:dyDescent="0.25">
      <c r="A53" s="187" t="s">
        <v>43</v>
      </c>
      <c r="B53" s="188"/>
      <c r="C53" s="187" t="s">
        <v>103</v>
      </c>
      <c r="D53" s="189"/>
      <c r="E53" s="188"/>
      <c r="F53" s="31" t="s">
        <v>41</v>
      </c>
      <c r="G53" s="159" t="s">
        <v>28</v>
      </c>
      <c r="H53" s="160"/>
    </row>
    <row r="54" spans="1:14" x14ac:dyDescent="0.25">
      <c r="A54" s="164" t="s">
        <v>45</v>
      </c>
      <c r="B54" s="164"/>
      <c r="C54" s="164"/>
      <c r="D54" s="164"/>
      <c r="E54" s="164"/>
      <c r="F54" s="164"/>
      <c r="G54" s="164"/>
      <c r="H54" s="164"/>
    </row>
    <row r="55" spans="1:14" x14ac:dyDescent="0.25">
      <c r="A55" s="79" t="s">
        <v>89</v>
      </c>
      <c r="B55" s="79"/>
      <c r="C55" s="79"/>
      <c r="D55" s="92">
        <f>E45</f>
        <v>2704.93</v>
      </c>
      <c r="E55" s="92"/>
      <c r="F55" s="92"/>
      <c r="G55" s="92"/>
      <c r="H55" s="92"/>
    </row>
    <row r="56" spans="1:14" x14ac:dyDescent="0.25">
      <c r="A56" s="78" t="s">
        <v>46</v>
      </c>
      <c r="B56" s="77"/>
      <c r="C56" s="77"/>
      <c r="D56" s="77" t="s">
        <v>252</v>
      </c>
      <c r="E56" s="77"/>
      <c r="F56" s="77"/>
      <c r="G56" s="77"/>
      <c r="H56" s="77"/>
      <c r="I56" s="17"/>
    </row>
    <row r="57" spans="1:14" x14ac:dyDescent="0.25">
      <c r="A57" s="138" t="s">
        <v>47</v>
      </c>
      <c r="B57" s="139"/>
      <c r="C57" s="156"/>
      <c r="D57" s="154" t="s">
        <v>270</v>
      </c>
      <c r="E57" s="155"/>
      <c r="F57" s="155"/>
      <c r="G57" s="155"/>
      <c r="H57" s="155"/>
    </row>
    <row r="58" spans="1:14" ht="15.75" customHeight="1" x14ac:dyDescent="0.25">
      <c r="A58" s="138" t="s">
        <v>87</v>
      </c>
      <c r="B58" s="139"/>
      <c r="C58" s="139"/>
      <c r="D58" s="77" t="s">
        <v>270</v>
      </c>
      <c r="E58" s="77"/>
      <c r="F58" s="77"/>
      <c r="G58" s="77"/>
      <c r="H58" s="77"/>
    </row>
    <row r="59" spans="1:14" ht="15.75" customHeight="1" x14ac:dyDescent="0.25">
      <c r="A59" s="92" t="s">
        <v>44</v>
      </c>
      <c r="B59" s="92"/>
      <c r="C59" s="92"/>
      <c r="D59" s="132" t="s">
        <v>238</v>
      </c>
      <c r="E59" s="132"/>
      <c r="F59" s="132"/>
      <c r="G59" s="132"/>
      <c r="H59" s="132"/>
      <c r="J59" s="18"/>
      <c r="K59" s="17"/>
      <c r="N59" s="17"/>
    </row>
    <row r="60" spans="1:14" ht="15.75" customHeight="1" x14ac:dyDescent="0.25">
      <c r="A60" s="92" t="s">
        <v>85</v>
      </c>
      <c r="B60" s="92"/>
      <c r="C60" s="92"/>
      <c r="D60" s="133" t="str">
        <f>(IF(G53="NA","60 Years After Completion",IF(G53&lt;&gt;"NA",""&amp;60-ROUNDDOWN((E3-G53)/360,0)&amp;" Years"," ")))</f>
        <v>60 Years After Completion</v>
      </c>
      <c r="E60" s="133"/>
      <c r="F60" s="133"/>
      <c r="G60" s="133"/>
      <c r="H60" s="133"/>
      <c r="N60" s="17"/>
    </row>
    <row r="61" spans="1:14" ht="15.75" customHeight="1" x14ac:dyDescent="0.25">
      <c r="A61" s="92" t="s">
        <v>86</v>
      </c>
      <c r="B61" s="92"/>
      <c r="C61" s="92"/>
      <c r="D61" s="79" t="s">
        <v>23</v>
      </c>
      <c r="E61" s="79"/>
      <c r="F61" s="79"/>
      <c r="G61" s="79"/>
      <c r="H61" s="79"/>
      <c r="J61" s="19"/>
      <c r="K61" s="19"/>
    </row>
    <row r="62" spans="1:14" ht="34.5" customHeight="1" x14ac:dyDescent="0.25">
      <c r="A62" s="77" t="s">
        <v>224</v>
      </c>
      <c r="B62" s="77"/>
      <c r="C62" s="77"/>
      <c r="D62" s="78" t="s">
        <v>239</v>
      </c>
      <c r="E62" s="79"/>
      <c r="F62" s="79"/>
      <c r="G62" s="79"/>
      <c r="H62" s="79"/>
      <c r="I62" s="72"/>
      <c r="J62" s="66"/>
      <c r="K62" s="66"/>
      <c r="L62" s="66"/>
    </row>
    <row r="63" spans="1:14" x14ac:dyDescent="0.25">
      <c r="A63" s="79" t="s">
        <v>145</v>
      </c>
      <c r="B63" s="79"/>
      <c r="C63" s="79"/>
      <c r="D63" s="79" t="s">
        <v>28</v>
      </c>
      <c r="E63" s="79"/>
      <c r="F63" s="79"/>
      <c r="G63" s="79"/>
      <c r="H63" s="79"/>
      <c r="I63" s="20"/>
      <c r="J63" s="20"/>
      <c r="K63" s="20"/>
      <c r="L63" s="20"/>
      <c r="M63" s="20"/>
      <c r="N63" s="20"/>
    </row>
    <row r="64" spans="1:14" ht="15.75" customHeight="1" x14ac:dyDescent="0.25">
      <c r="A64" s="92" t="s">
        <v>84</v>
      </c>
      <c r="B64" s="92"/>
      <c r="C64" s="92"/>
      <c r="D64" s="78" t="str">
        <f ca="1">(IF(G70&gt;95%,"Nothing",IF(G70&gt;0%,"Cement, Aggregate, Steel, etc",IF(G70=0%,"Work not yet Started"))))</f>
        <v>Cement, Aggregate, Steel, etc</v>
      </c>
      <c r="E64" s="78"/>
      <c r="F64" s="78"/>
      <c r="G64" s="78"/>
      <c r="H64" s="78"/>
      <c r="J64" s="19"/>
    </row>
    <row r="65" spans="1:10" ht="33.75" customHeight="1" thickBot="1" x14ac:dyDescent="0.3">
      <c r="A65" s="79" t="s">
        <v>116</v>
      </c>
      <c r="B65" s="79"/>
      <c r="C65" s="79"/>
      <c r="D65" s="78" t="str">
        <f ca="1">(IF(D64="Nothing","Yes",IF(D64="Cement, Aggregate, Steel, etc","Under Construction",IF(D64="Work not yet Started","Work not yet Started"))))</f>
        <v>Under Construction</v>
      </c>
      <c r="E65" s="78"/>
      <c r="F65" s="78" t="str">
        <f ca="1">(IF(D64="Nothing","Yes",IF(D64="Cement, Aggregate, Steel, etc","Under Construction",IF(D64="Work not yet Started","Work not yet Started"))))</f>
        <v>Under Construction</v>
      </c>
      <c r="G65" s="78"/>
      <c r="H65" s="78"/>
    </row>
    <row r="66" spans="1:10" s="48" customFormat="1" ht="15.75" customHeight="1" x14ac:dyDescent="0.25">
      <c r="A66" s="124" t="s">
        <v>137</v>
      </c>
      <c r="B66" s="124"/>
      <c r="C66" s="124" t="str">
        <f>D58</f>
        <v>G + 1st to 7th Floor</v>
      </c>
      <c r="D66" s="124"/>
      <c r="E66" s="124"/>
      <c r="F66" s="124"/>
      <c r="G66" s="124"/>
      <c r="H66" s="124"/>
      <c r="I66" s="73" t="str">
        <f ca="1">IF(D79=100%,"All work Completed. Possession granted to the Building.",IF(D78=100%,"All work Completed, Waiting for OC",I67&amp;""&amp;I68&amp;""&amp;J67&amp;""&amp;J66&amp;" "&amp;J68))</f>
        <v>Excavation, Plinth, RCC Slab, Brickwork, Internal Plaster, External Plaster Completed, Flooring upto 6 Floor, Painting upto 4 Floor Completed</v>
      </c>
      <c r="J66" s="47" t="str">
        <f ca="1">(IF(C72=(D67+F67+H67),"",IF(C72&gt;0,", RCC upto "&amp;C72&amp;" Slab","")))&amp;(IF(C73=H67,"",IF(C73&gt;0,", Brickwork upto "&amp;C73&amp;" Floor","")))&amp;(IF(C74=H67,"",IF(C74&gt;0,", Internal Plaster upto "&amp;C74&amp;" Floor","")))&amp;(IF(C75=H67,"",IF(C75&gt;0,", External Plaster upto "&amp;C75&amp;" Floor","")))&amp;(IF(C76=H67,"",IF(C76&gt;0,", Flooring upto "&amp;C76&amp;" Floor","")))&amp;(IF(C77=H67,"",IF(C77&gt;0,", Painting upto "&amp;C77&amp;" Floor","")))&amp;(IF(C78=H67,"",IF(C78&gt;0,", Finishing upto "&amp;C78&amp;" Floor","")))&amp;(IF(C79=H67,"",IF(C79&gt;0,", Possession upto "&amp;C79&amp;" Floor","")))</f>
        <v>, Flooring upto 6 Floor, Painting upto 4 Floor</v>
      </c>
    </row>
    <row r="67" spans="1:10" s="48" customFormat="1" x14ac:dyDescent="0.25">
      <c r="A67" s="49" t="s">
        <v>139</v>
      </c>
      <c r="B67" s="49">
        <f>IF(AND(ISNUMBER(SEARCH("1B",C66))),1,IF(AND(ISNUMBER(SEARCH("2B",C66))),2,IF(AND(ISNUMBER(SEARCH("3B",C66))),3,IF(AND(ISNUMBER(SEARCH("4B",C66))),4,IF(ISNUMBER(SEARCH("5B",C66)),5,0)))))</f>
        <v>0</v>
      </c>
      <c r="C67" s="49" t="s">
        <v>71</v>
      </c>
      <c r="D67" s="49">
        <v>1</v>
      </c>
      <c r="E67" s="49" t="s">
        <v>70</v>
      </c>
      <c r="F67" s="49">
        <v>0</v>
      </c>
      <c r="G67" s="50" t="s">
        <v>78</v>
      </c>
      <c r="H67" s="49">
        <f ca="1">--TRIM(RIGHT(SUBSTITUTE(LEFT(C66,_xlfn.AGGREGATE(16,6,FIND({0,1,2,3,4,5,6,7,8,9},C66,ROW(INDIRECT("1:"&amp;LEN(C66)))),1))," ",REPT(" ",LEN(C66))),LEN(C66)))</f>
        <v>7</v>
      </c>
      <c r="I67" s="74" t="str">
        <f ca="1">IF(D70=100%,"Excavation","")&amp;IF(D71=100%,", Plinth","")&amp;IF(D72=100%,", RCC Slab","")&amp;IF(D73=100%,", Brickwork","")&amp;IF(D74=100%,", Internal Plaster","")&amp;IF(D75=100%,", External Plaster","")&amp;IF(D76=100%,", Flooring","")&amp;IF(D77=100%,", Painting","")&amp;IF(D78=100%,", Building common Amenities","")</f>
        <v>Excavation, Plinth, RCC Slab, Brickwork, Internal Plaster, External Plaster</v>
      </c>
      <c r="J67" s="52" t="str">
        <f ca="1">(IF(C70=0,"Work not yet Started.",IF(D70=25%,"Piling work in process",IF(D70=50%,"Excavation work in process",IF(D70=100%,"","0")))))&amp;(IF(C71=0%,"",IF(C71=J72,", Footing work is process",IF(C71=J73,", Footing work Completed",IF(C71=J74,", 1st Basement Completed",IF(C71=J75,", 1st &amp; 2nd Basement Completed",IF(C71=J76,", 1st to 3rd Basement Completed",IF(C71=J77,", 1st to 4th Basement Completed",IF(C71=J78,", Plinth work is process",IF(C71=J79,"","0"))))))))))</f>
        <v/>
      </c>
    </row>
    <row r="68" spans="1:10" s="48" customFormat="1" ht="36.75" customHeight="1" x14ac:dyDescent="0.25">
      <c r="A68" s="122" t="s">
        <v>88</v>
      </c>
      <c r="B68" s="123"/>
      <c r="C68" s="125" t="str">
        <f ca="1">I66</f>
        <v>Excavation, Plinth, RCC Slab, Brickwork, Internal Plaster, External Plaster Completed, Flooring upto 6 Floor, Painting upto 4 Floor Completed</v>
      </c>
      <c r="D68" s="125"/>
      <c r="E68" s="125"/>
      <c r="F68" s="125"/>
      <c r="G68" s="125"/>
      <c r="H68" s="126"/>
      <c r="I68" s="51" t="str">
        <f ca="1">IF(I67&lt;&gt;""," Completed","")</f>
        <v xml:space="preserve"> Completed</v>
      </c>
      <c r="J68" s="52" t="str">
        <f ca="1">IF(J66&lt;&gt;"","Completed","")</f>
        <v>Completed</v>
      </c>
    </row>
    <row r="69" spans="1:10" s="48" customFormat="1" ht="15.75" customHeight="1" x14ac:dyDescent="0.25">
      <c r="A69" s="75" t="s">
        <v>48</v>
      </c>
      <c r="B69" s="76"/>
      <c r="C69" s="53" t="s">
        <v>136</v>
      </c>
      <c r="D69" s="53" t="s">
        <v>81</v>
      </c>
      <c r="E69" s="76" t="s">
        <v>83</v>
      </c>
      <c r="F69" s="76"/>
      <c r="G69" s="76" t="s">
        <v>82</v>
      </c>
      <c r="H69" s="183"/>
      <c r="I69" s="54" t="s">
        <v>138</v>
      </c>
      <c r="J69" s="55">
        <f ca="1">H67*25%</f>
        <v>1.75</v>
      </c>
    </row>
    <row r="70" spans="1:10" s="48" customFormat="1" x14ac:dyDescent="0.25">
      <c r="A70" s="75" t="s">
        <v>125</v>
      </c>
      <c r="B70" s="76"/>
      <c r="C70" s="53">
        <f ca="1">J71</f>
        <v>7</v>
      </c>
      <c r="D70" s="56">
        <f ca="1">((100/H67)*C70)/100</f>
        <v>1</v>
      </c>
      <c r="E70" s="111">
        <f ca="1">(((C71/H67*10)+(40/(D67+F67+H67)*C72)+(7.5/(H67)*C73)+(7.5/(H67)*C74)+(10/H67*C75)+(10/H67*C76)+(5/H67*C77)+(5/H67*C78)+(5/H67*C79))/100)</f>
        <v>0.86428571428571432</v>
      </c>
      <c r="F70" s="112"/>
      <c r="G70" s="111">
        <f ca="1">((((C70/H67)*20)+((C71/H67)*25)+(30/(H67+F67+D67)*C72)+(5/H67*C73)+(5/H67*C74)+(5/H67*C75)+(5/H67*C76)+(0/H67*C77)+(0/H67*C78)+(5/H67*C79))/100)</f>
        <v>0.94285714285714295</v>
      </c>
      <c r="H70" s="117"/>
      <c r="I70" s="54" t="s">
        <v>98</v>
      </c>
      <c r="J70" s="57">
        <f ca="1">H67*50%</f>
        <v>3.5</v>
      </c>
    </row>
    <row r="71" spans="1:10" s="48" customFormat="1" x14ac:dyDescent="0.25">
      <c r="A71" s="75" t="s">
        <v>49</v>
      </c>
      <c r="B71" s="76"/>
      <c r="C71" s="64">
        <f ca="1">J79</f>
        <v>7</v>
      </c>
      <c r="D71" s="56">
        <f ca="1">((100/H67)*C71)/100</f>
        <v>1</v>
      </c>
      <c r="E71" s="113"/>
      <c r="F71" s="114"/>
      <c r="G71" s="113"/>
      <c r="H71" s="118"/>
      <c r="I71" s="54" t="s">
        <v>99</v>
      </c>
      <c r="J71" s="57">
        <f ca="1">H67</f>
        <v>7</v>
      </c>
    </row>
    <row r="72" spans="1:10" s="48" customFormat="1" ht="15.75" customHeight="1" x14ac:dyDescent="0.25">
      <c r="A72" s="75" t="s">
        <v>126</v>
      </c>
      <c r="B72" s="76"/>
      <c r="C72" s="53">
        <v>8</v>
      </c>
      <c r="D72" s="56">
        <f ca="1">((100/(D67+F67+H67))*C72)/100</f>
        <v>1</v>
      </c>
      <c r="E72" s="113"/>
      <c r="F72" s="114"/>
      <c r="G72" s="113"/>
      <c r="H72" s="118"/>
      <c r="I72" s="54" t="s">
        <v>100</v>
      </c>
      <c r="J72" s="58">
        <f ca="1">(IF(B67&gt;1,(H67/(B67+2)),H67/4))</f>
        <v>1.75</v>
      </c>
    </row>
    <row r="73" spans="1:10" s="48" customFormat="1" ht="15.75" customHeight="1" x14ac:dyDescent="0.25">
      <c r="A73" s="75" t="s">
        <v>133</v>
      </c>
      <c r="B73" s="76" t="s">
        <v>127</v>
      </c>
      <c r="C73" s="53">
        <v>7</v>
      </c>
      <c r="D73" s="56">
        <f ca="1">((100/H67)*C73)/100</f>
        <v>1</v>
      </c>
      <c r="E73" s="113"/>
      <c r="F73" s="114"/>
      <c r="G73" s="113"/>
      <c r="H73" s="118"/>
      <c r="I73" s="54" t="s">
        <v>101</v>
      </c>
      <c r="J73" s="58">
        <f ca="1">(IF(B67&gt;1,(H67/(B67+2)+J72),H67/4+J72))</f>
        <v>3.5</v>
      </c>
    </row>
    <row r="74" spans="1:10" s="48" customFormat="1" ht="15.75" customHeight="1" x14ac:dyDescent="0.25">
      <c r="A74" s="75" t="s">
        <v>134</v>
      </c>
      <c r="B74" s="76" t="s">
        <v>127</v>
      </c>
      <c r="C74" s="53">
        <v>7</v>
      </c>
      <c r="D74" s="56">
        <f ca="1">((100/H67)*C74)/100</f>
        <v>1</v>
      </c>
      <c r="E74" s="113"/>
      <c r="F74" s="114"/>
      <c r="G74" s="113"/>
      <c r="H74" s="118"/>
      <c r="I74" s="54" t="s">
        <v>143</v>
      </c>
      <c r="J74" s="58">
        <f>(IF(B67&gt;1,(H67/(B67+2)+J73),0))</f>
        <v>0</v>
      </c>
    </row>
    <row r="75" spans="1:10" s="48" customFormat="1" ht="15" customHeight="1" x14ac:dyDescent="0.25">
      <c r="A75" s="75" t="s">
        <v>132</v>
      </c>
      <c r="B75" s="76" t="s">
        <v>129</v>
      </c>
      <c r="C75" s="53">
        <v>7</v>
      </c>
      <c r="D75" s="56">
        <f ca="1">((100/(H67))*C75)/100</f>
        <v>1</v>
      </c>
      <c r="E75" s="113"/>
      <c r="F75" s="114"/>
      <c r="G75" s="113"/>
      <c r="H75" s="118"/>
      <c r="I75" s="54" t="s">
        <v>140</v>
      </c>
      <c r="J75" s="58">
        <f>(IF(B67&gt;2,(H67/(B67+2)+J74),0))</f>
        <v>0</v>
      </c>
    </row>
    <row r="76" spans="1:10" s="48" customFormat="1" ht="15.75" customHeight="1" x14ac:dyDescent="0.25">
      <c r="A76" s="75" t="s">
        <v>128</v>
      </c>
      <c r="B76" s="76" t="s">
        <v>128</v>
      </c>
      <c r="C76" s="53">
        <v>6</v>
      </c>
      <c r="D76" s="56">
        <f ca="1">((100/H67)*C76)/100</f>
        <v>0.85714285714285721</v>
      </c>
      <c r="E76" s="113"/>
      <c r="F76" s="114"/>
      <c r="G76" s="113"/>
      <c r="H76" s="118"/>
      <c r="I76" s="54" t="s">
        <v>141</v>
      </c>
      <c r="J76" s="59">
        <f>(IF(B67&gt;3,(H67/(B67+2)+J75),0))</f>
        <v>0</v>
      </c>
    </row>
    <row r="77" spans="1:10" s="48" customFormat="1" ht="15.75" customHeight="1" x14ac:dyDescent="0.25">
      <c r="A77" s="75" t="s">
        <v>135</v>
      </c>
      <c r="B77" s="76"/>
      <c r="C77" s="53">
        <v>4</v>
      </c>
      <c r="D77" s="56">
        <f ca="1">((100/H67)*C77)/100</f>
        <v>0.57142857142857151</v>
      </c>
      <c r="E77" s="113"/>
      <c r="F77" s="114"/>
      <c r="G77" s="113"/>
      <c r="H77" s="118"/>
      <c r="I77" s="54" t="s">
        <v>142</v>
      </c>
      <c r="J77" s="58">
        <f>(IF(B67&gt;4,(H67/(B67+2)+J76),0))</f>
        <v>0</v>
      </c>
    </row>
    <row r="78" spans="1:10" s="48" customFormat="1" ht="15.75" customHeight="1" x14ac:dyDescent="0.25">
      <c r="A78" s="75" t="s">
        <v>130</v>
      </c>
      <c r="B78" s="76" t="s">
        <v>130</v>
      </c>
      <c r="C78" s="53">
        <v>0</v>
      </c>
      <c r="D78" s="56">
        <f ca="1">((100/(H67))*C78)/100</f>
        <v>0</v>
      </c>
      <c r="E78" s="113"/>
      <c r="F78" s="114"/>
      <c r="G78" s="113"/>
      <c r="H78" s="118"/>
      <c r="I78" s="54" t="s">
        <v>144</v>
      </c>
      <c r="J78" s="58">
        <f ca="1">(IF(B67=1,(H67/(B67+3)+J73),IF(B67=0,(H67/4+J73),IF(B67&gt;1,0))))</f>
        <v>5.25</v>
      </c>
    </row>
    <row r="79" spans="1:10" s="48" customFormat="1" ht="16.5" thickBot="1" x14ac:dyDescent="0.3">
      <c r="A79" s="120" t="s">
        <v>131</v>
      </c>
      <c r="B79" s="121"/>
      <c r="C79" s="60">
        <v>0</v>
      </c>
      <c r="D79" s="61">
        <f ca="1">((100/(H67))*C79)/100</f>
        <v>0</v>
      </c>
      <c r="E79" s="115"/>
      <c r="F79" s="116"/>
      <c r="G79" s="115"/>
      <c r="H79" s="119"/>
      <c r="I79" s="62" t="s">
        <v>102</v>
      </c>
      <c r="J79" s="63">
        <f ca="1">(IF(B67&gt;1.5,(H67/(B67+2)+J73+MAX(0,J74-J73)+MAX(0,J75-J74)+MAX(0,J76-J75)+MAX(0,J77-J76)+MAX(0,J78-J77)),IF(B67=1,(H67/(B67+3)+J78),IF(B67=0,H67/4+J78))))</f>
        <v>7</v>
      </c>
    </row>
    <row r="80" spans="1:10" x14ac:dyDescent="0.25">
      <c r="A80" s="103" t="s">
        <v>150</v>
      </c>
      <c r="B80" s="103"/>
      <c r="C80" s="103"/>
      <c r="D80" s="103"/>
      <c r="E80" s="103"/>
      <c r="F80" s="184" t="s">
        <v>154</v>
      </c>
      <c r="G80" s="184"/>
      <c r="H80" s="184"/>
    </row>
    <row r="81" spans="1:10" x14ac:dyDescent="0.25">
      <c r="A81" s="77" t="s">
        <v>152</v>
      </c>
      <c r="B81" s="77"/>
      <c r="C81" s="77"/>
      <c r="D81" s="77"/>
      <c r="E81" s="77"/>
      <c r="F81" s="102">
        <v>4500</v>
      </c>
      <c r="G81" s="102"/>
      <c r="H81" s="102"/>
    </row>
    <row r="82" spans="1:10" hidden="1" x14ac:dyDescent="0.25">
      <c r="A82" s="77" t="s">
        <v>151</v>
      </c>
      <c r="B82" s="77"/>
      <c r="C82" s="77"/>
      <c r="D82" s="77"/>
      <c r="E82" s="77"/>
      <c r="F82" s="102"/>
      <c r="G82" s="102"/>
      <c r="H82" s="102"/>
    </row>
    <row r="83" spans="1:10" hidden="1" x14ac:dyDescent="0.25">
      <c r="A83" s="77" t="s">
        <v>153</v>
      </c>
      <c r="B83" s="77"/>
      <c r="C83" s="77"/>
      <c r="D83" s="77"/>
      <c r="E83" s="77"/>
      <c r="F83" s="102"/>
      <c r="G83" s="102"/>
      <c r="H83" s="102"/>
    </row>
    <row r="84" spans="1:10" s="21" customFormat="1" hidden="1" x14ac:dyDescent="0.25">
      <c r="A84" s="77" t="s">
        <v>168</v>
      </c>
      <c r="B84" s="77"/>
      <c r="C84" s="77"/>
      <c r="D84" s="77"/>
      <c r="E84" s="77"/>
      <c r="F84" s="102"/>
      <c r="G84" s="102"/>
      <c r="H84" s="102"/>
    </row>
    <row r="85" spans="1:10" s="21" customFormat="1" ht="33" customHeight="1" x14ac:dyDescent="0.25">
      <c r="A85" s="78" t="s">
        <v>274</v>
      </c>
      <c r="B85" s="78"/>
      <c r="C85" s="78"/>
      <c r="D85" s="78"/>
      <c r="E85" s="78"/>
      <c r="F85" s="102">
        <v>300000</v>
      </c>
      <c r="G85" s="102"/>
      <c r="H85" s="102"/>
    </row>
    <row r="86" spans="1:10" s="21" customFormat="1" hidden="1" x14ac:dyDescent="0.25">
      <c r="A86" s="77" t="s">
        <v>93</v>
      </c>
      <c r="B86" s="77"/>
      <c r="C86" s="77"/>
      <c r="D86" s="77"/>
      <c r="E86" s="77"/>
      <c r="F86" s="102"/>
      <c r="G86" s="102"/>
      <c r="H86" s="102"/>
    </row>
    <row r="87" spans="1:10" s="21" customFormat="1" hidden="1" x14ac:dyDescent="0.25">
      <c r="A87" s="77" t="s">
        <v>155</v>
      </c>
      <c r="B87" s="77"/>
      <c r="C87" s="77"/>
      <c r="D87" s="77"/>
      <c r="E87" s="77"/>
      <c r="F87" s="102"/>
      <c r="G87" s="102"/>
      <c r="H87" s="102"/>
    </row>
    <row r="88" spans="1:10" s="21" customFormat="1" hidden="1" x14ac:dyDescent="0.25">
      <c r="A88" s="77" t="s">
        <v>94</v>
      </c>
      <c r="B88" s="77"/>
      <c r="C88" s="77"/>
      <c r="D88" s="77"/>
      <c r="E88" s="77"/>
      <c r="F88" s="102"/>
      <c r="G88" s="102"/>
      <c r="H88" s="102"/>
    </row>
    <row r="89" spans="1:10" s="21" customFormat="1" hidden="1" x14ac:dyDescent="0.25">
      <c r="A89" s="77" t="s">
        <v>95</v>
      </c>
      <c r="B89" s="77"/>
      <c r="C89" s="77"/>
      <c r="D89" s="77"/>
      <c r="E89" s="77"/>
      <c r="F89" s="102"/>
      <c r="G89" s="102"/>
      <c r="H89" s="102"/>
    </row>
    <row r="90" spans="1:10" s="21" customFormat="1" hidden="1" x14ac:dyDescent="0.25">
      <c r="A90" s="77" t="s">
        <v>96</v>
      </c>
      <c r="B90" s="77"/>
      <c r="C90" s="77"/>
      <c r="D90" s="77"/>
      <c r="E90" s="77"/>
      <c r="F90" s="102"/>
      <c r="G90" s="102"/>
      <c r="H90" s="102"/>
    </row>
    <row r="91" spans="1:10" s="21" customFormat="1" hidden="1" x14ac:dyDescent="0.25">
      <c r="A91" s="77" t="s">
        <v>97</v>
      </c>
      <c r="B91" s="77"/>
      <c r="C91" s="77"/>
      <c r="D91" s="77"/>
      <c r="E91" s="77"/>
      <c r="F91" s="102"/>
      <c r="G91" s="102"/>
      <c r="H91" s="102"/>
    </row>
    <row r="92" spans="1:10" x14ac:dyDescent="0.25">
      <c r="A92" s="77" t="s">
        <v>50</v>
      </c>
      <c r="B92" s="77"/>
      <c r="C92" s="77"/>
      <c r="D92" s="77"/>
      <c r="E92" s="77"/>
      <c r="F92" s="102">
        <v>150000</v>
      </c>
      <c r="G92" s="102"/>
      <c r="H92" s="102"/>
      <c r="I92" s="67" t="s">
        <v>273</v>
      </c>
      <c r="J92" s="70" t="s">
        <v>110</v>
      </c>
    </row>
    <row r="93" spans="1:10" s="22" customFormat="1" x14ac:dyDescent="0.25">
      <c r="A93" s="141" t="s">
        <v>51</v>
      </c>
      <c r="B93" s="141"/>
      <c r="C93" s="141"/>
      <c r="D93" s="141"/>
      <c r="E93" s="141"/>
      <c r="F93" s="102">
        <f>F81*0.8</f>
        <v>3600</v>
      </c>
      <c r="G93" s="102"/>
      <c r="H93" s="102"/>
      <c r="I93" s="67">
        <f>2683650/F103</f>
        <v>4116.0276073619634</v>
      </c>
      <c r="J93" s="69"/>
    </row>
    <row r="94" spans="1:10" s="23" customFormat="1" x14ac:dyDescent="0.25">
      <c r="A94" s="169" t="s">
        <v>69</v>
      </c>
      <c r="B94" s="169"/>
      <c r="C94" s="169"/>
      <c r="D94" s="169"/>
      <c r="E94" s="169"/>
      <c r="F94" s="169"/>
      <c r="G94" s="169"/>
      <c r="H94" s="169"/>
      <c r="I94" s="67">
        <f>3729100/F104</f>
        <v>4116.004415011038</v>
      </c>
      <c r="J94" s="69" t="s">
        <v>275</v>
      </c>
    </row>
    <row r="95" spans="1:10" s="23" customFormat="1" ht="15.75" customHeight="1" x14ac:dyDescent="0.25">
      <c r="A95" s="170" t="s">
        <v>52</v>
      </c>
      <c r="B95" s="170"/>
      <c r="C95" s="190" t="s">
        <v>76</v>
      </c>
      <c r="D95" s="190"/>
      <c r="E95" s="193" t="s">
        <v>53</v>
      </c>
      <c r="F95" s="193"/>
      <c r="G95" s="170" t="s">
        <v>54</v>
      </c>
      <c r="H95" s="170"/>
      <c r="I95" s="67">
        <f>3729100/F110</f>
        <v>4116.004415011038</v>
      </c>
    </row>
    <row r="96" spans="1:10" s="23" customFormat="1" ht="16.5" thickBot="1" x14ac:dyDescent="0.3">
      <c r="A96" s="168" t="s">
        <v>248</v>
      </c>
      <c r="B96" s="168"/>
      <c r="C96" s="109">
        <f>COUNT(D103:D108)*6+COUNT(D110:D111,D113:D114)</f>
        <v>40</v>
      </c>
      <c r="D96" s="109"/>
      <c r="E96" s="110">
        <f>SUM(D103:D108)*6+SUM(D110:D111,D113:D114)</f>
        <v>23402.120040000002</v>
      </c>
      <c r="F96" s="110"/>
      <c r="G96" s="110">
        <f>SUM(F103:F108)*6+SUM(F110:F111,F113:F114)</f>
        <v>33417</v>
      </c>
      <c r="H96" s="110"/>
      <c r="I96" s="67">
        <f>AVERAGE(I93:I95)</f>
        <v>4116.0121457946798</v>
      </c>
    </row>
    <row r="97" spans="1:14" s="23" customFormat="1" ht="16.5" thickBot="1" x14ac:dyDescent="0.3">
      <c r="A97" s="180" t="s">
        <v>161</v>
      </c>
      <c r="B97" s="181"/>
      <c r="C97" s="182">
        <f>C96</f>
        <v>40</v>
      </c>
      <c r="D97" s="182"/>
      <c r="E97" s="104">
        <f t="shared" ref="E97" si="0">E96</f>
        <v>23402.120040000002</v>
      </c>
      <c r="F97" s="104"/>
      <c r="G97" s="104">
        <f t="shared" ref="G97" si="1">G96</f>
        <v>33417</v>
      </c>
      <c r="H97" s="104"/>
      <c r="I97" s="68">
        <f>AVERAGE(I93:I96)</f>
        <v>4116.0121457946798</v>
      </c>
    </row>
    <row r="98" spans="1:14" s="22" customFormat="1" x14ac:dyDescent="0.25">
      <c r="A98" s="194" t="s">
        <v>55</v>
      </c>
      <c r="B98" s="194"/>
      <c r="C98" s="194"/>
      <c r="D98" s="194"/>
      <c r="E98" s="194"/>
      <c r="F98" s="194"/>
      <c r="G98" s="194"/>
      <c r="H98" s="194"/>
    </row>
    <row r="99" spans="1:14" x14ac:dyDescent="0.25">
      <c r="A99" s="152" t="s">
        <v>240</v>
      </c>
      <c r="B99" s="152"/>
      <c r="C99" s="152"/>
      <c r="D99" s="152"/>
      <c r="E99" s="152"/>
      <c r="F99" s="152"/>
      <c r="G99" s="152"/>
      <c r="H99" s="152"/>
      <c r="I99" s="71"/>
    </row>
    <row r="100" spans="1:14" ht="47.25" customHeight="1" x14ac:dyDescent="0.25">
      <c r="A100" s="40" t="s">
        <v>117</v>
      </c>
      <c r="B100" s="37" t="s">
        <v>169</v>
      </c>
      <c r="C100" s="37" t="s">
        <v>56</v>
      </c>
      <c r="D100" s="37" t="s">
        <v>57</v>
      </c>
      <c r="E100" s="39" t="s">
        <v>58</v>
      </c>
      <c r="F100" s="33" t="s">
        <v>250</v>
      </c>
      <c r="G100" s="178" t="s">
        <v>59</v>
      </c>
      <c r="H100" s="179"/>
      <c r="I100" s="68" t="s">
        <v>276</v>
      </c>
      <c r="J100" s="68">
        <v>4200</v>
      </c>
    </row>
    <row r="101" spans="1:14" s="38" customFormat="1" x14ac:dyDescent="0.25">
      <c r="A101" s="106" t="s">
        <v>241</v>
      </c>
      <c r="B101" s="107"/>
      <c r="C101" s="107"/>
      <c r="D101" s="107"/>
      <c r="E101" s="107"/>
      <c r="F101" s="107"/>
      <c r="G101" s="107"/>
      <c r="H101" s="108"/>
      <c r="J101" s="24"/>
    </row>
    <row r="102" spans="1:14" s="25" customFormat="1" x14ac:dyDescent="0.25">
      <c r="A102" s="106" t="s">
        <v>242</v>
      </c>
      <c r="B102" s="107"/>
      <c r="C102" s="107"/>
      <c r="D102" s="107"/>
      <c r="E102" s="107"/>
      <c r="F102" s="107"/>
      <c r="G102" s="107"/>
      <c r="H102" s="108"/>
      <c r="I102" s="25" t="s">
        <v>265</v>
      </c>
      <c r="J102" s="24"/>
    </row>
    <row r="103" spans="1:14" s="25" customFormat="1" ht="15.75" customHeight="1" x14ac:dyDescent="0.25">
      <c r="A103" s="80" t="str">
        <f ca="1">(SUMPRODUCT(MID(0&amp;(LEFT(A102,SUM(LEN(A102)-LEN(SUBSTITUTE(A102,{"0","1","2"},""))))), LARGE(INDEX(ISNUMBER(--MID((LEFT(A102,SUM(LEN(A102)-LEN(SUBSTITUTE(A102,{"0","1","2"},""))))), ROW(INDIRECT("1:"&amp;LEN((LEFT(A102,SUM(LEN(A102)-LEN(SUBSTITUTE(A102,{"0","1","2"},"")))))))), 1)) * ROW(INDIRECT("1:"&amp;LEN((LEFT(A102,SUM(LEN(A102)-LEN(SUBSTITUTE(A102,{"0","1","2"},"")))))))), 0), ROW(INDIRECT("1:"&amp;LEN((LEFT(A102,SUM(LEN(A102)-LEN(SUBSTITUTE(A102,{"0","1","2"},"")))))))))+1, 1) * 10^ROW(INDIRECT("1:"&amp;LEN((LEFT(A102,SUM(LEN(A102)-LEN(SUBSTITUTE(A102,{"0","1","2"},""))))))))/10))*100+1&amp;""&amp;" to "&amp;""&amp;(SUMPRODUCT(MID(0&amp;(--TRIM(RIGHT(SUBSTITUTE(LEFT(A102,_xlfn.AGGREGATE(16,6,FIND({0,1,2,3,4,5,6,7,8,9},A102,ROW(INDIRECT("1:"&amp;LEN(A102)))),1))," ",REPT(" ",LEN(A102))),LEN(A102)))), LARGE(INDEX(ISNUMBER(--MID((--TRIM(RIGHT(SUBSTITUTE(LEFT(A102,_xlfn.AGGREGATE(16,6,FIND({0,1,2,3,4,5,6,7,8,9},A102,ROW(INDIRECT("1:"&amp;LEN(A102)))),1))," ",REPT(" ",LEN(A102))),LEN(A102)))), ROW(INDIRECT("1:"&amp;LEN((--TRIM(RIGHT(SUBSTITUTE(LEFT(A102,_xlfn.AGGREGATE(16,6,FIND({0,1,2,3,4,5,6,7,8,9},A102,ROW(INDIRECT("1:"&amp;LEN(A102)))),1))," ",REPT(" ",LEN(A102))),LEN(A102))))))), 1)) * ROW(INDIRECT("1:"&amp;LEN((--TRIM(RIGHT(SUBSTITUTE(LEFT(A102,_xlfn.AGGREGATE(16,6,FIND({0,1,2,3,4,5,6,7,8,9},A102,ROW(INDIRECT("1:"&amp;LEN(A102)))),1))," ",REPT(" ",LEN(A102))),LEN(A102))))))), 0), ROW(INDIRECT("1:"&amp;LEN((--TRIM(RIGHT(SUBSTITUTE(LEFT(A102,_xlfn.AGGREGATE(16,6,FIND({0,1,2,3,4,5,6,7,8,9},A102,ROW(INDIRECT("1:"&amp;LEN(A102)))),1))," ",REPT(" ",LEN(A102))),LEN(A102))))))))+1, 1) * 10^ROW(INDIRECT("1:"&amp;LEN((--TRIM(RIGHT(SUBSTITUTE(LEFT(A102,_xlfn.AGGREGATE(16,6,FIND({0,1,2,3,4,5,6,7,8,9},A102,ROW(INDIRECT("1:"&amp;LEN(A102)))),1))," ",REPT(" ",LEN(A102))),LEN(A102)))))))/10))*100+1</f>
        <v>101 to 601</v>
      </c>
      <c r="B103" s="81"/>
      <c r="C103" s="30" t="s">
        <v>244</v>
      </c>
      <c r="D103" s="36">
        <f>(42.45)*10.764</f>
        <v>456.93180000000001</v>
      </c>
      <c r="E103" s="30">
        <v>0</v>
      </c>
      <c r="F103" s="43">
        <v>652</v>
      </c>
      <c r="G103" s="84" t="str">
        <f>A102</f>
        <v>1st to 6th Floor For Residential</v>
      </c>
      <c r="H103" s="85"/>
      <c r="J103" s="43">
        <v>652</v>
      </c>
      <c r="K103" s="42">
        <f>J103/D103</f>
        <v>1.4269087859501133</v>
      </c>
      <c r="L103" s="82"/>
      <c r="M103" s="82"/>
      <c r="N103" s="24"/>
    </row>
    <row r="104" spans="1:14" s="25" customFormat="1" ht="15.75" customHeight="1" x14ac:dyDescent="0.25">
      <c r="A104" s="80" t="str">
        <f ca="1">(SUMPRODUCT(MID(0&amp;(LEFT(A103,SUM(LEN(A103)-LEN(SUBSTITUTE(A103,{"0","1","2"},""))))), LARGE(INDEX(ISNUMBER(--MID((LEFT(A103,SUM(LEN(A103)-LEN(SUBSTITUTE(A103,{"0","1","2"},""))))), ROW(INDIRECT("1:"&amp;LEN((LEFT(A103,SUM(LEN(A103)-LEN(SUBSTITUTE(A103,{"0","1","2"},"")))))))), 1)) * ROW(INDIRECT("1:"&amp;LEN((LEFT(A103,SUM(LEN(A103)-LEN(SUBSTITUTE(A103,{"0","1","2"},"")))))))), 0), ROW(INDIRECT("1:"&amp;LEN((LEFT(A103,SUM(LEN(A103)-LEN(SUBSTITUTE(A103,{"0","1","2"},"")))))))))+1, 1) * 10^ROW(INDIRECT("1:"&amp;LEN((LEFT(A103,SUM(LEN(A103)-LEN(SUBSTITUTE(A103,{"0","1","2"},""))))))))/10))*1+1&amp;""&amp;" to "&amp;""&amp;(SUMPRODUCT(MID(0&amp;(--TRIM(RIGHT(SUBSTITUTE(LEFT(A103,_xlfn.AGGREGATE(16,6,FIND({0,1,2,3,4,5,6,7,8,9},A103,ROW(INDIRECT("1:"&amp;LEN(A103)))),1))," ",REPT(" ",LEN(A103))),LEN(A103)))), LARGE(INDEX(ISNUMBER(--MID((--TRIM(RIGHT(SUBSTITUTE(LEFT(A103,_xlfn.AGGREGATE(16,6,FIND({0,1,2,3,4,5,6,7,8,9},A103,ROW(INDIRECT("1:"&amp;LEN(A103)))),1))," ",REPT(" ",LEN(A103))),LEN(A103)))), ROW(INDIRECT("1:"&amp;LEN((--TRIM(RIGHT(SUBSTITUTE(LEFT(A103,_xlfn.AGGREGATE(16,6,FIND({0,1,2,3,4,5,6,7,8,9},A103,ROW(INDIRECT("1:"&amp;LEN(A103)))),1))," ",REPT(" ",LEN(A103))),LEN(A103))))))), 1)) * ROW(INDIRECT("1:"&amp;LEN((--TRIM(RIGHT(SUBSTITUTE(LEFT(A103,_xlfn.AGGREGATE(16,6,FIND({0,1,2,3,4,5,6,7,8,9},A103,ROW(INDIRECT("1:"&amp;LEN(A103)))),1))," ",REPT(" ",LEN(A103))),LEN(A103))))))), 0), ROW(INDIRECT("1:"&amp;LEN((--TRIM(RIGHT(SUBSTITUTE(LEFT(A103,_xlfn.AGGREGATE(16,6,FIND({0,1,2,3,4,5,6,7,8,9},A103,ROW(INDIRECT("1:"&amp;LEN(A103)))),1))," ",REPT(" ",LEN(A103))),LEN(A103))))))))+1, 1) * 10^ROW(INDIRECT("1:"&amp;LEN((--TRIM(RIGHT(SUBSTITUTE(LEFT(A103,_xlfn.AGGREGATE(16,6,FIND({0,1,2,3,4,5,6,7,8,9},A103,ROW(INDIRECT("1:"&amp;LEN(A103)))),1))," ",REPT(" ",LEN(A103))),LEN(A103)))))))/10))*1+1</f>
        <v>102 to 602</v>
      </c>
      <c r="B104" s="81"/>
      <c r="C104" s="30" t="s">
        <v>243</v>
      </c>
      <c r="D104" s="36">
        <f>(59.05)*10.764</f>
        <v>635.61419999999998</v>
      </c>
      <c r="E104" s="30">
        <v>0</v>
      </c>
      <c r="F104" s="43">
        <v>906</v>
      </c>
      <c r="G104" s="86"/>
      <c r="H104" s="87"/>
      <c r="I104" s="24"/>
      <c r="J104" s="43">
        <v>906</v>
      </c>
      <c r="K104" s="42">
        <f t="shared" ref="K104:K108" si="2">J104/D104</f>
        <v>1.4253929506294856</v>
      </c>
      <c r="L104" s="82"/>
      <c r="M104" s="82"/>
      <c r="N104" s="24"/>
    </row>
    <row r="105" spans="1:14" s="25" customFormat="1" ht="15.75" customHeight="1" x14ac:dyDescent="0.25">
      <c r="A105" s="80" t="str">
        <f ca="1">(SUMPRODUCT(MID(0&amp;(LEFT(A104,SUM(LEN(A104)-LEN(SUBSTITUTE(A104,{"0","1","2"},""))))), LARGE(INDEX(ISNUMBER(--MID((LEFT(A104,SUM(LEN(A104)-LEN(SUBSTITUTE(A104,{"0","1","2"},""))))), ROW(INDIRECT("1:"&amp;LEN((LEFT(A104,SUM(LEN(A104)-LEN(SUBSTITUTE(A104,{"0","1","2"},"")))))))), 1)) * ROW(INDIRECT("1:"&amp;LEN((LEFT(A104,SUM(LEN(A104)-LEN(SUBSTITUTE(A104,{"0","1","2"},"")))))))), 0), ROW(INDIRECT("1:"&amp;LEN((LEFT(A104,SUM(LEN(A104)-LEN(SUBSTITUTE(A104,{"0","1","2"},"")))))))))+1, 1) * 10^ROW(INDIRECT("1:"&amp;LEN((LEFT(A104,SUM(LEN(A104)-LEN(SUBSTITUTE(A104,{"0","1","2"},""))))))))/10))*1+1&amp;""&amp;" to "&amp;""&amp;(SUMPRODUCT(MID(0&amp;(--TRIM(RIGHT(SUBSTITUTE(LEFT(A104,_xlfn.AGGREGATE(16,6,FIND({0,1,2,3,4,5,6,7,8,9},A104,ROW(INDIRECT("1:"&amp;LEN(A104)))),1))," ",REPT(" ",LEN(A104))),LEN(A104)))), LARGE(INDEX(ISNUMBER(--MID((--TRIM(RIGHT(SUBSTITUTE(LEFT(A104,_xlfn.AGGREGATE(16,6,FIND({0,1,2,3,4,5,6,7,8,9},A104,ROW(INDIRECT("1:"&amp;LEN(A104)))),1))," ",REPT(" ",LEN(A104))),LEN(A104)))), ROW(INDIRECT("1:"&amp;LEN((--TRIM(RIGHT(SUBSTITUTE(LEFT(A104,_xlfn.AGGREGATE(16,6,FIND({0,1,2,3,4,5,6,7,8,9},A104,ROW(INDIRECT("1:"&amp;LEN(A104)))),1))," ",REPT(" ",LEN(A104))),LEN(A104))))))), 1)) * ROW(INDIRECT("1:"&amp;LEN((--TRIM(RIGHT(SUBSTITUTE(LEFT(A104,_xlfn.AGGREGATE(16,6,FIND({0,1,2,3,4,5,6,7,8,9},A104,ROW(INDIRECT("1:"&amp;LEN(A104)))),1))," ",REPT(" ",LEN(A104))),LEN(A104))))))), 0), ROW(INDIRECT("1:"&amp;LEN((--TRIM(RIGHT(SUBSTITUTE(LEFT(A104,_xlfn.AGGREGATE(16,6,FIND({0,1,2,3,4,5,6,7,8,9},A104,ROW(INDIRECT("1:"&amp;LEN(A104)))),1))," ",REPT(" ",LEN(A104))),LEN(A104))))))))+1, 1) * 10^ROW(INDIRECT("1:"&amp;LEN((--TRIM(RIGHT(SUBSTITUTE(LEFT(A104,_xlfn.AGGREGATE(16,6,FIND({0,1,2,3,4,5,6,7,8,9},A104,ROW(INDIRECT("1:"&amp;LEN(A104)))),1))," ",REPT(" ",LEN(A104))),LEN(A104)))))))/10))*1+1</f>
        <v>103 to 603</v>
      </c>
      <c r="B105" s="81"/>
      <c r="C105" s="30" t="s">
        <v>243</v>
      </c>
      <c r="D105" s="30">
        <f>(59.05)*10.764</f>
        <v>635.61419999999998</v>
      </c>
      <c r="E105" s="30">
        <v>0</v>
      </c>
      <c r="F105" s="43">
        <v>906</v>
      </c>
      <c r="G105" s="86"/>
      <c r="H105" s="87"/>
      <c r="I105" s="41"/>
      <c r="J105" s="43">
        <v>906</v>
      </c>
      <c r="K105" s="42">
        <f t="shared" si="2"/>
        <v>1.4253929506294856</v>
      </c>
      <c r="L105" s="82"/>
      <c r="M105" s="82"/>
      <c r="N105" s="24"/>
    </row>
    <row r="106" spans="1:14" s="25" customFormat="1" ht="15.75" customHeight="1" x14ac:dyDescent="0.25">
      <c r="A106" s="80" t="str">
        <f ca="1">(SUMPRODUCT(MID(0&amp;(LEFT(A105,SUM(LEN(A105)-LEN(SUBSTITUTE(A105,{"0","1","2"},""))))), LARGE(INDEX(ISNUMBER(--MID((LEFT(A105,SUM(LEN(A105)-LEN(SUBSTITUTE(A105,{"0","1","2"},""))))), ROW(INDIRECT("1:"&amp;LEN((LEFT(A105,SUM(LEN(A105)-LEN(SUBSTITUTE(A105,{"0","1","2"},"")))))))), 1)) * ROW(INDIRECT("1:"&amp;LEN((LEFT(A105,SUM(LEN(A105)-LEN(SUBSTITUTE(A105,{"0","1","2"},"")))))))), 0), ROW(INDIRECT("1:"&amp;LEN((LEFT(A105,SUM(LEN(A105)-LEN(SUBSTITUTE(A105,{"0","1","2"},"")))))))))+1, 1) * 10^ROW(INDIRECT("1:"&amp;LEN((LEFT(A105,SUM(LEN(A105)-LEN(SUBSTITUTE(A105,{"0","1","2"},""))))))))/10))*1+1&amp;""&amp;" to "&amp;""&amp;(SUMPRODUCT(MID(0&amp;(--TRIM(RIGHT(SUBSTITUTE(LEFT(A105,_xlfn.AGGREGATE(16,6,FIND({0,1,2,3,4,5,6,7,8,9},A105,ROW(INDIRECT("1:"&amp;LEN(A105)))),1))," ",REPT(" ",LEN(A105))),LEN(A105)))), LARGE(INDEX(ISNUMBER(--MID((--TRIM(RIGHT(SUBSTITUTE(LEFT(A105,_xlfn.AGGREGATE(16,6,FIND({0,1,2,3,4,5,6,7,8,9},A105,ROW(INDIRECT("1:"&amp;LEN(A105)))),1))," ",REPT(" ",LEN(A105))),LEN(A105)))), ROW(INDIRECT("1:"&amp;LEN((--TRIM(RIGHT(SUBSTITUTE(LEFT(A105,_xlfn.AGGREGATE(16,6,FIND({0,1,2,3,4,5,6,7,8,9},A105,ROW(INDIRECT("1:"&amp;LEN(A105)))),1))," ",REPT(" ",LEN(A105))),LEN(A105))))))), 1)) * ROW(INDIRECT("1:"&amp;LEN((--TRIM(RIGHT(SUBSTITUTE(LEFT(A105,_xlfn.AGGREGATE(16,6,FIND({0,1,2,3,4,5,6,7,8,9},A105,ROW(INDIRECT("1:"&amp;LEN(A105)))),1))," ",REPT(" ",LEN(A105))),LEN(A105))))))), 0), ROW(INDIRECT("1:"&amp;LEN((--TRIM(RIGHT(SUBSTITUTE(LEFT(A105,_xlfn.AGGREGATE(16,6,FIND({0,1,2,3,4,5,6,7,8,9},A105,ROW(INDIRECT("1:"&amp;LEN(A105)))),1))," ",REPT(" ",LEN(A105))),LEN(A105))))))))+1, 1) * 10^ROW(INDIRECT("1:"&amp;LEN((--TRIM(RIGHT(SUBSTITUTE(LEFT(A105,_xlfn.AGGREGATE(16,6,FIND({0,1,2,3,4,5,6,7,8,9},A105,ROW(INDIRECT("1:"&amp;LEN(A105)))),1))," ",REPT(" ",LEN(A105))),LEN(A105)))))))/10))*1+1</f>
        <v>104 to 604</v>
      </c>
      <c r="B106" s="81"/>
      <c r="C106" s="30" t="s">
        <v>244</v>
      </c>
      <c r="D106" s="30">
        <f>(42.53)*10.764</f>
        <v>457.79291999999998</v>
      </c>
      <c r="E106" s="30">
        <v>0</v>
      </c>
      <c r="F106" s="43">
        <v>652</v>
      </c>
      <c r="G106" s="86"/>
      <c r="H106" s="87"/>
      <c r="I106" s="24">
        <f>3.05*6.22+2.14*3.2+3.05*3.35+2.2*1.2+0.91*1.2+0.9*1.2+1*0.91</f>
        <v>41.758499999999991</v>
      </c>
      <c r="J106" s="43">
        <v>652</v>
      </c>
      <c r="K106" s="42">
        <f t="shared" si="2"/>
        <v>1.4242247346245547</v>
      </c>
      <c r="L106" s="82"/>
      <c r="M106" s="82"/>
      <c r="N106" s="24"/>
    </row>
    <row r="107" spans="1:14" s="38" customFormat="1" ht="15.75" customHeight="1" x14ac:dyDescent="0.25">
      <c r="A107" s="80" t="str">
        <f ca="1">(SUMPRODUCT(MID(0&amp;(LEFT(A106,SUM(LEN(A106)-LEN(SUBSTITUTE(A106,{"0","1","2"},""))))), LARGE(INDEX(ISNUMBER(--MID((LEFT(A106,SUM(LEN(A106)-LEN(SUBSTITUTE(A106,{"0","1","2"},""))))), ROW(INDIRECT("1:"&amp;LEN((LEFT(A106,SUM(LEN(A106)-LEN(SUBSTITUTE(A106,{"0","1","2"},"")))))))), 1)) * ROW(INDIRECT("1:"&amp;LEN((LEFT(A106,SUM(LEN(A106)-LEN(SUBSTITUTE(A106,{"0","1","2"},"")))))))), 0), ROW(INDIRECT("1:"&amp;LEN((LEFT(A106,SUM(LEN(A106)-LEN(SUBSTITUTE(A106,{"0","1","2"},"")))))))))+1, 1) * 10^ROW(INDIRECT("1:"&amp;LEN((LEFT(A106,SUM(LEN(A106)-LEN(SUBSTITUTE(A106,{"0","1","2"},""))))))))/10))*1+1&amp;""&amp;" to "&amp;""&amp;(SUMPRODUCT(MID(0&amp;(--TRIM(RIGHT(SUBSTITUTE(LEFT(A106,_xlfn.AGGREGATE(16,6,FIND({0,1,2,3,4,5,6,7,8,9},A106,ROW(INDIRECT("1:"&amp;LEN(A106)))),1))," ",REPT(" ",LEN(A106))),LEN(A106)))), LARGE(INDEX(ISNUMBER(--MID((--TRIM(RIGHT(SUBSTITUTE(LEFT(A106,_xlfn.AGGREGATE(16,6,FIND({0,1,2,3,4,5,6,7,8,9},A106,ROW(INDIRECT("1:"&amp;LEN(A106)))),1))," ",REPT(" ",LEN(A106))),LEN(A106)))), ROW(INDIRECT("1:"&amp;LEN((--TRIM(RIGHT(SUBSTITUTE(LEFT(A106,_xlfn.AGGREGATE(16,6,FIND({0,1,2,3,4,5,6,7,8,9},A106,ROW(INDIRECT("1:"&amp;LEN(A106)))),1))," ",REPT(" ",LEN(A106))),LEN(A106))))))), 1)) * ROW(INDIRECT("1:"&amp;LEN((--TRIM(RIGHT(SUBSTITUTE(LEFT(A106,_xlfn.AGGREGATE(16,6,FIND({0,1,2,3,4,5,6,7,8,9},A106,ROW(INDIRECT("1:"&amp;LEN(A106)))),1))," ",REPT(" ",LEN(A106))),LEN(A106))))))), 0), ROW(INDIRECT("1:"&amp;LEN((--TRIM(RIGHT(SUBSTITUTE(LEFT(A106,_xlfn.AGGREGATE(16,6,FIND({0,1,2,3,4,5,6,7,8,9},A106,ROW(INDIRECT("1:"&amp;LEN(A106)))),1))," ",REPT(" ",LEN(A106))),LEN(A106))))))))+1, 1) * 10^ROW(INDIRECT("1:"&amp;LEN((--TRIM(RIGHT(SUBSTITUTE(LEFT(A106,_xlfn.AGGREGATE(16,6,FIND({0,1,2,3,4,5,6,7,8,9},A106,ROW(INDIRECT("1:"&amp;LEN(A106)))),1))," ",REPT(" ",LEN(A106))),LEN(A106)))))))/10))*1+1</f>
        <v>105 to 605</v>
      </c>
      <c r="B107" s="81"/>
      <c r="C107" s="36" t="s">
        <v>243</v>
      </c>
      <c r="D107" s="30">
        <f>(59.05)*10.764</f>
        <v>635.61419999999998</v>
      </c>
      <c r="E107" s="36">
        <v>0</v>
      </c>
      <c r="F107" s="43">
        <v>906</v>
      </c>
      <c r="G107" s="86"/>
      <c r="H107" s="87"/>
      <c r="I107" s="24"/>
      <c r="J107" s="43">
        <v>906</v>
      </c>
      <c r="K107" s="42">
        <f t="shared" si="2"/>
        <v>1.4253929506294856</v>
      </c>
      <c r="L107" s="82"/>
      <c r="M107" s="82"/>
      <c r="N107" s="24"/>
    </row>
    <row r="108" spans="1:14" s="38" customFormat="1" ht="15.75" customHeight="1" x14ac:dyDescent="0.25">
      <c r="A108" s="80" t="str">
        <f ca="1">(SUMPRODUCT(MID(0&amp;(LEFT(A107,SUM(LEN(A107)-LEN(SUBSTITUTE(A107,{"0","1","2"},""))))), LARGE(INDEX(ISNUMBER(--MID((LEFT(A107,SUM(LEN(A107)-LEN(SUBSTITUTE(A107,{"0","1","2"},""))))), ROW(INDIRECT("1:"&amp;LEN((LEFT(A107,SUM(LEN(A107)-LEN(SUBSTITUTE(A107,{"0","1","2"},"")))))))), 1)) * ROW(INDIRECT("1:"&amp;LEN((LEFT(A107,SUM(LEN(A107)-LEN(SUBSTITUTE(A107,{"0","1","2"},"")))))))), 0), ROW(INDIRECT("1:"&amp;LEN((LEFT(A107,SUM(LEN(A107)-LEN(SUBSTITUTE(A107,{"0","1","2"},"")))))))))+1, 1) * 10^ROW(INDIRECT("1:"&amp;LEN((LEFT(A107,SUM(LEN(A107)-LEN(SUBSTITUTE(A107,{"0","1","2"},""))))))))/10))*1+1&amp;""&amp;" to "&amp;""&amp;(SUMPRODUCT(MID(0&amp;(--TRIM(RIGHT(SUBSTITUTE(LEFT(A107,_xlfn.AGGREGATE(16,6,FIND({0,1,2,3,4,5,6,7,8,9},A107,ROW(INDIRECT("1:"&amp;LEN(A107)))),1))," ",REPT(" ",LEN(A107))),LEN(A107)))), LARGE(INDEX(ISNUMBER(--MID((--TRIM(RIGHT(SUBSTITUTE(LEFT(A107,_xlfn.AGGREGATE(16,6,FIND({0,1,2,3,4,5,6,7,8,9},A107,ROW(INDIRECT("1:"&amp;LEN(A107)))),1))," ",REPT(" ",LEN(A107))),LEN(A107)))), ROW(INDIRECT("1:"&amp;LEN((--TRIM(RIGHT(SUBSTITUTE(LEFT(A107,_xlfn.AGGREGATE(16,6,FIND({0,1,2,3,4,5,6,7,8,9},A107,ROW(INDIRECT("1:"&amp;LEN(A107)))),1))," ",REPT(" ",LEN(A107))),LEN(A107))))))), 1)) * ROW(INDIRECT("1:"&amp;LEN((--TRIM(RIGHT(SUBSTITUTE(LEFT(A107,_xlfn.AGGREGATE(16,6,FIND({0,1,2,3,4,5,6,7,8,9},A107,ROW(INDIRECT("1:"&amp;LEN(A107)))),1))," ",REPT(" ",LEN(A107))),LEN(A107))))))), 0), ROW(INDIRECT("1:"&amp;LEN((--TRIM(RIGHT(SUBSTITUTE(LEFT(A107,_xlfn.AGGREGATE(16,6,FIND({0,1,2,3,4,5,6,7,8,9},A107,ROW(INDIRECT("1:"&amp;LEN(A107)))),1))," ",REPT(" ",LEN(A107))),LEN(A107))))))))+1, 1) * 10^ROW(INDIRECT("1:"&amp;LEN((--TRIM(RIGHT(SUBSTITUTE(LEFT(A107,_xlfn.AGGREGATE(16,6,FIND({0,1,2,3,4,5,6,7,8,9},A107,ROW(INDIRECT("1:"&amp;LEN(A107)))),1))," ",REPT(" ",LEN(A107))),LEN(A107)))))))/10))*1+1</f>
        <v>106 to 606</v>
      </c>
      <c r="B108" s="81"/>
      <c r="C108" s="36" t="s">
        <v>243</v>
      </c>
      <c r="D108" s="30">
        <f>(59.05)*10.764</f>
        <v>635.61419999999998</v>
      </c>
      <c r="E108" s="36">
        <v>0</v>
      </c>
      <c r="F108" s="43">
        <v>906</v>
      </c>
      <c r="G108" s="88"/>
      <c r="H108" s="89"/>
      <c r="I108" s="24">
        <f>3.05*4.85+2.15*3.72+3.05*3.5+2.91*3.35+1.81*1.2+1.9*1.22+1*1.9+1.9*1.15+1.37*3.05+1.3*1.2</f>
        <v>57.527499999999996</v>
      </c>
      <c r="J108" s="43">
        <v>906</v>
      </c>
      <c r="K108" s="42">
        <f t="shared" si="2"/>
        <v>1.4253929506294856</v>
      </c>
      <c r="L108" s="82"/>
      <c r="M108" s="82"/>
      <c r="N108" s="24"/>
    </row>
    <row r="109" spans="1:14" s="25" customFormat="1" x14ac:dyDescent="0.25">
      <c r="A109" s="167" t="s">
        <v>245</v>
      </c>
      <c r="B109" s="167"/>
      <c r="C109" s="167"/>
      <c r="D109" s="167"/>
      <c r="E109" s="167"/>
      <c r="F109" s="167"/>
      <c r="G109" s="167"/>
      <c r="H109" s="167"/>
      <c r="I109" s="90"/>
      <c r="J109" s="91"/>
      <c r="K109" s="91"/>
      <c r="L109" s="91"/>
      <c r="M109" s="91"/>
    </row>
    <row r="110" spans="1:14" s="25" customFormat="1" ht="15.75" customHeight="1" x14ac:dyDescent="0.25">
      <c r="A110" s="83">
        <v>701</v>
      </c>
      <c r="B110" s="83"/>
      <c r="C110" s="36" t="s">
        <v>243</v>
      </c>
      <c r="D110" s="36">
        <f t="shared" ref="D110:D111" si="3">(59.05)*10.764</f>
        <v>635.61419999999998</v>
      </c>
      <c r="E110" s="36">
        <v>0</v>
      </c>
      <c r="F110" s="43">
        <v>906</v>
      </c>
      <c r="G110" s="83" t="str">
        <f>A109</f>
        <v>7th Floor (Part Terrace Area)</v>
      </c>
      <c r="H110" s="83"/>
      <c r="I110" s="24"/>
      <c r="K110" s="42"/>
      <c r="N110" s="24"/>
    </row>
    <row r="111" spans="1:14" s="25" customFormat="1" ht="15.75" customHeight="1" x14ac:dyDescent="0.25">
      <c r="A111" s="83">
        <f t="shared" ref="A111:A114" si="4">A110+1</f>
        <v>702</v>
      </c>
      <c r="B111" s="83"/>
      <c r="C111" s="36" t="s">
        <v>243</v>
      </c>
      <c r="D111" s="36">
        <f t="shared" si="3"/>
        <v>635.61419999999998</v>
      </c>
      <c r="E111" s="36">
        <v>0</v>
      </c>
      <c r="F111" s="43">
        <v>906</v>
      </c>
      <c r="G111" s="83"/>
      <c r="H111" s="83"/>
      <c r="K111" s="42"/>
      <c r="N111" s="24"/>
    </row>
    <row r="112" spans="1:14" s="25" customFormat="1" ht="15.75" customHeight="1" x14ac:dyDescent="0.25">
      <c r="A112" s="83" t="s">
        <v>249</v>
      </c>
      <c r="B112" s="83"/>
      <c r="C112" s="83" t="s">
        <v>247</v>
      </c>
      <c r="D112" s="83"/>
      <c r="E112" s="83"/>
      <c r="F112" s="83"/>
      <c r="G112" s="83"/>
      <c r="H112" s="83"/>
      <c r="I112" s="24"/>
      <c r="N112" s="24"/>
    </row>
    <row r="113" spans="1:14" s="25" customFormat="1" ht="15.75" customHeight="1" x14ac:dyDescent="0.25">
      <c r="A113" s="83">
        <v>703</v>
      </c>
      <c r="B113" s="83"/>
      <c r="C113" s="36" t="s">
        <v>246</v>
      </c>
      <c r="D113" s="36">
        <f>(69.88)*10.764</f>
        <v>752.18831999999986</v>
      </c>
      <c r="E113" s="36">
        <v>0</v>
      </c>
      <c r="F113" s="36">
        <v>1131</v>
      </c>
      <c r="G113" s="83"/>
      <c r="H113" s="83"/>
      <c r="I113" s="24">
        <f>3.05*4.85+1.9*1.15+2.15*3.72+3.05*3.5+2.91*3.35+3.05*3.35+1.9*1.22+1.81*1.2+0.91*1.22+1.1*2.1+1.3*1.2+1.37*3.05</f>
        <v>69.265199999999993</v>
      </c>
      <c r="J113" s="43">
        <v>1131</v>
      </c>
      <c r="K113" s="42">
        <f t="shared" ref="K113" si="5">J113/D113</f>
        <v>1.5036128186622204</v>
      </c>
      <c r="N113" s="24"/>
    </row>
    <row r="114" spans="1:14" s="25" customFormat="1" ht="15.75" customHeight="1" x14ac:dyDescent="0.25">
      <c r="A114" s="83">
        <f t="shared" si="4"/>
        <v>704</v>
      </c>
      <c r="B114" s="83"/>
      <c r="C114" s="36" t="s">
        <v>243</v>
      </c>
      <c r="D114" s="36">
        <f t="shared" ref="D114" si="6">(59.05)*10.764</f>
        <v>635.61419999999998</v>
      </c>
      <c r="E114" s="36">
        <v>0</v>
      </c>
      <c r="F114" s="36">
        <v>906</v>
      </c>
      <c r="G114" s="83"/>
      <c r="H114" s="83"/>
      <c r="K114" s="42"/>
      <c r="N114" s="24"/>
    </row>
    <row r="115" spans="1:14" s="38" customFormat="1" ht="15.75" customHeight="1" x14ac:dyDescent="0.25">
      <c r="A115" s="83" t="s">
        <v>249</v>
      </c>
      <c r="B115" s="83"/>
      <c r="C115" s="83" t="s">
        <v>247</v>
      </c>
      <c r="D115" s="83"/>
      <c r="E115" s="83"/>
      <c r="F115" s="83"/>
      <c r="G115" s="83"/>
      <c r="H115" s="83"/>
      <c r="I115" s="24"/>
      <c r="N115" s="24"/>
    </row>
    <row r="116" spans="1:14" s="23" customFormat="1" x14ac:dyDescent="0.25">
      <c r="A116" s="105" t="s">
        <v>67</v>
      </c>
      <c r="B116" s="105"/>
      <c r="C116" s="105"/>
      <c r="D116" s="105"/>
      <c r="E116" s="105"/>
      <c r="F116" s="105"/>
      <c r="G116" s="105"/>
      <c r="H116" s="105"/>
    </row>
    <row r="117" spans="1:14" s="23" customFormat="1" x14ac:dyDescent="0.25">
      <c r="A117" s="65" t="s">
        <v>148</v>
      </c>
      <c r="B117" s="171" t="s">
        <v>277</v>
      </c>
      <c r="C117" s="172"/>
      <c r="D117" s="172"/>
      <c r="E117" s="172"/>
      <c r="F117" s="172"/>
      <c r="G117" s="172"/>
      <c r="H117" s="173"/>
    </row>
    <row r="118" spans="1:14" s="23" customFormat="1" x14ac:dyDescent="0.25">
      <c r="A118" s="32" t="s">
        <v>148</v>
      </c>
      <c r="B118" s="174" t="str">
        <f>(IF(F100="Saleable area Loading :","We have considered Saleable area of Flats as per our Calculation.","We considered Saleable area of Flat as per Builder area Sheet."))</f>
        <v>We considered Saleable area of Flat as per Builder area Sheet.</v>
      </c>
      <c r="C118" s="175"/>
      <c r="D118" s="175"/>
      <c r="E118" s="175"/>
      <c r="F118" s="175"/>
      <c r="G118" s="175"/>
      <c r="H118" s="176"/>
    </row>
    <row r="119" spans="1:14" s="23" customFormat="1" x14ac:dyDescent="0.25">
      <c r="A119" s="32" t="s">
        <v>148</v>
      </c>
      <c r="B119" s="94" t="s">
        <v>120</v>
      </c>
      <c r="C119" s="95"/>
      <c r="D119" s="95"/>
      <c r="E119" s="95"/>
      <c r="F119" s="95"/>
      <c r="G119" s="95"/>
      <c r="H119" s="96"/>
    </row>
    <row r="120" spans="1:14" s="23" customFormat="1" x14ac:dyDescent="0.25">
      <c r="A120" s="32" t="s">
        <v>148</v>
      </c>
      <c r="B120" s="94" t="s">
        <v>251</v>
      </c>
      <c r="C120" s="95"/>
      <c r="D120" s="95"/>
      <c r="E120" s="95"/>
      <c r="F120" s="95"/>
      <c r="G120" s="95"/>
      <c r="H120" s="96"/>
    </row>
    <row r="121" spans="1:14" s="23" customFormat="1" x14ac:dyDescent="0.25">
      <c r="A121" s="32" t="s">
        <v>148</v>
      </c>
      <c r="B121" s="94" t="s">
        <v>147</v>
      </c>
      <c r="C121" s="95"/>
      <c r="D121" s="95"/>
      <c r="E121" s="95"/>
      <c r="F121" s="95"/>
      <c r="G121" s="95"/>
      <c r="H121" s="96"/>
    </row>
    <row r="122" spans="1:14" s="23" customFormat="1" x14ac:dyDescent="0.25">
      <c r="A122" s="32" t="s">
        <v>148</v>
      </c>
      <c r="B122" s="94" t="s">
        <v>121</v>
      </c>
      <c r="C122" s="95"/>
      <c r="D122" s="95"/>
      <c r="E122" s="95"/>
      <c r="F122" s="95"/>
      <c r="G122" s="95"/>
      <c r="H122" s="96"/>
    </row>
    <row r="123" spans="1:14" s="23" customFormat="1" ht="34.5" customHeight="1" x14ac:dyDescent="0.25">
      <c r="A123" s="32" t="s">
        <v>148</v>
      </c>
      <c r="B123" s="94" t="s">
        <v>149</v>
      </c>
      <c r="C123" s="95"/>
      <c r="D123" s="95"/>
      <c r="E123" s="95"/>
      <c r="F123" s="95"/>
      <c r="G123" s="95"/>
      <c r="H123" s="96"/>
    </row>
    <row r="124" spans="1:14" s="23" customFormat="1" x14ac:dyDescent="0.25">
      <c r="A124" s="32" t="s">
        <v>148</v>
      </c>
      <c r="B124" s="94" t="s">
        <v>122</v>
      </c>
      <c r="C124" s="95"/>
      <c r="D124" s="95"/>
      <c r="E124" s="95"/>
      <c r="F124" s="95"/>
      <c r="G124" s="95"/>
      <c r="H124" s="96"/>
    </row>
    <row r="125" spans="1:14" x14ac:dyDescent="0.25">
      <c r="A125" s="164" t="s">
        <v>60</v>
      </c>
      <c r="B125" s="164"/>
      <c r="C125" s="164"/>
      <c r="D125" s="164"/>
      <c r="E125" s="164"/>
      <c r="F125" s="164"/>
      <c r="G125" s="164"/>
      <c r="H125" s="164"/>
    </row>
    <row r="126" spans="1:14" x14ac:dyDescent="0.25">
      <c r="A126" s="92" t="s">
        <v>61</v>
      </c>
      <c r="B126" s="92"/>
      <c r="C126" s="92"/>
      <c r="D126" s="92"/>
      <c r="E126" s="92"/>
      <c r="F126" s="92"/>
      <c r="G126" s="92"/>
      <c r="H126" s="92"/>
    </row>
    <row r="127" spans="1:14" ht="15.75" customHeight="1" x14ac:dyDescent="0.25">
      <c r="A127" s="177" t="s">
        <v>62</v>
      </c>
      <c r="B127" s="177"/>
      <c r="C127" s="177"/>
      <c r="D127" s="177"/>
      <c r="E127" s="177"/>
      <c r="F127" s="177"/>
      <c r="G127" s="177"/>
      <c r="H127" s="177"/>
    </row>
    <row r="128" spans="1:14" x14ac:dyDescent="0.25">
      <c r="A128" s="92" t="s">
        <v>63</v>
      </c>
      <c r="B128" s="92"/>
      <c r="C128" s="92"/>
      <c r="D128" s="92"/>
      <c r="E128" s="92"/>
      <c r="F128" s="92"/>
      <c r="G128" s="92"/>
      <c r="H128" s="92"/>
    </row>
    <row r="129" spans="1:8" x14ac:dyDescent="0.25">
      <c r="A129" s="92" t="s">
        <v>64</v>
      </c>
      <c r="B129" s="92"/>
      <c r="C129" s="92"/>
      <c r="D129" s="92"/>
      <c r="E129" s="92"/>
      <c r="F129" s="92"/>
      <c r="G129" s="92"/>
      <c r="H129" s="92"/>
    </row>
    <row r="130" spans="1:8" x14ac:dyDescent="0.25">
      <c r="A130" s="92" t="s">
        <v>123</v>
      </c>
      <c r="B130" s="92"/>
      <c r="C130" s="92"/>
      <c r="D130" s="92"/>
      <c r="E130" s="92"/>
      <c r="F130" s="92"/>
      <c r="G130" s="92"/>
      <c r="H130" s="92"/>
    </row>
    <row r="131" spans="1:8" ht="33.950000000000003" customHeight="1" x14ac:dyDescent="0.25">
      <c r="A131" s="79" t="s">
        <v>124</v>
      </c>
      <c r="B131" s="79"/>
      <c r="C131" s="79"/>
      <c r="D131" s="79"/>
      <c r="E131" s="79"/>
      <c r="F131" s="79"/>
      <c r="G131" s="79"/>
      <c r="H131" s="79"/>
    </row>
    <row r="132" spans="1:8" x14ac:dyDescent="0.25">
      <c r="A132" s="166" t="s">
        <v>75</v>
      </c>
      <c r="B132" s="166"/>
      <c r="C132" s="166" t="s">
        <v>266</v>
      </c>
      <c r="D132" s="166"/>
      <c r="E132" s="166" t="s">
        <v>104</v>
      </c>
      <c r="F132" s="166"/>
      <c r="G132" s="166" t="s">
        <v>278</v>
      </c>
      <c r="H132" s="166"/>
    </row>
    <row r="133" spans="1:8" x14ac:dyDescent="0.25">
      <c r="A133" s="165" t="s">
        <v>77</v>
      </c>
      <c r="B133" s="165"/>
      <c r="C133" s="165"/>
      <c r="D133" s="165"/>
      <c r="E133" s="165"/>
      <c r="F133" s="165"/>
      <c r="G133" s="165"/>
      <c r="H133" s="165"/>
    </row>
    <row r="134" spans="1:8" x14ac:dyDescent="0.25">
      <c r="A134" s="165"/>
      <c r="B134" s="165"/>
      <c r="C134" s="165"/>
      <c r="D134" s="165"/>
      <c r="E134" s="165"/>
      <c r="F134" s="165"/>
      <c r="G134" s="165"/>
      <c r="H134" s="165"/>
    </row>
    <row r="135" spans="1:8" x14ac:dyDescent="0.25">
      <c r="A135" s="165"/>
      <c r="B135" s="165"/>
      <c r="C135" s="165"/>
      <c r="D135" s="165"/>
      <c r="E135" s="165"/>
      <c r="F135" s="165"/>
      <c r="G135" s="165"/>
      <c r="H135" s="165"/>
    </row>
    <row r="136" spans="1:8" x14ac:dyDescent="0.25">
      <c r="A136" s="165"/>
      <c r="B136" s="165"/>
      <c r="C136" s="165"/>
      <c r="D136" s="165"/>
      <c r="E136" s="165"/>
      <c r="F136" s="165"/>
      <c r="G136" s="165"/>
      <c r="H136" s="165"/>
    </row>
    <row r="137" spans="1:8" x14ac:dyDescent="0.25">
      <c r="A137" s="26" t="s">
        <v>65</v>
      </c>
      <c r="B137" s="27"/>
      <c r="C137" s="27"/>
      <c r="D137" s="26" t="str">
        <f>E8</f>
        <v>Shubhada Coop Housing Society proposed</v>
      </c>
      <c r="F137" s="27"/>
      <c r="G137" s="27"/>
      <c r="H137" s="27"/>
    </row>
    <row r="138" spans="1:8" x14ac:dyDescent="0.25">
      <c r="A138" s="27"/>
      <c r="B138" s="27"/>
      <c r="C138" s="27"/>
      <c r="D138" s="27"/>
      <c r="E138" s="27"/>
      <c r="F138" s="27"/>
      <c r="G138" s="27"/>
      <c r="H138" s="27"/>
    </row>
    <row r="139" spans="1:8" x14ac:dyDescent="0.25">
      <c r="A139" s="27"/>
      <c r="B139" s="27"/>
      <c r="C139" s="27"/>
      <c r="D139" s="27"/>
      <c r="E139" s="27"/>
      <c r="F139" s="27"/>
      <c r="G139" s="27"/>
      <c r="H139" s="27"/>
    </row>
    <row r="140" spans="1:8" ht="15" customHeight="1" x14ac:dyDescent="0.25"/>
    <row r="180" spans="1:1" x14ac:dyDescent="0.25">
      <c r="A180" s="29" t="s">
        <v>158</v>
      </c>
    </row>
    <row r="217" spans="1:1" x14ac:dyDescent="0.25">
      <c r="A217" s="29" t="s">
        <v>66</v>
      </c>
    </row>
  </sheetData>
  <mergeCells count="251">
    <mergeCell ref="I14:P14"/>
    <mergeCell ref="F91:H91"/>
    <mergeCell ref="F89:H89"/>
    <mergeCell ref="A99:H99"/>
    <mergeCell ref="A90:E90"/>
    <mergeCell ref="A53:B53"/>
    <mergeCell ref="C53:E53"/>
    <mergeCell ref="D55:H55"/>
    <mergeCell ref="F90:H90"/>
    <mergeCell ref="C95:D95"/>
    <mergeCell ref="C33:E33"/>
    <mergeCell ref="C34:E34"/>
    <mergeCell ref="I32:M32"/>
    <mergeCell ref="E95:F95"/>
    <mergeCell ref="A98:H98"/>
    <mergeCell ref="F33:H33"/>
    <mergeCell ref="A15:B15"/>
    <mergeCell ref="C15:H15"/>
    <mergeCell ref="C16:H16"/>
    <mergeCell ref="A17:B17"/>
    <mergeCell ref="C17:H17"/>
    <mergeCell ref="E21:F21"/>
    <mergeCell ref="G21:H21"/>
    <mergeCell ref="E26:H26"/>
    <mergeCell ref="A130:H130"/>
    <mergeCell ref="A127:H127"/>
    <mergeCell ref="A110:B110"/>
    <mergeCell ref="A95:B95"/>
    <mergeCell ref="G100:H100"/>
    <mergeCell ref="F81:H81"/>
    <mergeCell ref="F88:H88"/>
    <mergeCell ref="A102:H102"/>
    <mergeCell ref="D63:H63"/>
    <mergeCell ref="A64:C64"/>
    <mergeCell ref="A97:B97"/>
    <mergeCell ref="C97:D97"/>
    <mergeCell ref="A75:B75"/>
    <mergeCell ref="A70:B70"/>
    <mergeCell ref="G69:H69"/>
    <mergeCell ref="F80:H80"/>
    <mergeCell ref="F85:H85"/>
    <mergeCell ref="A103:B103"/>
    <mergeCell ref="A86:E86"/>
    <mergeCell ref="F86:H86"/>
    <mergeCell ref="A87:E87"/>
    <mergeCell ref="A89:E89"/>
    <mergeCell ref="F83:H83"/>
    <mergeCell ref="A88:E88"/>
    <mergeCell ref="A133:H136"/>
    <mergeCell ref="A132:B132"/>
    <mergeCell ref="E132:F132"/>
    <mergeCell ref="C132:D132"/>
    <mergeCell ref="G132:H132"/>
    <mergeCell ref="A92:E92"/>
    <mergeCell ref="F92:H92"/>
    <mergeCell ref="A93:E93"/>
    <mergeCell ref="F93:H93"/>
    <mergeCell ref="A109:H109"/>
    <mergeCell ref="A96:B96"/>
    <mergeCell ref="A128:H128"/>
    <mergeCell ref="A94:H94"/>
    <mergeCell ref="A131:H131"/>
    <mergeCell ref="A129:H129"/>
    <mergeCell ref="A125:H125"/>
    <mergeCell ref="G95:H95"/>
    <mergeCell ref="A114:B114"/>
    <mergeCell ref="A126:H126"/>
    <mergeCell ref="B124:H124"/>
    <mergeCell ref="B122:H122"/>
    <mergeCell ref="B117:H117"/>
    <mergeCell ref="B118:H118"/>
    <mergeCell ref="A111:B111"/>
    <mergeCell ref="A10:D10"/>
    <mergeCell ref="E10:H10"/>
    <mergeCell ref="A22:D23"/>
    <mergeCell ref="E22:H23"/>
    <mergeCell ref="E14:H14"/>
    <mergeCell ref="A46:D46"/>
    <mergeCell ref="A47:H47"/>
    <mergeCell ref="D57:H57"/>
    <mergeCell ref="A57:C57"/>
    <mergeCell ref="G50:H50"/>
    <mergeCell ref="G53:H53"/>
    <mergeCell ref="F34:H34"/>
    <mergeCell ref="E42:H42"/>
    <mergeCell ref="A42:D42"/>
    <mergeCell ref="A49:B49"/>
    <mergeCell ref="C49:E49"/>
    <mergeCell ref="G49:H49"/>
    <mergeCell ref="G51:H51"/>
    <mergeCell ref="A50:B50"/>
    <mergeCell ref="A54:H54"/>
    <mergeCell ref="A55:C55"/>
    <mergeCell ref="A56:C56"/>
    <mergeCell ref="D56:H56"/>
    <mergeCell ref="A51:B51"/>
    <mergeCell ref="A1:H1"/>
    <mergeCell ref="A2:H2"/>
    <mergeCell ref="A3:D3"/>
    <mergeCell ref="E3:H3"/>
    <mergeCell ref="A4:D4"/>
    <mergeCell ref="A8:D8"/>
    <mergeCell ref="E8:H8"/>
    <mergeCell ref="A9:D9"/>
    <mergeCell ref="E9:H9"/>
    <mergeCell ref="E4:H4"/>
    <mergeCell ref="A5:D5"/>
    <mergeCell ref="E5:H5"/>
    <mergeCell ref="A6:D6"/>
    <mergeCell ref="E6:H6"/>
    <mergeCell ref="A7:D7"/>
    <mergeCell ref="E7:H7"/>
    <mergeCell ref="A12:D12"/>
    <mergeCell ref="E12:H12"/>
    <mergeCell ref="A11:D11"/>
    <mergeCell ref="E11:H11"/>
    <mergeCell ref="A16:B16"/>
    <mergeCell ref="A13:D13"/>
    <mergeCell ref="E13:H13"/>
    <mergeCell ref="A14:D14"/>
    <mergeCell ref="A24:D24"/>
    <mergeCell ref="E24:H24"/>
    <mergeCell ref="A18:B18"/>
    <mergeCell ref="C18:D18"/>
    <mergeCell ref="E18:F18"/>
    <mergeCell ref="G18:H18"/>
    <mergeCell ref="A19:B19"/>
    <mergeCell ref="C19:D19"/>
    <mergeCell ref="E19:F19"/>
    <mergeCell ref="G19:H19"/>
    <mergeCell ref="A20:B20"/>
    <mergeCell ref="C20:D20"/>
    <mergeCell ref="E20:F20"/>
    <mergeCell ref="G20:H20"/>
    <mergeCell ref="A21:B21"/>
    <mergeCell ref="C21:D21"/>
    <mergeCell ref="A28:D28"/>
    <mergeCell ref="E28:H28"/>
    <mergeCell ref="A25:D25"/>
    <mergeCell ref="E25:H25"/>
    <mergeCell ref="A29:D29"/>
    <mergeCell ref="E29:H29"/>
    <mergeCell ref="A26:D26"/>
    <mergeCell ref="A35:B35"/>
    <mergeCell ref="C35:E35"/>
    <mergeCell ref="A30:D30"/>
    <mergeCell ref="E30:H30"/>
    <mergeCell ref="A31:D31"/>
    <mergeCell ref="E31:H31"/>
    <mergeCell ref="A27:D27"/>
    <mergeCell ref="E27:H27"/>
    <mergeCell ref="C32:E32"/>
    <mergeCell ref="F35:H35"/>
    <mergeCell ref="F32:H32"/>
    <mergeCell ref="A33:B33"/>
    <mergeCell ref="A32:B32"/>
    <mergeCell ref="A34:B34"/>
    <mergeCell ref="A37:H37"/>
    <mergeCell ref="A36:B36"/>
    <mergeCell ref="C36:E36"/>
    <mergeCell ref="A41:D41"/>
    <mergeCell ref="E41:H41"/>
    <mergeCell ref="A40:H40"/>
    <mergeCell ref="A59:C59"/>
    <mergeCell ref="A60:C60"/>
    <mergeCell ref="D59:H59"/>
    <mergeCell ref="D60:H60"/>
    <mergeCell ref="A43:D43"/>
    <mergeCell ref="E43:H43"/>
    <mergeCell ref="E44:H44"/>
    <mergeCell ref="E45:H45"/>
    <mergeCell ref="E46:H46"/>
    <mergeCell ref="A44:D44"/>
    <mergeCell ref="F36:H36"/>
    <mergeCell ref="A52:B52"/>
    <mergeCell ref="C51:E51"/>
    <mergeCell ref="A58:C58"/>
    <mergeCell ref="D58:H58"/>
    <mergeCell ref="C50:E50"/>
    <mergeCell ref="A38:B38"/>
    <mergeCell ref="C38:H38"/>
    <mergeCell ref="A45:D45"/>
    <mergeCell ref="A77:B77"/>
    <mergeCell ref="C96:D96"/>
    <mergeCell ref="E96:F96"/>
    <mergeCell ref="G96:H96"/>
    <mergeCell ref="F87:H87"/>
    <mergeCell ref="A81:E81"/>
    <mergeCell ref="E70:F79"/>
    <mergeCell ref="G70:H79"/>
    <mergeCell ref="A78:B78"/>
    <mergeCell ref="A79:B79"/>
    <mergeCell ref="A63:C63"/>
    <mergeCell ref="A76:B76"/>
    <mergeCell ref="A69:B69"/>
    <mergeCell ref="A72:B72"/>
    <mergeCell ref="A68:B68"/>
    <mergeCell ref="A66:B66"/>
    <mergeCell ref="C66:H66"/>
    <mergeCell ref="A74:B74"/>
    <mergeCell ref="A61:C61"/>
    <mergeCell ref="D61:H61"/>
    <mergeCell ref="C68:H68"/>
    <mergeCell ref="C52:H52"/>
    <mergeCell ref="A85:E85"/>
    <mergeCell ref="A39:B39"/>
    <mergeCell ref="C39:H39"/>
    <mergeCell ref="B123:H123"/>
    <mergeCell ref="A48:B48"/>
    <mergeCell ref="C48:H48"/>
    <mergeCell ref="B121:H121"/>
    <mergeCell ref="F82:H82"/>
    <mergeCell ref="A82:E82"/>
    <mergeCell ref="A84:E84"/>
    <mergeCell ref="A104:B104"/>
    <mergeCell ref="A105:B105"/>
    <mergeCell ref="A83:E83"/>
    <mergeCell ref="A80:E80"/>
    <mergeCell ref="F84:H84"/>
    <mergeCell ref="G97:H97"/>
    <mergeCell ref="B119:H119"/>
    <mergeCell ref="B120:H120"/>
    <mergeCell ref="A116:H116"/>
    <mergeCell ref="A106:B106"/>
    <mergeCell ref="A113:B113"/>
    <mergeCell ref="A112:B112"/>
    <mergeCell ref="A91:E91"/>
    <mergeCell ref="E97:F97"/>
    <mergeCell ref="A101:H101"/>
    <mergeCell ref="L107:M107"/>
    <mergeCell ref="A108:B108"/>
    <mergeCell ref="L108:M108"/>
    <mergeCell ref="A115:B115"/>
    <mergeCell ref="C112:F112"/>
    <mergeCell ref="C115:F115"/>
    <mergeCell ref="G110:H115"/>
    <mergeCell ref="G103:H108"/>
    <mergeCell ref="L104:M104"/>
    <mergeCell ref="L105:M105"/>
    <mergeCell ref="L106:M106"/>
    <mergeCell ref="L103:M103"/>
    <mergeCell ref="I109:M109"/>
    <mergeCell ref="A71:B71"/>
    <mergeCell ref="A73:B73"/>
    <mergeCell ref="E69:F69"/>
    <mergeCell ref="A62:C62"/>
    <mergeCell ref="D62:H62"/>
    <mergeCell ref="A65:C65"/>
    <mergeCell ref="D65:H65"/>
    <mergeCell ref="D64:H64"/>
    <mergeCell ref="A107:B107"/>
  </mergeCells>
  <dataValidations count="10">
    <dataValidation type="list" allowBlank="1" showInputMessage="1" showErrorMessage="1" sqref="E4:H4">
      <formula1>"Axis Goregaon,Axis Thane,Axis Badlapur,Axis Sanpada, PNB Thane"</formula1>
    </dataValidation>
    <dataValidation type="list" allowBlank="1" showInputMessage="1" showErrorMessage="1" sqref="A16:B16">
      <formula1>"CTS No,Survey No,Plot No,Gut No,FP No,"</formula1>
    </dataValidation>
    <dataValidation type="list" allowBlank="1" showInputMessage="1" showErrorMessage="1" sqref="G19:H19">
      <formula1>$S$12:$W$12</formula1>
    </dataValidation>
    <dataValidation type="list" allowBlank="1" showInputMessage="1" showErrorMessage="1" sqref="G132:H132">
      <formula1>"Kunal Kadam,Shruti Tathare,Pranita Mhatre,Shruti Fule,Pooja Kawale,Mansee Mohite,Anjali Kamble, Hitakshi Mhatre, Sachin Sawant"</formula1>
    </dataValidation>
    <dataValidation type="list" allowBlank="1" showInputMessage="1" showErrorMessage="1" sqref="F80:H80">
      <formula1>"On Saleable Area,On Builtup Area,On Carpet Area,On Plot Area"</formula1>
    </dataValidation>
    <dataValidation type="list" allowBlank="1" showInputMessage="1" showErrorMessage="1" sqref="F92:H92">
      <formula1>"100000,150000,200000,250000,300000,350000,400000,500000,600000,700000,800000,900000,1000000,1200000,1400000,1500000"</formula1>
    </dataValidation>
    <dataValidation type="list" allowBlank="1" showInputMessage="1" showErrorMessage="1" sqref="F100">
      <formula1>"Saleable area Loading :,Builder Saleable area"</formula1>
    </dataValidation>
    <dataValidation type="list" allowBlank="1" showInputMessage="1" showErrorMessage="1" sqref="B100">
      <formula1>"Flat No. (Sale Plan),Sale / Rehab,Sale / Mhada"</formula1>
    </dataValidation>
    <dataValidation type="list" allowBlank="1" showInputMessage="1" showErrorMessage="1" sqref="C20:D20">
      <formula1>OFFSET($S$12,1,MATCH($G19,$S$12:$W$12,0)-1,15,1)</formula1>
    </dataValidation>
    <dataValidation type="list" allowBlank="1" showInputMessage="1" showErrorMessage="1" sqref="Y12">
      <formula1>$D$4:$H$4</formula1>
    </dataValidation>
  </dataValidations>
  <hyperlinks>
    <hyperlink ref="C39" r:id="rId1"/>
  </hyperlinks>
  <printOptions horizontalCentered="1"/>
  <pageMargins left="0.39370078740157483" right="0.39370078740157483" top="0.82677165354330717" bottom="0.78740157480314965" header="0.15748031496062992" footer="0.19685039370078741"/>
  <pageSetup paperSize="2" fitToHeight="0" orientation="portrait" r:id="rId2"/>
  <headerFooter>
    <oddHeader>&amp;C&amp;G</oddHeader>
    <oddFooter>&amp;L&amp;"Times New Roman,Bold"&amp;12Ref No: &amp;F&amp;C&amp;G&amp;R&amp;"Times New Roman,Bold"&amp;12&amp;P</oddFooter>
  </headerFooter>
  <rowBreaks count="4" manualBreakCount="4">
    <brk id="65" max="16383" man="1"/>
    <brk id="136" max="16383" man="1"/>
    <brk id="179" max="16383" man="1"/>
    <brk id="216" max="16383" man="1"/>
  </rowBreaks>
  <drawing r:id="rId3"/>
  <legacyDrawing r:id="rId4"/>
  <legacyDrawingHF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I16"/>
  <sheetViews>
    <sheetView topLeftCell="A4" zoomScale="85" zoomScaleNormal="85" workbookViewId="0">
      <selection activeCell="I21" sqref="I21"/>
    </sheetView>
  </sheetViews>
  <sheetFormatPr defaultColWidth="8.7109375" defaultRowHeight="15" x14ac:dyDescent="0.25"/>
  <cols>
    <col min="1" max="1" width="8.7109375" style="1"/>
    <col min="2" max="2" width="22.140625" style="1" customWidth="1"/>
    <col min="3" max="3" width="37" style="1" customWidth="1"/>
    <col min="4" max="5" width="11.42578125" style="1" customWidth="1"/>
    <col min="6" max="6" width="14" style="1" customWidth="1"/>
    <col min="7" max="7" width="20" style="1" customWidth="1"/>
    <col min="8" max="8" width="16.42578125" style="1" customWidth="1"/>
    <col min="9" max="16384" width="8.7109375" style="1"/>
  </cols>
  <sheetData>
    <row r="1" spans="1:9" ht="15" customHeight="1" x14ac:dyDescent="0.25"/>
    <row r="2" spans="1:9" ht="15" customHeight="1" x14ac:dyDescent="0.25">
      <c r="A2" s="2"/>
      <c r="B2" s="2"/>
      <c r="C2" s="2"/>
      <c r="D2" s="2"/>
      <c r="E2" s="2"/>
      <c r="F2" s="2"/>
      <c r="G2" s="2"/>
      <c r="H2" s="2"/>
    </row>
    <row r="3" spans="1:9" ht="15.75" customHeight="1" x14ac:dyDescent="0.25">
      <c r="A3" s="2"/>
      <c r="B3" s="195" t="s">
        <v>105</v>
      </c>
      <c r="C3" s="195"/>
      <c r="D3" s="195"/>
      <c r="E3" s="195"/>
      <c r="F3" s="195"/>
      <c r="G3" s="195"/>
      <c r="H3" s="195"/>
    </row>
    <row r="4" spans="1:9" x14ac:dyDescent="0.25">
      <c r="A4" s="2"/>
      <c r="B4" s="3" t="s">
        <v>106</v>
      </c>
      <c r="C4" s="3" t="s">
        <v>107</v>
      </c>
      <c r="D4" s="3" t="s">
        <v>68</v>
      </c>
      <c r="E4" s="3" t="s">
        <v>108</v>
      </c>
      <c r="F4" s="3" t="s">
        <v>114</v>
      </c>
      <c r="G4" s="3" t="s">
        <v>115</v>
      </c>
      <c r="H4" s="3" t="s">
        <v>109</v>
      </c>
    </row>
    <row r="5" spans="1:9" ht="15" customHeight="1" x14ac:dyDescent="0.25">
      <c r="A5" s="2"/>
      <c r="B5" s="5" t="s">
        <v>110</v>
      </c>
      <c r="C5" s="6"/>
      <c r="D5" s="5"/>
      <c r="E5" s="5"/>
      <c r="F5" s="7">
        <f>E5*1.6</f>
        <v>0</v>
      </c>
      <c r="G5" s="7" t="e">
        <f>H5/F5</f>
        <v>#DIV/0!</v>
      </c>
      <c r="H5" s="8"/>
    </row>
    <row r="6" spans="1:9" x14ac:dyDescent="0.25">
      <c r="A6" s="2"/>
      <c r="B6" s="5" t="s">
        <v>110</v>
      </c>
      <c r="C6" s="9"/>
      <c r="D6" s="5"/>
      <c r="E6" s="5"/>
      <c r="F6" s="7">
        <f t="shared" ref="F6:F11" si="0">E6*1.6</f>
        <v>0</v>
      </c>
      <c r="G6" s="7" t="e">
        <f t="shared" ref="G6:G11" si="1">H6/F6</f>
        <v>#DIV/0!</v>
      </c>
      <c r="H6" s="8"/>
    </row>
    <row r="7" spans="1:9" ht="15" customHeight="1" x14ac:dyDescent="0.25">
      <c r="A7" s="2"/>
      <c r="B7" s="5" t="s">
        <v>110</v>
      </c>
      <c r="C7" s="6"/>
      <c r="D7" s="5"/>
      <c r="E7" s="5"/>
      <c r="F7" s="7">
        <f t="shared" si="0"/>
        <v>0</v>
      </c>
      <c r="G7" s="7" t="e">
        <f t="shared" si="1"/>
        <v>#DIV/0!</v>
      </c>
      <c r="H7" s="8"/>
    </row>
    <row r="8" spans="1:9" x14ac:dyDescent="0.25">
      <c r="A8" s="2"/>
      <c r="B8" s="5" t="s">
        <v>110</v>
      </c>
      <c r="C8" s="9"/>
      <c r="D8" s="5"/>
      <c r="E8" s="5"/>
      <c r="F8" s="7">
        <f t="shared" si="0"/>
        <v>0</v>
      </c>
      <c r="G8" s="7" t="e">
        <f t="shared" si="1"/>
        <v>#DIV/0!</v>
      </c>
      <c r="H8" s="8"/>
    </row>
    <row r="9" spans="1:9" ht="15" customHeight="1" x14ac:dyDescent="0.25">
      <c r="A9" s="2"/>
      <c r="B9" s="5" t="s">
        <v>110</v>
      </c>
      <c r="C9" s="9"/>
      <c r="D9" s="5"/>
      <c r="E9" s="5"/>
      <c r="F9" s="7">
        <f t="shared" si="0"/>
        <v>0</v>
      </c>
      <c r="G9" s="7" t="e">
        <f t="shared" si="1"/>
        <v>#DIV/0!</v>
      </c>
      <c r="H9" s="8"/>
    </row>
    <row r="10" spans="1:9" ht="15" customHeight="1" x14ac:dyDescent="0.25">
      <c r="A10" s="2"/>
      <c r="B10" s="5" t="s">
        <v>111</v>
      </c>
      <c r="C10" s="6"/>
      <c r="D10" s="5"/>
      <c r="E10" s="5"/>
      <c r="F10" s="7">
        <f t="shared" si="0"/>
        <v>0</v>
      </c>
      <c r="G10" s="7" t="e">
        <f t="shared" si="1"/>
        <v>#DIV/0!</v>
      </c>
      <c r="H10" s="8"/>
    </row>
    <row r="11" spans="1:9" ht="15" customHeight="1" x14ac:dyDescent="0.25">
      <c r="A11" s="2"/>
      <c r="B11" s="5" t="s">
        <v>111</v>
      </c>
      <c r="C11" s="6"/>
      <c r="D11" s="5"/>
      <c r="E11" s="5"/>
      <c r="F11" s="7">
        <f t="shared" si="0"/>
        <v>0</v>
      </c>
      <c r="G11" s="7" t="e">
        <f t="shared" si="1"/>
        <v>#DIV/0!</v>
      </c>
      <c r="H11" s="8"/>
    </row>
    <row r="12" spans="1:9" ht="15" customHeight="1" x14ac:dyDescent="0.25">
      <c r="A12" s="2"/>
      <c r="B12" s="10" t="s">
        <v>112</v>
      </c>
      <c r="C12" s="5"/>
      <c r="D12" s="5"/>
      <c r="E12" s="5"/>
      <c r="F12" s="5"/>
      <c r="G12" s="11" t="e">
        <f>AVERAGE(G5:G11)</f>
        <v>#DIV/0!</v>
      </c>
      <c r="H12" s="5"/>
    </row>
    <row r="13" spans="1:9" ht="15" customHeight="1" x14ac:dyDescent="0.25">
      <c r="B13" s="10" t="s">
        <v>113</v>
      </c>
      <c r="C13" s="5"/>
      <c r="D13" s="5"/>
      <c r="E13" s="5"/>
      <c r="F13" s="12"/>
      <c r="G13" s="10"/>
      <c r="H13" s="10"/>
      <c r="I13" s="4"/>
    </row>
    <row r="14" spans="1:9" ht="15" customHeight="1" x14ac:dyDescent="0.25"/>
    <row r="15" spans="1:9" ht="15" customHeight="1" x14ac:dyDescent="0.25"/>
    <row r="16" spans="1:9" ht="15" customHeight="1" x14ac:dyDescent="0.25"/>
  </sheetData>
  <mergeCells count="1">
    <mergeCell ref="B3:H3"/>
  </mergeCells>
  <pageMargins left="0.7" right="0.7" top="0.75" bottom="0.75" header="0.3" footer="0.3"/>
  <pageSetup orientation="portrait" horizontalDpi="300" verticalDpi="3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B3:K30"/>
  <sheetViews>
    <sheetView topLeftCell="A16" zoomScale="130" zoomScaleNormal="130" workbookViewId="0">
      <selection activeCell="C30" sqref="C30"/>
    </sheetView>
  </sheetViews>
  <sheetFormatPr defaultRowHeight="15" x14ac:dyDescent="0.25"/>
  <cols>
    <col min="4" max="4" width="11" bestFit="1" customWidth="1"/>
    <col min="5" max="5" width="10.42578125" bestFit="1" customWidth="1"/>
    <col min="8" max="8" width="10.5703125" bestFit="1" customWidth="1"/>
  </cols>
  <sheetData>
    <row r="3" spans="2:11" x14ac:dyDescent="0.25">
      <c r="J3">
        <v>1</v>
      </c>
      <c r="K3">
        <v>2</v>
      </c>
    </row>
    <row r="4" spans="2:11" x14ac:dyDescent="0.25">
      <c r="B4" s="34"/>
      <c r="C4" s="34" t="s">
        <v>11</v>
      </c>
      <c r="D4" s="35" t="s">
        <v>170</v>
      </c>
      <c r="E4" s="35" t="s">
        <v>180</v>
      </c>
      <c r="F4" s="35" t="s">
        <v>166</v>
      </c>
      <c r="G4" s="35" t="s">
        <v>185</v>
      </c>
      <c r="H4" s="35" t="s">
        <v>203</v>
      </c>
      <c r="J4" t="s">
        <v>185</v>
      </c>
      <c r="K4" t="s">
        <v>201</v>
      </c>
    </row>
    <row r="5" spans="2:11" x14ac:dyDescent="0.25">
      <c r="B5" s="34"/>
      <c r="C5" s="34"/>
      <c r="D5" s="35" t="s">
        <v>171</v>
      </c>
      <c r="E5" s="35" t="s">
        <v>178</v>
      </c>
      <c r="F5" s="35" t="s">
        <v>200</v>
      </c>
      <c r="G5" s="35" t="s">
        <v>186</v>
      </c>
      <c r="H5" s="35" t="s">
        <v>204</v>
      </c>
    </row>
    <row r="6" spans="2:11" x14ac:dyDescent="0.25">
      <c r="B6" s="34"/>
      <c r="C6" s="34"/>
      <c r="D6" s="35" t="s">
        <v>172</v>
      </c>
      <c r="E6" s="35" t="s">
        <v>179</v>
      </c>
      <c r="F6" s="35" t="s">
        <v>201</v>
      </c>
      <c r="G6" s="35" t="s">
        <v>187</v>
      </c>
      <c r="H6" s="35" t="s">
        <v>217</v>
      </c>
    </row>
    <row r="7" spans="2:11" x14ac:dyDescent="0.25">
      <c r="B7" s="34"/>
      <c r="C7" s="34"/>
      <c r="D7" s="35" t="s">
        <v>173</v>
      </c>
      <c r="E7" s="35" t="s">
        <v>181</v>
      </c>
      <c r="F7" s="35" t="s">
        <v>202</v>
      </c>
      <c r="G7" s="35" t="s">
        <v>188</v>
      </c>
      <c r="H7" s="35" t="s">
        <v>205</v>
      </c>
    </row>
    <row r="8" spans="2:11" x14ac:dyDescent="0.25">
      <c r="B8" s="34"/>
      <c r="C8" s="34"/>
      <c r="D8" s="35" t="s">
        <v>174</v>
      </c>
      <c r="E8" s="35" t="s">
        <v>182</v>
      </c>
      <c r="F8" s="35"/>
      <c r="G8" s="35" t="s">
        <v>189</v>
      </c>
      <c r="H8" s="35" t="s">
        <v>206</v>
      </c>
    </row>
    <row r="9" spans="2:11" x14ac:dyDescent="0.25">
      <c r="B9" s="34"/>
      <c r="C9" s="34"/>
      <c r="D9" s="35" t="s">
        <v>175</v>
      </c>
      <c r="E9" s="35" t="s">
        <v>180</v>
      </c>
      <c r="F9" s="35"/>
      <c r="G9" s="35" t="s">
        <v>190</v>
      </c>
      <c r="H9" s="35" t="s">
        <v>207</v>
      </c>
    </row>
    <row r="10" spans="2:11" x14ac:dyDescent="0.25">
      <c r="B10" s="34"/>
      <c r="C10" s="34"/>
      <c r="D10" s="35" t="s">
        <v>176</v>
      </c>
      <c r="E10" s="35" t="s">
        <v>183</v>
      </c>
      <c r="F10" s="35"/>
      <c r="G10" s="35" t="s">
        <v>191</v>
      </c>
      <c r="H10" s="35" t="s">
        <v>208</v>
      </c>
    </row>
    <row r="11" spans="2:11" x14ac:dyDescent="0.25">
      <c r="B11" s="34"/>
      <c r="C11" s="34"/>
      <c r="D11" s="35" t="s">
        <v>177</v>
      </c>
      <c r="E11" s="35" t="s">
        <v>184</v>
      </c>
      <c r="F11" s="35"/>
      <c r="G11" s="35" t="s">
        <v>192</v>
      </c>
      <c r="H11" s="35" t="s">
        <v>209</v>
      </c>
    </row>
    <row r="12" spans="2:11" x14ac:dyDescent="0.25">
      <c r="B12" s="34"/>
      <c r="C12" s="34"/>
      <c r="D12" s="35"/>
      <c r="E12" s="35"/>
      <c r="F12" s="35"/>
      <c r="G12" s="35" t="s">
        <v>193</v>
      </c>
      <c r="H12" s="35" t="s">
        <v>210</v>
      </c>
    </row>
    <row r="13" spans="2:11" x14ac:dyDescent="0.25">
      <c r="B13" s="34"/>
      <c r="C13" s="34"/>
      <c r="D13" s="35"/>
      <c r="E13" s="35"/>
      <c r="F13" s="35"/>
      <c r="G13" s="35" t="s">
        <v>194</v>
      </c>
      <c r="H13" s="35" t="s">
        <v>211</v>
      </c>
    </row>
    <row r="14" spans="2:11" x14ac:dyDescent="0.25">
      <c r="B14" s="34"/>
      <c r="C14" s="34"/>
      <c r="D14" s="35"/>
      <c r="E14" s="35"/>
      <c r="F14" s="35"/>
      <c r="G14" s="35" t="s">
        <v>195</v>
      </c>
      <c r="H14" s="35" t="s">
        <v>212</v>
      </c>
    </row>
    <row r="15" spans="2:11" x14ac:dyDescent="0.25">
      <c r="B15" s="34"/>
      <c r="C15" s="34"/>
      <c r="D15" s="35"/>
      <c r="E15" s="35"/>
      <c r="F15" s="35"/>
      <c r="G15" s="35" t="s">
        <v>196</v>
      </c>
      <c r="H15" s="35" t="s">
        <v>213</v>
      </c>
    </row>
    <row r="16" spans="2:11" x14ac:dyDescent="0.25">
      <c r="B16" s="34"/>
      <c r="C16" s="34"/>
      <c r="D16" s="35"/>
      <c r="E16" s="35"/>
      <c r="F16" s="35"/>
      <c r="G16" s="35" t="s">
        <v>197</v>
      </c>
      <c r="H16" s="35" t="s">
        <v>214</v>
      </c>
    </row>
    <row r="17" spans="2:8" x14ac:dyDescent="0.25">
      <c r="B17" s="34"/>
      <c r="C17" s="34"/>
      <c r="D17" s="35"/>
      <c r="E17" s="35"/>
      <c r="F17" s="35"/>
      <c r="G17" s="35" t="s">
        <v>198</v>
      </c>
      <c r="H17" s="35" t="s">
        <v>215</v>
      </c>
    </row>
    <row r="18" spans="2:8" x14ac:dyDescent="0.25">
      <c r="B18" s="34"/>
      <c r="C18" s="34"/>
      <c r="D18" s="35"/>
      <c r="E18" s="35"/>
      <c r="F18" s="35"/>
      <c r="G18" s="35" t="s">
        <v>199</v>
      </c>
      <c r="H18" s="35" t="s">
        <v>216</v>
      </c>
    </row>
    <row r="24" spans="2:8" x14ac:dyDescent="0.25">
      <c r="C24" t="s">
        <v>164</v>
      </c>
    </row>
    <row r="25" spans="2:8" x14ac:dyDescent="0.25">
      <c r="C25" t="s">
        <v>218</v>
      </c>
    </row>
    <row r="26" spans="2:8" x14ac:dyDescent="0.25">
      <c r="C26" t="s">
        <v>219</v>
      </c>
    </row>
    <row r="27" spans="2:8" x14ac:dyDescent="0.25">
      <c r="C27" t="s">
        <v>220</v>
      </c>
    </row>
    <row r="28" spans="2:8" x14ac:dyDescent="0.25">
      <c r="C28" t="s">
        <v>221</v>
      </c>
    </row>
    <row r="29" spans="2:8" x14ac:dyDescent="0.25">
      <c r="C29" t="s">
        <v>222</v>
      </c>
    </row>
    <row r="30" spans="2:8" x14ac:dyDescent="0.25">
      <c r="C30" t="s">
        <v>164</v>
      </c>
    </row>
  </sheetData>
  <dataValidations count="2">
    <dataValidation type="list" allowBlank="1" showInputMessage="1" showErrorMessage="1" sqref="J4">
      <formula1>$D$4:$H$4</formula1>
    </dataValidation>
    <dataValidation type="list" allowBlank="1" showInputMessage="1" showErrorMessage="1" sqref="K4">
      <formula1>OFFSET($D$4,1,MATCH($J4,$D$4:$H$4,0)-1,15,1)</formula1>
    </dataValidation>
  </dataValidation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Report</vt:lpstr>
      <vt:lpstr>valuation</vt:lpstr>
      <vt:lpstr>Research</vt:lpstr>
      <vt:lpstr>Report!Print_Area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Welcome</cp:lastModifiedBy>
  <cp:lastPrinted>2025-06-11T05:43:22Z</cp:lastPrinted>
  <dcterms:created xsi:type="dcterms:W3CDTF">2019-07-16T09:29:46Z</dcterms:created>
  <dcterms:modified xsi:type="dcterms:W3CDTF">2025-09-10T08:48:52Z</dcterms:modified>
</cp:coreProperties>
</file>