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Report!$A$1:$H$315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1" l="1"/>
  <c r="K83" i="1"/>
  <c r="K82" i="1"/>
  <c r="K81" i="1"/>
  <c r="H74" i="1"/>
  <c r="K79" i="1" l="1"/>
  <c r="K80" i="1" s="1"/>
  <c r="K85" i="1" s="1"/>
  <c r="K86" i="1" s="1"/>
  <c r="C78" i="1" s="1"/>
  <c r="D78" i="1" s="1"/>
  <c r="D83" i="1"/>
  <c r="D79" i="1"/>
  <c r="K78" i="1"/>
  <c r="C77" i="1" s="1"/>
  <c r="D77" i="1" s="1"/>
  <c r="K76" i="1"/>
  <c r="D86" i="1"/>
  <c r="D82" i="1"/>
  <c r="D85" i="1"/>
  <c r="D81" i="1"/>
  <c r="K77" i="1"/>
  <c r="D84" i="1"/>
  <c r="D80" i="1"/>
  <c r="E3" i="1"/>
  <c r="I73" i="1" l="1"/>
  <c r="C75" i="1" s="1"/>
  <c r="E77" i="1" s="1"/>
  <c r="G77" i="1"/>
  <c r="K139" i="1"/>
  <c r="K144" i="1"/>
  <c r="K145" i="1"/>
  <c r="K151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46" i="1"/>
  <c r="I149" i="1"/>
  <c r="I148" i="1"/>
  <c r="I159" i="1"/>
  <c r="G109" i="1"/>
  <c r="G104" i="1"/>
  <c r="D150" i="1"/>
  <c r="D148" i="1"/>
  <c r="K150" i="1" l="1"/>
  <c r="L150" i="1"/>
  <c r="K148" i="1"/>
  <c r="L148" i="1"/>
  <c r="D159" i="1"/>
  <c r="K159" i="1" s="1"/>
  <c r="D158" i="1"/>
  <c r="K158" i="1" s="1"/>
  <c r="D157" i="1"/>
  <c r="K157" i="1" s="1"/>
  <c r="D156" i="1"/>
  <c r="K156" i="1" s="1"/>
  <c r="D155" i="1"/>
  <c r="K155" i="1" s="1"/>
  <c r="D154" i="1"/>
  <c r="K154" i="1" s="1"/>
  <c r="D153" i="1"/>
  <c r="K153" i="1" s="1"/>
  <c r="D152" i="1"/>
  <c r="K152" i="1" s="1"/>
  <c r="D149" i="1"/>
  <c r="D147" i="1"/>
  <c r="D146" i="1"/>
  <c r="L146" i="1" s="1"/>
  <c r="G152" i="1"/>
  <c r="G153" i="1" s="1"/>
  <c r="G154" i="1" s="1"/>
  <c r="G155" i="1" s="1"/>
  <c r="G156" i="1" s="1"/>
  <c r="G157" i="1" s="1"/>
  <c r="G158" i="1" s="1"/>
  <c r="G159" i="1" s="1"/>
  <c r="A147" i="1"/>
  <c r="A148" i="1" s="1"/>
  <c r="A149" i="1" s="1"/>
  <c r="A150" i="1" s="1"/>
  <c r="G146" i="1"/>
  <c r="G147" i="1" s="1"/>
  <c r="G148" i="1" s="1"/>
  <c r="G149" i="1" s="1"/>
  <c r="G150" i="1" s="1"/>
  <c r="D131" i="1"/>
  <c r="D130" i="1"/>
  <c r="D129" i="1"/>
  <c r="D128" i="1"/>
  <c r="D127" i="1"/>
  <c r="D126" i="1"/>
  <c r="D125" i="1"/>
  <c r="A126" i="1"/>
  <c r="A127" i="1" s="1"/>
  <c r="A128" i="1" s="1"/>
  <c r="A129" i="1" s="1"/>
  <c r="A130" i="1" s="1"/>
  <c r="A131" i="1" s="1"/>
  <c r="G125" i="1"/>
  <c r="G126" i="1" s="1"/>
  <c r="G127" i="1" s="1"/>
  <c r="G128" i="1" s="1"/>
  <c r="G129" i="1" s="1"/>
  <c r="G130" i="1" s="1"/>
  <c r="G131" i="1" s="1"/>
  <c r="D141" i="1"/>
  <c r="D142" i="1"/>
  <c r="D143" i="1"/>
  <c r="D140" i="1"/>
  <c r="D138" i="1"/>
  <c r="D137" i="1"/>
  <c r="A138" i="1"/>
  <c r="G137" i="1"/>
  <c r="G138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G46" i="1"/>
  <c r="G47" i="1" s="1"/>
  <c r="P152" i="1"/>
  <c r="O152" i="1"/>
  <c r="K147" i="1" l="1"/>
  <c r="L147" i="1"/>
  <c r="K149" i="1"/>
  <c r="L149" i="1"/>
  <c r="E104" i="1"/>
  <c r="F141" i="1"/>
  <c r="K141" i="1"/>
  <c r="E109" i="1"/>
  <c r="C109" i="1"/>
  <c r="K146" i="1"/>
  <c r="F137" i="1"/>
  <c r="E108" i="1"/>
  <c r="C108" i="1"/>
  <c r="K137" i="1"/>
  <c r="K138" i="1"/>
  <c r="F138" i="1"/>
  <c r="I138" i="1" s="1"/>
  <c r="K140" i="1"/>
  <c r="F140" i="1"/>
  <c r="K143" i="1"/>
  <c r="F143" i="1"/>
  <c r="F117" i="1"/>
  <c r="G103" i="1" s="1"/>
  <c r="G105" i="1" s="1"/>
  <c r="E103" i="1"/>
  <c r="E105" i="1" s="1"/>
  <c r="F142" i="1"/>
  <c r="K142" i="1"/>
  <c r="C103" i="1"/>
  <c r="C104" i="1"/>
  <c r="P153" i="1"/>
  <c r="P154" i="1" s="1"/>
  <c r="P155" i="1" s="1"/>
  <c r="P156" i="1" s="1"/>
  <c r="P157" i="1" s="1"/>
  <c r="P158" i="1" s="1"/>
  <c r="P159" i="1" s="1"/>
  <c r="O153" i="1"/>
  <c r="N152" i="1"/>
  <c r="A152" i="1" s="1"/>
  <c r="A162" i="1"/>
  <c r="A163" i="1" s="1"/>
  <c r="A164" i="1" s="1"/>
  <c r="A165" i="1" s="1"/>
  <c r="A166" i="1" s="1"/>
  <c r="A167" i="1" s="1"/>
  <c r="A168" i="1" s="1"/>
  <c r="I140" i="1" l="1"/>
  <c r="J140" i="1"/>
  <c r="C105" i="1"/>
  <c r="G108" i="1"/>
  <c r="C110" i="1"/>
  <c r="E110" i="1"/>
  <c r="J106" i="1" s="1"/>
  <c r="O154" i="1"/>
  <c r="N153" i="1"/>
  <c r="A153" i="1" s="1"/>
  <c r="O140" i="1"/>
  <c r="P140" i="1"/>
  <c r="O155" i="1" l="1"/>
  <c r="N154" i="1"/>
  <c r="A154" i="1" s="1"/>
  <c r="N140" i="1"/>
  <c r="H60" i="1"/>
  <c r="N155" i="1" l="1"/>
  <c r="A155" i="1" s="1"/>
  <c r="O156" i="1"/>
  <c r="D65" i="1"/>
  <c r="D72" i="1"/>
  <c r="D68" i="1"/>
  <c r="K64" i="1"/>
  <c r="C63" i="1" s="1"/>
  <c r="D71" i="1"/>
  <c r="D67" i="1"/>
  <c r="K63" i="1"/>
  <c r="D70" i="1"/>
  <c r="D66" i="1"/>
  <c r="K62" i="1"/>
  <c r="K65" i="1"/>
  <c r="K66" i="1" s="1"/>
  <c r="D69" i="1"/>
  <c r="O157" i="1" l="1"/>
  <c r="N156" i="1"/>
  <c r="A156" i="1" s="1"/>
  <c r="D63" i="1"/>
  <c r="K67" i="1"/>
  <c r="K68" i="1" s="1"/>
  <c r="K69" i="1" s="1"/>
  <c r="K70" i="1" s="1"/>
  <c r="O158" i="1" l="1"/>
  <c r="N157" i="1"/>
  <c r="A157" i="1" s="1"/>
  <c r="K71" i="1"/>
  <c r="E12" i="7"/>
  <c r="C12" i="7"/>
  <c r="E27" i="7"/>
  <c r="C27" i="7"/>
  <c r="N158" i="1" l="1"/>
  <c r="A158" i="1" s="1"/>
  <c r="O159" i="1"/>
  <c r="N159" i="1" s="1"/>
  <c r="A159" i="1" s="1"/>
  <c r="K72" i="1"/>
  <c r="F10" i="7"/>
  <c r="F8" i="7"/>
  <c r="F7" i="7"/>
  <c r="F5" i="7"/>
  <c r="F9" i="7" s="1"/>
  <c r="C64" i="1" l="1"/>
  <c r="G63" i="1" s="1"/>
  <c r="F11" i="7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D58" i="1" l="1"/>
  <c r="F87" i="1"/>
  <c r="D64" i="1"/>
  <c r="I59" i="1"/>
  <c r="C61" i="1" s="1"/>
  <c r="E63" i="1" s="1"/>
  <c r="H40" i="7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H26" i="7"/>
  <c r="B21" i="7" l="1"/>
  <c r="D21" i="7"/>
  <c r="D22" i="7" s="1"/>
  <c r="D23" i="7" s="1"/>
  <c r="B22" i="7"/>
  <c r="B23" i="7"/>
  <c r="H41" i="7"/>
  <c r="H44" i="7" s="1"/>
  <c r="B38" i="7"/>
  <c r="B39" i="7" s="1"/>
  <c r="B40" i="7" s="1"/>
  <c r="B41" i="7" s="1"/>
  <c r="B42" i="7" s="1"/>
  <c r="I44" i="7"/>
  <c r="H12" i="7"/>
  <c r="H24" i="7"/>
  <c r="I24" i="7"/>
  <c r="I27" i="7" s="1"/>
  <c r="D24" i="7" l="1"/>
  <c r="D25" i="7" s="1"/>
  <c r="B24" i="7"/>
  <c r="B25" i="7" s="1"/>
  <c r="H27" i="7"/>
  <c r="C13" i="1" l="1"/>
  <c r="E40" i="1" l="1"/>
  <c r="E41" i="1" s="1"/>
  <c r="G117" i="1" l="1"/>
  <c r="G118" i="1" s="1"/>
  <c r="G119" i="1" s="1"/>
  <c r="G120" i="1" s="1"/>
  <c r="G121" i="1" s="1"/>
  <c r="G122" i="1" s="1"/>
  <c r="A118" i="1"/>
  <c r="A119" i="1" s="1"/>
  <c r="A120" i="1" s="1"/>
  <c r="A121" i="1" s="1"/>
  <c r="A122" i="1" s="1"/>
  <c r="D56" i="1" l="1"/>
  <c r="G110" i="1"/>
  <c r="G140" i="1"/>
  <c r="G141" i="1" s="1"/>
  <c r="G142" i="1" s="1"/>
  <c r="G143" i="1" s="1"/>
  <c r="O141" i="1" l="1"/>
  <c r="E24" i="1"/>
  <c r="E22" i="1"/>
  <c r="A140" i="1" l="1"/>
  <c r="P141" i="1"/>
  <c r="P142" i="1" s="1"/>
  <c r="P143" i="1" s="1"/>
  <c r="O142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41" i="1" l="1"/>
  <c r="A141" i="1" s="1"/>
  <c r="N142" i="1"/>
  <c r="A142" i="1" s="1"/>
  <c r="O143" i="1"/>
  <c r="N143" i="1" s="1"/>
  <c r="G12" i="5"/>
  <c r="A143" i="1" l="1"/>
  <c r="E7" i="1" l="1"/>
  <c r="D186" i="1" l="1"/>
  <c r="F100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>
      <text>
        <r>
          <rPr>
            <sz val="10"/>
            <rFont val="Arial"/>
            <family val="2"/>
          </rPr>
          <t>No of habitable floors</t>
        </r>
      </text>
    </comment>
    <comment ref="F6" authorId="0">
      <text>
        <r>
          <rPr>
            <sz val="10"/>
            <rFont val="Arial"/>
            <family val="2"/>
          </rPr>
          <t>No of RCC slabs including podiums</t>
        </r>
      </text>
    </comment>
    <comment ref="G6" authorId="0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>
      <text>
        <r>
          <rPr>
            <sz val="10"/>
            <rFont val="Arial"/>
            <family val="2"/>
          </rPr>
          <t>No of habitable floors</t>
        </r>
      </text>
    </comment>
    <comment ref="F19" authorId="0">
      <text>
        <r>
          <rPr>
            <sz val="10"/>
            <rFont val="Arial"/>
            <family val="2"/>
          </rPr>
          <t>No of RCC slabs including podiums</t>
        </r>
      </text>
    </comment>
    <comment ref="G19" authorId="0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>
      <text>
        <r>
          <rPr>
            <sz val="10"/>
            <rFont val="Arial"/>
            <family val="2"/>
          </rPr>
          <t>No of habitable floors</t>
        </r>
      </text>
    </comment>
    <comment ref="F36" authorId="0">
      <text>
        <r>
          <rPr>
            <sz val="10"/>
            <rFont val="Arial"/>
            <family val="2"/>
          </rPr>
          <t>No of RCC slabs including podiums</t>
        </r>
      </text>
    </comment>
    <comment ref="G36" authorId="0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<sst xmlns="http://schemas.openxmlformats.org/spreadsheetml/2006/main" count="442" uniqueCount="259">
  <si>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</si>
  <si>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</si>
  <si>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</si>
  <si>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</si>
  <si>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</si>
  <si>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</si>
  <si>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</si>
  <si>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</si>
  <si>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</si>
  <si>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</si>
  <si>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</si>
  <si>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</si>
  <si>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</si>
  <si>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</si>
  <si>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</si>
  <si>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</si>
  <si>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</si>
  <si>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</si>
  <si>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</si>
  <si>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</si>
  <si>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</si>
  <si>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</si>
  <si>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</si>
  <si>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</si>
  <si>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</si>
  <si>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</si>
  <si>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</si>
  <si>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</si>
  <si>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</si>
  <si>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</si>
  <si>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</si>
  <si>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</si>
  <si>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</si>
  <si>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</si>
  <si>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</si>
  <si>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</si>
  <si>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</si>
  <si>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</si>
  <si>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</si>
  <si>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</si>
  <si>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</si>
  <si>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</si>
  <si>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</si>
  <si>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</si>
  <si>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</si>
  <si>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</si>
  <si>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</si>
  <si>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</si>
  <si>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</si>
  <si>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</si>
  <si>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</si>
  <si>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</si>
  <si>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</si>
  <si>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</si>
  <si>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</si>
  <si>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</si>
  <si>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</si>
  <si>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</si>
  <si>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</si>
  <si>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</si>
  <si>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</si>
  <si>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</si>
  <si>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</si>
  <si>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</si>
  <si>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</si>
  <si>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</si>
  <si>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</si>
  <si>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</si>
  <si>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</si>
  <si>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</si>
  <si>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</si>
  <si>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</si>
  <si>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</si>
  <si>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</si>
  <si>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</si>
  <si>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</si>
  <si>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</si>
  <si>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</si>
  <si>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</si>
  <si>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</si>
  <si>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</si>
  <si>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</si>
  <si>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</si>
  <si>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</si>
  <si>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</si>
  <si>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</si>
  <si>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</si>
  <si>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</si>
  <si>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</si>
  <si>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</si>
  <si>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</si>
  <si>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</si>
  <si>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</si>
  <si>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</si>
  <si>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</si>
  <si>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</si>
  <si>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</si>
  <si>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</si>
  <si>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</si>
  <si>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</si>
  <si>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</si>
  <si>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</si>
  <si>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</si>
  <si>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</si>
  <si>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</si>
  <si>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</si>
  <si>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</si>
  <si>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</si>
  <si>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</si>
  <si>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</si>
  <si>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</si>
  <si>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</si>
  <si>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</si>
  <si>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</si>
  <si>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</si>
  <si>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</si>
  <si>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</si>
  <si>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</si>
  <si>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</si>
  <si>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</si>
  <si>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</si>
  <si>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</si>
  <si>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</si>
  <si>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</si>
  <si>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</si>
  <si>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</si>
  <si>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</si>
  <si>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</si>
  <si>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</si>
  <si>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</si>
  <si>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</si>
  <si>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</si>
  <si>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</si>
  <si>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</si>
  <si>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</si>
  <si>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</si>
  <si>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</si>
  <si>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</si>
  <si>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</si>
  <si>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</si>
  <si>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</si>
  <si>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</si>
  <si>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</si>
  <si>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</si>
  <si>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</si>
  <si>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</si>
  <si>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</si>
  <si>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</si>
  <si>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</si>
  <si>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</si>
  <si>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</si>
  <si>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</si>
  <si>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</si>
  <si>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</si>
  <si>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</si>
  <si>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</si>
  <si>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</si>
  <si>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</si>
  <si>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</si>
  <si>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</si>
  <si>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</si>
  <si>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</si>
  <si>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</si>
  <si>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</si>
  <si>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</si>
  <si>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</si>
  <si>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</si>
  <si>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</si>
  <si>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</si>
  <si>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</si>
  <si>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</si>
  <si>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</si>
  <si>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</si>
  <si>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</si>
  <si>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</si>
  <si>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</si>
  <si>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</si>
  <si>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</si>
  <si>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</si>
  <si>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</si>
  <si>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</si>
  <si>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</si>
  <si>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</si>
  <si>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</si>
  <si>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</si>
  <si>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</si>
  <si>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</si>
  <si>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</si>
  <si>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</si>
  <si>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</si>
  <si>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</si>
  <si>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</si>
  <si>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</si>
  <si>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</si>
  <si>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</si>
  <si>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</si>
  <si>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</si>
  <si>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</si>
  <si>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</si>
  <si>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</si>
  <si>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</si>
  <si>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Building Common Amenities &amp; Painting</t>
  </si>
  <si>
    <t>Basement 4</t>
  </si>
  <si>
    <t>Axis Goregaon</t>
  </si>
  <si>
    <t>M/s.Prabha Realty</t>
  </si>
  <si>
    <t>Shree Balaji Avenue</t>
  </si>
  <si>
    <t xml:space="preserve">P99000029810
</t>
  </si>
  <si>
    <t>Tatat Housing Road</t>
  </si>
  <si>
    <t>Building</t>
  </si>
  <si>
    <t xml:space="preserve">Sector I - Building No.7 </t>
  </si>
  <si>
    <t>Betegaon</t>
  </si>
  <si>
    <t>Palghar</t>
  </si>
  <si>
    <t>Gut No</t>
  </si>
  <si>
    <t>Jupiter Complex</t>
  </si>
  <si>
    <t>4.9KM from Boisar Railway Station</t>
  </si>
  <si>
    <t>G.No.PJP/G.P/PDKRN/405</t>
  </si>
  <si>
    <t>Shop</t>
  </si>
  <si>
    <t>1BHK</t>
  </si>
  <si>
    <t>1RK</t>
  </si>
  <si>
    <t>2BHK</t>
  </si>
  <si>
    <t>A Wing</t>
  </si>
  <si>
    <t>B Wing</t>
  </si>
  <si>
    <t>Flats - 54, Shops - 13</t>
  </si>
  <si>
    <t>Approved Plans, CC, Sale Plans</t>
  </si>
  <si>
    <t>On Site, we meet Mr.Raj Yadav(9307185625).</t>
  </si>
  <si>
    <t>108, 111, 112, 113, 115, 116, 118</t>
  </si>
  <si>
    <t>Recommended rate of the Shop Per Sq. Ft. ( on Saleable area)</t>
  </si>
  <si>
    <t>A &amp; B Wing = Gr + 1st to 4th Floor</t>
  </si>
  <si>
    <t>Recommended rate should be considered as all inclusive rate if other charges are not mentioned. (Excluding GST &amp; other government Taxes).</t>
  </si>
  <si>
    <t>Ground Floor for Commercial</t>
  </si>
  <si>
    <t xml:space="preserve">Builder Saleable Area
</t>
  </si>
  <si>
    <t>Ground Floor for Residential</t>
  </si>
  <si>
    <t>1st to 4th Floor for Residential</t>
  </si>
  <si>
    <t>CF</t>
  </si>
  <si>
    <t>Society, Development &amp; Other Charges</t>
  </si>
  <si>
    <t>2 Wings</t>
  </si>
  <si>
    <t>We considered  Saleable area as per builder area sheet.</t>
  </si>
  <si>
    <t>Location Link</t>
  </si>
  <si>
    <t>https://goo.gl/maps/1Aq69xkNRcLWmouL8?coh=178572&amp;entry=tt</t>
  </si>
  <si>
    <t>Office No. 1031, Wing J, Akshar Business Park, Plot No. 03 Sector 25, Near APMC Market, 
Vashi, Navi Mumbai, Maharashtra 400703 TEL: 022-46090378/79/8
E mail : vsjcapf@gmail.com. Web site : www.vsjadon.com</t>
  </si>
  <si>
    <t>rate 3800 to 3500  &amp; Other Charges 2.65L to 2L by Sachin 17/08/2023</t>
  </si>
  <si>
    <t>B Wing = Gr + 1st to 4th Floor</t>
  </si>
  <si>
    <t>A Wing = Gr + 1st to 4th Floor</t>
  </si>
  <si>
    <t>As per RERA, completion period of project Shree Balaji Avenue is expired on 30/06/2024 but still project is under construction.</t>
  </si>
  <si>
    <t>As per RERA - 30/06/2025</t>
  </si>
  <si>
    <t>Notice :</t>
  </si>
  <si>
    <t>As per observation and market feedback some flats have became NPA. Please check from your end before any disbursement.</t>
  </si>
  <si>
    <t>Since the project has received first CC on 26/06/2018, but still project is under construction.</t>
  </si>
  <si>
    <t>Sector I - Building No.7 
A Wing (Type B7A)
B Wing (Type C8)</t>
  </si>
  <si>
    <t>Valid Up to:  Sector I - Building No.7 
A Wing (Type B7A) = G + 4th Floor
B Wing (Type C8) = G + 4th Floor</t>
  </si>
  <si>
    <t>A Wing (Type B7A)</t>
  </si>
  <si>
    <t>B Wing (Type C8)</t>
  </si>
  <si>
    <t>Few notices were attached on Wing B Flat No. 404.
Since photographs of notices were not permitted, we were unable to take clear photos of notices. Notices are attached below.</t>
  </si>
  <si>
    <t>Shruti Tathare</t>
  </si>
  <si>
    <t>Yadnyesh Patil</t>
  </si>
  <si>
    <t xml:space="preserve">but Construction work is the same as last visit (dtd.14/12/2024).
</t>
  </si>
  <si>
    <t>Some flats are occupied by tenants but Lift work &amp; finishing work is pending.</t>
  </si>
  <si>
    <t>As per RERA, completion period of project Shree Balaji Avenue is expired on 30/06/2025 but still project is under construction.</t>
  </si>
  <si>
    <t>As checked on RERA portal on date 10/09/2025, we have observed that above project "Shree Balaji Avenue" is kept under abeyance. Please check from your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</si>
</sst>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24" fillId="3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 applyProtection="1">
      <alignment horizontal="center" vertical="center" wrapText="1"/>
      <protection locked="0"/>
    </xf>
    <xf numFmtId="165" fontId="24" fillId="4" borderId="23" xfId="0" applyNumberFormat="1" applyFont="1" applyFill="1" applyBorder="1" applyAlignment="1">
      <alignment horizontal="center" vertical="center" wrapText="1"/>
    </xf>
    <xf numFmtId="0" fontId="24" fillId="5" borderId="23" xfId="0" applyFont="1" applyFill="1" applyBorder="1" applyAlignment="1" applyProtection="1">
      <alignment horizontal="center" vertical="center" wrapText="1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0" fontId="2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1" fontId="24" fillId="7" borderId="23" xfId="0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1" fontId="24" fillId="4" borderId="23" xfId="0" applyNumberFormat="1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left" vertical="top" wrapText="1"/>
    </xf>
    <xf numFmtId="0" fontId="24" fillId="4" borderId="23" xfId="0" applyFont="1" applyFill="1" applyBorder="1" applyAlignment="1">
      <alignment horizontal="center" vertical="top" wrapText="1"/>
    </xf>
    <xf numFmtId="0" fontId="24" fillId="4" borderId="23" xfId="0" applyFont="1" applyFill="1" applyBorder="1" applyAlignment="1" applyProtection="1">
      <alignment horizontal="center" vertical="top" wrapText="1"/>
      <protection locked="0"/>
    </xf>
    <xf numFmtId="165" fontId="24" fillId="4" borderId="23" xfId="0" applyNumberFormat="1" applyFont="1" applyFill="1" applyBorder="1" applyAlignment="1">
      <alignment horizontal="center" vertical="top" wrapText="1"/>
    </xf>
    <xf numFmtId="0" fontId="25" fillId="3" borderId="23" xfId="0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5" xfId="1" applyFont="1" applyFill="1" applyBorder="1" applyAlignment="1" applyProtection="1">
      <alignment horizontal="center" vertical="top"/>
      <protection locked="0"/>
    </xf>
    <xf numFmtId="0" fontId="17" fillId="0" borderId="14" xfId="0" applyFont="1" applyFill="1" applyBorder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0" xfId="1" applyFont="1" applyFill="1" applyBorder="1"/>
    <xf numFmtId="0" fontId="7" fillId="0" borderId="13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7" fillId="0" borderId="0" xfId="0" applyNumberFormat="1" applyFont="1" applyFill="1" applyBorder="1" applyProtection="1">
      <protection hidden="1"/>
    </xf>
    <xf numFmtId="0" fontId="17" fillId="0" borderId="13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0" xfId="0" applyNumberFormat="1" applyFill="1" applyBorder="1"/>
    <xf numFmtId="165" fontId="0" fillId="0" borderId="0" xfId="0" applyNumberFormat="1" applyFill="1" applyBorder="1"/>
    <xf numFmtId="1" fontId="0" fillId="0" borderId="13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13" xfId="0" applyFill="1" applyBorder="1"/>
    <xf numFmtId="0" fontId="12" fillId="0" borderId="7" xfId="1" applyFont="1" applyFill="1" applyBorder="1" applyAlignment="1" applyProtection="1">
      <alignment horizontal="center" wrapText="1"/>
      <protection locked="0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7" fillId="0" borderId="14" xfId="0" applyNumberFormat="1" applyFont="1" applyFill="1" applyBorder="1" applyProtection="1">
      <protection hidden="1"/>
    </xf>
    <xf numFmtId="1" fontId="0" fillId="0" borderId="15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7" fillId="0" borderId="0" xfId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28" fillId="0" borderId="9" xfId="0" applyNumberFormat="1" applyFont="1" applyFill="1" applyBorder="1" applyAlignment="1" applyProtection="1">
      <alignment vertical="top" wrapText="1"/>
      <protection locked="0"/>
    </xf>
    <xf numFmtId="1" fontId="28" fillId="0" borderId="22" xfId="0" applyNumberFormat="1" applyFont="1" applyFill="1" applyBorder="1" applyAlignment="1" applyProtection="1">
      <alignment vertical="top" wrapText="1"/>
      <protection locked="0"/>
    </xf>
    <xf numFmtId="1" fontId="28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2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8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/>
      <protection locked="0"/>
    </xf>
    <xf numFmtId="0" fontId="12" fillId="0" borderId="10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26" xfId="1" applyFont="1" applyFill="1" applyBorder="1" applyAlignment="1" applyProtection="1">
      <alignment horizontal="center" vertical="top" wrapText="1"/>
      <protection locked="0"/>
    </xf>
    <xf numFmtId="0" fontId="13" fillId="0" borderId="18" xfId="1" applyFont="1" applyFill="1" applyBorder="1" applyAlignment="1" applyProtection="1">
      <alignment horizontal="center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7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9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 applyProtection="1">
      <alignment horizontal="center"/>
      <protection locked="0"/>
    </xf>
    <xf numFmtId="168" fontId="13" fillId="0" borderId="1" xfId="8" applyNumberFormat="1" applyFont="1" applyFill="1" applyBorder="1" applyAlignment="1" applyProtection="1">
      <alignment horizontal="left" vertical="top"/>
      <protection locked="0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226663</xdr:colOff>
      <xdr:row>289</xdr:row>
      <xdr:rowOff>54349</xdr:rowOff>
    </xdr:from>
    <xdr:to>
      <xdr:col>6</xdr:col>
      <xdr:colOff>254514</xdr:colOff>
      <xdr:row>302</xdr:row>
      <xdr:rowOff>152744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8663" y="47939122"/>
          <a:ext cx="4175556" cy="26874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244125</xdr:colOff>
      <xdr:row>275</xdr:row>
      <xdr:rowOff>33618</xdr:rowOff>
    </xdr:from>
    <xdr:to>
      <xdr:col>6</xdr:col>
      <xdr:colOff>268941</xdr:colOff>
      <xdr:row>288</xdr:row>
      <xdr:rowOff>134561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2154" y="59760971"/>
          <a:ext cx="4495963" cy="27231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0</xdr:colOff>
      <xdr:row>185</xdr:row>
      <xdr:rowOff>0</xdr:rowOff>
    </xdr:from>
    <xdr:ext cx="722442" cy="311496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570304" y="40054696"/>
          <a:ext cx="72244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twoCellAnchor editAs="oneCell">
    <xdr:from>
      <xdr:col>0</xdr:col>
      <xdr:colOff>463550</xdr:colOff>
      <xdr:row>231</xdr:row>
      <xdr:rowOff>152400</xdr:rowOff>
    </xdr:from>
    <xdr:to>
      <xdr:col>7</xdr:col>
      <xdr:colOff>248200</xdr:colOff>
      <xdr:row>270</xdr:row>
      <xdr:rowOff>161600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50" y="47669450"/>
          <a:ext cx="5760000" cy="7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393432</xdr:colOff>
      <xdr:row>187</xdr:row>
      <xdr:rowOff>2898</xdr:rowOff>
    </xdr:from>
    <xdr:to>
      <xdr:col>20</xdr:col>
      <xdr:colOff>270652</xdr:colOff>
      <xdr:row>220</xdr:row>
      <xdr:rowOff>9662</xdr:rowOff>
    </xdr:to>
    <xdr:grpSp>
      <xdr:nvGrpSpPr>
        <xdr:cNvPr id="2" name="Group 1"/>
        <xdr:cNvGrpSpPr/>
      </xdr:nvGrpSpPr>
      <xdr:grpSpPr>
        <a:xfrm>
          <a:off x="6911845" y="40852724"/>
          <a:ext cx="6337655" cy="6558308"/>
          <a:chOff x="144954" y="40338374"/>
          <a:chExt cx="6343453" cy="6598063"/>
        </a:xfrm>
      </xdr:grpSpPr>
      <xdr:pic>
        <xdr:nvPicPr>
          <xdr:cNvPr id="18" name="Picture 17" descr="https://vsjcllp.vsjadon.com/upload/insp-23644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3253" y="45650022"/>
            <a:ext cx="2854419" cy="12854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44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4954" y="42872025"/>
            <a:ext cx="1523803" cy="2676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444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40338374"/>
            <a:ext cx="1729519" cy="2434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44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12649" y="40342049"/>
            <a:ext cx="4387973" cy="2434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444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45154" y="42881550"/>
            <a:ext cx="1523803" cy="2676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444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4604" y="42872025"/>
            <a:ext cx="1523803" cy="2676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644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4879" y="42881550"/>
            <a:ext cx="1523803" cy="2676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444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" y="45651021"/>
            <a:ext cx="2847975" cy="12854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168966</xdr:colOff>
      <xdr:row>186</xdr:row>
      <xdr:rowOff>72887</xdr:rowOff>
    </xdr:from>
    <xdr:to>
      <xdr:col>7</xdr:col>
      <xdr:colOff>641481</xdr:colOff>
      <xdr:row>224</xdr:row>
      <xdr:rowOff>107570</xdr:rowOff>
    </xdr:to>
    <xdr:grpSp>
      <xdr:nvGrpSpPr>
        <xdr:cNvPr id="4" name="Group 3"/>
        <xdr:cNvGrpSpPr/>
      </xdr:nvGrpSpPr>
      <xdr:grpSpPr>
        <a:xfrm>
          <a:off x="168966" y="40723930"/>
          <a:ext cx="6162667" cy="7580140"/>
          <a:chOff x="168966" y="40326365"/>
          <a:chExt cx="6162667" cy="7580140"/>
        </a:xfrm>
      </xdr:grpSpPr>
      <xdr:pic>
        <xdr:nvPicPr>
          <xdr:cNvPr id="35" name="Picture 34" descr="https://vsjcllp.vsjadon.com/upload/insp-24679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2" y="4574484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797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8966" y="40331335"/>
            <a:ext cx="1993203" cy="26603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79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36544" y="45746505"/>
            <a:ext cx="287767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79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38430" y="40326365"/>
            <a:ext cx="1993203" cy="26603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797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6244" y="40329678"/>
            <a:ext cx="1993203" cy="26603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797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9890" y="43082816"/>
            <a:ext cx="1934817" cy="25824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6797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0724" y="43086129"/>
            <a:ext cx="1934817" cy="25824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797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51681" y="43089441"/>
            <a:ext cx="1934817" cy="25824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TextBox 42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1369944" y="40339617"/>
            <a:ext cx="72244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232953" y="40342931"/>
            <a:ext cx="714298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453309" y="40346244"/>
            <a:ext cx="714298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</xdr:grpSp>
    <xdr:clientData/>
  </xdr:twoCellAnchor>
  <xdr:twoCellAnchor editAs="oneCell">
    <xdr:from>
      <xdr:col>9</xdr:col>
      <xdr:colOff>405848</xdr:colOff>
      <xdr:row>165</xdr:row>
      <xdr:rowOff>327639</xdr:rowOff>
    </xdr:from>
    <xdr:to>
      <xdr:col>26</xdr:col>
      <xdr:colOff>333932</xdr:colOff>
      <xdr:row>181</xdr:row>
      <xdr:rowOff>41629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6152" y="35893161"/>
          <a:ext cx="9014106" cy="3648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2367571</xdr:colOff>
      <xdr:row>25</xdr:row>
      <xdr:rowOff>64500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92366</xdr:colOff>
      <xdr:row>27</xdr:row>
      <xdr:rowOff>146643</xdr:rowOff>
    </xdr:from>
    <xdr:to>
      <xdr:col>2</xdr:col>
      <xdr:colOff>2459937</xdr:colOff>
      <xdr:row>39</xdr:row>
      <xdr:rowOff>20643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149" y="529842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382045</xdr:colOff>
      <xdr:row>14</xdr:row>
      <xdr:rowOff>93906</xdr:rowOff>
    </xdr:from>
    <xdr:to>
      <xdr:col>7</xdr:col>
      <xdr:colOff>430485</xdr:colOff>
      <xdr:row>25</xdr:row>
      <xdr:rowOff>158406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4349" y="2769189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Aq69xkNRcLWmouL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16"/>
  <sheetViews>
    <sheetView tabSelected="1" view="pageBreakPreview" zoomScale="115" zoomScaleNormal="100" zoomScaleSheetLayoutView="115" zoomScalePageLayoutView="60" workbookViewId="0">
      <selection activeCell="J9" sqref="J9"/>
    </sheetView>
  </sheetViews>
  <sheetFormatPr defaultColWidth="9.140625" defaultRowHeight="15.75" x14ac:dyDescent="0.25"/>
  <cols>
    <col min="1" max="1" width="11.42578125" style="89" customWidth="1"/>
    <col min="2" max="2" width="12" style="89" customWidth="1"/>
    <col min="3" max="3" width="12.7109375" style="89" customWidth="1"/>
    <col min="4" max="4" width="14.140625" style="89" customWidth="1"/>
    <col min="5" max="7" width="11.7109375" style="89" customWidth="1"/>
    <col min="8" max="8" width="12.42578125" style="89" customWidth="1"/>
    <col min="9" max="9" width="15.7109375" style="52" customWidth="1"/>
    <col min="10" max="10" width="11.42578125" style="52" customWidth="1"/>
    <col min="11" max="11" width="10.5703125" style="52" bestFit="1" customWidth="1"/>
    <col min="12" max="12" width="10.5703125" style="52" customWidth="1"/>
    <col min="13" max="13" width="11.85546875" style="52" customWidth="1"/>
    <col min="14" max="14" width="12.5703125" style="52" hidden="1" customWidth="1"/>
    <col min="15" max="15" width="9.85546875" style="52" hidden="1" customWidth="1"/>
    <col min="16" max="16" width="10.42578125" style="52" hidden="1" customWidth="1"/>
    <col min="17" max="247" width="9.140625" style="52"/>
    <col min="248" max="248" width="8.7109375" style="52" customWidth="1"/>
    <col min="249" max="249" width="9.85546875" style="52" customWidth="1"/>
    <col min="250" max="250" width="14.42578125" style="52" customWidth="1"/>
    <col min="251" max="251" width="7.28515625" style="52" customWidth="1"/>
    <col min="252" max="252" width="5.5703125" style="52" customWidth="1"/>
    <col min="253" max="253" width="9" style="52" customWidth="1"/>
    <col min="254" max="255" width="9.85546875" style="52" customWidth="1"/>
    <col min="256" max="256" width="11.140625" style="52" customWidth="1"/>
    <col min="257" max="257" width="2.85546875" style="52" customWidth="1"/>
    <col min="258" max="258" width="3.5703125" style="52" customWidth="1"/>
    <col min="259" max="503" width="9.140625" style="52"/>
    <col min="504" max="504" width="8.7109375" style="52" customWidth="1"/>
    <col min="505" max="505" width="9.85546875" style="52" customWidth="1"/>
    <col min="506" max="506" width="14.42578125" style="52" customWidth="1"/>
    <col min="507" max="507" width="7.28515625" style="52" customWidth="1"/>
    <col min="508" max="508" width="5.5703125" style="52" customWidth="1"/>
    <col min="509" max="509" width="9" style="52" customWidth="1"/>
    <col min="510" max="511" width="9.85546875" style="52" customWidth="1"/>
    <col min="512" max="512" width="11.140625" style="52" customWidth="1"/>
    <col min="513" max="513" width="2.85546875" style="52" customWidth="1"/>
    <col min="514" max="514" width="3.5703125" style="52" customWidth="1"/>
    <col min="515" max="759" width="9.140625" style="52"/>
    <col min="760" max="760" width="8.7109375" style="52" customWidth="1"/>
    <col min="761" max="761" width="9.85546875" style="52" customWidth="1"/>
    <col min="762" max="762" width="14.42578125" style="52" customWidth="1"/>
    <col min="763" max="763" width="7.28515625" style="52" customWidth="1"/>
    <col min="764" max="764" width="5.5703125" style="52" customWidth="1"/>
    <col min="765" max="765" width="9" style="52" customWidth="1"/>
    <col min="766" max="767" width="9.85546875" style="52" customWidth="1"/>
    <col min="768" max="768" width="11.140625" style="52" customWidth="1"/>
    <col min="769" max="769" width="2.85546875" style="52" customWidth="1"/>
    <col min="770" max="770" width="3.5703125" style="52" customWidth="1"/>
    <col min="771" max="1015" width="9.140625" style="52"/>
    <col min="1016" max="1016" width="8.7109375" style="52" customWidth="1"/>
    <col min="1017" max="1017" width="9.85546875" style="52" customWidth="1"/>
    <col min="1018" max="1018" width="14.42578125" style="52" customWidth="1"/>
    <col min="1019" max="1019" width="7.28515625" style="52" customWidth="1"/>
    <col min="1020" max="1020" width="5.5703125" style="52" customWidth="1"/>
    <col min="1021" max="1021" width="9" style="52" customWidth="1"/>
    <col min="1022" max="1023" width="9.85546875" style="52" customWidth="1"/>
    <col min="1024" max="1024" width="11.140625" style="52" customWidth="1"/>
    <col min="1025" max="1025" width="2.85546875" style="52" customWidth="1"/>
    <col min="1026" max="1026" width="3.5703125" style="52" customWidth="1"/>
    <col min="1027" max="1271" width="9.140625" style="52"/>
    <col min="1272" max="1272" width="8.7109375" style="52" customWidth="1"/>
    <col min="1273" max="1273" width="9.85546875" style="52" customWidth="1"/>
    <col min="1274" max="1274" width="14.42578125" style="52" customWidth="1"/>
    <col min="1275" max="1275" width="7.28515625" style="52" customWidth="1"/>
    <col min="1276" max="1276" width="5.5703125" style="52" customWidth="1"/>
    <col min="1277" max="1277" width="9" style="52" customWidth="1"/>
    <col min="1278" max="1279" width="9.85546875" style="52" customWidth="1"/>
    <col min="1280" max="1280" width="11.140625" style="52" customWidth="1"/>
    <col min="1281" max="1281" width="2.85546875" style="52" customWidth="1"/>
    <col min="1282" max="1282" width="3.5703125" style="52" customWidth="1"/>
    <col min="1283" max="1527" width="9.140625" style="52"/>
    <col min="1528" max="1528" width="8.7109375" style="52" customWidth="1"/>
    <col min="1529" max="1529" width="9.85546875" style="52" customWidth="1"/>
    <col min="1530" max="1530" width="14.42578125" style="52" customWidth="1"/>
    <col min="1531" max="1531" width="7.28515625" style="52" customWidth="1"/>
    <col min="1532" max="1532" width="5.5703125" style="52" customWidth="1"/>
    <col min="1533" max="1533" width="9" style="52" customWidth="1"/>
    <col min="1534" max="1535" width="9.85546875" style="52" customWidth="1"/>
    <col min="1536" max="1536" width="11.140625" style="52" customWidth="1"/>
    <col min="1537" max="1537" width="2.85546875" style="52" customWidth="1"/>
    <col min="1538" max="1538" width="3.5703125" style="52" customWidth="1"/>
    <col min="1539" max="1783" width="9.140625" style="52"/>
    <col min="1784" max="1784" width="8.7109375" style="52" customWidth="1"/>
    <col min="1785" max="1785" width="9.85546875" style="52" customWidth="1"/>
    <col min="1786" max="1786" width="14.42578125" style="52" customWidth="1"/>
    <col min="1787" max="1787" width="7.28515625" style="52" customWidth="1"/>
    <col min="1788" max="1788" width="5.5703125" style="52" customWidth="1"/>
    <col min="1789" max="1789" width="9" style="52" customWidth="1"/>
    <col min="1790" max="1791" width="9.85546875" style="52" customWidth="1"/>
    <col min="1792" max="1792" width="11.140625" style="52" customWidth="1"/>
    <col min="1793" max="1793" width="2.85546875" style="52" customWidth="1"/>
    <col min="1794" max="1794" width="3.5703125" style="52" customWidth="1"/>
    <col min="1795" max="2039" width="9.140625" style="52"/>
    <col min="2040" max="2040" width="8.7109375" style="52" customWidth="1"/>
    <col min="2041" max="2041" width="9.85546875" style="52" customWidth="1"/>
    <col min="2042" max="2042" width="14.42578125" style="52" customWidth="1"/>
    <col min="2043" max="2043" width="7.28515625" style="52" customWidth="1"/>
    <col min="2044" max="2044" width="5.5703125" style="52" customWidth="1"/>
    <col min="2045" max="2045" width="9" style="52" customWidth="1"/>
    <col min="2046" max="2047" width="9.85546875" style="52" customWidth="1"/>
    <col min="2048" max="2048" width="11.140625" style="52" customWidth="1"/>
    <col min="2049" max="2049" width="2.85546875" style="52" customWidth="1"/>
    <col min="2050" max="2050" width="3.5703125" style="52" customWidth="1"/>
    <col min="2051" max="2295" width="9.140625" style="52"/>
    <col min="2296" max="2296" width="8.7109375" style="52" customWidth="1"/>
    <col min="2297" max="2297" width="9.85546875" style="52" customWidth="1"/>
    <col min="2298" max="2298" width="14.42578125" style="52" customWidth="1"/>
    <col min="2299" max="2299" width="7.28515625" style="52" customWidth="1"/>
    <col min="2300" max="2300" width="5.5703125" style="52" customWidth="1"/>
    <col min="2301" max="2301" width="9" style="52" customWidth="1"/>
    <col min="2302" max="2303" width="9.85546875" style="52" customWidth="1"/>
    <col min="2304" max="2304" width="11.140625" style="52" customWidth="1"/>
    <col min="2305" max="2305" width="2.85546875" style="52" customWidth="1"/>
    <col min="2306" max="2306" width="3.5703125" style="52" customWidth="1"/>
    <col min="2307" max="2551" width="9.140625" style="52"/>
    <col min="2552" max="2552" width="8.7109375" style="52" customWidth="1"/>
    <col min="2553" max="2553" width="9.85546875" style="52" customWidth="1"/>
    <col min="2554" max="2554" width="14.42578125" style="52" customWidth="1"/>
    <col min="2555" max="2555" width="7.28515625" style="52" customWidth="1"/>
    <col min="2556" max="2556" width="5.5703125" style="52" customWidth="1"/>
    <col min="2557" max="2557" width="9" style="52" customWidth="1"/>
    <col min="2558" max="2559" width="9.85546875" style="52" customWidth="1"/>
    <col min="2560" max="2560" width="11.140625" style="52" customWidth="1"/>
    <col min="2561" max="2561" width="2.85546875" style="52" customWidth="1"/>
    <col min="2562" max="2562" width="3.5703125" style="52" customWidth="1"/>
    <col min="2563" max="2807" width="9.140625" style="52"/>
    <col min="2808" max="2808" width="8.7109375" style="52" customWidth="1"/>
    <col min="2809" max="2809" width="9.85546875" style="52" customWidth="1"/>
    <col min="2810" max="2810" width="14.42578125" style="52" customWidth="1"/>
    <col min="2811" max="2811" width="7.28515625" style="52" customWidth="1"/>
    <col min="2812" max="2812" width="5.5703125" style="52" customWidth="1"/>
    <col min="2813" max="2813" width="9" style="52" customWidth="1"/>
    <col min="2814" max="2815" width="9.85546875" style="52" customWidth="1"/>
    <col min="2816" max="2816" width="11.140625" style="52" customWidth="1"/>
    <col min="2817" max="2817" width="2.85546875" style="52" customWidth="1"/>
    <col min="2818" max="2818" width="3.5703125" style="52" customWidth="1"/>
    <col min="2819" max="3063" width="9.140625" style="52"/>
    <col min="3064" max="3064" width="8.7109375" style="52" customWidth="1"/>
    <col min="3065" max="3065" width="9.85546875" style="52" customWidth="1"/>
    <col min="3066" max="3066" width="14.42578125" style="52" customWidth="1"/>
    <col min="3067" max="3067" width="7.28515625" style="52" customWidth="1"/>
    <col min="3068" max="3068" width="5.5703125" style="52" customWidth="1"/>
    <col min="3069" max="3069" width="9" style="52" customWidth="1"/>
    <col min="3070" max="3071" width="9.85546875" style="52" customWidth="1"/>
    <col min="3072" max="3072" width="11.140625" style="52" customWidth="1"/>
    <col min="3073" max="3073" width="2.85546875" style="52" customWidth="1"/>
    <col min="3074" max="3074" width="3.5703125" style="52" customWidth="1"/>
    <col min="3075" max="3319" width="9.140625" style="52"/>
    <col min="3320" max="3320" width="8.7109375" style="52" customWidth="1"/>
    <col min="3321" max="3321" width="9.85546875" style="52" customWidth="1"/>
    <col min="3322" max="3322" width="14.42578125" style="52" customWidth="1"/>
    <col min="3323" max="3323" width="7.28515625" style="52" customWidth="1"/>
    <col min="3324" max="3324" width="5.5703125" style="52" customWidth="1"/>
    <col min="3325" max="3325" width="9" style="52" customWidth="1"/>
    <col min="3326" max="3327" width="9.85546875" style="52" customWidth="1"/>
    <col min="3328" max="3328" width="11.140625" style="52" customWidth="1"/>
    <col min="3329" max="3329" width="2.85546875" style="52" customWidth="1"/>
    <col min="3330" max="3330" width="3.5703125" style="52" customWidth="1"/>
    <col min="3331" max="3575" width="9.140625" style="52"/>
    <col min="3576" max="3576" width="8.7109375" style="52" customWidth="1"/>
    <col min="3577" max="3577" width="9.85546875" style="52" customWidth="1"/>
    <col min="3578" max="3578" width="14.42578125" style="52" customWidth="1"/>
    <col min="3579" max="3579" width="7.28515625" style="52" customWidth="1"/>
    <col min="3580" max="3580" width="5.5703125" style="52" customWidth="1"/>
    <col min="3581" max="3581" width="9" style="52" customWidth="1"/>
    <col min="3582" max="3583" width="9.85546875" style="52" customWidth="1"/>
    <col min="3584" max="3584" width="11.140625" style="52" customWidth="1"/>
    <col min="3585" max="3585" width="2.85546875" style="52" customWidth="1"/>
    <col min="3586" max="3586" width="3.5703125" style="52" customWidth="1"/>
    <col min="3587" max="3831" width="9.140625" style="52"/>
    <col min="3832" max="3832" width="8.7109375" style="52" customWidth="1"/>
    <col min="3833" max="3833" width="9.85546875" style="52" customWidth="1"/>
    <col min="3834" max="3834" width="14.42578125" style="52" customWidth="1"/>
    <col min="3835" max="3835" width="7.28515625" style="52" customWidth="1"/>
    <col min="3836" max="3836" width="5.5703125" style="52" customWidth="1"/>
    <col min="3837" max="3837" width="9" style="52" customWidth="1"/>
    <col min="3838" max="3839" width="9.85546875" style="52" customWidth="1"/>
    <col min="3840" max="3840" width="11.140625" style="52" customWidth="1"/>
    <col min="3841" max="3841" width="2.85546875" style="52" customWidth="1"/>
    <col min="3842" max="3842" width="3.5703125" style="52" customWidth="1"/>
    <col min="3843" max="4087" width="9.140625" style="52"/>
    <col min="4088" max="4088" width="8.7109375" style="52" customWidth="1"/>
    <col min="4089" max="4089" width="9.85546875" style="52" customWidth="1"/>
    <col min="4090" max="4090" width="14.42578125" style="52" customWidth="1"/>
    <col min="4091" max="4091" width="7.28515625" style="52" customWidth="1"/>
    <col min="4092" max="4092" width="5.5703125" style="52" customWidth="1"/>
    <col min="4093" max="4093" width="9" style="52" customWidth="1"/>
    <col min="4094" max="4095" width="9.85546875" style="52" customWidth="1"/>
    <col min="4096" max="4096" width="11.140625" style="52" customWidth="1"/>
    <col min="4097" max="4097" width="2.85546875" style="52" customWidth="1"/>
    <col min="4098" max="4098" width="3.5703125" style="52" customWidth="1"/>
    <col min="4099" max="4343" width="9.140625" style="52"/>
    <col min="4344" max="4344" width="8.7109375" style="52" customWidth="1"/>
    <col min="4345" max="4345" width="9.85546875" style="52" customWidth="1"/>
    <col min="4346" max="4346" width="14.42578125" style="52" customWidth="1"/>
    <col min="4347" max="4347" width="7.28515625" style="52" customWidth="1"/>
    <col min="4348" max="4348" width="5.5703125" style="52" customWidth="1"/>
    <col min="4349" max="4349" width="9" style="52" customWidth="1"/>
    <col min="4350" max="4351" width="9.85546875" style="52" customWidth="1"/>
    <col min="4352" max="4352" width="11.140625" style="52" customWidth="1"/>
    <col min="4353" max="4353" width="2.85546875" style="52" customWidth="1"/>
    <col min="4354" max="4354" width="3.5703125" style="52" customWidth="1"/>
    <col min="4355" max="4599" width="9.140625" style="52"/>
    <col min="4600" max="4600" width="8.7109375" style="52" customWidth="1"/>
    <col min="4601" max="4601" width="9.85546875" style="52" customWidth="1"/>
    <col min="4602" max="4602" width="14.42578125" style="52" customWidth="1"/>
    <col min="4603" max="4603" width="7.28515625" style="52" customWidth="1"/>
    <col min="4604" max="4604" width="5.5703125" style="52" customWidth="1"/>
    <col min="4605" max="4605" width="9" style="52" customWidth="1"/>
    <col min="4606" max="4607" width="9.85546875" style="52" customWidth="1"/>
    <col min="4608" max="4608" width="11.140625" style="52" customWidth="1"/>
    <col min="4609" max="4609" width="2.85546875" style="52" customWidth="1"/>
    <col min="4610" max="4610" width="3.5703125" style="52" customWidth="1"/>
    <col min="4611" max="4855" width="9.140625" style="52"/>
    <col min="4856" max="4856" width="8.7109375" style="52" customWidth="1"/>
    <col min="4857" max="4857" width="9.85546875" style="52" customWidth="1"/>
    <col min="4858" max="4858" width="14.42578125" style="52" customWidth="1"/>
    <col min="4859" max="4859" width="7.28515625" style="52" customWidth="1"/>
    <col min="4860" max="4860" width="5.5703125" style="52" customWidth="1"/>
    <col min="4861" max="4861" width="9" style="52" customWidth="1"/>
    <col min="4862" max="4863" width="9.85546875" style="52" customWidth="1"/>
    <col min="4864" max="4864" width="11.140625" style="52" customWidth="1"/>
    <col min="4865" max="4865" width="2.85546875" style="52" customWidth="1"/>
    <col min="4866" max="4866" width="3.5703125" style="52" customWidth="1"/>
    <col min="4867" max="5111" width="9.140625" style="52"/>
    <col min="5112" max="5112" width="8.7109375" style="52" customWidth="1"/>
    <col min="5113" max="5113" width="9.85546875" style="52" customWidth="1"/>
    <col min="5114" max="5114" width="14.42578125" style="52" customWidth="1"/>
    <col min="5115" max="5115" width="7.28515625" style="52" customWidth="1"/>
    <col min="5116" max="5116" width="5.5703125" style="52" customWidth="1"/>
    <col min="5117" max="5117" width="9" style="52" customWidth="1"/>
    <col min="5118" max="5119" width="9.85546875" style="52" customWidth="1"/>
    <col min="5120" max="5120" width="11.140625" style="52" customWidth="1"/>
    <col min="5121" max="5121" width="2.85546875" style="52" customWidth="1"/>
    <col min="5122" max="5122" width="3.5703125" style="52" customWidth="1"/>
    <col min="5123" max="5367" width="9.140625" style="52"/>
    <col min="5368" max="5368" width="8.7109375" style="52" customWidth="1"/>
    <col min="5369" max="5369" width="9.85546875" style="52" customWidth="1"/>
    <col min="5370" max="5370" width="14.42578125" style="52" customWidth="1"/>
    <col min="5371" max="5371" width="7.28515625" style="52" customWidth="1"/>
    <col min="5372" max="5372" width="5.5703125" style="52" customWidth="1"/>
    <col min="5373" max="5373" width="9" style="52" customWidth="1"/>
    <col min="5374" max="5375" width="9.85546875" style="52" customWidth="1"/>
    <col min="5376" max="5376" width="11.140625" style="52" customWidth="1"/>
    <col min="5377" max="5377" width="2.85546875" style="52" customWidth="1"/>
    <col min="5378" max="5378" width="3.5703125" style="52" customWidth="1"/>
    <col min="5379" max="5623" width="9.140625" style="52"/>
    <col min="5624" max="5624" width="8.7109375" style="52" customWidth="1"/>
    <col min="5625" max="5625" width="9.85546875" style="52" customWidth="1"/>
    <col min="5626" max="5626" width="14.42578125" style="52" customWidth="1"/>
    <col min="5627" max="5627" width="7.28515625" style="52" customWidth="1"/>
    <col min="5628" max="5628" width="5.5703125" style="52" customWidth="1"/>
    <col min="5629" max="5629" width="9" style="52" customWidth="1"/>
    <col min="5630" max="5631" width="9.85546875" style="52" customWidth="1"/>
    <col min="5632" max="5632" width="11.140625" style="52" customWidth="1"/>
    <col min="5633" max="5633" width="2.85546875" style="52" customWidth="1"/>
    <col min="5634" max="5634" width="3.5703125" style="52" customWidth="1"/>
    <col min="5635" max="5879" width="9.140625" style="52"/>
    <col min="5880" max="5880" width="8.7109375" style="52" customWidth="1"/>
    <col min="5881" max="5881" width="9.85546875" style="52" customWidth="1"/>
    <col min="5882" max="5882" width="14.42578125" style="52" customWidth="1"/>
    <col min="5883" max="5883" width="7.28515625" style="52" customWidth="1"/>
    <col min="5884" max="5884" width="5.5703125" style="52" customWidth="1"/>
    <col min="5885" max="5885" width="9" style="52" customWidth="1"/>
    <col min="5886" max="5887" width="9.85546875" style="52" customWidth="1"/>
    <col min="5888" max="5888" width="11.140625" style="52" customWidth="1"/>
    <col min="5889" max="5889" width="2.85546875" style="52" customWidth="1"/>
    <col min="5890" max="5890" width="3.5703125" style="52" customWidth="1"/>
    <col min="5891" max="6135" width="9.140625" style="52"/>
    <col min="6136" max="6136" width="8.7109375" style="52" customWidth="1"/>
    <col min="6137" max="6137" width="9.85546875" style="52" customWidth="1"/>
    <col min="6138" max="6138" width="14.42578125" style="52" customWidth="1"/>
    <col min="6139" max="6139" width="7.28515625" style="52" customWidth="1"/>
    <col min="6140" max="6140" width="5.5703125" style="52" customWidth="1"/>
    <col min="6141" max="6141" width="9" style="52" customWidth="1"/>
    <col min="6142" max="6143" width="9.85546875" style="52" customWidth="1"/>
    <col min="6144" max="6144" width="11.140625" style="52" customWidth="1"/>
    <col min="6145" max="6145" width="2.85546875" style="52" customWidth="1"/>
    <col min="6146" max="6146" width="3.5703125" style="52" customWidth="1"/>
    <col min="6147" max="6391" width="9.140625" style="52"/>
    <col min="6392" max="6392" width="8.7109375" style="52" customWidth="1"/>
    <col min="6393" max="6393" width="9.85546875" style="52" customWidth="1"/>
    <col min="6394" max="6394" width="14.42578125" style="52" customWidth="1"/>
    <col min="6395" max="6395" width="7.28515625" style="52" customWidth="1"/>
    <col min="6396" max="6396" width="5.5703125" style="52" customWidth="1"/>
    <col min="6397" max="6397" width="9" style="52" customWidth="1"/>
    <col min="6398" max="6399" width="9.85546875" style="52" customWidth="1"/>
    <col min="6400" max="6400" width="11.140625" style="52" customWidth="1"/>
    <col min="6401" max="6401" width="2.85546875" style="52" customWidth="1"/>
    <col min="6402" max="6402" width="3.5703125" style="52" customWidth="1"/>
    <col min="6403" max="6647" width="9.140625" style="52"/>
    <col min="6648" max="6648" width="8.7109375" style="52" customWidth="1"/>
    <col min="6649" max="6649" width="9.85546875" style="52" customWidth="1"/>
    <col min="6650" max="6650" width="14.42578125" style="52" customWidth="1"/>
    <col min="6651" max="6651" width="7.28515625" style="52" customWidth="1"/>
    <col min="6652" max="6652" width="5.5703125" style="52" customWidth="1"/>
    <col min="6653" max="6653" width="9" style="52" customWidth="1"/>
    <col min="6654" max="6655" width="9.85546875" style="52" customWidth="1"/>
    <col min="6656" max="6656" width="11.140625" style="52" customWidth="1"/>
    <col min="6657" max="6657" width="2.85546875" style="52" customWidth="1"/>
    <col min="6658" max="6658" width="3.5703125" style="52" customWidth="1"/>
    <col min="6659" max="6903" width="9.140625" style="52"/>
    <col min="6904" max="6904" width="8.7109375" style="52" customWidth="1"/>
    <col min="6905" max="6905" width="9.85546875" style="52" customWidth="1"/>
    <col min="6906" max="6906" width="14.42578125" style="52" customWidth="1"/>
    <col min="6907" max="6907" width="7.28515625" style="52" customWidth="1"/>
    <col min="6908" max="6908" width="5.5703125" style="52" customWidth="1"/>
    <col min="6909" max="6909" width="9" style="52" customWidth="1"/>
    <col min="6910" max="6911" width="9.85546875" style="52" customWidth="1"/>
    <col min="6912" max="6912" width="11.140625" style="52" customWidth="1"/>
    <col min="6913" max="6913" width="2.85546875" style="52" customWidth="1"/>
    <col min="6914" max="6914" width="3.5703125" style="52" customWidth="1"/>
    <col min="6915" max="7159" width="9.140625" style="52"/>
    <col min="7160" max="7160" width="8.7109375" style="52" customWidth="1"/>
    <col min="7161" max="7161" width="9.85546875" style="52" customWidth="1"/>
    <col min="7162" max="7162" width="14.42578125" style="52" customWidth="1"/>
    <col min="7163" max="7163" width="7.28515625" style="52" customWidth="1"/>
    <col min="7164" max="7164" width="5.5703125" style="52" customWidth="1"/>
    <col min="7165" max="7165" width="9" style="52" customWidth="1"/>
    <col min="7166" max="7167" width="9.85546875" style="52" customWidth="1"/>
    <col min="7168" max="7168" width="11.140625" style="52" customWidth="1"/>
    <col min="7169" max="7169" width="2.85546875" style="52" customWidth="1"/>
    <col min="7170" max="7170" width="3.5703125" style="52" customWidth="1"/>
    <col min="7171" max="7415" width="9.140625" style="52"/>
    <col min="7416" max="7416" width="8.7109375" style="52" customWidth="1"/>
    <col min="7417" max="7417" width="9.85546875" style="52" customWidth="1"/>
    <col min="7418" max="7418" width="14.42578125" style="52" customWidth="1"/>
    <col min="7419" max="7419" width="7.28515625" style="52" customWidth="1"/>
    <col min="7420" max="7420" width="5.5703125" style="52" customWidth="1"/>
    <col min="7421" max="7421" width="9" style="52" customWidth="1"/>
    <col min="7422" max="7423" width="9.85546875" style="52" customWidth="1"/>
    <col min="7424" max="7424" width="11.140625" style="52" customWidth="1"/>
    <col min="7425" max="7425" width="2.85546875" style="52" customWidth="1"/>
    <col min="7426" max="7426" width="3.5703125" style="52" customWidth="1"/>
    <col min="7427" max="7671" width="9.140625" style="52"/>
    <col min="7672" max="7672" width="8.7109375" style="52" customWidth="1"/>
    <col min="7673" max="7673" width="9.85546875" style="52" customWidth="1"/>
    <col min="7674" max="7674" width="14.42578125" style="52" customWidth="1"/>
    <col min="7675" max="7675" width="7.28515625" style="52" customWidth="1"/>
    <col min="7676" max="7676" width="5.5703125" style="52" customWidth="1"/>
    <col min="7677" max="7677" width="9" style="52" customWidth="1"/>
    <col min="7678" max="7679" width="9.85546875" style="52" customWidth="1"/>
    <col min="7680" max="7680" width="11.140625" style="52" customWidth="1"/>
    <col min="7681" max="7681" width="2.85546875" style="52" customWidth="1"/>
    <col min="7682" max="7682" width="3.5703125" style="52" customWidth="1"/>
    <col min="7683" max="7927" width="9.140625" style="52"/>
    <col min="7928" max="7928" width="8.7109375" style="52" customWidth="1"/>
    <col min="7929" max="7929" width="9.85546875" style="52" customWidth="1"/>
    <col min="7930" max="7930" width="14.42578125" style="52" customWidth="1"/>
    <col min="7931" max="7931" width="7.28515625" style="52" customWidth="1"/>
    <col min="7932" max="7932" width="5.5703125" style="52" customWidth="1"/>
    <col min="7933" max="7933" width="9" style="52" customWidth="1"/>
    <col min="7934" max="7935" width="9.85546875" style="52" customWidth="1"/>
    <col min="7936" max="7936" width="11.140625" style="52" customWidth="1"/>
    <col min="7937" max="7937" width="2.85546875" style="52" customWidth="1"/>
    <col min="7938" max="7938" width="3.5703125" style="52" customWidth="1"/>
    <col min="7939" max="8183" width="9.140625" style="52"/>
    <col min="8184" max="8184" width="8.7109375" style="52" customWidth="1"/>
    <col min="8185" max="8185" width="9.85546875" style="52" customWidth="1"/>
    <col min="8186" max="8186" width="14.42578125" style="52" customWidth="1"/>
    <col min="8187" max="8187" width="7.28515625" style="52" customWidth="1"/>
    <col min="8188" max="8188" width="5.5703125" style="52" customWidth="1"/>
    <col min="8189" max="8189" width="9" style="52" customWidth="1"/>
    <col min="8190" max="8191" width="9.85546875" style="52" customWidth="1"/>
    <col min="8192" max="8192" width="11.140625" style="52" customWidth="1"/>
    <col min="8193" max="8193" width="2.85546875" style="52" customWidth="1"/>
    <col min="8194" max="8194" width="3.5703125" style="52" customWidth="1"/>
    <col min="8195" max="8439" width="9.140625" style="52"/>
    <col min="8440" max="8440" width="8.7109375" style="52" customWidth="1"/>
    <col min="8441" max="8441" width="9.85546875" style="52" customWidth="1"/>
    <col min="8442" max="8442" width="14.42578125" style="52" customWidth="1"/>
    <col min="8443" max="8443" width="7.28515625" style="52" customWidth="1"/>
    <col min="8444" max="8444" width="5.5703125" style="52" customWidth="1"/>
    <col min="8445" max="8445" width="9" style="52" customWidth="1"/>
    <col min="8446" max="8447" width="9.85546875" style="52" customWidth="1"/>
    <col min="8448" max="8448" width="11.140625" style="52" customWidth="1"/>
    <col min="8449" max="8449" width="2.85546875" style="52" customWidth="1"/>
    <col min="8450" max="8450" width="3.5703125" style="52" customWidth="1"/>
    <col min="8451" max="8695" width="9.140625" style="52"/>
    <col min="8696" max="8696" width="8.7109375" style="52" customWidth="1"/>
    <col min="8697" max="8697" width="9.85546875" style="52" customWidth="1"/>
    <col min="8698" max="8698" width="14.42578125" style="52" customWidth="1"/>
    <col min="8699" max="8699" width="7.28515625" style="52" customWidth="1"/>
    <col min="8700" max="8700" width="5.5703125" style="52" customWidth="1"/>
    <col min="8701" max="8701" width="9" style="52" customWidth="1"/>
    <col min="8702" max="8703" width="9.85546875" style="52" customWidth="1"/>
    <col min="8704" max="8704" width="11.140625" style="52" customWidth="1"/>
    <col min="8705" max="8705" width="2.85546875" style="52" customWidth="1"/>
    <col min="8706" max="8706" width="3.5703125" style="52" customWidth="1"/>
    <col min="8707" max="8951" width="9.140625" style="52"/>
    <col min="8952" max="8952" width="8.7109375" style="52" customWidth="1"/>
    <col min="8953" max="8953" width="9.85546875" style="52" customWidth="1"/>
    <col min="8954" max="8954" width="14.42578125" style="52" customWidth="1"/>
    <col min="8955" max="8955" width="7.28515625" style="52" customWidth="1"/>
    <col min="8956" max="8956" width="5.5703125" style="52" customWidth="1"/>
    <col min="8957" max="8957" width="9" style="52" customWidth="1"/>
    <col min="8958" max="8959" width="9.85546875" style="52" customWidth="1"/>
    <col min="8960" max="8960" width="11.140625" style="52" customWidth="1"/>
    <col min="8961" max="8961" width="2.85546875" style="52" customWidth="1"/>
    <col min="8962" max="8962" width="3.5703125" style="52" customWidth="1"/>
    <col min="8963" max="9207" width="9.140625" style="52"/>
    <col min="9208" max="9208" width="8.7109375" style="52" customWidth="1"/>
    <col min="9209" max="9209" width="9.85546875" style="52" customWidth="1"/>
    <col min="9210" max="9210" width="14.42578125" style="52" customWidth="1"/>
    <col min="9211" max="9211" width="7.28515625" style="52" customWidth="1"/>
    <col min="9212" max="9212" width="5.5703125" style="52" customWidth="1"/>
    <col min="9213" max="9213" width="9" style="52" customWidth="1"/>
    <col min="9214" max="9215" width="9.85546875" style="52" customWidth="1"/>
    <col min="9216" max="9216" width="11.140625" style="52" customWidth="1"/>
    <col min="9217" max="9217" width="2.85546875" style="52" customWidth="1"/>
    <col min="9218" max="9218" width="3.5703125" style="52" customWidth="1"/>
    <col min="9219" max="9463" width="9.140625" style="52"/>
    <col min="9464" max="9464" width="8.7109375" style="52" customWidth="1"/>
    <col min="9465" max="9465" width="9.85546875" style="52" customWidth="1"/>
    <col min="9466" max="9466" width="14.42578125" style="52" customWidth="1"/>
    <col min="9467" max="9467" width="7.28515625" style="52" customWidth="1"/>
    <col min="9468" max="9468" width="5.5703125" style="52" customWidth="1"/>
    <col min="9469" max="9469" width="9" style="52" customWidth="1"/>
    <col min="9470" max="9471" width="9.85546875" style="52" customWidth="1"/>
    <col min="9472" max="9472" width="11.140625" style="52" customWidth="1"/>
    <col min="9473" max="9473" width="2.85546875" style="52" customWidth="1"/>
    <col min="9474" max="9474" width="3.5703125" style="52" customWidth="1"/>
    <col min="9475" max="9719" width="9.140625" style="52"/>
    <col min="9720" max="9720" width="8.7109375" style="52" customWidth="1"/>
    <col min="9721" max="9721" width="9.85546875" style="52" customWidth="1"/>
    <col min="9722" max="9722" width="14.42578125" style="52" customWidth="1"/>
    <col min="9723" max="9723" width="7.28515625" style="52" customWidth="1"/>
    <col min="9724" max="9724" width="5.5703125" style="52" customWidth="1"/>
    <col min="9725" max="9725" width="9" style="52" customWidth="1"/>
    <col min="9726" max="9727" width="9.85546875" style="52" customWidth="1"/>
    <col min="9728" max="9728" width="11.140625" style="52" customWidth="1"/>
    <col min="9729" max="9729" width="2.85546875" style="52" customWidth="1"/>
    <col min="9730" max="9730" width="3.5703125" style="52" customWidth="1"/>
    <col min="9731" max="9975" width="9.140625" style="52"/>
    <col min="9976" max="9976" width="8.7109375" style="52" customWidth="1"/>
    <col min="9977" max="9977" width="9.85546875" style="52" customWidth="1"/>
    <col min="9978" max="9978" width="14.42578125" style="52" customWidth="1"/>
    <col min="9979" max="9979" width="7.28515625" style="52" customWidth="1"/>
    <col min="9980" max="9980" width="5.5703125" style="52" customWidth="1"/>
    <col min="9981" max="9981" width="9" style="52" customWidth="1"/>
    <col min="9982" max="9983" width="9.85546875" style="52" customWidth="1"/>
    <col min="9984" max="9984" width="11.140625" style="52" customWidth="1"/>
    <col min="9985" max="9985" width="2.85546875" style="52" customWidth="1"/>
    <col min="9986" max="9986" width="3.5703125" style="52" customWidth="1"/>
    <col min="9987" max="10231" width="9.140625" style="52"/>
    <col min="10232" max="10232" width="8.7109375" style="52" customWidth="1"/>
    <col min="10233" max="10233" width="9.85546875" style="52" customWidth="1"/>
    <col min="10234" max="10234" width="14.42578125" style="52" customWidth="1"/>
    <col min="10235" max="10235" width="7.28515625" style="52" customWidth="1"/>
    <col min="10236" max="10236" width="5.5703125" style="52" customWidth="1"/>
    <col min="10237" max="10237" width="9" style="52" customWidth="1"/>
    <col min="10238" max="10239" width="9.85546875" style="52" customWidth="1"/>
    <col min="10240" max="10240" width="11.140625" style="52" customWidth="1"/>
    <col min="10241" max="10241" width="2.85546875" style="52" customWidth="1"/>
    <col min="10242" max="10242" width="3.5703125" style="52" customWidth="1"/>
    <col min="10243" max="10487" width="9.140625" style="52"/>
    <col min="10488" max="10488" width="8.7109375" style="52" customWidth="1"/>
    <col min="10489" max="10489" width="9.85546875" style="52" customWidth="1"/>
    <col min="10490" max="10490" width="14.42578125" style="52" customWidth="1"/>
    <col min="10491" max="10491" width="7.28515625" style="52" customWidth="1"/>
    <col min="10492" max="10492" width="5.5703125" style="52" customWidth="1"/>
    <col min="10493" max="10493" width="9" style="52" customWidth="1"/>
    <col min="10494" max="10495" width="9.85546875" style="52" customWidth="1"/>
    <col min="10496" max="10496" width="11.140625" style="52" customWidth="1"/>
    <col min="10497" max="10497" width="2.85546875" style="52" customWidth="1"/>
    <col min="10498" max="10498" width="3.5703125" style="52" customWidth="1"/>
    <col min="10499" max="10743" width="9.140625" style="52"/>
    <col min="10744" max="10744" width="8.7109375" style="52" customWidth="1"/>
    <col min="10745" max="10745" width="9.85546875" style="52" customWidth="1"/>
    <col min="10746" max="10746" width="14.42578125" style="52" customWidth="1"/>
    <col min="10747" max="10747" width="7.28515625" style="52" customWidth="1"/>
    <col min="10748" max="10748" width="5.5703125" style="52" customWidth="1"/>
    <col min="10749" max="10749" width="9" style="52" customWidth="1"/>
    <col min="10750" max="10751" width="9.85546875" style="52" customWidth="1"/>
    <col min="10752" max="10752" width="11.140625" style="52" customWidth="1"/>
    <col min="10753" max="10753" width="2.85546875" style="52" customWidth="1"/>
    <col min="10754" max="10754" width="3.5703125" style="52" customWidth="1"/>
    <col min="10755" max="10999" width="9.140625" style="52"/>
    <col min="11000" max="11000" width="8.7109375" style="52" customWidth="1"/>
    <col min="11001" max="11001" width="9.85546875" style="52" customWidth="1"/>
    <col min="11002" max="11002" width="14.42578125" style="52" customWidth="1"/>
    <col min="11003" max="11003" width="7.28515625" style="52" customWidth="1"/>
    <col min="11004" max="11004" width="5.5703125" style="52" customWidth="1"/>
    <col min="11005" max="11005" width="9" style="52" customWidth="1"/>
    <col min="11006" max="11007" width="9.85546875" style="52" customWidth="1"/>
    <col min="11008" max="11008" width="11.140625" style="52" customWidth="1"/>
    <col min="11009" max="11009" width="2.85546875" style="52" customWidth="1"/>
    <col min="11010" max="11010" width="3.5703125" style="52" customWidth="1"/>
    <col min="11011" max="11255" width="9.140625" style="52"/>
    <col min="11256" max="11256" width="8.7109375" style="52" customWidth="1"/>
    <col min="11257" max="11257" width="9.85546875" style="52" customWidth="1"/>
    <col min="11258" max="11258" width="14.42578125" style="52" customWidth="1"/>
    <col min="11259" max="11259" width="7.28515625" style="52" customWidth="1"/>
    <col min="11260" max="11260" width="5.5703125" style="52" customWidth="1"/>
    <col min="11261" max="11261" width="9" style="52" customWidth="1"/>
    <col min="11262" max="11263" width="9.85546875" style="52" customWidth="1"/>
    <col min="11264" max="11264" width="11.140625" style="52" customWidth="1"/>
    <col min="11265" max="11265" width="2.85546875" style="52" customWidth="1"/>
    <col min="11266" max="11266" width="3.5703125" style="52" customWidth="1"/>
    <col min="11267" max="11511" width="9.140625" style="52"/>
    <col min="11512" max="11512" width="8.7109375" style="52" customWidth="1"/>
    <col min="11513" max="11513" width="9.85546875" style="52" customWidth="1"/>
    <col min="11514" max="11514" width="14.42578125" style="52" customWidth="1"/>
    <col min="11515" max="11515" width="7.28515625" style="52" customWidth="1"/>
    <col min="11516" max="11516" width="5.5703125" style="52" customWidth="1"/>
    <col min="11517" max="11517" width="9" style="52" customWidth="1"/>
    <col min="11518" max="11519" width="9.85546875" style="52" customWidth="1"/>
    <col min="11520" max="11520" width="11.140625" style="52" customWidth="1"/>
    <col min="11521" max="11521" width="2.85546875" style="52" customWidth="1"/>
    <col min="11522" max="11522" width="3.5703125" style="52" customWidth="1"/>
    <col min="11523" max="11767" width="9.140625" style="52"/>
    <col min="11768" max="11768" width="8.7109375" style="52" customWidth="1"/>
    <col min="11769" max="11769" width="9.85546875" style="52" customWidth="1"/>
    <col min="11770" max="11770" width="14.42578125" style="52" customWidth="1"/>
    <col min="11771" max="11771" width="7.28515625" style="52" customWidth="1"/>
    <col min="11772" max="11772" width="5.5703125" style="52" customWidth="1"/>
    <col min="11773" max="11773" width="9" style="52" customWidth="1"/>
    <col min="11774" max="11775" width="9.85546875" style="52" customWidth="1"/>
    <col min="11776" max="11776" width="11.140625" style="52" customWidth="1"/>
    <col min="11777" max="11777" width="2.85546875" style="52" customWidth="1"/>
    <col min="11778" max="11778" width="3.5703125" style="52" customWidth="1"/>
    <col min="11779" max="12023" width="9.140625" style="52"/>
    <col min="12024" max="12024" width="8.7109375" style="52" customWidth="1"/>
    <col min="12025" max="12025" width="9.85546875" style="52" customWidth="1"/>
    <col min="12026" max="12026" width="14.42578125" style="52" customWidth="1"/>
    <col min="12027" max="12027" width="7.28515625" style="52" customWidth="1"/>
    <col min="12028" max="12028" width="5.5703125" style="52" customWidth="1"/>
    <col min="12029" max="12029" width="9" style="52" customWidth="1"/>
    <col min="12030" max="12031" width="9.85546875" style="52" customWidth="1"/>
    <col min="12032" max="12032" width="11.140625" style="52" customWidth="1"/>
    <col min="12033" max="12033" width="2.85546875" style="52" customWidth="1"/>
    <col min="12034" max="12034" width="3.5703125" style="52" customWidth="1"/>
    <col min="12035" max="12279" width="9.140625" style="52"/>
    <col min="12280" max="12280" width="8.7109375" style="52" customWidth="1"/>
    <col min="12281" max="12281" width="9.85546875" style="52" customWidth="1"/>
    <col min="12282" max="12282" width="14.42578125" style="52" customWidth="1"/>
    <col min="12283" max="12283" width="7.28515625" style="52" customWidth="1"/>
    <col min="12284" max="12284" width="5.5703125" style="52" customWidth="1"/>
    <col min="12285" max="12285" width="9" style="52" customWidth="1"/>
    <col min="12286" max="12287" width="9.85546875" style="52" customWidth="1"/>
    <col min="12288" max="12288" width="11.140625" style="52" customWidth="1"/>
    <col min="12289" max="12289" width="2.85546875" style="52" customWidth="1"/>
    <col min="12290" max="12290" width="3.5703125" style="52" customWidth="1"/>
    <col min="12291" max="12535" width="9.140625" style="52"/>
    <col min="12536" max="12536" width="8.7109375" style="52" customWidth="1"/>
    <col min="12537" max="12537" width="9.85546875" style="52" customWidth="1"/>
    <col min="12538" max="12538" width="14.42578125" style="52" customWidth="1"/>
    <col min="12539" max="12539" width="7.28515625" style="52" customWidth="1"/>
    <col min="12540" max="12540" width="5.5703125" style="52" customWidth="1"/>
    <col min="12541" max="12541" width="9" style="52" customWidth="1"/>
    <col min="12542" max="12543" width="9.85546875" style="52" customWidth="1"/>
    <col min="12544" max="12544" width="11.140625" style="52" customWidth="1"/>
    <col min="12545" max="12545" width="2.85546875" style="52" customWidth="1"/>
    <col min="12546" max="12546" width="3.5703125" style="52" customWidth="1"/>
    <col min="12547" max="12791" width="9.140625" style="52"/>
    <col min="12792" max="12792" width="8.7109375" style="52" customWidth="1"/>
    <col min="12793" max="12793" width="9.85546875" style="52" customWidth="1"/>
    <col min="12794" max="12794" width="14.42578125" style="52" customWidth="1"/>
    <col min="12795" max="12795" width="7.28515625" style="52" customWidth="1"/>
    <col min="12796" max="12796" width="5.5703125" style="52" customWidth="1"/>
    <col min="12797" max="12797" width="9" style="52" customWidth="1"/>
    <col min="12798" max="12799" width="9.85546875" style="52" customWidth="1"/>
    <col min="12800" max="12800" width="11.140625" style="52" customWidth="1"/>
    <col min="12801" max="12801" width="2.85546875" style="52" customWidth="1"/>
    <col min="12802" max="12802" width="3.5703125" style="52" customWidth="1"/>
    <col min="12803" max="13047" width="9.140625" style="52"/>
    <col min="13048" max="13048" width="8.7109375" style="52" customWidth="1"/>
    <col min="13049" max="13049" width="9.85546875" style="52" customWidth="1"/>
    <col min="13050" max="13050" width="14.42578125" style="52" customWidth="1"/>
    <col min="13051" max="13051" width="7.28515625" style="52" customWidth="1"/>
    <col min="13052" max="13052" width="5.5703125" style="52" customWidth="1"/>
    <col min="13053" max="13053" width="9" style="52" customWidth="1"/>
    <col min="13054" max="13055" width="9.85546875" style="52" customWidth="1"/>
    <col min="13056" max="13056" width="11.140625" style="52" customWidth="1"/>
    <col min="13057" max="13057" width="2.85546875" style="52" customWidth="1"/>
    <col min="13058" max="13058" width="3.5703125" style="52" customWidth="1"/>
    <col min="13059" max="13303" width="9.140625" style="52"/>
    <col min="13304" max="13304" width="8.7109375" style="52" customWidth="1"/>
    <col min="13305" max="13305" width="9.85546875" style="52" customWidth="1"/>
    <col min="13306" max="13306" width="14.42578125" style="52" customWidth="1"/>
    <col min="13307" max="13307" width="7.28515625" style="52" customWidth="1"/>
    <col min="13308" max="13308" width="5.5703125" style="52" customWidth="1"/>
    <col min="13309" max="13309" width="9" style="52" customWidth="1"/>
    <col min="13310" max="13311" width="9.85546875" style="52" customWidth="1"/>
    <col min="13312" max="13312" width="11.140625" style="52" customWidth="1"/>
    <col min="13313" max="13313" width="2.85546875" style="52" customWidth="1"/>
    <col min="13314" max="13314" width="3.5703125" style="52" customWidth="1"/>
    <col min="13315" max="13559" width="9.140625" style="52"/>
    <col min="13560" max="13560" width="8.7109375" style="52" customWidth="1"/>
    <col min="13561" max="13561" width="9.85546875" style="52" customWidth="1"/>
    <col min="13562" max="13562" width="14.42578125" style="52" customWidth="1"/>
    <col min="13563" max="13563" width="7.28515625" style="52" customWidth="1"/>
    <col min="13564" max="13564" width="5.5703125" style="52" customWidth="1"/>
    <col min="13565" max="13565" width="9" style="52" customWidth="1"/>
    <col min="13566" max="13567" width="9.85546875" style="52" customWidth="1"/>
    <col min="13568" max="13568" width="11.140625" style="52" customWidth="1"/>
    <col min="13569" max="13569" width="2.85546875" style="52" customWidth="1"/>
    <col min="13570" max="13570" width="3.5703125" style="52" customWidth="1"/>
    <col min="13571" max="13815" width="9.140625" style="52"/>
    <col min="13816" max="13816" width="8.7109375" style="52" customWidth="1"/>
    <col min="13817" max="13817" width="9.85546875" style="52" customWidth="1"/>
    <col min="13818" max="13818" width="14.42578125" style="52" customWidth="1"/>
    <col min="13819" max="13819" width="7.28515625" style="52" customWidth="1"/>
    <col min="13820" max="13820" width="5.5703125" style="52" customWidth="1"/>
    <col min="13821" max="13821" width="9" style="52" customWidth="1"/>
    <col min="13822" max="13823" width="9.85546875" style="52" customWidth="1"/>
    <col min="13824" max="13824" width="11.140625" style="52" customWidth="1"/>
    <col min="13825" max="13825" width="2.85546875" style="52" customWidth="1"/>
    <col min="13826" max="13826" width="3.5703125" style="52" customWidth="1"/>
    <col min="13827" max="14071" width="9.140625" style="52"/>
    <col min="14072" max="14072" width="8.7109375" style="52" customWidth="1"/>
    <col min="14073" max="14073" width="9.85546875" style="52" customWidth="1"/>
    <col min="14074" max="14074" width="14.42578125" style="52" customWidth="1"/>
    <col min="14075" max="14075" width="7.28515625" style="52" customWidth="1"/>
    <col min="14076" max="14076" width="5.5703125" style="52" customWidth="1"/>
    <col min="14077" max="14077" width="9" style="52" customWidth="1"/>
    <col min="14078" max="14079" width="9.85546875" style="52" customWidth="1"/>
    <col min="14080" max="14080" width="11.140625" style="52" customWidth="1"/>
    <col min="14081" max="14081" width="2.85546875" style="52" customWidth="1"/>
    <col min="14082" max="14082" width="3.5703125" style="52" customWidth="1"/>
    <col min="14083" max="14327" width="9.140625" style="52"/>
    <col min="14328" max="14328" width="8.7109375" style="52" customWidth="1"/>
    <col min="14329" max="14329" width="9.85546875" style="52" customWidth="1"/>
    <col min="14330" max="14330" width="14.42578125" style="52" customWidth="1"/>
    <col min="14331" max="14331" width="7.28515625" style="52" customWidth="1"/>
    <col min="14332" max="14332" width="5.5703125" style="52" customWidth="1"/>
    <col min="14333" max="14333" width="9" style="52" customWidth="1"/>
    <col min="14334" max="14335" width="9.85546875" style="52" customWidth="1"/>
    <col min="14336" max="14336" width="11.140625" style="52" customWidth="1"/>
    <col min="14337" max="14337" width="2.85546875" style="52" customWidth="1"/>
    <col min="14338" max="14338" width="3.5703125" style="52" customWidth="1"/>
    <col min="14339" max="14583" width="9.140625" style="52"/>
    <col min="14584" max="14584" width="8.7109375" style="52" customWidth="1"/>
    <col min="14585" max="14585" width="9.85546875" style="52" customWidth="1"/>
    <col min="14586" max="14586" width="14.42578125" style="52" customWidth="1"/>
    <col min="14587" max="14587" width="7.28515625" style="52" customWidth="1"/>
    <col min="14588" max="14588" width="5.5703125" style="52" customWidth="1"/>
    <col min="14589" max="14589" width="9" style="52" customWidth="1"/>
    <col min="14590" max="14591" width="9.85546875" style="52" customWidth="1"/>
    <col min="14592" max="14592" width="11.140625" style="52" customWidth="1"/>
    <col min="14593" max="14593" width="2.85546875" style="52" customWidth="1"/>
    <col min="14594" max="14594" width="3.5703125" style="52" customWidth="1"/>
    <col min="14595" max="14839" width="9.140625" style="52"/>
    <col min="14840" max="14840" width="8.7109375" style="52" customWidth="1"/>
    <col min="14841" max="14841" width="9.85546875" style="52" customWidth="1"/>
    <col min="14842" max="14842" width="14.42578125" style="52" customWidth="1"/>
    <col min="14843" max="14843" width="7.28515625" style="52" customWidth="1"/>
    <col min="14844" max="14844" width="5.5703125" style="52" customWidth="1"/>
    <col min="14845" max="14845" width="9" style="52" customWidth="1"/>
    <col min="14846" max="14847" width="9.85546875" style="52" customWidth="1"/>
    <col min="14848" max="14848" width="11.140625" style="52" customWidth="1"/>
    <col min="14849" max="14849" width="2.85546875" style="52" customWidth="1"/>
    <col min="14850" max="14850" width="3.5703125" style="52" customWidth="1"/>
    <col min="14851" max="15095" width="9.140625" style="52"/>
    <col min="15096" max="15096" width="8.7109375" style="52" customWidth="1"/>
    <col min="15097" max="15097" width="9.85546875" style="52" customWidth="1"/>
    <col min="15098" max="15098" width="14.42578125" style="52" customWidth="1"/>
    <col min="15099" max="15099" width="7.28515625" style="52" customWidth="1"/>
    <col min="15100" max="15100" width="5.5703125" style="52" customWidth="1"/>
    <col min="15101" max="15101" width="9" style="52" customWidth="1"/>
    <col min="15102" max="15103" width="9.85546875" style="52" customWidth="1"/>
    <col min="15104" max="15104" width="11.140625" style="52" customWidth="1"/>
    <col min="15105" max="15105" width="2.85546875" style="52" customWidth="1"/>
    <col min="15106" max="15106" width="3.5703125" style="52" customWidth="1"/>
    <col min="15107" max="15351" width="9.140625" style="52"/>
    <col min="15352" max="15352" width="8.7109375" style="52" customWidth="1"/>
    <col min="15353" max="15353" width="9.85546875" style="52" customWidth="1"/>
    <col min="15354" max="15354" width="14.42578125" style="52" customWidth="1"/>
    <col min="15355" max="15355" width="7.28515625" style="52" customWidth="1"/>
    <col min="15356" max="15356" width="5.5703125" style="52" customWidth="1"/>
    <col min="15357" max="15357" width="9" style="52" customWidth="1"/>
    <col min="15358" max="15359" width="9.85546875" style="52" customWidth="1"/>
    <col min="15360" max="15360" width="11.140625" style="52" customWidth="1"/>
    <col min="15361" max="15361" width="2.85546875" style="52" customWidth="1"/>
    <col min="15362" max="15362" width="3.5703125" style="52" customWidth="1"/>
    <col min="15363" max="15607" width="9.140625" style="52"/>
    <col min="15608" max="15608" width="8.7109375" style="52" customWidth="1"/>
    <col min="15609" max="15609" width="9.85546875" style="52" customWidth="1"/>
    <col min="15610" max="15610" width="14.42578125" style="52" customWidth="1"/>
    <col min="15611" max="15611" width="7.28515625" style="52" customWidth="1"/>
    <col min="15612" max="15612" width="5.5703125" style="52" customWidth="1"/>
    <col min="15613" max="15613" width="9" style="52" customWidth="1"/>
    <col min="15614" max="15615" width="9.85546875" style="52" customWidth="1"/>
    <col min="15616" max="15616" width="11.140625" style="52" customWidth="1"/>
    <col min="15617" max="15617" width="2.85546875" style="52" customWidth="1"/>
    <col min="15618" max="15618" width="3.5703125" style="52" customWidth="1"/>
    <col min="15619" max="15863" width="9.140625" style="52"/>
    <col min="15864" max="15864" width="8.7109375" style="52" customWidth="1"/>
    <col min="15865" max="15865" width="9.85546875" style="52" customWidth="1"/>
    <col min="15866" max="15866" width="14.42578125" style="52" customWidth="1"/>
    <col min="15867" max="15867" width="7.28515625" style="52" customWidth="1"/>
    <col min="15868" max="15868" width="5.5703125" style="52" customWidth="1"/>
    <col min="15869" max="15869" width="9" style="52" customWidth="1"/>
    <col min="15870" max="15871" width="9.85546875" style="52" customWidth="1"/>
    <col min="15872" max="15872" width="11.140625" style="52" customWidth="1"/>
    <col min="15873" max="15873" width="2.85546875" style="52" customWidth="1"/>
    <col min="15874" max="15874" width="3.5703125" style="52" customWidth="1"/>
    <col min="15875" max="16119" width="9.140625" style="52"/>
    <col min="16120" max="16120" width="8.7109375" style="52" customWidth="1"/>
    <col min="16121" max="16121" width="9.85546875" style="52" customWidth="1"/>
    <col min="16122" max="16122" width="14.42578125" style="52" customWidth="1"/>
    <col min="16123" max="16123" width="7.28515625" style="52" customWidth="1"/>
    <col min="16124" max="16124" width="5.5703125" style="52" customWidth="1"/>
    <col min="16125" max="16125" width="9" style="52" customWidth="1"/>
    <col min="16126" max="16127" width="9.85546875" style="52" customWidth="1"/>
    <col min="16128" max="16128" width="11.140625" style="52" customWidth="1"/>
    <col min="16129" max="16129" width="2.85546875" style="52" customWidth="1"/>
    <col min="16130" max="16130" width="3.5703125" style="52" customWidth="1"/>
    <col min="16131" max="16384" width="9.140625" style="52"/>
  </cols>
  <sheetData>
    <row r="1" spans="1:8" ht="46.5" customHeight="1" x14ac:dyDescent="0.25">
      <c r="A1" s="143" t="s">
        <v>239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8" x14ac:dyDescent="0.25">
      <c r="A3" s="103" t="s">
        <v>1</v>
      </c>
      <c r="B3" s="103"/>
      <c r="C3" s="103"/>
      <c r="D3" s="103"/>
      <c r="E3" s="144" t="str">
        <f ca="1">TEXT(TODAY(),"DD/MM/YYYY")</f>
        <v>10/09/2025</v>
      </c>
      <c r="F3" s="144"/>
      <c r="G3" s="144"/>
      <c r="H3" s="144"/>
    </row>
    <row r="4" spans="1:8" ht="15" customHeight="1" x14ac:dyDescent="0.25">
      <c r="A4" s="103" t="s">
        <v>2</v>
      </c>
      <c r="B4" s="103"/>
      <c r="C4" s="103"/>
      <c r="D4" s="103"/>
      <c r="E4" s="145" t="s">
        <v>203</v>
      </c>
      <c r="F4" s="145"/>
      <c r="G4" s="145"/>
      <c r="H4" s="145"/>
    </row>
    <row r="5" spans="1:8" x14ac:dyDescent="0.25">
      <c r="A5" s="103" t="s">
        <v>3</v>
      </c>
      <c r="B5" s="103"/>
      <c r="C5" s="103"/>
      <c r="D5" s="103"/>
      <c r="E5" s="144">
        <v>45909</v>
      </c>
      <c r="F5" s="144"/>
      <c r="G5" s="144"/>
      <c r="H5" s="144"/>
    </row>
    <row r="6" spans="1:8" ht="16.5" customHeight="1" x14ac:dyDescent="0.25">
      <c r="A6" s="103" t="s">
        <v>4</v>
      </c>
      <c r="B6" s="103"/>
      <c r="C6" s="103"/>
      <c r="D6" s="103"/>
      <c r="E6" s="135" t="s">
        <v>204</v>
      </c>
      <c r="F6" s="135"/>
      <c r="G6" s="135"/>
      <c r="H6" s="135"/>
    </row>
    <row r="7" spans="1:8" ht="15" customHeight="1" x14ac:dyDescent="0.25">
      <c r="A7" s="103" t="s">
        <v>5</v>
      </c>
      <c r="B7" s="103"/>
      <c r="C7" s="103"/>
      <c r="D7" s="103"/>
      <c r="E7" s="135" t="str">
        <f>E6</f>
        <v>M/s.Prabha Realty</v>
      </c>
      <c r="F7" s="135"/>
      <c r="G7" s="135"/>
      <c r="H7" s="135"/>
    </row>
    <row r="8" spans="1:8" x14ac:dyDescent="0.25">
      <c r="A8" s="103" t="s">
        <v>6</v>
      </c>
      <c r="B8" s="103"/>
      <c r="C8" s="103"/>
      <c r="D8" s="103"/>
      <c r="E8" s="141" t="s">
        <v>205</v>
      </c>
      <c r="F8" s="141"/>
      <c r="G8" s="141"/>
      <c r="H8" s="141"/>
    </row>
    <row r="9" spans="1:8" x14ac:dyDescent="0.25">
      <c r="A9" s="103" t="s">
        <v>162</v>
      </c>
      <c r="B9" s="103"/>
      <c r="C9" s="103"/>
      <c r="D9" s="103"/>
      <c r="E9" s="103">
        <v>9607197979</v>
      </c>
      <c r="F9" s="103"/>
      <c r="G9" s="103"/>
      <c r="H9" s="103"/>
    </row>
    <row r="10" spans="1:8" ht="48.75" customHeight="1" x14ac:dyDescent="0.25">
      <c r="A10" s="133" t="s">
        <v>7</v>
      </c>
      <c r="B10" s="133"/>
      <c r="C10" s="133"/>
      <c r="D10" s="133"/>
      <c r="E10" s="134" t="s">
        <v>248</v>
      </c>
      <c r="F10" s="133"/>
      <c r="G10" s="133"/>
      <c r="H10" s="133"/>
    </row>
    <row r="11" spans="1:8" x14ac:dyDescent="0.25">
      <c r="A11" s="103" t="s">
        <v>8</v>
      </c>
      <c r="B11" s="103"/>
      <c r="C11" s="103"/>
      <c r="D11" s="103"/>
      <c r="E11" s="134" t="s">
        <v>223</v>
      </c>
      <c r="F11" s="134"/>
      <c r="G11" s="134"/>
      <c r="H11" s="134"/>
    </row>
    <row r="12" spans="1:8" x14ac:dyDescent="0.25">
      <c r="A12" s="103" t="s">
        <v>9</v>
      </c>
      <c r="B12" s="103"/>
      <c r="C12" s="103"/>
      <c r="D12" s="103"/>
      <c r="E12" s="134" t="s">
        <v>206</v>
      </c>
      <c r="F12" s="133"/>
      <c r="G12" s="133"/>
      <c r="H12" s="133"/>
    </row>
    <row r="13" spans="1:8" ht="33.75" customHeight="1" x14ac:dyDescent="0.25">
      <c r="A13" s="135" t="s">
        <v>10</v>
      </c>
      <c r="B13" s="135"/>
      <c r="C13" s="13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Shree Balaji Avenue, Gut No.108, 111, 112, 113, 115, 116, 118, near Jupiter Complex, Tatat Housing Road, Betegaon, Palghar, Palghar, Palghar.</v>
      </c>
      <c r="D13" s="135"/>
      <c r="E13" s="135"/>
      <c r="F13" s="135"/>
      <c r="G13" s="135"/>
      <c r="H13" s="135"/>
    </row>
    <row r="14" spans="1:8" x14ac:dyDescent="0.25">
      <c r="A14" s="134" t="s">
        <v>212</v>
      </c>
      <c r="B14" s="134"/>
      <c r="C14" s="134" t="s">
        <v>225</v>
      </c>
      <c r="D14" s="134"/>
      <c r="E14" s="134"/>
      <c r="F14" s="134"/>
      <c r="G14" s="134"/>
      <c r="H14" s="134"/>
    </row>
    <row r="15" spans="1:8" ht="15.75" customHeight="1" x14ac:dyDescent="0.25">
      <c r="A15" s="135" t="s">
        <v>11</v>
      </c>
      <c r="B15" s="135"/>
      <c r="C15" s="133" t="s">
        <v>207</v>
      </c>
      <c r="D15" s="133"/>
      <c r="E15" s="135" t="s">
        <v>104</v>
      </c>
      <c r="F15" s="135"/>
      <c r="G15" s="134" t="s">
        <v>210</v>
      </c>
      <c r="H15" s="134"/>
    </row>
    <row r="16" spans="1:8" x14ac:dyDescent="0.25">
      <c r="A16" s="103" t="s">
        <v>13</v>
      </c>
      <c r="B16" s="103"/>
      <c r="C16" s="134" t="s">
        <v>211</v>
      </c>
      <c r="D16" s="134"/>
      <c r="E16" s="135" t="s">
        <v>12</v>
      </c>
      <c r="F16" s="135"/>
      <c r="G16" s="134" t="s">
        <v>211</v>
      </c>
      <c r="H16" s="134"/>
    </row>
    <row r="17" spans="1:8" x14ac:dyDescent="0.25">
      <c r="A17" s="103" t="s">
        <v>105</v>
      </c>
      <c r="B17" s="103"/>
      <c r="C17" s="134" t="s">
        <v>211</v>
      </c>
      <c r="D17" s="134"/>
      <c r="E17" s="135" t="s">
        <v>14</v>
      </c>
      <c r="F17" s="135"/>
      <c r="G17" s="134">
        <v>401501</v>
      </c>
      <c r="H17" s="134"/>
    </row>
    <row r="18" spans="1:8" ht="32.25" customHeight="1" x14ac:dyDescent="0.25">
      <c r="A18" s="103" t="s">
        <v>163</v>
      </c>
      <c r="B18" s="103"/>
      <c r="C18" s="135" t="s">
        <v>213</v>
      </c>
      <c r="D18" s="135"/>
      <c r="E18" s="135" t="s">
        <v>15</v>
      </c>
      <c r="F18" s="135"/>
      <c r="G18" s="134" t="s">
        <v>214</v>
      </c>
      <c r="H18" s="134"/>
    </row>
    <row r="19" spans="1:8" ht="15" customHeight="1" x14ac:dyDescent="0.25">
      <c r="A19" s="135" t="s">
        <v>110</v>
      </c>
      <c r="B19" s="135"/>
      <c r="C19" s="135"/>
      <c r="D19" s="135"/>
      <c r="E19" s="133" t="s">
        <v>16</v>
      </c>
      <c r="F19" s="133"/>
      <c r="G19" s="133"/>
      <c r="H19" s="133"/>
    </row>
    <row r="20" spans="1:8" ht="18.75" customHeight="1" x14ac:dyDescent="0.25">
      <c r="A20" s="135"/>
      <c r="B20" s="135"/>
      <c r="C20" s="135"/>
      <c r="D20" s="135"/>
      <c r="E20" s="133"/>
      <c r="F20" s="133"/>
      <c r="G20" s="133"/>
      <c r="H20" s="133"/>
    </row>
    <row r="21" spans="1:8" ht="15" customHeight="1" x14ac:dyDescent="0.25">
      <c r="A21" s="135" t="s">
        <v>17</v>
      </c>
      <c r="B21" s="135"/>
      <c r="C21" s="135"/>
      <c r="D21" s="135"/>
      <c r="E21" s="134" t="s">
        <v>18</v>
      </c>
      <c r="F21" s="134"/>
      <c r="G21" s="134"/>
      <c r="H21" s="134"/>
    </row>
    <row r="22" spans="1:8" ht="15" customHeight="1" x14ac:dyDescent="0.25">
      <c r="A22" s="103" t="s">
        <v>19</v>
      </c>
      <c r="B22" s="103"/>
      <c r="C22" s="103"/>
      <c r="D22" s="103"/>
      <c r="E22" s="134" t="str">
        <f>IF(AND(G16="Mumbai"),"Upper Class","Middle Class")</f>
        <v>Middle Class</v>
      </c>
      <c r="F22" s="134"/>
      <c r="G22" s="134"/>
      <c r="H22" s="134"/>
    </row>
    <row r="23" spans="1:8" x14ac:dyDescent="0.25">
      <c r="A23" s="103" t="s">
        <v>20</v>
      </c>
      <c r="B23" s="103"/>
      <c r="C23" s="103"/>
      <c r="D23" s="103"/>
      <c r="E23" s="134" t="s">
        <v>21</v>
      </c>
      <c r="F23" s="134"/>
      <c r="G23" s="134"/>
      <c r="H23" s="134"/>
    </row>
    <row r="24" spans="1:8" ht="15.75" customHeight="1" x14ac:dyDescent="0.25">
      <c r="A24" s="103" t="s">
        <v>22</v>
      </c>
      <c r="B24" s="103"/>
      <c r="C24" s="103"/>
      <c r="D24" s="103"/>
      <c r="E24" s="134" t="str">
        <f>IF(AND(G16="Mumbai"),"Developed","Developing")</f>
        <v>Developing</v>
      </c>
      <c r="F24" s="134"/>
      <c r="G24" s="134"/>
      <c r="H24" s="134"/>
    </row>
    <row r="25" spans="1:8" x14ac:dyDescent="0.25">
      <c r="A25" s="103" t="s">
        <v>23</v>
      </c>
      <c r="B25" s="103"/>
      <c r="C25" s="103"/>
      <c r="D25" s="103"/>
      <c r="E25" s="134" t="s">
        <v>24</v>
      </c>
      <c r="F25" s="134"/>
      <c r="G25" s="134"/>
      <c r="H25" s="134"/>
    </row>
    <row r="26" spans="1:8" x14ac:dyDescent="0.25">
      <c r="A26" s="103" t="s">
        <v>116</v>
      </c>
      <c r="B26" s="103"/>
      <c r="C26" s="103"/>
      <c r="D26" s="103"/>
      <c r="E26" s="134" t="s">
        <v>117</v>
      </c>
      <c r="F26" s="134"/>
      <c r="G26" s="134"/>
      <c r="H26" s="134"/>
    </row>
    <row r="27" spans="1:8" ht="15" customHeight="1" x14ac:dyDescent="0.25">
      <c r="A27" s="135" t="s">
        <v>35</v>
      </c>
      <c r="B27" s="135"/>
      <c r="C27" s="135"/>
      <c r="D27" s="135"/>
      <c r="E27" s="145" t="s">
        <v>114</v>
      </c>
      <c r="F27" s="145"/>
      <c r="G27" s="145"/>
      <c r="H27" s="145"/>
    </row>
    <row r="28" spans="1:8" x14ac:dyDescent="0.25">
      <c r="A28" s="135" t="s">
        <v>128</v>
      </c>
      <c r="B28" s="135"/>
      <c r="C28" s="135"/>
      <c r="D28" s="135"/>
      <c r="E28" s="135" t="s">
        <v>36</v>
      </c>
      <c r="F28" s="135"/>
      <c r="G28" s="135"/>
      <c r="H28" s="135"/>
    </row>
    <row r="29" spans="1:8" s="53" customFormat="1" x14ac:dyDescent="0.25">
      <c r="A29" s="151" t="s">
        <v>129</v>
      </c>
      <c r="B29" s="151"/>
      <c r="C29" s="148" t="s">
        <v>29</v>
      </c>
      <c r="D29" s="148"/>
      <c r="E29" s="148"/>
      <c r="F29" s="148" t="s">
        <v>31</v>
      </c>
      <c r="G29" s="148"/>
      <c r="H29" s="148"/>
    </row>
    <row r="30" spans="1:8" s="53" customFormat="1" x14ac:dyDescent="0.25">
      <c r="A30" s="147" t="s">
        <v>25</v>
      </c>
      <c r="B30" s="147" t="s">
        <v>30</v>
      </c>
      <c r="C30" s="146" t="s">
        <v>30</v>
      </c>
      <c r="D30" s="146"/>
      <c r="E30" s="146"/>
      <c r="F30" s="146" t="s">
        <v>11</v>
      </c>
      <c r="G30" s="146"/>
      <c r="H30" s="146"/>
    </row>
    <row r="31" spans="1:8" x14ac:dyDescent="0.25">
      <c r="A31" s="147" t="s">
        <v>26</v>
      </c>
      <c r="B31" s="147" t="s">
        <v>30</v>
      </c>
      <c r="C31" s="146" t="s">
        <v>30</v>
      </c>
      <c r="D31" s="146"/>
      <c r="E31" s="146"/>
      <c r="F31" s="146" t="s">
        <v>208</v>
      </c>
      <c r="G31" s="146"/>
      <c r="H31" s="146"/>
    </row>
    <row r="32" spans="1:8" s="53" customFormat="1" x14ac:dyDescent="0.25">
      <c r="A32" s="147" t="s">
        <v>28</v>
      </c>
      <c r="B32" s="147" t="s">
        <v>30</v>
      </c>
      <c r="C32" s="146" t="s">
        <v>30</v>
      </c>
      <c r="D32" s="146"/>
      <c r="E32" s="146"/>
      <c r="F32" s="146" t="s">
        <v>11</v>
      </c>
      <c r="G32" s="146"/>
      <c r="H32" s="146"/>
    </row>
    <row r="33" spans="1:8" x14ac:dyDescent="0.25">
      <c r="A33" s="147" t="s">
        <v>27</v>
      </c>
      <c r="B33" s="147" t="s">
        <v>30</v>
      </c>
      <c r="C33" s="146" t="s">
        <v>30</v>
      </c>
      <c r="D33" s="146"/>
      <c r="E33" s="146"/>
      <c r="F33" s="146" t="s">
        <v>208</v>
      </c>
      <c r="G33" s="146"/>
      <c r="H33" s="146"/>
    </row>
    <row r="34" spans="1:8" x14ac:dyDescent="0.25">
      <c r="A34" s="103" t="s">
        <v>32</v>
      </c>
      <c r="B34" s="103"/>
      <c r="C34" s="103"/>
      <c r="D34" s="103"/>
      <c r="E34" s="103"/>
      <c r="F34" s="103"/>
      <c r="G34" s="103"/>
      <c r="H34" s="103"/>
    </row>
    <row r="35" spans="1:8" ht="15.75" customHeight="1" x14ac:dyDescent="0.25">
      <c r="A35" s="111" t="s">
        <v>33</v>
      </c>
      <c r="B35" s="111"/>
      <c r="C35" s="149">
        <v>19.788816000000001</v>
      </c>
      <c r="D35" s="149"/>
      <c r="E35" s="111" t="s">
        <v>34</v>
      </c>
      <c r="F35" s="111"/>
      <c r="G35" s="150">
        <v>72.785495999999995</v>
      </c>
      <c r="H35" s="150"/>
    </row>
    <row r="36" spans="1:8" ht="15.75" customHeight="1" x14ac:dyDescent="0.25">
      <c r="A36" s="111" t="s">
        <v>237</v>
      </c>
      <c r="B36" s="111"/>
      <c r="C36" s="189" t="s">
        <v>238</v>
      </c>
      <c r="D36" s="190"/>
      <c r="E36" s="190"/>
      <c r="F36" s="190"/>
      <c r="G36" s="190"/>
      <c r="H36" s="191"/>
    </row>
    <row r="37" spans="1:8" x14ac:dyDescent="0.25">
      <c r="A37" s="141" t="s">
        <v>37</v>
      </c>
      <c r="B37" s="141"/>
      <c r="C37" s="141"/>
      <c r="D37" s="141"/>
      <c r="E37" s="141"/>
      <c r="F37" s="141"/>
      <c r="G37" s="141"/>
      <c r="H37" s="141"/>
    </row>
    <row r="38" spans="1:8" x14ac:dyDescent="0.25">
      <c r="A38" s="103" t="s">
        <v>38</v>
      </c>
      <c r="B38" s="103"/>
      <c r="C38" s="103"/>
      <c r="D38" s="103"/>
      <c r="E38" s="177">
        <v>119390.77</v>
      </c>
      <c r="F38" s="177"/>
      <c r="G38" s="177"/>
      <c r="H38" s="177"/>
    </row>
    <row r="39" spans="1:8" x14ac:dyDescent="0.25">
      <c r="A39" s="103" t="s">
        <v>39</v>
      </c>
      <c r="B39" s="103"/>
      <c r="C39" s="103"/>
      <c r="D39" s="103"/>
      <c r="E39" s="181">
        <v>0.9</v>
      </c>
      <c r="F39" s="181"/>
      <c r="G39" s="181"/>
      <c r="H39" s="181"/>
    </row>
    <row r="40" spans="1:8" x14ac:dyDescent="0.25">
      <c r="A40" s="103" t="s">
        <v>40</v>
      </c>
      <c r="B40" s="103"/>
      <c r="C40" s="103"/>
      <c r="D40" s="103"/>
      <c r="E40" s="181">
        <f>E42/E38-E39</f>
        <v>-2.5127570579819292E-8</v>
      </c>
      <c r="F40" s="181"/>
      <c r="G40" s="181"/>
      <c r="H40" s="181"/>
    </row>
    <row r="41" spans="1:8" x14ac:dyDescent="0.25">
      <c r="A41" s="103" t="s">
        <v>41</v>
      </c>
      <c r="B41" s="103"/>
      <c r="C41" s="103"/>
      <c r="D41" s="103"/>
      <c r="E41" s="181">
        <f>E39+E40</f>
        <v>0.89999997487242944</v>
      </c>
      <c r="F41" s="181"/>
      <c r="G41" s="181"/>
      <c r="H41" s="181"/>
    </row>
    <row r="42" spans="1:8" x14ac:dyDescent="0.25">
      <c r="A42" s="103" t="s">
        <v>127</v>
      </c>
      <c r="B42" s="103"/>
      <c r="C42" s="103"/>
      <c r="D42" s="103"/>
      <c r="E42" s="182">
        <v>107451.69</v>
      </c>
      <c r="F42" s="182"/>
      <c r="G42" s="182"/>
      <c r="H42" s="182"/>
    </row>
    <row r="43" spans="1:8" x14ac:dyDescent="0.25">
      <c r="A43" s="133" t="s">
        <v>42</v>
      </c>
      <c r="B43" s="133"/>
      <c r="C43" s="133"/>
      <c r="D43" s="133"/>
      <c r="E43" s="133" t="s">
        <v>235</v>
      </c>
      <c r="F43" s="133"/>
      <c r="G43" s="133"/>
      <c r="H43" s="133"/>
    </row>
    <row r="44" spans="1:8" x14ac:dyDescent="0.25">
      <c r="A44" s="141" t="s">
        <v>43</v>
      </c>
      <c r="B44" s="141"/>
      <c r="C44" s="141"/>
      <c r="D44" s="141"/>
      <c r="E44" s="141"/>
      <c r="F44" s="141"/>
      <c r="G44" s="141"/>
      <c r="H44" s="141"/>
    </row>
    <row r="45" spans="1:8" x14ac:dyDescent="0.25">
      <c r="A45" s="134" t="s">
        <v>44</v>
      </c>
      <c r="B45" s="134"/>
      <c r="C45" s="134" t="s">
        <v>215</v>
      </c>
      <c r="D45" s="134"/>
      <c r="E45" s="134"/>
      <c r="F45" s="50" t="s">
        <v>45</v>
      </c>
      <c r="G45" s="173">
        <v>43277</v>
      </c>
      <c r="H45" s="173"/>
    </row>
    <row r="46" spans="1:8" x14ac:dyDescent="0.25">
      <c r="A46" s="133" t="s">
        <v>46</v>
      </c>
      <c r="B46" s="133"/>
      <c r="C46" s="134" t="str">
        <f>C45</f>
        <v>G.No.PJP/G.P/PDKRN/405</v>
      </c>
      <c r="D46" s="134"/>
      <c r="E46" s="134"/>
      <c r="F46" s="50" t="s">
        <v>45</v>
      </c>
      <c r="G46" s="173">
        <f>G45</f>
        <v>43277</v>
      </c>
      <c r="H46" s="173"/>
    </row>
    <row r="47" spans="1:8" s="55" customFormat="1" x14ac:dyDescent="0.25">
      <c r="A47" s="134" t="s">
        <v>47</v>
      </c>
      <c r="B47" s="134"/>
      <c r="C47" s="134" t="s">
        <v>215</v>
      </c>
      <c r="D47" s="133"/>
      <c r="E47" s="133"/>
      <c r="F47" s="54" t="s">
        <v>45</v>
      </c>
      <c r="G47" s="173">
        <f>G46</f>
        <v>43277</v>
      </c>
      <c r="H47" s="173"/>
    </row>
    <row r="48" spans="1:8" s="55" customFormat="1" ht="50.25" customHeight="1" x14ac:dyDescent="0.25">
      <c r="A48" s="134"/>
      <c r="B48" s="134"/>
      <c r="C48" s="183" t="s">
        <v>249</v>
      </c>
      <c r="D48" s="184"/>
      <c r="E48" s="184"/>
      <c r="F48" s="184"/>
      <c r="G48" s="184"/>
      <c r="H48" s="185"/>
    </row>
    <row r="49" spans="1:14" x14ac:dyDescent="0.25">
      <c r="A49" s="157" t="s">
        <v>48</v>
      </c>
      <c r="B49" s="157"/>
      <c r="C49" s="157" t="s">
        <v>142</v>
      </c>
      <c r="D49" s="163"/>
      <c r="E49" s="163" t="s">
        <v>49</v>
      </c>
      <c r="F49" s="43" t="s">
        <v>45</v>
      </c>
      <c r="G49" s="174" t="s">
        <v>30</v>
      </c>
      <c r="H49" s="174"/>
    </row>
    <row r="50" spans="1:14" x14ac:dyDescent="0.25">
      <c r="A50" s="110" t="s">
        <v>51</v>
      </c>
      <c r="B50" s="110"/>
      <c r="C50" s="110"/>
      <c r="D50" s="110"/>
      <c r="E50" s="110"/>
      <c r="F50" s="110"/>
      <c r="G50" s="110"/>
      <c r="H50" s="110"/>
    </row>
    <row r="51" spans="1:14" x14ac:dyDescent="0.25">
      <c r="A51" s="135" t="s">
        <v>126</v>
      </c>
      <c r="B51" s="135"/>
      <c r="C51" s="135"/>
      <c r="D51" s="103">
        <f>E42</f>
        <v>107451.69</v>
      </c>
      <c r="E51" s="103"/>
      <c r="F51" s="103"/>
      <c r="G51" s="103"/>
      <c r="H51" s="103"/>
    </row>
    <row r="52" spans="1:14" x14ac:dyDescent="0.25">
      <c r="A52" s="134" t="s">
        <v>52</v>
      </c>
      <c r="B52" s="133"/>
      <c r="C52" s="133"/>
      <c r="D52" s="133" t="s">
        <v>222</v>
      </c>
      <c r="E52" s="133"/>
      <c r="F52" s="133"/>
      <c r="G52" s="133"/>
      <c r="H52" s="133"/>
      <c r="I52" s="56"/>
    </row>
    <row r="53" spans="1:14" ht="15.75" customHeight="1" x14ac:dyDescent="0.25">
      <c r="A53" s="152" t="s">
        <v>53</v>
      </c>
      <c r="B53" s="153"/>
      <c r="C53" s="179"/>
      <c r="D53" s="178" t="s">
        <v>227</v>
      </c>
      <c r="E53" s="178"/>
      <c r="F53" s="178"/>
      <c r="G53" s="178"/>
      <c r="H53" s="178"/>
      <c r="I53" s="57"/>
    </row>
    <row r="54" spans="1:14" ht="15.75" customHeight="1" x14ac:dyDescent="0.25">
      <c r="A54" s="152" t="s">
        <v>124</v>
      </c>
      <c r="B54" s="153"/>
      <c r="C54" s="153"/>
      <c r="D54" s="154" t="s">
        <v>227</v>
      </c>
      <c r="E54" s="155"/>
      <c r="F54" s="155"/>
      <c r="G54" s="155"/>
      <c r="H54" s="156"/>
      <c r="I54" s="57"/>
    </row>
    <row r="55" spans="1:14" ht="15.75" customHeight="1" x14ac:dyDescent="0.25">
      <c r="A55" s="103" t="s">
        <v>50</v>
      </c>
      <c r="B55" s="103"/>
      <c r="C55" s="103"/>
      <c r="D55" s="180" t="s">
        <v>244</v>
      </c>
      <c r="E55" s="180"/>
      <c r="F55" s="180"/>
      <c r="G55" s="180"/>
      <c r="H55" s="180"/>
      <c r="J55" s="58"/>
      <c r="K55" s="56"/>
      <c r="N55" s="56"/>
    </row>
    <row r="56" spans="1:14" ht="15.75" customHeight="1" x14ac:dyDescent="0.25">
      <c r="A56" s="103" t="s">
        <v>122</v>
      </c>
      <c r="B56" s="103"/>
      <c r="C56" s="103"/>
      <c r="D56" s="175" t="str">
        <f>(IF(G49="NA","60 Years After Completion",IF(G49&lt;&gt;"NA",""&amp;ROUNDDOWN((E3-G49)/360,0)&amp;" Years"," ")))</f>
        <v>60 Years After Completion</v>
      </c>
      <c r="E56" s="175"/>
      <c r="F56" s="175"/>
      <c r="G56" s="175"/>
      <c r="H56" s="175"/>
      <c r="N56" s="56"/>
    </row>
    <row r="57" spans="1:14" ht="15.75" customHeight="1" x14ac:dyDescent="0.25">
      <c r="A57" s="103" t="s">
        <v>123</v>
      </c>
      <c r="B57" s="103"/>
      <c r="C57" s="103"/>
      <c r="D57" s="135" t="s">
        <v>24</v>
      </c>
      <c r="E57" s="135"/>
      <c r="F57" s="135"/>
      <c r="G57" s="135"/>
      <c r="H57" s="135"/>
      <c r="J57" s="59"/>
      <c r="K57" s="59"/>
    </row>
    <row r="58" spans="1:14" ht="15.75" customHeight="1" thickBot="1" x14ac:dyDescent="0.3">
      <c r="A58" s="176" t="s">
        <v>121</v>
      </c>
      <c r="B58" s="176"/>
      <c r="C58" s="176"/>
      <c r="D58" s="161" t="str">
        <f ca="1">(IF(G63&gt;95%,"Nothing",IF(G63&gt;0%,"Cement, Aggregate, Steel, etc",IF(G63=0%,"Work not yet Started"))))</f>
        <v>Cement, Aggregate, Steel, etc</v>
      </c>
      <c r="E58" s="161"/>
      <c r="F58" s="161"/>
      <c r="G58" s="161"/>
      <c r="H58" s="161"/>
      <c r="J58" s="59"/>
      <c r="K58" s="59"/>
    </row>
    <row r="59" spans="1:14" ht="15.75" customHeight="1" x14ac:dyDescent="0.25">
      <c r="A59" s="167" t="s">
        <v>195</v>
      </c>
      <c r="B59" s="168"/>
      <c r="C59" s="169" t="s">
        <v>242</v>
      </c>
      <c r="D59" s="170"/>
      <c r="E59" s="170"/>
      <c r="F59" s="170"/>
      <c r="G59" s="170"/>
      <c r="H59" s="171"/>
      <c r="I59" s="31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2 Floor completed</v>
      </c>
      <c r="J59" s="31"/>
      <c r="K59" s="60"/>
    </row>
    <row r="60" spans="1:14" x14ac:dyDescent="0.25">
      <c r="A60" s="45" t="s">
        <v>197</v>
      </c>
      <c r="B60" s="46">
        <v>0</v>
      </c>
      <c r="C60" s="46" t="s">
        <v>103</v>
      </c>
      <c r="D60" s="46">
        <v>1</v>
      </c>
      <c r="E60" s="46" t="s">
        <v>102</v>
      </c>
      <c r="F60" s="46">
        <v>0</v>
      </c>
      <c r="G60" s="46" t="s">
        <v>115</v>
      </c>
      <c r="H60" s="40">
        <f ca="1">--TRIM(RIGHT(SUBSTITUTE(LEFT(C59,_xlfn.AGGREGATE(16,6,FIND({0,1,2,3,4,5,6,7,8,9},C59,ROW(INDIRECT("1:"&amp;LEN(C59)))),1))," ",REPT(" ",LEN(C59))),LEN(C59)))</f>
        <v>4</v>
      </c>
      <c r="I60" s="32" t="s">
        <v>156</v>
      </c>
      <c r="J60" s="32"/>
      <c r="K60" s="61"/>
    </row>
    <row r="61" spans="1:14" ht="66" customHeight="1" x14ac:dyDescent="0.25">
      <c r="A61" s="162" t="s">
        <v>125</v>
      </c>
      <c r="B61" s="163"/>
      <c r="C61" s="157" t="str">
        <f ca="1">I59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2 Floor completed</v>
      </c>
      <c r="D61" s="157"/>
      <c r="E61" s="157"/>
      <c r="F61" s="157"/>
      <c r="G61" s="157"/>
      <c r="H61" s="172"/>
      <c r="I61" s="32" t="s">
        <v>141</v>
      </c>
      <c r="J61" s="32"/>
      <c r="K61" s="61"/>
    </row>
    <row r="62" spans="1:14" x14ac:dyDescent="0.25">
      <c r="A62" s="127" t="s">
        <v>54</v>
      </c>
      <c r="B62" s="128"/>
      <c r="C62" s="44" t="s">
        <v>194</v>
      </c>
      <c r="D62" s="44" t="s">
        <v>118</v>
      </c>
      <c r="E62" s="128" t="s">
        <v>120</v>
      </c>
      <c r="F62" s="128"/>
      <c r="G62" s="128" t="s">
        <v>119</v>
      </c>
      <c r="H62" s="136"/>
      <c r="I62" s="20" t="s">
        <v>196</v>
      </c>
      <c r="J62" s="62"/>
      <c r="K62" s="63">
        <f ca="1">H60*25%</f>
        <v>1</v>
      </c>
    </row>
    <row r="63" spans="1:14" x14ac:dyDescent="0.25">
      <c r="A63" s="127" t="s">
        <v>179</v>
      </c>
      <c r="B63" s="128"/>
      <c r="C63" s="64">
        <f ca="1">K64</f>
        <v>4</v>
      </c>
      <c r="D63" s="65">
        <f ca="1">((100/H60)*C63)/100</f>
        <v>1</v>
      </c>
      <c r="E63" s="129">
        <f ca="1">(IF(C61=I60,"100%",IF(C61=I61,"100%",(((C64/H60*10)+(40/(D60+F60+H60)*C65)+(7.5/(H60)*C66)+(7.5/(H60)*C67)+(10/H60*C68)+(10/H60*C69)+(5/H60*C70)+(5/H60*C71)+(5/H60*C72))/100))))</f>
        <v>0.92500000000000004</v>
      </c>
      <c r="F63" s="129"/>
      <c r="G63" s="129">
        <f ca="1">((((C63/H60)*20)+((C64/H60)*25)+(30/(H60+F60+D60)*C65)+(5/H60*C66)+(5/H60*C67)+(5/H60*C68)+(5/H60*C69)+(0/H60*C70)+(0/H60*C71)+(5/H60*C72))/100)</f>
        <v>0.95</v>
      </c>
      <c r="H63" s="131"/>
      <c r="I63" s="20" t="s">
        <v>135</v>
      </c>
      <c r="J63" s="66"/>
      <c r="K63" s="67">
        <f ca="1">H60*50%</f>
        <v>2</v>
      </c>
    </row>
    <row r="64" spans="1:14" x14ac:dyDescent="0.25">
      <c r="A64" s="127" t="s">
        <v>55</v>
      </c>
      <c r="B64" s="128"/>
      <c r="C64" s="68">
        <f ca="1">K72</f>
        <v>4</v>
      </c>
      <c r="D64" s="65">
        <f ca="1">((100/H60)*C64)/100</f>
        <v>1</v>
      </c>
      <c r="E64" s="129"/>
      <c r="F64" s="129"/>
      <c r="G64" s="129"/>
      <c r="H64" s="131"/>
      <c r="I64" s="20" t="s">
        <v>136</v>
      </c>
      <c r="J64" s="66"/>
      <c r="K64" s="67">
        <f ca="1">H60</f>
        <v>4</v>
      </c>
    </row>
    <row r="65" spans="1:11" ht="15.75" customHeight="1" x14ac:dyDescent="0.25">
      <c r="A65" s="164" t="s">
        <v>180</v>
      </c>
      <c r="B65" s="146"/>
      <c r="C65" s="68">
        <v>5</v>
      </c>
      <c r="D65" s="65">
        <f ca="1">((100/(D60+F60+H60))*C65)/100</f>
        <v>1</v>
      </c>
      <c r="E65" s="129"/>
      <c r="F65" s="129"/>
      <c r="G65" s="129"/>
      <c r="H65" s="131"/>
      <c r="I65" s="20" t="s">
        <v>137</v>
      </c>
      <c r="J65" s="66"/>
      <c r="K65" s="69">
        <f ca="1">(IF(B60=0,H60/4,(H60/(B60+4))))</f>
        <v>1</v>
      </c>
    </row>
    <row r="66" spans="1:11" ht="15.75" customHeight="1" x14ac:dyDescent="0.25">
      <c r="A66" s="127" t="s">
        <v>188</v>
      </c>
      <c r="B66" s="128" t="s">
        <v>181</v>
      </c>
      <c r="C66" s="64">
        <v>4</v>
      </c>
      <c r="D66" s="65">
        <f ca="1">((100/H60)*C66)/100</f>
        <v>1</v>
      </c>
      <c r="E66" s="129"/>
      <c r="F66" s="129"/>
      <c r="G66" s="129"/>
      <c r="H66" s="131"/>
      <c r="I66" s="20" t="s">
        <v>138</v>
      </c>
      <c r="J66" s="66"/>
      <c r="K66" s="69">
        <f ca="1">(IF(B60=0,H60/4+K65,(H60/(B60+4)+K65)))</f>
        <v>2</v>
      </c>
    </row>
    <row r="67" spans="1:11" ht="15.75" customHeight="1" x14ac:dyDescent="0.25">
      <c r="A67" s="127" t="s">
        <v>189</v>
      </c>
      <c r="B67" s="128" t="s">
        <v>181</v>
      </c>
      <c r="C67" s="64">
        <v>4</v>
      </c>
      <c r="D67" s="65">
        <f ca="1">((100/H60)*C67)/100</f>
        <v>1</v>
      </c>
      <c r="E67" s="129"/>
      <c r="F67" s="129"/>
      <c r="G67" s="129"/>
      <c r="H67" s="131"/>
      <c r="I67" s="20" t="s">
        <v>198</v>
      </c>
      <c r="J67" s="70"/>
      <c r="K67" s="69">
        <f>(IF(B60=0,0,(H60/(B60+4)+K66)))</f>
        <v>0</v>
      </c>
    </row>
    <row r="68" spans="1:11" ht="15" customHeight="1" x14ac:dyDescent="0.25">
      <c r="A68" s="127" t="s">
        <v>187</v>
      </c>
      <c r="B68" s="128" t="s">
        <v>183</v>
      </c>
      <c r="C68" s="64">
        <v>4</v>
      </c>
      <c r="D68" s="65">
        <f ca="1">((100/(H60))*C68)/100</f>
        <v>1</v>
      </c>
      <c r="E68" s="129"/>
      <c r="F68" s="129"/>
      <c r="G68" s="129"/>
      <c r="H68" s="131"/>
      <c r="I68" s="20" t="s">
        <v>199</v>
      </c>
      <c r="J68" s="70"/>
      <c r="K68" s="69">
        <f>(IF(B60&gt;1,(H60/(B60+4)+K67),0))</f>
        <v>0</v>
      </c>
    </row>
    <row r="69" spans="1:11" ht="15.75" customHeight="1" x14ac:dyDescent="0.25">
      <c r="A69" s="127" t="s">
        <v>182</v>
      </c>
      <c r="B69" s="128" t="s">
        <v>182</v>
      </c>
      <c r="C69" s="64">
        <v>4</v>
      </c>
      <c r="D69" s="65">
        <f ca="1">((100/H60)*C69)/100</f>
        <v>1</v>
      </c>
      <c r="E69" s="129"/>
      <c r="F69" s="129"/>
      <c r="G69" s="129"/>
      <c r="H69" s="131"/>
      <c r="I69" s="20" t="s">
        <v>200</v>
      </c>
      <c r="J69" s="71"/>
      <c r="K69" s="72">
        <f>(IF(B60&gt;2,(H60/(B60+4)+K68),0))</f>
        <v>0</v>
      </c>
    </row>
    <row r="70" spans="1:11" ht="15.75" customHeight="1" x14ac:dyDescent="0.25">
      <c r="A70" s="127" t="s">
        <v>190</v>
      </c>
      <c r="B70" s="128"/>
      <c r="C70" s="64">
        <v>4</v>
      </c>
      <c r="D70" s="65">
        <f ca="1">((100/H60)*C70)/100</f>
        <v>1</v>
      </c>
      <c r="E70" s="129"/>
      <c r="F70" s="129"/>
      <c r="G70" s="129"/>
      <c r="H70" s="131"/>
      <c r="I70" s="20" t="s">
        <v>202</v>
      </c>
      <c r="J70" s="73"/>
      <c r="K70" s="74">
        <f>(IF(B60&gt;3,(H60/(B60+4)+K69),0))</f>
        <v>0</v>
      </c>
    </row>
    <row r="71" spans="1:11" ht="15.75" customHeight="1" x14ac:dyDescent="0.25">
      <c r="A71" s="127" t="s">
        <v>184</v>
      </c>
      <c r="B71" s="128" t="s">
        <v>184</v>
      </c>
      <c r="C71" s="64">
        <v>2</v>
      </c>
      <c r="D71" s="65">
        <f ca="1">((100/(H60))*C71)/100</f>
        <v>0.5</v>
      </c>
      <c r="E71" s="129"/>
      <c r="F71" s="129"/>
      <c r="G71" s="129"/>
      <c r="H71" s="131"/>
      <c r="I71" s="20" t="s">
        <v>139</v>
      </c>
      <c r="J71" s="66"/>
      <c r="K71" s="69">
        <f ca="1">(IF(B60=0,H60/4+K66,(H60/(B60+4)+K66+MAX(0,K67-K66)+MAX(0,K68-K67)+MAX(0,K69-K68)+MAX(0,K70-K69))))</f>
        <v>3</v>
      </c>
    </row>
    <row r="72" spans="1:11" ht="16.5" thickBot="1" x14ac:dyDescent="0.3">
      <c r="A72" s="165" t="s">
        <v>185</v>
      </c>
      <c r="B72" s="166"/>
      <c r="C72" s="75">
        <v>0</v>
      </c>
      <c r="D72" s="76">
        <f ca="1">((100/(H60))*C72)/100</f>
        <v>0</v>
      </c>
      <c r="E72" s="130"/>
      <c r="F72" s="130"/>
      <c r="G72" s="130"/>
      <c r="H72" s="132"/>
      <c r="I72" s="41" t="s">
        <v>140</v>
      </c>
      <c r="J72" s="77"/>
      <c r="K72" s="78">
        <f ca="1">(IF(B60=0,H60/4+K71,(H60/(B60+4)+K71)))</f>
        <v>4</v>
      </c>
    </row>
    <row r="73" spans="1:11" ht="15.75" customHeight="1" x14ac:dyDescent="0.25">
      <c r="A73" s="167" t="s">
        <v>195</v>
      </c>
      <c r="B73" s="168"/>
      <c r="C73" s="169" t="s">
        <v>241</v>
      </c>
      <c r="D73" s="170"/>
      <c r="E73" s="170"/>
      <c r="F73" s="170"/>
      <c r="G73" s="170"/>
      <c r="H73" s="171"/>
      <c r="I73" s="31" t="str">
        <f ca="1">(IF(C77=0,"Work not yet Started.",IF(D77=25%,"Piling work in process",IF(D77=50%,"Excavation work in process",IF(D77=100%,"Excavation work completed, ","0")))&amp;(IF(C78=0%,"",IF(C78=K79,"Footing work is process",IF(C78=K80,"Footing work Completed",IF(C78=K81,"1st Basement Completed",IF(C78=K82,"1st &amp; 2nd Basement Completed",IF(C78=K83,"1st to 3rd Basement Completed",IF(C78=K84,"1st to 4th Basement Completed",IF(C78=K85,"Plinth work is process",IF(C78=K86,"Plinth work completed","0")))))))))))&amp;(IF(C79&gt;0,", RCC upto "&amp;C79&amp;" Slab completed",""))&amp;(IF(C80&gt;0,", Brickwork upto "&amp;C80&amp;" Floor completed"," "))&amp;(IF(C81&gt;0,", Internal Plaster upto "&amp;C81&amp;" Floor completed"," "))&amp;(IF(C82&gt;0,", External Plaster upto "&amp;C82&amp;" Floor completed"," "))&amp;(IF(C83&gt;0,", Flooring upto "&amp;C83&amp;" Floor completed"," "))&amp;(IF(C84&gt;0,", Painting upto "&amp;C84&amp;" Floor completed"," "))&amp;(IF(C85&gt;0,", Finishing upto "&amp;C85&amp;"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2 Floor completed</v>
      </c>
      <c r="J73" s="31"/>
      <c r="K73" s="60"/>
    </row>
    <row r="74" spans="1:11" x14ac:dyDescent="0.25">
      <c r="A74" s="98" t="s">
        <v>197</v>
      </c>
      <c r="B74" s="95">
        <v>0</v>
      </c>
      <c r="C74" s="95" t="s">
        <v>103</v>
      </c>
      <c r="D74" s="95">
        <v>1</v>
      </c>
      <c r="E74" s="95" t="s">
        <v>102</v>
      </c>
      <c r="F74" s="95">
        <v>0</v>
      </c>
      <c r="G74" s="95" t="s">
        <v>115</v>
      </c>
      <c r="H74" s="40">
        <f ca="1">--TRIM(RIGHT(SUBSTITUTE(LEFT(C73,_xlfn.AGGREGATE(16,6,FIND({0,1,2,3,4,5,6,7,8,9},C73,ROW(INDIRECT("1:"&amp;LEN(C73)))),1))," ",REPT(" ",LEN(C73))),LEN(C73)))</f>
        <v>4</v>
      </c>
      <c r="I74" s="32" t="s">
        <v>156</v>
      </c>
      <c r="J74" s="32"/>
      <c r="K74" s="61"/>
    </row>
    <row r="75" spans="1:11" ht="66" customHeight="1" x14ac:dyDescent="0.25">
      <c r="A75" s="162" t="s">
        <v>125</v>
      </c>
      <c r="B75" s="163"/>
      <c r="C75" s="157" t="str">
        <f ca="1">I73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2 Floor completed</v>
      </c>
      <c r="D75" s="157"/>
      <c r="E75" s="157"/>
      <c r="F75" s="157"/>
      <c r="G75" s="157"/>
      <c r="H75" s="172"/>
      <c r="I75" s="32" t="s">
        <v>141</v>
      </c>
      <c r="J75" s="32"/>
      <c r="K75" s="61"/>
    </row>
    <row r="76" spans="1:11" x14ac:dyDescent="0.25">
      <c r="A76" s="127" t="s">
        <v>54</v>
      </c>
      <c r="B76" s="128"/>
      <c r="C76" s="93" t="s">
        <v>194</v>
      </c>
      <c r="D76" s="93" t="s">
        <v>118</v>
      </c>
      <c r="E76" s="128" t="s">
        <v>120</v>
      </c>
      <c r="F76" s="128"/>
      <c r="G76" s="128" t="s">
        <v>119</v>
      </c>
      <c r="H76" s="136"/>
      <c r="I76" s="20" t="s">
        <v>196</v>
      </c>
      <c r="J76" s="62"/>
      <c r="K76" s="63">
        <f ca="1">H74*25%</f>
        <v>1</v>
      </c>
    </row>
    <row r="77" spans="1:11" x14ac:dyDescent="0.25">
      <c r="A77" s="127" t="s">
        <v>179</v>
      </c>
      <c r="B77" s="128"/>
      <c r="C77" s="64">
        <f ca="1">K78</f>
        <v>4</v>
      </c>
      <c r="D77" s="96">
        <f ca="1">((100/H74)*C77)/100</f>
        <v>1</v>
      </c>
      <c r="E77" s="129">
        <f ca="1">(IF(C75=I74,"100%",IF(C75=I75,"100%",(((C78/H74*10)+(40/(D74+F74+H74)*C79)+(7.5/(H74)*C80)+(7.5/(H74)*C81)+(10/H74*C82)+(10/H74*C83)+(5/H74*C84)+(5/H74*C85)+(5/H74*C86))/100))))</f>
        <v>0.92500000000000004</v>
      </c>
      <c r="F77" s="129"/>
      <c r="G77" s="129">
        <f ca="1">((((C77/H74)*20)+((C78/H74)*25)+(30/(H74+F74+D74)*C79)+(5/H74*C80)+(5/H74*C81)+(5/H74*C82)+(5/H74*C83)+(0/H74*C84)+(0/H74*C85)+(5/H74*C86))/100)</f>
        <v>0.95</v>
      </c>
      <c r="H77" s="131"/>
      <c r="I77" s="20" t="s">
        <v>135</v>
      </c>
      <c r="J77" s="66"/>
      <c r="K77" s="67">
        <f ca="1">H74*50%</f>
        <v>2</v>
      </c>
    </row>
    <row r="78" spans="1:11" x14ac:dyDescent="0.25">
      <c r="A78" s="127" t="s">
        <v>55</v>
      </c>
      <c r="B78" s="128"/>
      <c r="C78" s="68">
        <f ca="1">K86</f>
        <v>4</v>
      </c>
      <c r="D78" s="96">
        <f ca="1">((100/H74)*C78)/100</f>
        <v>1</v>
      </c>
      <c r="E78" s="129"/>
      <c r="F78" s="129"/>
      <c r="G78" s="129"/>
      <c r="H78" s="131"/>
      <c r="I78" s="20" t="s">
        <v>136</v>
      </c>
      <c r="J78" s="66"/>
      <c r="K78" s="67">
        <f ca="1">H74</f>
        <v>4</v>
      </c>
    </row>
    <row r="79" spans="1:11" ht="15.75" customHeight="1" x14ac:dyDescent="0.25">
      <c r="A79" s="164" t="s">
        <v>180</v>
      </c>
      <c r="B79" s="146"/>
      <c r="C79" s="68">
        <v>5</v>
      </c>
      <c r="D79" s="96">
        <f ca="1">((100/(D74+F74+H74))*C79)/100</f>
        <v>1</v>
      </c>
      <c r="E79" s="129"/>
      <c r="F79" s="129"/>
      <c r="G79" s="129"/>
      <c r="H79" s="131"/>
      <c r="I79" s="20" t="s">
        <v>137</v>
      </c>
      <c r="J79" s="66"/>
      <c r="K79" s="69">
        <f ca="1">(IF(B74=0,H74/4,(H74/(B74+4))))</f>
        <v>1</v>
      </c>
    </row>
    <row r="80" spans="1:11" ht="15.75" customHeight="1" x14ac:dyDescent="0.25">
      <c r="A80" s="127" t="s">
        <v>188</v>
      </c>
      <c r="B80" s="128" t="s">
        <v>181</v>
      </c>
      <c r="C80" s="64">
        <v>4</v>
      </c>
      <c r="D80" s="96">
        <f ca="1">((100/H74)*C80)/100</f>
        <v>1</v>
      </c>
      <c r="E80" s="129"/>
      <c r="F80" s="129"/>
      <c r="G80" s="129"/>
      <c r="H80" s="131"/>
      <c r="I80" s="20" t="s">
        <v>138</v>
      </c>
      <c r="J80" s="66"/>
      <c r="K80" s="69">
        <f ca="1">(IF(B74=0,H74/4+K79,(H74/(B74+4)+K79)))</f>
        <v>2</v>
      </c>
    </row>
    <row r="81" spans="1:11" ht="15.75" customHeight="1" x14ac:dyDescent="0.25">
      <c r="A81" s="127" t="s">
        <v>189</v>
      </c>
      <c r="B81" s="128" t="s">
        <v>181</v>
      </c>
      <c r="C81" s="64">
        <v>4</v>
      </c>
      <c r="D81" s="96">
        <f ca="1">((100/H74)*C81)/100</f>
        <v>1</v>
      </c>
      <c r="E81" s="129"/>
      <c r="F81" s="129"/>
      <c r="G81" s="129"/>
      <c r="H81" s="131"/>
      <c r="I81" s="20" t="s">
        <v>198</v>
      </c>
      <c r="J81" s="70"/>
      <c r="K81" s="69">
        <f>(IF(B74=0,0,(H74/(B74+4)+K80)))</f>
        <v>0</v>
      </c>
    </row>
    <row r="82" spans="1:11" ht="15" customHeight="1" x14ac:dyDescent="0.25">
      <c r="A82" s="127" t="s">
        <v>187</v>
      </c>
      <c r="B82" s="128" t="s">
        <v>183</v>
      </c>
      <c r="C82" s="64">
        <v>4</v>
      </c>
      <c r="D82" s="96">
        <f ca="1">((100/(H74))*C82)/100</f>
        <v>1</v>
      </c>
      <c r="E82" s="129"/>
      <c r="F82" s="129"/>
      <c r="G82" s="129"/>
      <c r="H82" s="131"/>
      <c r="I82" s="20" t="s">
        <v>199</v>
      </c>
      <c r="J82" s="70"/>
      <c r="K82" s="69">
        <f>(IF(B74&gt;1,(H74/(B74+4)+K81),0))</f>
        <v>0</v>
      </c>
    </row>
    <row r="83" spans="1:11" ht="15.75" customHeight="1" x14ac:dyDescent="0.25">
      <c r="A83" s="127" t="s">
        <v>182</v>
      </c>
      <c r="B83" s="128" t="s">
        <v>182</v>
      </c>
      <c r="C83" s="64">
        <v>4</v>
      </c>
      <c r="D83" s="96">
        <f ca="1">((100/H74)*C83)/100</f>
        <v>1</v>
      </c>
      <c r="E83" s="129"/>
      <c r="F83" s="129"/>
      <c r="G83" s="129"/>
      <c r="H83" s="131"/>
      <c r="I83" s="20" t="s">
        <v>200</v>
      </c>
      <c r="J83" s="71"/>
      <c r="K83" s="72">
        <f>(IF(B74&gt;2,(H74/(B74+4)+K82),0))</f>
        <v>0</v>
      </c>
    </row>
    <row r="84" spans="1:11" ht="15.75" customHeight="1" x14ac:dyDescent="0.25">
      <c r="A84" s="127" t="s">
        <v>190</v>
      </c>
      <c r="B84" s="128"/>
      <c r="C84" s="64">
        <v>4</v>
      </c>
      <c r="D84" s="96">
        <f ca="1">((100/H74)*C84)/100</f>
        <v>1</v>
      </c>
      <c r="E84" s="129"/>
      <c r="F84" s="129"/>
      <c r="G84" s="129"/>
      <c r="H84" s="131"/>
      <c r="I84" s="20" t="s">
        <v>202</v>
      </c>
      <c r="J84" s="73"/>
      <c r="K84" s="74">
        <f>(IF(B74&gt;3,(H74/(B74+4)+K83),0))</f>
        <v>0</v>
      </c>
    </row>
    <row r="85" spans="1:11" ht="15.75" customHeight="1" x14ac:dyDescent="0.25">
      <c r="A85" s="127" t="s">
        <v>184</v>
      </c>
      <c r="B85" s="128" t="s">
        <v>184</v>
      </c>
      <c r="C85" s="64">
        <v>2</v>
      </c>
      <c r="D85" s="96">
        <f ca="1">((100/(H74))*C85)/100</f>
        <v>0.5</v>
      </c>
      <c r="E85" s="129"/>
      <c r="F85" s="129"/>
      <c r="G85" s="129"/>
      <c r="H85" s="131"/>
      <c r="I85" s="20" t="s">
        <v>139</v>
      </c>
      <c r="J85" s="66"/>
      <c r="K85" s="69">
        <f ca="1">(IF(B74=0,H74/4+K80,(H74/(B74+4)+K80+MAX(0,K81-K80)+MAX(0,K82-K81)+MAX(0,K83-K82)+MAX(0,K84-K83))))</f>
        <v>3</v>
      </c>
    </row>
    <row r="86" spans="1:11" ht="16.5" thickBot="1" x14ac:dyDescent="0.3">
      <c r="A86" s="165" t="s">
        <v>185</v>
      </c>
      <c r="B86" s="166"/>
      <c r="C86" s="75">
        <v>0</v>
      </c>
      <c r="D86" s="97">
        <f ca="1">((100/(H74))*C86)/100</f>
        <v>0</v>
      </c>
      <c r="E86" s="130"/>
      <c r="F86" s="130"/>
      <c r="G86" s="130"/>
      <c r="H86" s="132"/>
      <c r="I86" s="41" t="s">
        <v>140</v>
      </c>
      <c r="J86" s="77"/>
      <c r="K86" s="78">
        <f ca="1">(IF(B74=0,H74/4+K85,(H74/(B74+4)+K85)))</f>
        <v>4</v>
      </c>
    </row>
    <row r="87" spans="1:11" x14ac:dyDescent="0.25">
      <c r="A87" s="158" t="s">
        <v>157</v>
      </c>
      <c r="B87" s="159"/>
      <c r="C87" s="159"/>
      <c r="D87" s="159"/>
      <c r="E87" s="160"/>
      <c r="F87" s="158" t="str">
        <f ca="1">(IF(G63="100%","Yes",IF(G63&gt;0%,"Under Construction",IF(G63=0%,"Work not yet Started"))))</f>
        <v>Under Construction</v>
      </c>
      <c r="G87" s="159"/>
      <c r="H87" s="160"/>
    </row>
    <row r="88" spans="1:11" x14ac:dyDescent="0.25">
      <c r="A88" s="103" t="s">
        <v>56</v>
      </c>
      <c r="B88" s="103"/>
      <c r="C88" s="103"/>
      <c r="D88" s="103"/>
      <c r="E88" s="103"/>
      <c r="F88" s="103"/>
      <c r="G88" s="103"/>
      <c r="H88" s="103"/>
    </row>
    <row r="89" spans="1:11" ht="15" customHeight="1" x14ac:dyDescent="0.25">
      <c r="A89" s="163" t="s">
        <v>106</v>
      </c>
      <c r="B89" s="163"/>
      <c r="C89" s="157" t="s">
        <v>107</v>
      </c>
      <c r="D89" s="157"/>
      <c r="E89" s="157"/>
      <c r="F89" s="157"/>
      <c r="G89" s="157"/>
      <c r="H89" s="157"/>
    </row>
    <row r="90" spans="1:11" x14ac:dyDescent="0.25">
      <c r="A90" s="141" t="s">
        <v>57</v>
      </c>
      <c r="B90" s="141"/>
      <c r="C90" s="141"/>
      <c r="D90" s="141"/>
      <c r="E90" s="141"/>
      <c r="F90" s="141"/>
      <c r="G90" s="141"/>
      <c r="H90" s="141"/>
    </row>
    <row r="91" spans="1:11" x14ac:dyDescent="0.25">
      <c r="A91" s="103" t="s">
        <v>108</v>
      </c>
      <c r="B91" s="103"/>
      <c r="C91" s="103"/>
      <c r="D91" s="103"/>
      <c r="E91" s="103"/>
      <c r="F91" s="192">
        <v>3500</v>
      </c>
      <c r="G91" s="192"/>
      <c r="H91" s="192"/>
      <c r="J91" s="52" t="s">
        <v>240</v>
      </c>
    </row>
    <row r="92" spans="1:11" s="79" customFormat="1" x14ac:dyDescent="0.25">
      <c r="A92" s="103" t="s">
        <v>226</v>
      </c>
      <c r="B92" s="103"/>
      <c r="C92" s="103"/>
      <c r="D92" s="103"/>
      <c r="E92" s="103"/>
      <c r="F92" s="140">
        <v>6000</v>
      </c>
      <c r="G92" s="140"/>
      <c r="H92" s="140"/>
    </row>
    <row r="93" spans="1:11" s="79" customFormat="1" hidden="1" x14ac:dyDescent="0.25">
      <c r="A93" s="103" t="s">
        <v>130</v>
      </c>
      <c r="B93" s="103"/>
      <c r="C93" s="103"/>
      <c r="D93" s="103"/>
      <c r="E93" s="103"/>
      <c r="F93" s="140" t="s">
        <v>30</v>
      </c>
      <c r="G93" s="140"/>
      <c r="H93" s="140"/>
    </row>
    <row r="94" spans="1:11" s="79" customFormat="1" hidden="1" x14ac:dyDescent="0.25">
      <c r="A94" s="103" t="s">
        <v>131</v>
      </c>
      <c r="B94" s="103"/>
      <c r="C94" s="103"/>
      <c r="D94" s="103"/>
      <c r="E94" s="103"/>
      <c r="F94" s="140" t="s">
        <v>30</v>
      </c>
      <c r="G94" s="140"/>
      <c r="H94" s="140"/>
    </row>
    <row r="95" spans="1:11" s="79" customFormat="1" hidden="1" x14ac:dyDescent="0.25">
      <c r="A95" s="103" t="s">
        <v>132</v>
      </c>
      <c r="B95" s="103"/>
      <c r="C95" s="103"/>
      <c r="D95" s="103"/>
      <c r="E95" s="103"/>
      <c r="F95" s="140" t="s">
        <v>30</v>
      </c>
      <c r="G95" s="140"/>
      <c r="H95" s="140"/>
    </row>
    <row r="96" spans="1:11" s="79" customFormat="1" hidden="1" x14ac:dyDescent="0.25">
      <c r="A96" s="103" t="s">
        <v>133</v>
      </c>
      <c r="B96" s="103"/>
      <c r="C96" s="103"/>
      <c r="D96" s="103"/>
      <c r="E96" s="103"/>
      <c r="F96" s="140" t="s">
        <v>30</v>
      </c>
      <c r="G96" s="140"/>
      <c r="H96" s="140"/>
    </row>
    <row r="97" spans="1:10" s="79" customFormat="1" hidden="1" x14ac:dyDescent="0.25">
      <c r="A97" s="103" t="s">
        <v>134</v>
      </c>
      <c r="B97" s="103"/>
      <c r="C97" s="103"/>
      <c r="D97" s="103"/>
      <c r="E97" s="103"/>
      <c r="F97" s="140" t="s">
        <v>30</v>
      </c>
      <c r="G97" s="140"/>
      <c r="H97" s="140"/>
    </row>
    <row r="98" spans="1:10" s="79" customFormat="1" x14ac:dyDescent="0.25">
      <c r="A98" s="103" t="s">
        <v>234</v>
      </c>
      <c r="B98" s="103"/>
      <c r="C98" s="103"/>
      <c r="D98" s="103"/>
      <c r="E98" s="103"/>
      <c r="F98" s="140">
        <v>200000</v>
      </c>
      <c r="G98" s="140"/>
      <c r="H98" s="140"/>
    </row>
    <row r="99" spans="1:10" x14ac:dyDescent="0.25">
      <c r="A99" s="103" t="s">
        <v>58</v>
      </c>
      <c r="B99" s="103"/>
      <c r="C99" s="103"/>
      <c r="D99" s="103"/>
      <c r="E99" s="103"/>
      <c r="F99" s="140">
        <v>100000</v>
      </c>
      <c r="G99" s="140"/>
      <c r="H99" s="140"/>
    </row>
    <row r="100" spans="1:10" s="80" customFormat="1" x14ac:dyDescent="0.25">
      <c r="A100" s="141" t="s">
        <v>59</v>
      </c>
      <c r="B100" s="141"/>
      <c r="C100" s="141"/>
      <c r="D100" s="141"/>
      <c r="E100" s="141"/>
      <c r="F100" s="140">
        <f>F91*0.8</f>
        <v>2800</v>
      </c>
      <c r="G100" s="140"/>
      <c r="H100" s="140"/>
    </row>
    <row r="101" spans="1:10" s="81" customFormat="1" ht="15.75" customHeight="1" x14ac:dyDescent="0.25">
      <c r="A101" s="139" t="s">
        <v>109</v>
      </c>
      <c r="B101" s="139"/>
      <c r="C101" s="139"/>
      <c r="D101" s="139"/>
      <c r="E101" s="139"/>
      <c r="F101" s="139"/>
      <c r="G101" s="139"/>
      <c r="H101" s="139"/>
    </row>
    <row r="102" spans="1:10" s="81" customFormat="1" ht="15.75" customHeight="1" x14ac:dyDescent="0.25">
      <c r="A102" s="107" t="s">
        <v>60</v>
      </c>
      <c r="B102" s="107"/>
      <c r="C102" s="116" t="s">
        <v>112</v>
      </c>
      <c r="D102" s="116"/>
      <c r="E102" s="126" t="s">
        <v>61</v>
      </c>
      <c r="F102" s="126"/>
      <c r="G102" s="107" t="s">
        <v>62</v>
      </c>
      <c r="H102" s="107"/>
      <c r="J102" s="81">
        <v>404</v>
      </c>
    </row>
    <row r="103" spans="1:10" s="81" customFormat="1" x14ac:dyDescent="0.25">
      <c r="A103" s="142" t="s">
        <v>220</v>
      </c>
      <c r="B103" s="142"/>
      <c r="C103" s="124">
        <f>COUNT(D117:D122)</f>
        <v>6</v>
      </c>
      <c r="D103" s="124"/>
      <c r="E103" s="125">
        <f>SUM(D117:D122)</f>
        <v>758.96964000000003</v>
      </c>
      <c r="F103" s="124"/>
      <c r="G103" s="125">
        <f>SUM(F117:F122)</f>
        <v>1593.8362439999999</v>
      </c>
      <c r="H103" s="124"/>
    </row>
    <row r="104" spans="1:10" s="81" customFormat="1" x14ac:dyDescent="0.25">
      <c r="A104" s="142" t="s">
        <v>221</v>
      </c>
      <c r="B104" s="142"/>
      <c r="C104" s="124">
        <f>COUNT(D125:D131)</f>
        <v>7</v>
      </c>
      <c r="D104" s="124"/>
      <c r="E104" s="125">
        <f>SUM(D125:D131)</f>
        <v>1061.5456799999999</v>
      </c>
      <c r="F104" s="124"/>
      <c r="G104" s="125">
        <f>SUM(F125:F131)</f>
        <v>2410</v>
      </c>
      <c r="H104" s="124"/>
    </row>
    <row r="105" spans="1:10" s="81" customFormat="1" x14ac:dyDescent="0.25">
      <c r="A105" s="139" t="s">
        <v>64</v>
      </c>
      <c r="B105" s="139"/>
      <c r="C105" s="116">
        <f>SUM(C103:C104)</f>
        <v>13</v>
      </c>
      <c r="D105" s="116"/>
      <c r="E105" s="123">
        <f>SUM(E103:E104)</f>
        <v>1820.51532</v>
      </c>
      <c r="F105" s="116"/>
      <c r="G105" s="123">
        <f>SUM(G103:G104)</f>
        <v>4003.8362440000001</v>
      </c>
      <c r="H105" s="116"/>
    </row>
    <row r="106" spans="1:10" s="81" customFormat="1" x14ac:dyDescent="0.25">
      <c r="A106" s="139" t="s">
        <v>101</v>
      </c>
      <c r="B106" s="139"/>
      <c r="C106" s="139"/>
      <c r="D106" s="139"/>
      <c r="E106" s="139"/>
      <c r="F106" s="139"/>
      <c r="G106" s="139"/>
      <c r="H106" s="139"/>
      <c r="J106" s="92">
        <f>SUM(E105,E110)</f>
        <v>20900.566439999995</v>
      </c>
    </row>
    <row r="107" spans="1:10" s="81" customFormat="1" ht="15.75" customHeight="1" x14ac:dyDescent="0.25">
      <c r="A107" s="107" t="s">
        <v>60</v>
      </c>
      <c r="B107" s="107"/>
      <c r="C107" s="116" t="s">
        <v>112</v>
      </c>
      <c r="D107" s="116"/>
      <c r="E107" s="126" t="s">
        <v>61</v>
      </c>
      <c r="F107" s="126"/>
      <c r="G107" s="107" t="s">
        <v>62</v>
      </c>
      <c r="H107" s="107"/>
    </row>
    <row r="108" spans="1:10" s="81" customFormat="1" x14ac:dyDescent="0.25">
      <c r="A108" s="142" t="s">
        <v>220</v>
      </c>
      <c r="B108" s="142"/>
      <c r="C108" s="124">
        <f>COUNT(D137:D138)+COUNT(D140:D143)*4</f>
        <v>18</v>
      </c>
      <c r="D108" s="124"/>
      <c r="E108" s="125">
        <f>SUM(D137:D138)+SUM(D140:D143)*4</f>
        <v>5879.727359999999</v>
      </c>
      <c r="F108" s="125"/>
      <c r="G108" s="125">
        <f>SUM(F137:F138)+SUM(F140:F143)*4</f>
        <v>9995.5365119999988</v>
      </c>
      <c r="H108" s="125"/>
    </row>
    <row r="109" spans="1:10" s="81" customFormat="1" x14ac:dyDescent="0.25">
      <c r="A109" s="142" t="s">
        <v>221</v>
      </c>
      <c r="B109" s="142"/>
      <c r="C109" s="124">
        <f>COUNT(D146:D150)+COUNT(D152:D159)*4</f>
        <v>37</v>
      </c>
      <c r="D109" s="124"/>
      <c r="E109" s="125">
        <f>SUM(D146:D150)+SUM(D152:D159)*4</f>
        <v>13200.323759999999</v>
      </c>
      <c r="F109" s="125"/>
      <c r="G109" s="125">
        <f>SUM(F146:F150)+SUM(F152:F159)*4</f>
        <v>22745</v>
      </c>
      <c r="H109" s="125"/>
    </row>
    <row r="110" spans="1:10" s="81" customFormat="1" x14ac:dyDescent="0.25">
      <c r="A110" s="139" t="s">
        <v>64</v>
      </c>
      <c r="B110" s="139"/>
      <c r="C110" s="116">
        <f>SUM(C108:D109)</f>
        <v>55</v>
      </c>
      <c r="D110" s="116"/>
      <c r="E110" s="123">
        <f>SUM(E108:F109)</f>
        <v>19080.051119999996</v>
      </c>
      <c r="F110" s="116"/>
      <c r="G110" s="123">
        <f>SUM(G108:H109)</f>
        <v>32740.536511999999</v>
      </c>
      <c r="H110" s="116"/>
    </row>
    <row r="111" spans="1:10" s="80" customFormat="1" x14ac:dyDescent="0.25">
      <c r="A111" s="111" t="s">
        <v>65</v>
      </c>
      <c r="B111" s="111"/>
      <c r="C111" s="111"/>
      <c r="D111" s="111"/>
      <c r="E111" s="111"/>
      <c r="F111" s="111"/>
      <c r="G111" s="111"/>
      <c r="H111" s="111"/>
    </row>
    <row r="112" spans="1:10" x14ac:dyDescent="0.25">
      <c r="A112" s="111" t="s">
        <v>66</v>
      </c>
      <c r="B112" s="111"/>
      <c r="C112" s="111"/>
      <c r="D112" s="111"/>
      <c r="E112" s="111"/>
      <c r="F112" s="111"/>
      <c r="G112" s="111"/>
      <c r="H112" s="111"/>
    </row>
    <row r="113" spans="1:14" ht="47.25" customHeight="1" x14ac:dyDescent="0.25">
      <c r="A113" s="47" t="s">
        <v>159</v>
      </c>
      <c r="B113" s="47" t="s">
        <v>158</v>
      </c>
      <c r="C113" s="47" t="s">
        <v>67</v>
      </c>
      <c r="D113" s="47" t="s">
        <v>68</v>
      </c>
      <c r="E113" s="51" t="s">
        <v>69</v>
      </c>
      <c r="F113" s="47" t="s">
        <v>230</v>
      </c>
      <c r="G113" s="108" t="s">
        <v>70</v>
      </c>
      <c r="H113" s="109"/>
    </row>
    <row r="114" spans="1:14" s="83" customFormat="1" x14ac:dyDescent="0.25">
      <c r="A114" s="187" t="s">
        <v>209</v>
      </c>
      <c r="B114" s="187"/>
      <c r="C114" s="187"/>
      <c r="D114" s="187"/>
      <c r="E114" s="187"/>
      <c r="F114" s="187"/>
      <c r="G114" s="187"/>
      <c r="H114" s="187"/>
      <c r="I114" s="82"/>
      <c r="L114" s="186"/>
      <c r="M114" s="186"/>
    </row>
    <row r="115" spans="1:14" s="83" customFormat="1" x14ac:dyDescent="0.25">
      <c r="A115" s="187" t="s">
        <v>250</v>
      </c>
      <c r="B115" s="187"/>
      <c r="C115" s="187"/>
      <c r="D115" s="187"/>
      <c r="E115" s="187"/>
      <c r="F115" s="187"/>
      <c r="G115" s="187"/>
      <c r="H115" s="187"/>
      <c r="I115" s="82"/>
      <c r="L115" s="186"/>
      <c r="M115" s="186"/>
    </row>
    <row r="116" spans="1:14" s="83" customFormat="1" x14ac:dyDescent="0.25">
      <c r="A116" s="120" t="s">
        <v>229</v>
      </c>
      <c r="B116" s="121"/>
      <c r="C116" s="121"/>
      <c r="D116" s="121"/>
      <c r="E116" s="121"/>
      <c r="F116" s="121"/>
      <c r="G116" s="121"/>
      <c r="H116" s="122"/>
    </row>
    <row r="117" spans="1:14" s="83" customFormat="1" x14ac:dyDescent="0.25">
      <c r="A117" s="105">
        <v>1</v>
      </c>
      <c r="B117" s="106"/>
      <c r="C117" s="42" t="s">
        <v>216</v>
      </c>
      <c r="D117" s="42">
        <f>13.34*10.764</f>
        <v>143.59175999999999</v>
      </c>
      <c r="E117" s="42">
        <v>0</v>
      </c>
      <c r="F117" s="42">
        <f>2.1*D117</f>
        <v>301.54269599999998</v>
      </c>
      <c r="G117" s="105" t="str">
        <f>A116</f>
        <v>Ground Floor for Commercial</v>
      </c>
      <c r="H117" s="106"/>
      <c r="I117" s="82"/>
      <c r="L117" s="186"/>
      <c r="M117" s="186"/>
      <c r="N117" s="82"/>
    </row>
    <row r="118" spans="1:14" s="83" customFormat="1" x14ac:dyDescent="0.25">
      <c r="A118" s="105">
        <f>A117+1</f>
        <v>2</v>
      </c>
      <c r="B118" s="106"/>
      <c r="C118" s="42" t="s">
        <v>216</v>
      </c>
      <c r="D118" s="42">
        <f>10.43*10.764</f>
        <v>112.26852</v>
      </c>
      <c r="E118" s="42">
        <v>0</v>
      </c>
      <c r="F118" s="42">
        <f t="shared" ref="F118:F122" si="0">2.1*D118</f>
        <v>235.763892</v>
      </c>
      <c r="G118" s="105" t="str">
        <f t="shared" ref="G118:G122" si="1">G117</f>
        <v>Ground Floor for Commercial</v>
      </c>
      <c r="H118" s="106"/>
      <c r="I118" s="82"/>
      <c r="K118" s="91"/>
      <c r="L118" s="186"/>
      <c r="M118" s="186"/>
      <c r="N118" s="82"/>
    </row>
    <row r="119" spans="1:14" s="83" customFormat="1" x14ac:dyDescent="0.25">
      <c r="A119" s="105">
        <f t="shared" ref="A119:A121" si="2">A118+1</f>
        <v>3</v>
      </c>
      <c r="B119" s="106"/>
      <c r="C119" s="42" t="s">
        <v>216</v>
      </c>
      <c r="D119" s="42">
        <f>13.34*10.764</f>
        <v>143.59175999999999</v>
      </c>
      <c r="E119" s="42">
        <v>0</v>
      </c>
      <c r="F119" s="42">
        <f t="shared" si="0"/>
        <v>301.54269599999998</v>
      </c>
      <c r="G119" s="105" t="str">
        <f t="shared" si="1"/>
        <v>Ground Floor for Commercial</v>
      </c>
      <c r="H119" s="106"/>
      <c r="I119" s="82"/>
      <c r="K119" s="91"/>
      <c r="L119" s="186"/>
      <c r="M119" s="186"/>
      <c r="N119" s="82"/>
    </row>
    <row r="120" spans="1:14" s="83" customFormat="1" x14ac:dyDescent="0.25">
      <c r="A120" s="105">
        <f t="shared" si="2"/>
        <v>4</v>
      </c>
      <c r="B120" s="106"/>
      <c r="C120" s="42" t="s">
        <v>216</v>
      </c>
      <c r="D120" s="42">
        <f>13.34*10.764</f>
        <v>143.59175999999999</v>
      </c>
      <c r="E120" s="42">
        <v>0</v>
      </c>
      <c r="F120" s="42">
        <f t="shared" si="0"/>
        <v>301.54269599999998</v>
      </c>
      <c r="G120" s="105" t="str">
        <f t="shared" si="1"/>
        <v>Ground Floor for Commercial</v>
      </c>
      <c r="H120" s="106"/>
      <c r="I120" s="82"/>
      <c r="K120" s="91"/>
      <c r="L120" s="186"/>
      <c r="M120" s="186"/>
      <c r="N120" s="82"/>
    </row>
    <row r="121" spans="1:14" s="83" customFormat="1" x14ac:dyDescent="0.25">
      <c r="A121" s="105">
        <f t="shared" si="2"/>
        <v>5</v>
      </c>
      <c r="B121" s="106"/>
      <c r="C121" s="42" t="s">
        <v>216</v>
      </c>
      <c r="D121" s="42">
        <f>10.43*10.764</f>
        <v>112.26852</v>
      </c>
      <c r="E121" s="42">
        <v>0</v>
      </c>
      <c r="F121" s="42">
        <f t="shared" si="0"/>
        <v>235.763892</v>
      </c>
      <c r="G121" s="105" t="str">
        <f t="shared" si="1"/>
        <v>Ground Floor for Commercial</v>
      </c>
      <c r="H121" s="106"/>
      <c r="I121" s="82"/>
      <c r="K121" s="91"/>
      <c r="L121" s="186"/>
      <c r="M121" s="186"/>
      <c r="N121" s="82"/>
    </row>
    <row r="122" spans="1:14" s="83" customFormat="1" x14ac:dyDescent="0.25">
      <c r="A122" s="105">
        <f t="shared" ref="A122" si="3">A121+1</f>
        <v>6</v>
      </c>
      <c r="B122" s="106"/>
      <c r="C122" s="42" t="s">
        <v>216</v>
      </c>
      <c r="D122" s="42">
        <f>9.63*10.764</f>
        <v>103.65732</v>
      </c>
      <c r="E122" s="42">
        <v>0</v>
      </c>
      <c r="F122" s="42">
        <f t="shared" si="0"/>
        <v>217.68037200000001</v>
      </c>
      <c r="G122" s="105" t="str">
        <f t="shared" si="1"/>
        <v>Ground Floor for Commercial</v>
      </c>
      <c r="H122" s="106"/>
      <c r="I122" s="82"/>
      <c r="K122" s="91"/>
      <c r="L122" s="186"/>
      <c r="M122" s="186"/>
      <c r="N122" s="82"/>
    </row>
    <row r="123" spans="1:14" s="83" customFormat="1" x14ac:dyDescent="0.25">
      <c r="A123" s="187" t="s">
        <v>251</v>
      </c>
      <c r="B123" s="187"/>
      <c r="C123" s="187"/>
      <c r="D123" s="187"/>
      <c r="E123" s="187"/>
      <c r="F123" s="187"/>
      <c r="G123" s="187"/>
      <c r="H123" s="187"/>
      <c r="I123" s="82"/>
      <c r="K123" s="91"/>
      <c r="L123" s="186"/>
      <c r="M123" s="186"/>
    </row>
    <row r="124" spans="1:14" s="83" customFormat="1" x14ac:dyDescent="0.25">
      <c r="A124" s="120" t="s">
        <v>229</v>
      </c>
      <c r="B124" s="121"/>
      <c r="C124" s="121"/>
      <c r="D124" s="121"/>
      <c r="E124" s="121"/>
      <c r="F124" s="121"/>
      <c r="G124" s="121"/>
      <c r="H124" s="122"/>
    </row>
    <row r="125" spans="1:14" s="83" customFormat="1" x14ac:dyDescent="0.25">
      <c r="A125" s="105">
        <v>1</v>
      </c>
      <c r="B125" s="106"/>
      <c r="C125" s="42" t="s">
        <v>216</v>
      </c>
      <c r="D125" s="42">
        <f>16.64*10.764</f>
        <v>179.11295999999999</v>
      </c>
      <c r="E125" s="42">
        <v>0</v>
      </c>
      <c r="F125" s="84">
        <v>395</v>
      </c>
      <c r="G125" s="105" t="str">
        <f>A124</f>
        <v>Ground Floor for Commercial</v>
      </c>
      <c r="H125" s="106"/>
      <c r="I125" s="82"/>
      <c r="J125" s="85"/>
      <c r="L125" s="186"/>
      <c r="M125" s="186"/>
      <c r="N125" s="82"/>
    </row>
    <row r="126" spans="1:14" s="83" customFormat="1" x14ac:dyDescent="0.25">
      <c r="A126" s="105">
        <f>A125+1</f>
        <v>2</v>
      </c>
      <c r="B126" s="106"/>
      <c r="C126" s="42" t="s">
        <v>216</v>
      </c>
      <c r="D126" s="42">
        <f>13.91*10.764</f>
        <v>149.72723999999999</v>
      </c>
      <c r="E126" s="42">
        <v>0</v>
      </c>
      <c r="F126" s="84">
        <v>365</v>
      </c>
      <c r="G126" s="105" t="str">
        <f t="shared" ref="G126:G131" si="4">G125</f>
        <v>Ground Floor for Commercial</v>
      </c>
      <c r="H126" s="106"/>
      <c r="I126" s="82"/>
      <c r="J126" s="85"/>
      <c r="L126" s="186"/>
      <c r="M126" s="186"/>
      <c r="N126" s="82"/>
    </row>
    <row r="127" spans="1:14" s="83" customFormat="1" x14ac:dyDescent="0.25">
      <c r="A127" s="105">
        <f t="shared" ref="A127:A131" si="5">A126+1</f>
        <v>3</v>
      </c>
      <c r="B127" s="106"/>
      <c r="C127" s="42" t="s">
        <v>216</v>
      </c>
      <c r="D127" s="42">
        <f>18.7*10.764</f>
        <v>201.28679999999997</v>
      </c>
      <c r="E127" s="42">
        <v>0</v>
      </c>
      <c r="F127" s="84">
        <v>415</v>
      </c>
      <c r="G127" s="105" t="str">
        <f t="shared" si="4"/>
        <v>Ground Floor for Commercial</v>
      </c>
      <c r="H127" s="106"/>
      <c r="I127" s="82"/>
      <c r="J127" s="85"/>
      <c r="L127" s="186"/>
      <c r="M127" s="186"/>
      <c r="N127" s="82"/>
    </row>
    <row r="128" spans="1:14" s="83" customFormat="1" x14ac:dyDescent="0.25">
      <c r="A128" s="105">
        <f t="shared" si="5"/>
        <v>4</v>
      </c>
      <c r="B128" s="106"/>
      <c r="C128" s="42" t="s">
        <v>216</v>
      </c>
      <c r="D128" s="42">
        <f>14.44*10.764</f>
        <v>155.43215999999998</v>
      </c>
      <c r="E128" s="42">
        <v>0</v>
      </c>
      <c r="F128" s="84">
        <v>375</v>
      </c>
      <c r="G128" s="105" t="str">
        <f t="shared" si="4"/>
        <v>Ground Floor for Commercial</v>
      </c>
      <c r="H128" s="106"/>
      <c r="I128" s="82"/>
      <c r="J128" s="85"/>
      <c r="L128" s="186"/>
      <c r="M128" s="186"/>
      <c r="N128" s="82"/>
    </row>
    <row r="129" spans="1:16" s="83" customFormat="1" x14ac:dyDescent="0.25">
      <c r="A129" s="105">
        <f t="shared" si="5"/>
        <v>5</v>
      </c>
      <c r="B129" s="106"/>
      <c r="C129" s="42" t="s">
        <v>216</v>
      </c>
      <c r="D129" s="42">
        <f>11.29*10.764</f>
        <v>121.52555999999998</v>
      </c>
      <c r="E129" s="42">
        <v>0</v>
      </c>
      <c r="F129" s="84">
        <v>265</v>
      </c>
      <c r="G129" s="105" t="str">
        <f t="shared" si="4"/>
        <v>Ground Floor for Commercial</v>
      </c>
      <c r="H129" s="106"/>
      <c r="I129" s="82"/>
      <c r="J129" s="85"/>
      <c r="L129" s="186"/>
      <c r="M129" s="186"/>
      <c r="N129" s="82"/>
    </row>
    <row r="130" spans="1:16" s="83" customFormat="1" x14ac:dyDescent="0.25">
      <c r="A130" s="105">
        <f t="shared" si="5"/>
        <v>6</v>
      </c>
      <c r="B130" s="106"/>
      <c r="C130" s="42" t="s">
        <v>216</v>
      </c>
      <c r="D130" s="42">
        <f>14.74*10.764</f>
        <v>158.66136</v>
      </c>
      <c r="E130" s="42">
        <v>0</v>
      </c>
      <c r="F130" s="84">
        <v>385</v>
      </c>
      <c r="G130" s="105" t="str">
        <f t="shared" si="4"/>
        <v>Ground Floor for Commercial</v>
      </c>
      <c r="H130" s="106"/>
      <c r="I130" s="82"/>
      <c r="J130" s="85"/>
      <c r="L130" s="186"/>
      <c r="M130" s="186"/>
      <c r="N130" s="82"/>
    </row>
    <row r="131" spans="1:16" s="83" customFormat="1" x14ac:dyDescent="0.25">
      <c r="A131" s="105">
        <f t="shared" si="5"/>
        <v>7</v>
      </c>
      <c r="B131" s="106"/>
      <c r="C131" s="42" t="s">
        <v>216</v>
      </c>
      <c r="D131" s="42">
        <f>8.9*10.764</f>
        <v>95.799599999999998</v>
      </c>
      <c r="E131" s="42">
        <v>0</v>
      </c>
      <c r="F131" s="84">
        <v>210</v>
      </c>
      <c r="G131" s="105" t="str">
        <f t="shared" si="4"/>
        <v>Ground Floor for Commercial</v>
      </c>
      <c r="H131" s="106"/>
      <c r="I131" s="82"/>
      <c r="J131" s="85"/>
      <c r="L131" s="186"/>
      <c r="M131" s="186"/>
      <c r="N131" s="82"/>
    </row>
    <row r="132" spans="1:16" s="83" customFormat="1" x14ac:dyDescent="0.25">
      <c r="A132" s="105"/>
      <c r="B132" s="188"/>
      <c r="C132" s="188"/>
      <c r="D132" s="188"/>
      <c r="E132" s="188"/>
      <c r="F132" s="188"/>
      <c r="G132" s="188"/>
      <c r="H132" s="106"/>
      <c r="I132" s="82"/>
      <c r="N132" s="82"/>
    </row>
    <row r="133" spans="1:16" ht="47.25" customHeight="1" x14ac:dyDescent="0.25">
      <c r="A133" s="48" t="s">
        <v>160</v>
      </c>
      <c r="B133" s="48" t="s">
        <v>161</v>
      </c>
      <c r="C133" s="47" t="s">
        <v>67</v>
      </c>
      <c r="D133" s="47" t="s">
        <v>68</v>
      </c>
      <c r="E133" s="51" t="s">
        <v>69</v>
      </c>
      <c r="F133" s="47" t="s">
        <v>230</v>
      </c>
      <c r="G133" s="108" t="s">
        <v>70</v>
      </c>
      <c r="H133" s="109"/>
      <c r="I133" s="82"/>
    </row>
    <row r="134" spans="1:16" s="83" customFormat="1" x14ac:dyDescent="0.25">
      <c r="A134" s="187" t="s">
        <v>209</v>
      </c>
      <c r="B134" s="187"/>
      <c r="C134" s="187"/>
      <c r="D134" s="187"/>
      <c r="E134" s="187"/>
      <c r="F134" s="187"/>
      <c r="G134" s="187"/>
      <c r="H134" s="187"/>
      <c r="I134" s="82"/>
      <c r="L134" s="186"/>
      <c r="M134" s="186"/>
    </row>
    <row r="135" spans="1:16" s="83" customFormat="1" x14ac:dyDescent="0.25">
      <c r="A135" s="187" t="s">
        <v>250</v>
      </c>
      <c r="B135" s="187"/>
      <c r="C135" s="187"/>
      <c r="D135" s="187"/>
      <c r="E135" s="187"/>
      <c r="F135" s="187"/>
      <c r="G135" s="187"/>
      <c r="H135" s="187"/>
      <c r="I135" s="82"/>
      <c r="L135" s="186"/>
      <c r="M135" s="186"/>
    </row>
    <row r="136" spans="1:16" s="83" customFormat="1" x14ac:dyDescent="0.25">
      <c r="A136" s="120" t="s">
        <v>231</v>
      </c>
      <c r="B136" s="121"/>
      <c r="C136" s="121"/>
      <c r="D136" s="121"/>
      <c r="E136" s="121"/>
      <c r="F136" s="121"/>
      <c r="G136" s="121"/>
      <c r="H136" s="122"/>
    </row>
    <row r="137" spans="1:16" s="83" customFormat="1" x14ac:dyDescent="0.25">
      <c r="A137" s="105">
        <v>1</v>
      </c>
      <c r="B137" s="106"/>
      <c r="C137" s="42" t="s">
        <v>217</v>
      </c>
      <c r="D137" s="42">
        <f>30.98*10.764</f>
        <v>333.46871999999996</v>
      </c>
      <c r="E137" s="42">
        <v>0</v>
      </c>
      <c r="F137" s="42">
        <f>1.7*D137</f>
        <v>566.89682399999992</v>
      </c>
      <c r="G137" s="105" t="str">
        <f>A136</f>
        <v>Ground Floor for Residential</v>
      </c>
      <c r="H137" s="106"/>
      <c r="I137" s="82"/>
      <c r="K137" s="83">
        <f>D137*1.45*3800</f>
        <v>1837412.6471999995</v>
      </c>
      <c r="L137" s="186"/>
      <c r="M137" s="186"/>
      <c r="N137" s="82"/>
    </row>
    <row r="138" spans="1:16" s="83" customFormat="1" x14ac:dyDescent="0.25">
      <c r="A138" s="105">
        <f>A137+1</f>
        <v>2</v>
      </c>
      <c r="B138" s="106"/>
      <c r="C138" s="42" t="s">
        <v>218</v>
      </c>
      <c r="D138" s="42">
        <f>19.58*10.764</f>
        <v>210.75911999999997</v>
      </c>
      <c r="E138" s="42">
        <v>0</v>
      </c>
      <c r="F138" s="42">
        <f>1.7*D138</f>
        <v>358.29050399999994</v>
      </c>
      <c r="G138" s="105" t="str">
        <f t="shared" ref="G138" si="6">G137</f>
        <v>Ground Floor for Residential</v>
      </c>
      <c r="H138" s="106"/>
      <c r="I138" s="82">
        <f>1400000/F138</f>
        <v>3907.4437764055288</v>
      </c>
      <c r="J138" s="83" t="s">
        <v>233</v>
      </c>
      <c r="K138" s="83">
        <f t="shared" ref="K138:K159" si="7">D138*1.45*3800</f>
        <v>1161282.7511999998</v>
      </c>
      <c r="L138" s="186"/>
      <c r="M138" s="186"/>
      <c r="N138" s="82"/>
    </row>
    <row r="139" spans="1:16" s="83" customFormat="1" ht="15.75" customHeight="1" x14ac:dyDescent="0.25">
      <c r="A139" s="120" t="s">
        <v>232</v>
      </c>
      <c r="B139" s="121"/>
      <c r="C139" s="121"/>
      <c r="D139" s="121"/>
      <c r="E139" s="121"/>
      <c r="F139" s="121"/>
      <c r="G139" s="121"/>
      <c r="H139" s="122"/>
      <c r="I139" s="82"/>
      <c r="K139" s="83">
        <f t="shared" si="7"/>
        <v>0</v>
      </c>
      <c r="P139" s="86"/>
    </row>
    <row r="140" spans="1:16" s="83" customFormat="1" x14ac:dyDescent="0.25">
      <c r="A140" s="105" t="str">
        <f t="shared" ref="A140:A143" ca="1" si="8">N140</f>
        <v>101 to 401</v>
      </c>
      <c r="B140" s="106"/>
      <c r="C140" s="42" t="s">
        <v>217</v>
      </c>
      <c r="D140" s="42">
        <f>30.98*10.764</f>
        <v>333.46871999999996</v>
      </c>
      <c r="E140" s="42">
        <v>0</v>
      </c>
      <c r="F140" s="42">
        <f>1.7*D140</f>
        <v>566.89682399999992</v>
      </c>
      <c r="G140" s="105" t="str">
        <f>A139</f>
        <v>1st to 4th Floor for Residential</v>
      </c>
      <c r="H140" s="106"/>
      <c r="I140" s="82">
        <f>2500000/F140</f>
        <v>4409.9735510248693</v>
      </c>
      <c r="J140" s="85">
        <f>F140/D140</f>
        <v>1.7</v>
      </c>
      <c r="K140" s="83">
        <f t="shared" si="7"/>
        <v>1837412.6471999995</v>
      </c>
      <c r="N140" s="83" t="str">
        <f t="shared" ref="N140:N143" ca="1" si="9">O140&amp;""&amp;" to "&amp;""&amp;P140</f>
        <v>101 to 401</v>
      </c>
      <c r="O140" s="83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10^ROW(INDIRECT("1:"&amp;LEN((LEFT(A139,SUM(LEN(A139)-LEN(SUBSTITUTE(A139,{"0","1","2"},""))))))))/10))*100+1</f>
        <v>101</v>
      </c>
      <c r="P140" s="83">
        <f ca="1">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401</v>
      </c>
    </row>
    <row r="141" spans="1:16" s="83" customFormat="1" x14ac:dyDescent="0.25">
      <c r="A141" s="105" t="str">
        <f t="shared" ca="1" si="8"/>
        <v>102 to 402</v>
      </c>
      <c r="B141" s="106"/>
      <c r="C141" s="42" t="s">
        <v>217</v>
      </c>
      <c r="D141" s="42">
        <f t="shared" ref="D141:D143" si="10">30.98*10.764</f>
        <v>333.46871999999996</v>
      </c>
      <c r="E141" s="42">
        <v>0</v>
      </c>
      <c r="F141" s="42">
        <f t="shared" ref="F141:F143" si="11">1.7*D141</f>
        <v>566.89682399999992</v>
      </c>
      <c r="G141" s="105" t="str">
        <f t="shared" ref="G141:G143" si="12">G140</f>
        <v>1st to 4th Floor for Residential</v>
      </c>
      <c r="H141" s="106"/>
      <c r="I141" s="82"/>
      <c r="K141" s="83">
        <f t="shared" si="7"/>
        <v>1837412.6471999995</v>
      </c>
      <c r="N141" s="83" t="str">
        <f t="shared" ca="1" si="9"/>
        <v>102 to 402</v>
      </c>
      <c r="O141" s="83">
        <f t="shared" ref="O141:P143" ca="1" si="13">O140+1</f>
        <v>102</v>
      </c>
      <c r="P141" s="83">
        <f t="shared" ca="1" si="13"/>
        <v>402</v>
      </c>
    </row>
    <row r="142" spans="1:16" s="83" customFormat="1" x14ac:dyDescent="0.25">
      <c r="A142" s="105" t="str">
        <f t="shared" ca="1" si="8"/>
        <v>103 to 403</v>
      </c>
      <c r="B142" s="106"/>
      <c r="C142" s="42" t="s">
        <v>217</v>
      </c>
      <c r="D142" s="42">
        <f t="shared" si="10"/>
        <v>333.46871999999996</v>
      </c>
      <c r="E142" s="42">
        <v>0</v>
      </c>
      <c r="F142" s="42">
        <f t="shared" si="11"/>
        <v>566.89682399999992</v>
      </c>
      <c r="G142" s="105" t="str">
        <f t="shared" si="12"/>
        <v>1st to 4th Floor for Residential</v>
      </c>
      <c r="H142" s="106"/>
      <c r="I142" s="82"/>
      <c r="K142" s="83">
        <f t="shared" si="7"/>
        <v>1837412.6471999995</v>
      </c>
      <c r="N142" s="83" t="str">
        <f t="shared" ca="1" si="9"/>
        <v>103 to 403</v>
      </c>
      <c r="O142" s="83">
        <f t="shared" ca="1" si="13"/>
        <v>103</v>
      </c>
      <c r="P142" s="83">
        <f t="shared" ca="1" si="13"/>
        <v>403</v>
      </c>
    </row>
    <row r="143" spans="1:16" s="83" customFormat="1" x14ac:dyDescent="0.25">
      <c r="A143" s="105" t="str">
        <f t="shared" ca="1" si="8"/>
        <v>104 to 404</v>
      </c>
      <c r="B143" s="106"/>
      <c r="C143" s="42" t="s">
        <v>217</v>
      </c>
      <c r="D143" s="42">
        <f t="shared" si="10"/>
        <v>333.46871999999996</v>
      </c>
      <c r="E143" s="42">
        <v>0</v>
      </c>
      <c r="F143" s="42">
        <f t="shared" si="11"/>
        <v>566.89682399999992</v>
      </c>
      <c r="G143" s="105" t="str">
        <f t="shared" si="12"/>
        <v>1st to 4th Floor for Residential</v>
      </c>
      <c r="H143" s="106"/>
      <c r="I143" s="82"/>
      <c r="K143" s="83">
        <f t="shared" si="7"/>
        <v>1837412.6471999995</v>
      </c>
      <c r="N143" s="83" t="str">
        <f t="shared" ca="1" si="9"/>
        <v>104 to 404</v>
      </c>
      <c r="O143" s="83">
        <f t="shared" ca="1" si="13"/>
        <v>104</v>
      </c>
      <c r="P143" s="83">
        <f t="shared" ca="1" si="13"/>
        <v>404</v>
      </c>
    </row>
    <row r="144" spans="1:16" s="83" customFormat="1" x14ac:dyDescent="0.25">
      <c r="A144" s="187" t="s">
        <v>251</v>
      </c>
      <c r="B144" s="187"/>
      <c r="C144" s="187"/>
      <c r="D144" s="187"/>
      <c r="E144" s="187"/>
      <c r="F144" s="187"/>
      <c r="G144" s="187"/>
      <c r="H144" s="187"/>
      <c r="I144" s="82"/>
      <c r="K144" s="83">
        <f t="shared" si="7"/>
        <v>0</v>
      </c>
      <c r="L144" s="186"/>
      <c r="M144" s="186"/>
    </row>
    <row r="145" spans="1:16" s="83" customFormat="1" x14ac:dyDescent="0.25">
      <c r="A145" s="120" t="s">
        <v>231</v>
      </c>
      <c r="B145" s="121"/>
      <c r="C145" s="121"/>
      <c r="D145" s="121"/>
      <c r="E145" s="121"/>
      <c r="F145" s="121"/>
      <c r="G145" s="121"/>
      <c r="H145" s="122"/>
      <c r="K145" s="83">
        <f t="shared" si="7"/>
        <v>0</v>
      </c>
    </row>
    <row r="146" spans="1:16" s="83" customFormat="1" x14ac:dyDescent="0.25">
      <c r="A146" s="105">
        <v>1</v>
      </c>
      <c r="B146" s="106"/>
      <c r="C146" s="42" t="s">
        <v>217</v>
      </c>
      <c r="D146" s="42">
        <f>35.19*10.764</f>
        <v>378.78515999999996</v>
      </c>
      <c r="E146" s="42">
        <v>0</v>
      </c>
      <c r="F146" s="84">
        <v>595</v>
      </c>
      <c r="G146" s="105" t="str">
        <f>A145</f>
        <v>Ground Floor for Residential</v>
      </c>
      <c r="H146" s="106"/>
      <c r="I146" s="82"/>
      <c r="J146" s="82">
        <f>3800*F146</f>
        <v>2261000</v>
      </c>
      <c r="K146" s="83">
        <f t="shared" si="7"/>
        <v>2087106.2315999998</v>
      </c>
      <c r="L146" s="186">
        <f>F146/D146</f>
        <v>1.5708112746550051</v>
      </c>
      <c r="M146" s="186"/>
      <c r="N146" s="82"/>
    </row>
    <row r="147" spans="1:16" s="83" customFormat="1" x14ac:dyDescent="0.25">
      <c r="A147" s="105">
        <f>A146+1</f>
        <v>2</v>
      </c>
      <c r="B147" s="106"/>
      <c r="C147" s="42" t="s">
        <v>218</v>
      </c>
      <c r="D147" s="42">
        <f>23.48*10.764</f>
        <v>252.73872</v>
      </c>
      <c r="E147" s="42">
        <v>0</v>
      </c>
      <c r="F147" s="84">
        <v>415</v>
      </c>
      <c r="G147" s="105" t="str">
        <f t="shared" ref="G147:G150" si="14">G146</f>
        <v>Ground Floor for Residential</v>
      </c>
      <c r="H147" s="106"/>
      <c r="I147" s="82"/>
      <c r="J147" s="82">
        <f t="shared" ref="J147:J159" si="15">3800*F147</f>
        <v>1577000</v>
      </c>
      <c r="K147" s="83">
        <f t="shared" si="7"/>
        <v>1392590.3472</v>
      </c>
      <c r="L147" s="186">
        <f t="shared" ref="L147:L150" si="16">F147/D147</f>
        <v>1.6420119560627671</v>
      </c>
      <c r="M147" s="186"/>
      <c r="N147" s="82"/>
    </row>
    <row r="148" spans="1:16" s="83" customFormat="1" x14ac:dyDescent="0.25">
      <c r="A148" s="105">
        <f>A147+1</f>
        <v>3</v>
      </c>
      <c r="B148" s="106"/>
      <c r="C148" s="42" t="s">
        <v>217</v>
      </c>
      <c r="D148" s="42">
        <f>33.4*10.764</f>
        <v>359.51759999999996</v>
      </c>
      <c r="E148" s="42">
        <v>0</v>
      </c>
      <c r="F148" s="84">
        <v>580</v>
      </c>
      <c r="G148" s="105" t="str">
        <f t="shared" si="14"/>
        <v>Ground Floor for Residential</v>
      </c>
      <c r="H148" s="106"/>
      <c r="I148" s="82">
        <f>1436000/F148</f>
        <v>2475.8620689655172</v>
      </c>
      <c r="J148" s="82">
        <f t="shared" si="15"/>
        <v>2204000</v>
      </c>
      <c r="K148" s="83">
        <f t="shared" si="7"/>
        <v>1980941.9759999996</v>
      </c>
      <c r="L148" s="186">
        <f t="shared" si="16"/>
        <v>1.6132728967928136</v>
      </c>
      <c r="M148" s="186"/>
      <c r="N148" s="82"/>
    </row>
    <row r="149" spans="1:16" s="83" customFormat="1" x14ac:dyDescent="0.25">
      <c r="A149" s="105">
        <f>A148+1</f>
        <v>4</v>
      </c>
      <c r="B149" s="106"/>
      <c r="C149" s="42" t="s">
        <v>219</v>
      </c>
      <c r="D149" s="42">
        <f>45.91*10.764</f>
        <v>494.17523999999992</v>
      </c>
      <c r="E149" s="42">
        <v>0</v>
      </c>
      <c r="F149" s="84">
        <v>875</v>
      </c>
      <c r="G149" s="105" t="str">
        <f t="shared" si="14"/>
        <v>Ground Floor for Residential</v>
      </c>
      <c r="H149" s="106"/>
      <c r="I149" s="82">
        <f>2171000/F149</f>
        <v>2481.1428571428573</v>
      </c>
      <c r="J149" s="82">
        <f t="shared" si="15"/>
        <v>3325000</v>
      </c>
      <c r="K149" s="83">
        <f t="shared" si="7"/>
        <v>2722905.5723999995</v>
      </c>
      <c r="L149" s="186">
        <f t="shared" si="16"/>
        <v>1.7706269541144961</v>
      </c>
      <c r="M149" s="186"/>
      <c r="N149" s="82"/>
    </row>
    <row r="150" spans="1:16" s="83" customFormat="1" x14ac:dyDescent="0.25">
      <c r="A150" s="105">
        <f>A149+1</f>
        <v>5</v>
      </c>
      <c r="B150" s="106"/>
      <c r="C150" s="42" t="s">
        <v>217</v>
      </c>
      <c r="D150" s="42">
        <f>33.4*10.764</f>
        <v>359.51759999999996</v>
      </c>
      <c r="E150" s="42">
        <v>0</v>
      </c>
      <c r="F150" s="84">
        <v>580</v>
      </c>
      <c r="G150" s="105" t="str">
        <f t="shared" si="14"/>
        <v>Ground Floor for Residential</v>
      </c>
      <c r="H150" s="106"/>
      <c r="I150" s="82"/>
      <c r="J150" s="82">
        <f t="shared" si="15"/>
        <v>2204000</v>
      </c>
      <c r="K150" s="83">
        <f t="shared" si="7"/>
        <v>1980941.9759999996</v>
      </c>
      <c r="L150" s="186">
        <f t="shared" si="16"/>
        <v>1.6132728967928136</v>
      </c>
      <c r="M150" s="186"/>
      <c r="N150" s="82"/>
    </row>
    <row r="151" spans="1:16" s="83" customFormat="1" x14ac:dyDescent="0.25">
      <c r="A151" s="120" t="s">
        <v>232</v>
      </c>
      <c r="B151" s="121"/>
      <c r="C151" s="121"/>
      <c r="D151" s="121"/>
      <c r="E151" s="121"/>
      <c r="F151" s="121"/>
      <c r="G151" s="121"/>
      <c r="H151" s="122"/>
      <c r="I151" s="82"/>
      <c r="J151" s="82">
        <f t="shared" si="15"/>
        <v>0</v>
      </c>
      <c r="K151" s="83">
        <f t="shared" si="7"/>
        <v>0</v>
      </c>
      <c r="P151" s="86"/>
    </row>
    <row r="152" spans="1:16" s="83" customFormat="1" x14ac:dyDescent="0.25">
      <c r="A152" s="105" t="str">
        <f t="shared" ref="A152:A155" ca="1" si="17">N152</f>
        <v>101 to 401</v>
      </c>
      <c r="B152" s="106"/>
      <c r="C152" s="42" t="s">
        <v>217</v>
      </c>
      <c r="D152" s="42">
        <f>35.33*10.764</f>
        <v>380.29211999999995</v>
      </c>
      <c r="E152" s="42">
        <v>0</v>
      </c>
      <c r="F152" s="84">
        <v>625</v>
      </c>
      <c r="G152" s="105" t="str">
        <f>A151</f>
        <v>1st to 4th Floor for Residential</v>
      </c>
      <c r="H152" s="106"/>
      <c r="I152" s="82"/>
      <c r="J152" s="82">
        <f t="shared" si="15"/>
        <v>2375000</v>
      </c>
      <c r="K152" s="83">
        <f t="shared" si="7"/>
        <v>2095409.5811999997</v>
      </c>
      <c r="N152" s="83" t="str">
        <f t="shared" ref="N152:N155" ca="1" si="18">O152&amp;""&amp;" to "&amp;""&amp;P152</f>
        <v>101 to 401</v>
      </c>
      <c r="O152" s="83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10^ROW(INDIRECT("1:"&amp;LEN((LEFT(A151,SUM(LEN(A151)-LEN(SUBSTITUTE(A151,{"0","1","2"},""))))))))/10))*100+1</f>
        <v>101</v>
      </c>
      <c r="P152" s="83">
        <f ca="1">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401</v>
      </c>
    </row>
    <row r="153" spans="1:16" s="83" customFormat="1" x14ac:dyDescent="0.25">
      <c r="A153" s="105" t="str">
        <f t="shared" ca="1" si="17"/>
        <v>102 to 402</v>
      </c>
      <c r="B153" s="106"/>
      <c r="C153" s="42" t="s">
        <v>218</v>
      </c>
      <c r="D153" s="42">
        <f>23.48*10.764</f>
        <v>252.73872</v>
      </c>
      <c r="E153" s="42">
        <v>0</v>
      </c>
      <c r="F153" s="84">
        <v>445</v>
      </c>
      <c r="G153" s="105" t="str">
        <f t="shared" ref="G153:G159" si="19">G152</f>
        <v>1st to 4th Floor for Residential</v>
      </c>
      <c r="H153" s="106"/>
      <c r="I153" s="82"/>
      <c r="J153" s="82">
        <f t="shared" si="15"/>
        <v>1691000</v>
      </c>
      <c r="K153" s="83">
        <f t="shared" si="7"/>
        <v>1392590.3472</v>
      </c>
      <c r="N153" s="83" t="str">
        <f t="shared" ca="1" si="18"/>
        <v>102 to 402</v>
      </c>
      <c r="O153" s="83">
        <f t="shared" ref="O153:P153" ca="1" si="20">O152+1</f>
        <v>102</v>
      </c>
      <c r="P153" s="83">
        <f t="shared" ca="1" si="20"/>
        <v>402</v>
      </c>
    </row>
    <row r="154" spans="1:16" s="83" customFormat="1" x14ac:dyDescent="0.25">
      <c r="A154" s="105" t="str">
        <f t="shared" ca="1" si="17"/>
        <v>103 to 403</v>
      </c>
      <c r="B154" s="106"/>
      <c r="C154" s="42" t="s">
        <v>217</v>
      </c>
      <c r="D154" s="42">
        <f>33.4*10.764</f>
        <v>359.51759999999996</v>
      </c>
      <c r="E154" s="42">
        <v>0</v>
      </c>
      <c r="F154" s="84">
        <v>610</v>
      </c>
      <c r="G154" s="105" t="str">
        <f t="shared" si="19"/>
        <v>1st to 4th Floor for Residential</v>
      </c>
      <c r="H154" s="106"/>
      <c r="I154" s="82"/>
      <c r="J154" s="82">
        <f t="shared" si="15"/>
        <v>2318000</v>
      </c>
      <c r="K154" s="83">
        <f t="shared" si="7"/>
        <v>1980941.9759999996</v>
      </c>
      <c r="N154" s="83" t="str">
        <f t="shared" ca="1" si="18"/>
        <v>103 to 403</v>
      </c>
      <c r="O154" s="83">
        <f t="shared" ref="O154:P154" ca="1" si="21">O153+1</f>
        <v>103</v>
      </c>
      <c r="P154" s="83">
        <f t="shared" ca="1" si="21"/>
        <v>403</v>
      </c>
    </row>
    <row r="155" spans="1:16" s="83" customFormat="1" x14ac:dyDescent="0.25">
      <c r="A155" s="105" t="str">
        <f t="shared" ca="1" si="17"/>
        <v>104 to 404</v>
      </c>
      <c r="B155" s="106"/>
      <c r="C155" s="42" t="s">
        <v>217</v>
      </c>
      <c r="D155" s="42">
        <f>33.4*10.764</f>
        <v>359.51759999999996</v>
      </c>
      <c r="E155" s="42">
        <v>0</v>
      </c>
      <c r="F155" s="84">
        <v>610</v>
      </c>
      <c r="G155" s="105" t="str">
        <f t="shared" si="19"/>
        <v>1st to 4th Floor for Residential</v>
      </c>
      <c r="H155" s="106"/>
      <c r="I155" s="82"/>
      <c r="J155" s="82">
        <f t="shared" si="15"/>
        <v>2318000</v>
      </c>
      <c r="K155" s="83">
        <f t="shared" si="7"/>
        <v>1980941.9759999996</v>
      </c>
      <c r="N155" s="83" t="str">
        <f t="shared" ca="1" si="18"/>
        <v>104 to 404</v>
      </c>
      <c r="O155" s="83">
        <f t="shared" ref="O155:P155" ca="1" si="22">O154+1</f>
        <v>104</v>
      </c>
      <c r="P155" s="83">
        <f t="shared" ca="1" si="22"/>
        <v>404</v>
      </c>
    </row>
    <row r="156" spans="1:16" s="83" customFormat="1" x14ac:dyDescent="0.25">
      <c r="A156" s="105" t="str">
        <f t="shared" ref="A156:A158" ca="1" si="23">N156</f>
        <v>105 to 405</v>
      </c>
      <c r="B156" s="106"/>
      <c r="C156" s="42" t="s">
        <v>218</v>
      </c>
      <c r="D156" s="42">
        <f>23.48*10.764</f>
        <v>252.73872</v>
      </c>
      <c r="E156" s="42">
        <v>0</v>
      </c>
      <c r="F156" s="84">
        <v>445</v>
      </c>
      <c r="G156" s="105" t="str">
        <f t="shared" si="19"/>
        <v>1st to 4th Floor for Residential</v>
      </c>
      <c r="H156" s="106"/>
      <c r="I156" s="82"/>
      <c r="J156" s="82">
        <f t="shared" si="15"/>
        <v>1691000</v>
      </c>
      <c r="K156" s="83">
        <f t="shared" si="7"/>
        <v>1392590.3472</v>
      </c>
      <c r="N156" s="83" t="str">
        <f t="shared" ref="N156:N158" ca="1" si="24">O156&amp;""&amp;" to "&amp;""&amp;P156</f>
        <v>105 to 405</v>
      </c>
      <c r="O156" s="83">
        <f t="shared" ref="O156:P156" ca="1" si="25">O155+1</f>
        <v>105</v>
      </c>
      <c r="P156" s="83">
        <f t="shared" ca="1" si="25"/>
        <v>405</v>
      </c>
    </row>
    <row r="157" spans="1:16" s="83" customFormat="1" x14ac:dyDescent="0.25">
      <c r="A157" s="105" t="str">
        <f t="shared" ca="1" si="23"/>
        <v>106 to 406</v>
      </c>
      <c r="B157" s="106"/>
      <c r="C157" s="42" t="s">
        <v>217</v>
      </c>
      <c r="D157" s="42">
        <f>33.4*10.764</f>
        <v>359.51759999999996</v>
      </c>
      <c r="E157" s="42">
        <v>0</v>
      </c>
      <c r="F157" s="84">
        <v>610</v>
      </c>
      <c r="G157" s="105" t="str">
        <f t="shared" si="19"/>
        <v>1st to 4th Floor for Residential</v>
      </c>
      <c r="H157" s="106"/>
      <c r="I157" s="82"/>
      <c r="J157" s="82">
        <f t="shared" si="15"/>
        <v>2318000</v>
      </c>
      <c r="K157" s="83">
        <f t="shared" si="7"/>
        <v>1980941.9759999996</v>
      </c>
      <c r="N157" s="83" t="str">
        <f t="shared" ca="1" si="24"/>
        <v>106 to 406</v>
      </c>
      <c r="O157" s="83">
        <f t="shared" ref="O157:P157" ca="1" si="26">O156+1</f>
        <v>106</v>
      </c>
      <c r="P157" s="83">
        <f t="shared" ca="1" si="26"/>
        <v>406</v>
      </c>
    </row>
    <row r="158" spans="1:16" s="83" customFormat="1" x14ac:dyDescent="0.25">
      <c r="A158" s="105" t="str">
        <f t="shared" ca="1" si="23"/>
        <v>107 to 407</v>
      </c>
      <c r="B158" s="106"/>
      <c r="C158" s="42" t="s">
        <v>217</v>
      </c>
      <c r="D158" s="42">
        <f>33.4*10.764</f>
        <v>359.51759999999996</v>
      </c>
      <c r="E158" s="42">
        <v>0</v>
      </c>
      <c r="F158" s="84">
        <v>615</v>
      </c>
      <c r="G158" s="105" t="str">
        <f t="shared" si="19"/>
        <v>1st to 4th Floor for Residential</v>
      </c>
      <c r="H158" s="106"/>
      <c r="I158" s="82"/>
      <c r="J158" s="82">
        <f t="shared" si="15"/>
        <v>2337000</v>
      </c>
      <c r="K158" s="83">
        <f t="shared" si="7"/>
        <v>1980941.9759999996</v>
      </c>
      <c r="N158" s="83" t="str">
        <f t="shared" ca="1" si="24"/>
        <v>107 to 407</v>
      </c>
      <c r="O158" s="83">
        <f t="shared" ref="O158:P159" ca="1" si="27">O157+1</f>
        <v>107</v>
      </c>
      <c r="P158" s="83">
        <f t="shared" ca="1" si="27"/>
        <v>407</v>
      </c>
    </row>
    <row r="159" spans="1:16" s="83" customFormat="1" x14ac:dyDescent="0.25">
      <c r="A159" s="105" t="str">
        <f t="shared" ref="A159" ca="1" si="28">N159</f>
        <v>108 to 408</v>
      </c>
      <c r="B159" s="106"/>
      <c r="C159" s="42" t="s">
        <v>219</v>
      </c>
      <c r="D159" s="42">
        <f>47.85*10.764</f>
        <v>515.05740000000003</v>
      </c>
      <c r="E159" s="42">
        <v>0</v>
      </c>
      <c r="F159" s="84">
        <v>965</v>
      </c>
      <c r="G159" s="105" t="str">
        <f t="shared" si="19"/>
        <v>1st to 4th Floor for Residential</v>
      </c>
      <c r="H159" s="106"/>
      <c r="I159" s="82">
        <f>3400000/F159</f>
        <v>3523.3160621761658</v>
      </c>
      <c r="J159" s="82">
        <f t="shared" si="15"/>
        <v>3667000</v>
      </c>
      <c r="K159" s="83">
        <f t="shared" si="7"/>
        <v>2837966.2740000002</v>
      </c>
      <c r="N159" s="83" t="str">
        <f t="shared" ref="N159" ca="1" si="29">O159&amp;""&amp;" to "&amp;""&amp;P159</f>
        <v>108 to 408</v>
      </c>
      <c r="O159" s="83">
        <f t="shared" ca="1" si="27"/>
        <v>108</v>
      </c>
      <c r="P159" s="83">
        <f t="shared" ca="1" si="27"/>
        <v>408</v>
      </c>
    </row>
    <row r="160" spans="1:16" s="81" customFormat="1" x14ac:dyDescent="0.25">
      <c r="A160" s="115" t="s">
        <v>78</v>
      </c>
      <c r="B160" s="115"/>
      <c r="C160" s="115"/>
      <c r="D160" s="115"/>
      <c r="E160" s="115"/>
      <c r="F160" s="115"/>
      <c r="G160" s="115"/>
      <c r="H160" s="115"/>
    </row>
    <row r="161" spans="1:11" s="81" customFormat="1" ht="15.75" customHeight="1" x14ac:dyDescent="0.25">
      <c r="A161" s="49">
        <v>1</v>
      </c>
      <c r="B161" s="117" t="s">
        <v>256</v>
      </c>
      <c r="C161" s="118"/>
      <c r="D161" s="118"/>
      <c r="E161" s="118"/>
      <c r="F161" s="118"/>
      <c r="G161" s="118"/>
      <c r="H161" s="119"/>
      <c r="I161" s="101" t="s">
        <v>255</v>
      </c>
    </row>
    <row r="162" spans="1:11" s="81" customFormat="1" x14ac:dyDescent="0.25">
      <c r="A162" s="49">
        <f>A161+1</f>
        <v>2</v>
      </c>
      <c r="B162" s="117" t="s">
        <v>236</v>
      </c>
      <c r="C162" s="118"/>
      <c r="D162" s="118"/>
      <c r="E162" s="118"/>
      <c r="F162" s="118"/>
      <c r="G162" s="118"/>
      <c r="H162" s="119"/>
    </row>
    <row r="163" spans="1:11" s="81" customFormat="1" x14ac:dyDescent="0.25">
      <c r="A163" s="49">
        <f t="shared" ref="A163:A168" si="30">A162+1</f>
        <v>3</v>
      </c>
      <c r="B163" s="117" t="s">
        <v>164</v>
      </c>
      <c r="C163" s="118"/>
      <c r="D163" s="118"/>
      <c r="E163" s="118"/>
      <c r="F163" s="118"/>
      <c r="G163" s="118"/>
      <c r="H163" s="119"/>
    </row>
    <row r="164" spans="1:11" s="81" customFormat="1" x14ac:dyDescent="0.25">
      <c r="A164" s="49">
        <f t="shared" si="30"/>
        <v>4</v>
      </c>
      <c r="B164" s="117" t="s">
        <v>165</v>
      </c>
      <c r="C164" s="118"/>
      <c r="D164" s="118"/>
      <c r="E164" s="118"/>
      <c r="F164" s="118"/>
      <c r="G164" s="118"/>
      <c r="H164" s="119"/>
    </row>
    <row r="165" spans="1:11" s="81" customFormat="1" x14ac:dyDescent="0.25">
      <c r="A165" s="49">
        <f t="shared" si="30"/>
        <v>5</v>
      </c>
      <c r="B165" s="117" t="s">
        <v>166</v>
      </c>
      <c r="C165" s="118"/>
      <c r="D165" s="118"/>
      <c r="E165" s="118"/>
      <c r="F165" s="118"/>
      <c r="G165" s="118"/>
      <c r="H165" s="119"/>
    </row>
    <row r="166" spans="1:11" s="81" customFormat="1" ht="35.25" customHeight="1" x14ac:dyDescent="0.25">
      <c r="A166" s="49">
        <f t="shared" si="30"/>
        <v>6</v>
      </c>
      <c r="B166" s="117" t="s">
        <v>228</v>
      </c>
      <c r="C166" s="118"/>
      <c r="D166" s="118"/>
      <c r="E166" s="118"/>
      <c r="F166" s="118"/>
      <c r="G166" s="118"/>
      <c r="H166" s="119"/>
      <c r="K166" s="101"/>
    </row>
    <row r="167" spans="1:11" s="81" customFormat="1" x14ac:dyDescent="0.25">
      <c r="A167" s="49">
        <f t="shared" si="30"/>
        <v>7</v>
      </c>
      <c r="B167" s="117" t="s">
        <v>167</v>
      </c>
      <c r="C167" s="118"/>
      <c r="D167" s="118"/>
      <c r="E167" s="118"/>
      <c r="F167" s="118"/>
      <c r="G167" s="118"/>
      <c r="H167" s="119"/>
    </row>
    <row r="168" spans="1:11" s="81" customFormat="1" hidden="1" x14ac:dyDescent="0.25">
      <c r="A168" s="49">
        <f t="shared" si="30"/>
        <v>8</v>
      </c>
      <c r="B168" s="117" t="s">
        <v>224</v>
      </c>
      <c r="C168" s="118"/>
      <c r="D168" s="118"/>
      <c r="E168" s="118"/>
      <c r="F168" s="118"/>
      <c r="G168" s="118"/>
      <c r="H168" s="119"/>
    </row>
    <row r="169" spans="1:11" s="81" customFormat="1" ht="30.95" hidden="1" customHeight="1" x14ac:dyDescent="0.25">
      <c r="A169" s="94">
        <v>8</v>
      </c>
      <c r="B169" s="112" t="s">
        <v>243</v>
      </c>
      <c r="C169" s="113"/>
      <c r="D169" s="113"/>
      <c r="E169" s="113"/>
      <c r="F169" s="113"/>
      <c r="G169" s="113"/>
      <c r="H169" s="114"/>
    </row>
    <row r="170" spans="1:11" s="81" customFormat="1" ht="33" customHeight="1" x14ac:dyDescent="0.25">
      <c r="A170" s="99">
        <v>8</v>
      </c>
      <c r="B170" s="117" t="s">
        <v>246</v>
      </c>
      <c r="C170" s="118"/>
      <c r="D170" s="118"/>
      <c r="E170" s="118"/>
      <c r="F170" s="118"/>
      <c r="G170" s="118"/>
      <c r="H170" s="119"/>
    </row>
    <row r="171" spans="1:11" s="81" customFormat="1" ht="49.5" customHeight="1" x14ac:dyDescent="0.25">
      <c r="A171" s="100">
        <v>9</v>
      </c>
      <c r="B171" s="117" t="s">
        <v>252</v>
      </c>
      <c r="C171" s="118"/>
      <c r="D171" s="118"/>
      <c r="E171" s="118"/>
      <c r="F171" s="118"/>
      <c r="G171" s="118"/>
      <c r="H171" s="119"/>
    </row>
    <row r="172" spans="1:11" s="81" customFormat="1" ht="15.75" customHeight="1" x14ac:dyDescent="0.25">
      <c r="A172" s="102">
        <v>10</v>
      </c>
      <c r="B172" s="117" t="s">
        <v>247</v>
      </c>
      <c r="C172" s="118"/>
      <c r="D172" s="118"/>
      <c r="E172" s="118"/>
      <c r="F172" s="118"/>
      <c r="G172" s="118"/>
      <c r="H172" s="119"/>
    </row>
    <row r="173" spans="1:11" s="81" customFormat="1" ht="33" customHeight="1" x14ac:dyDescent="0.25">
      <c r="A173" s="102">
        <v>11</v>
      </c>
      <c r="B173" s="112" t="s">
        <v>257</v>
      </c>
      <c r="C173" s="113"/>
      <c r="D173" s="113"/>
      <c r="E173" s="113"/>
      <c r="F173" s="113"/>
      <c r="G173" s="113"/>
      <c r="H173" s="114"/>
    </row>
    <row r="174" spans="1:11" s="81" customFormat="1" ht="33" customHeight="1" x14ac:dyDescent="0.25">
      <c r="A174" s="102">
        <v>12</v>
      </c>
      <c r="B174" s="117" t="s">
        <v>258</v>
      </c>
      <c r="C174" s="118"/>
      <c r="D174" s="118"/>
      <c r="E174" s="118"/>
      <c r="F174" s="118"/>
      <c r="G174" s="118"/>
      <c r="H174" s="119"/>
    </row>
    <row r="175" spans="1:11" x14ac:dyDescent="0.25">
      <c r="A175" s="110" t="s">
        <v>71</v>
      </c>
      <c r="B175" s="110"/>
      <c r="C175" s="110"/>
      <c r="D175" s="110"/>
      <c r="E175" s="110"/>
      <c r="F175" s="110"/>
      <c r="G175" s="110"/>
      <c r="H175" s="110"/>
    </row>
    <row r="176" spans="1:11" x14ac:dyDescent="0.25">
      <c r="A176" s="103" t="s">
        <v>72</v>
      </c>
      <c r="B176" s="103"/>
      <c r="C176" s="103"/>
      <c r="D176" s="103"/>
      <c r="E176" s="103"/>
      <c r="F176" s="103"/>
      <c r="G176" s="103"/>
      <c r="H176" s="103"/>
    </row>
    <row r="177" spans="1:8" ht="15.75" customHeight="1" x14ac:dyDescent="0.25">
      <c r="A177" s="104" t="s">
        <v>73</v>
      </c>
      <c r="B177" s="104"/>
      <c r="C177" s="104"/>
      <c r="D177" s="104"/>
      <c r="E177" s="104"/>
      <c r="F177" s="104"/>
      <c r="G177" s="104"/>
      <c r="H177" s="104"/>
    </row>
    <row r="178" spans="1:8" x14ac:dyDescent="0.25">
      <c r="A178" s="103" t="s">
        <v>74</v>
      </c>
      <c r="B178" s="103"/>
      <c r="C178" s="103"/>
      <c r="D178" s="103"/>
      <c r="E178" s="103"/>
      <c r="F178" s="103"/>
      <c r="G178" s="103"/>
      <c r="H178" s="103"/>
    </row>
    <row r="179" spans="1:8" x14ac:dyDescent="0.25">
      <c r="A179" s="103" t="s">
        <v>75</v>
      </c>
      <c r="B179" s="103"/>
      <c r="C179" s="103"/>
      <c r="D179" s="103"/>
      <c r="E179" s="103"/>
      <c r="F179" s="103"/>
      <c r="G179" s="103"/>
      <c r="H179" s="103"/>
    </row>
    <row r="180" spans="1:8" x14ac:dyDescent="0.25">
      <c r="A180" s="103" t="s">
        <v>168</v>
      </c>
      <c r="B180" s="103"/>
      <c r="C180" s="103"/>
      <c r="D180" s="103"/>
      <c r="E180" s="103"/>
      <c r="F180" s="103"/>
      <c r="G180" s="103"/>
      <c r="H180" s="103"/>
    </row>
    <row r="181" spans="1:8" hidden="1" x14ac:dyDescent="0.25">
      <c r="A181" s="135" t="s">
        <v>169</v>
      </c>
      <c r="B181" s="135"/>
      <c r="C181" s="135"/>
      <c r="D181" s="135"/>
      <c r="E181" s="135"/>
      <c r="F181" s="135"/>
      <c r="G181" s="135"/>
      <c r="H181" s="135"/>
    </row>
    <row r="182" spans="1:8" x14ac:dyDescent="0.25">
      <c r="A182" s="138" t="s">
        <v>111</v>
      </c>
      <c r="B182" s="138"/>
      <c r="C182" s="138" t="s">
        <v>254</v>
      </c>
      <c r="D182" s="138"/>
      <c r="E182" s="138" t="s">
        <v>143</v>
      </c>
      <c r="F182" s="138"/>
      <c r="G182" s="138" t="s">
        <v>253</v>
      </c>
      <c r="H182" s="138"/>
    </row>
    <row r="183" spans="1:8" x14ac:dyDescent="0.25">
      <c r="A183" s="137" t="s">
        <v>113</v>
      </c>
      <c r="B183" s="137"/>
      <c r="C183" s="137"/>
      <c r="D183" s="137"/>
      <c r="E183" s="137"/>
      <c r="F183" s="137"/>
      <c r="G183" s="137"/>
      <c r="H183" s="137"/>
    </row>
    <row r="184" spans="1:8" x14ac:dyDescent="0.25">
      <c r="A184" s="137"/>
      <c r="B184" s="137"/>
      <c r="C184" s="137"/>
      <c r="D184" s="137"/>
      <c r="E184" s="137"/>
      <c r="F184" s="137"/>
      <c r="G184" s="137"/>
      <c r="H184" s="137"/>
    </row>
    <row r="185" spans="1:8" ht="27.75" customHeight="1" x14ac:dyDescent="0.25">
      <c r="A185" s="137"/>
      <c r="B185" s="137"/>
      <c r="C185" s="137"/>
      <c r="D185" s="137"/>
      <c r="E185" s="137"/>
      <c r="F185" s="137"/>
      <c r="G185" s="137"/>
      <c r="H185" s="137"/>
    </row>
    <row r="186" spans="1:8" x14ac:dyDescent="0.25">
      <c r="A186" s="87" t="s">
        <v>76</v>
      </c>
      <c r="B186" s="88"/>
      <c r="C186" s="88"/>
      <c r="D186" s="87" t="str">
        <f>E8</f>
        <v>Shree Balaji Avenue</v>
      </c>
      <c r="F186" s="88"/>
      <c r="G186" s="88"/>
      <c r="H186" s="88"/>
    </row>
    <row r="187" spans="1:8" x14ac:dyDescent="0.25">
      <c r="A187" s="88"/>
      <c r="B187" s="88"/>
      <c r="C187" s="88"/>
      <c r="D187" s="88"/>
      <c r="E187" s="88"/>
      <c r="F187" s="88"/>
      <c r="G187" s="88"/>
      <c r="H187" s="88"/>
    </row>
    <row r="188" spans="1:8" x14ac:dyDescent="0.25">
      <c r="A188" s="88"/>
      <c r="B188" s="88"/>
      <c r="C188" s="88"/>
      <c r="D188" s="88"/>
      <c r="E188" s="88"/>
      <c r="F188" s="88"/>
      <c r="G188" s="88"/>
      <c r="H188" s="88"/>
    </row>
    <row r="189" spans="1:8" ht="15" customHeight="1" x14ac:dyDescent="0.25"/>
    <row r="231" spans="1:8" x14ac:dyDescent="0.25">
      <c r="A231" s="87" t="s">
        <v>245</v>
      </c>
      <c r="B231" s="88"/>
      <c r="C231" s="88"/>
      <c r="D231" s="87"/>
      <c r="F231" s="88"/>
      <c r="G231" s="88"/>
      <c r="H231" s="88"/>
    </row>
    <row r="232" spans="1:8" x14ac:dyDescent="0.25">
      <c r="A232" s="88"/>
      <c r="B232" s="88"/>
      <c r="C232" s="88"/>
      <c r="D232" s="88"/>
      <c r="E232" s="88"/>
      <c r="F232" s="88"/>
      <c r="G232" s="88"/>
      <c r="H232" s="88"/>
    </row>
    <row r="233" spans="1:8" x14ac:dyDescent="0.25">
      <c r="A233" s="88"/>
      <c r="B233" s="88"/>
      <c r="C233" s="88"/>
      <c r="D233" s="88"/>
      <c r="E233" s="88"/>
      <c r="F233" s="88"/>
      <c r="G233" s="88"/>
      <c r="H233" s="88"/>
    </row>
    <row r="234" spans="1:8" ht="15" customHeight="1" x14ac:dyDescent="0.25"/>
    <row r="274" spans="1:1" x14ac:dyDescent="0.25">
      <c r="A274" s="90" t="s">
        <v>77</v>
      </c>
    </row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</sheetData>
  <mergeCells count="358">
    <mergeCell ref="B172:H172"/>
    <mergeCell ref="B174:H174"/>
    <mergeCell ref="B167:H167"/>
    <mergeCell ref="B168:H168"/>
    <mergeCell ref="B161:H161"/>
    <mergeCell ref="B162:H162"/>
    <mergeCell ref="B163:H163"/>
    <mergeCell ref="B164:H164"/>
    <mergeCell ref="B165:H165"/>
    <mergeCell ref="A158:B158"/>
    <mergeCell ref="G158:H158"/>
    <mergeCell ref="L150:M150"/>
    <mergeCell ref="L144:M144"/>
    <mergeCell ref="A145:H145"/>
    <mergeCell ref="A146:B146"/>
    <mergeCell ref="G146:H146"/>
    <mergeCell ref="L146:M146"/>
    <mergeCell ref="A147:B147"/>
    <mergeCell ref="G147:H147"/>
    <mergeCell ref="L147:M147"/>
    <mergeCell ref="L148:M148"/>
    <mergeCell ref="A149:B149"/>
    <mergeCell ref="G149:H149"/>
    <mergeCell ref="L149:M149"/>
    <mergeCell ref="A144:H144"/>
    <mergeCell ref="A36:B36"/>
    <mergeCell ref="C36:H36"/>
    <mergeCell ref="A96:E96"/>
    <mergeCell ref="A123:H123"/>
    <mergeCell ref="A124:H124"/>
    <mergeCell ref="A125:B125"/>
    <mergeCell ref="G125:H125"/>
    <mergeCell ref="L125:M125"/>
    <mergeCell ref="A126:B126"/>
    <mergeCell ref="G126:H126"/>
    <mergeCell ref="L126:M126"/>
    <mergeCell ref="A69:B69"/>
    <mergeCell ref="L121:M121"/>
    <mergeCell ref="L120:M120"/>
    <mergeCell ref="L119:M119"/>
    <mergeCell ref="A98:E98"/>
    <mergeCell ref="L118:M118"/>
    <mergeCell ref="L117:M117"/>
    <mergeCell ref="F97:H97"/>
    <mergeCell ref="F91:H91"/>
    <mergeCell ref="A91:E91"/>
    <mergeCell ref="A110:B110"/>
    <mergeCell ref="A95:E95"/>
    <mergeCell ref="F95:H95"/>
    <mergeCell ref="A92:E92"/>
    <mergeCell ref="F92:H92"/>
    <mergeCell ref="A90:H90"/>
    <mergeCell ref="A143:B143"/>
    <mergeCell ref="A152:B152"/>
    <mergeCell ref="G138:H138"/>
    <mergeCell ref="A134:H134"/>
    <mergeCell ref="A136:H136"/>
    <mergeCell ref="A135:H135"/>
    <mergeCell ref="G150:H150"/>
    <mergeCell ref="A114:H114"/>
    <mergeCell ref="F98:H98"/>
    <mergeCell ref="A104:B104"/>
    <mergeCell ref="C104:D104"/>
    <mergeCell ref="A105:B105"/>
    <mergeCell ref="C105:D105"/>
    <mergeCell ref="E105:F105"/>
    <mergeCell ref="A112:H112"/>
    <mergeCell ref="A109:B109"/>
    <mergeCell ref="C109:D109"/>
    <mergeCell ref="E109:F109"/>
    <mergeCell ref="G109:H109"/>
    <mergeCell ref="L138:M138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A130:B130"/>
    <mergeCell ref="G130:H130"/>
    <mergeCell ref="L130:M130"/>
    <mergeCell ref="L135:M135"/>
    <mergeCell ref="L137:M137"/>
    <mergeCell ref="L134:M134"/>
    <mergeCell ref="A62:B62"/>
    <mergeCell ref="A65:B65"/>
    <mergeCell ref="A64:B64"/>
    <mergeCell ref="A66:B66"/>
    <mergeCell ref="E62:F62"/>
    <mergeCell ref="G119:H119"/>
    <mergeCell ref="G117:H117"/>
    <mergeCell ref="C110:D110"/>
    <mergeCell ref="F94:H94"/>
    <mergeCell ref="E108:F108"/>
    <mergeCell ref="G102:H102"/>
    <mergeCell ref="C108:D108"/>
    <mergeCell ref="G108:H108"/>
    <mergeCell ref="E107:F107"/>
    <mergeCell ref="G107:H107"/>
    <mergeCell ref="G103:H103"/>
    <mergeCell ref="E104:F104"/>
    <mergeCell ref="G104:H104"/>
    <mergeCell ref="A84:B84"/>
    <mergeCell ref="A94:E94"/>
    <mergeCell ref="A97:E97"/>
    <mergeCell ref="A93:E93"/>
    <mergeCell ref="F93:H93"/>
    <mergeCell ref="F96:H96"/>
    <mergeCell ref="L114:M114"/>
    <mergeCell ref="A115:H115"/>
    <mergeCell ref="L115:M115"/>
    <mergeCell ref="A131:B131"/>
    <mergeCell ref="G131:H131"/>
    <mergeCell ref="L131:M131"/>
    <mergeCell ref="A137:B137"/>
    <mergeCell ref="A132:H132"/>
    <mergeCell ref="G118:H118"/>
    <mergeCell ref="G121:H121"/>
    <mergeCell ref="G120:H120"/>
    <mergeCell ref="G137:H137"/>
    <mergeCell ref="L123:M123"/>
    <mergeCell ref="L122:M122"/>
    <mergeCell ref="G122:H122"/>
    <mergeCell ref="A38:D38"/>
    <mergeCell ref="E38:H38"/>
    <mergeCell ref="D53:H53"/>
    <mergeCell ref="A53:C53"/>
    <mergeCell ref="G46:H46"/>
    <mergeCell ref="A47:B48"/>
    <mergeCell ref="A55:C55"/>
    <mergeCell ref="A56:C56"/>
    <mergeCell ref="D55:H5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E39:H39"/>
    <mergeCell ref="A39:D39"/>
    <mergeCell ref="A45:B45"/>
    <mergeCell ref="C48:H48"/>
    <mergeCell ref="C45:E45"/>
    <mergeCell ref="G45:H45"/>
    <mergeCell ref="G47:H47"/>
    <mergeCell ref="E63:F72"/>
    <mergeCell ref="G63:H72"/>
    <mergeCell ref="A71:B71"/>
    <mergeCell ref="A70:B70"/>
    <mergeCell ref="A72:B72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D56:H56"/>
    <mergeCell ref="A58:C58"/>
    <mergeCell ref="A59:B59"/>
    <mergeCell ref="C59:H59"/>
    <mergeCell ref="A67:B67"/>
    <mergeCell ref="A57:C57"/>
    <mergeCell ref="D57:H57"/>
    <mergeCell ref="C61:H61"/>
    <mergeCell ref="C47:E47"/>
    <mergeCell ref="D51:H51"/>
    <mergeCell ref="A54:C54"/>
    <mergeCell ref="D54:H54"/>
    <mergeCell ref="C89:H89"/>
    <mergeCell ref="A87:E87"/>
    <mergeCell ref="F87:H87"/>
    <mergeCell ref="D58:H58"/>
    <mergeCell ref="A63:B63"/>
    <mergeCell ref="G62:H62"/>
    <mergeCell ref="A61:B61"/>
    <mergeCell ref="A78:B78"/>
    <mergeCell ref="A79:B79"/>
    <mergeCell ref="A80:B80"/>
    <mergeCell ref="A68:B68"/>
    <mergeCell ref="A88:H88"/>
    <mergeCell ref="A89:B89"/>
    <mergeCell ref="A85:B85"/>
    <mergeCell ref="A86:B86"/>
    <mergeCell ref="A73:B73"/>
    <mergeCell ref="C73:H73"/>
    <mergeCell ref="A75:B75"/>
    <mergeCell ref="C75:H75"/>
    <mergeCell ref="A76:B76"/>
    <mergeCell ref="E76:F76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C18:D18"/>
    <mergeCell ref="E18:F18"/>
    <mergeCell ref="G18:H18"/>
    <mergeCell ref="A19:D20"/>
    <mergeCell ref="E19:H20"/>
    <mergeCell ref="A37:H37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G154:H154"/>
    <mergeCell ref="A153:B153"/>
    <mergeCell ref="G153:H153"/>
    <mergeCell ref="A140:B140"/>
    <mergeCell ref="A141:B141"/>
    <mergeCell ref="A142:B142"/>
    <mergeCell ref="G152:H152"/>
    <mergeCell ref="G140:H14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12:D12"/>
    <mergeCell ref="E12:H12"/>
    <mergeCell ref="A13:B13"/>
    <mergeCell ref="C13:H13"/>
    <mergeCell ref="C14:H14"/>
    <mergeCell ref="G76:H76"/>
    <mergeCell ref="A183:H185"/>
    <mergeCell ref="A182:B182"/>
    <mergeCell ref="E182:F182"/>
    <mergeCell ref="C182:D182"/>
    <mergeCell ref="G182:H182"/>
    <mergeCell ref="A101:H101"/>
    <mergeCell ref="A99:E99"/>
    <mergeCell ref="F99:H99"/>
    <mergeCell ref="A100:E100"/>
    <mergeCell ref="F100:H100"/>
    <mergeCell ref="A108:B108"/>
    <mergeCell ref="A103:B103"/>
    <mergeCell ref="A178:H178"/>
    <mergeCell ref="A106:H106"/>
    <mergeCell ref="A181:H181"/>
    <mergeCell ref="A179:H179"/>
    <mergeCell ref="A77:B77"/>
    <mergeCell ref="E77:F86"/>
    <mergeCell ref="G77:H86"/>
    <mergeCell ref="A81:B81"/>
    <mergeCell ref="A82:B82"/>
    <mergeCell ref="A83:B83"/>
    <mergeCell ref="A10:D10"/>
    <mergeCell ref="E10:H10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A14:B14"/>
    <mergeCell ref="B171:H171"/>
    <mergeCell ref="B173:H173"/>
    <mergeCell ref="A157:B157"/>
    <mergeCell ref="G157:H157"/>
    <mergeCell ref="G156:H156"/>
    <mergeCell ref="A156:B156"/>
    <mergeCell ref="G105:H105"/>
    <mergeCell ref="C102:D102"/>
    <mergeCell ref="A154:B154"/>
    <mergeCell ref="A116:H116"/>
    <mergeCell ref="A118:B118"/>
    <mergeCell ref="A119:B119"/>
    <mergeCell ref="A120:B120"/>
    <mergeCell ref="A121:B121"/>
    <mergeCell ref="G142:H142"/>
    <mergeCell ref="A139:H139"/>
    <mergeCell ref="G141:H141"/>
    <mergeCell ref="E110:F110"/>
    <mergeCell ref="G110:H110"/>
    <mergeCell ref="C103:D103"/>
    <mergeCell ref="E103:F103"/>
    <mergeCell ref="E102:F102"/>
    <mergeCell ref="A102:B102"/>
    <mergeCell ref="B170:H170"/>
    <mergeCell ref="A180:H180"/>
    <mergeCell ref="A177:H177"/>
    <mergeCell ref="G143:H143"/>
    <mergeCell ref="A107:B107"/>
    <mergeCell ref="G133:H133"/>
    <mergeCell ref="A175:H175"/>
    <mergeCell ref="A176:H176"/>
    <mergeCell ref="A122:B122"/>
    <mergeCell ref="A117:B117"/>
    <mergeCell ref="A111:H111"/>
    <mergeCell ref="G148:H148"/>
    <mergeCell ref="A150:B150"/>
    <mergeCell ref="B169:H169"/>
    <mergeCell ref="A160:H160"/>
    <mergeCell ref="C107:D107"/>
    <mergeCell ref="A159:B159"/>
    <mergeCell ref="G159:H159"/>
    <mergeCell ref="B166:H166"/>
    <mergeCell ref="A151:H151"/>
    <mergeCell ref="A148:B148"/>
    <mergeCell ref="A155:B155"/>
    <mergeCell ref="G155:H155"/>
    <mergeCell ref="G113:H113"/>
    <mergeCell ref="A138:B138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4" manualBreakCount="4">
    <brk id="72" max="16383" man="1"/>
    <brk id="185" max="16383" man="1"/>
    <brk id="229" max="16383" man="1"/>
    <brk id="2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zoomScale="85" zoomScaleNormal="85" workbookViewId="0">
      <selection activeCell="A13" sqref="A13"/>
    </sheetView>
  </sheetViews>
  <sheetFormatPr defaultRowHeight="15" x14ac:dyDescent="0.25"/>
  <cols>
    <col min="1" max="1" width="23.7109375" bestFit="1" customWidth="1"/>
    <col min="2" max="2" width="13.5703125" customWidth="1"/>
    <col min="3" max="3" width="14.28515625" bestFit="1" customWidth="1"/>
    <col min="4" max="4" width="16.7109375" customWidth="1"/>
    <col min="5" max="5" width="20.140625" customWidth="1"/>
    <col min="6" max="6" width="22" bestFit="1" customWidth="1"/>
    <col min="7" max="7" width="23.85546875" customWidth="1"/>
    <col min="8" max="8" width="15.140625" customWidth="1"/>
    <col min="9" max="9" width="20" customWidth="1"/>
  </cols>
  <sheetData>
    <row r="1" spans="1:9" ht="19.5" x14ac:dyDescent="0.3">
      <c r="A1" s="195" t="s">
        <v>192</v>
      </c>
      <c r="B1" s="195"/>
      <c r="C1" s="195"/>
      <c r="D1" s="195"/>
      <c r="E1" s="195"/>
      <c r="F1" s="195"/>
      <c r="G1" s="195"/>
      <c r="H1" s="195"/>
      <c r="I1" s="195"/>
    </row>
    <row r="2" spans="1:9" ht="15" customHeight="1" x14ac:dyDescent="0.25">
      <c r="A2" s="193" t="s">
        <v>170</v>
      </c>
      <c r="B2" s="193"/>
      <c r="C2" s="193"/>
      <c r="D2" s="193"/>
      <c r="E2" s="193"/>
      <c r="F2" s="193"/>
      <c r="G2" s="193"/>
      <c r="H2" s="193"/>
      <c r="I2" s="193"/>
    </row>
    <row r="3" spans="1:9" x14ac:dyDescent="0.25">
      <c r="A3" s="34"/>
      <c r="B3" s="35" t="s">
        <v>171</v>
      </c>
      <c r="C3" s="35" t="s">
        <v>172</v>
      </c>
      <c r="D3" s="35" t="s">
        <v>173</v>
      </c>
      <c r="E3" s="35" t="s">
        <v>174</v>
      </c>
      <c r="F3" s="36" t="s">
        <v>175</v>
      </c>
      <c r="G3" s="36" t="s">
        <v>176</v>
      </c>
      <c r="H3" s="35" t="s">
        <v>177</v>
      </c>
      <c r="I3" s="37" t="s">
        <v>178</v>
      </c>
    </row>
    <row r="4" spans="1:9" x14ac:dyDescent="0.25">
      <c r="A4" s="21" t="s">
        <v>179</v>
      </c>
      <c r="B4" s="22">
        <v>0</v>
      </c>
      <c r="C4" s="22">
        <v>0</v>
      </c>
      <c r="D4" s="22">
        <v>20</v>
      </c>
      <c r="E4" s="22">
        <v>20</v>
      </c>
      <c r="F4" s="25">
        <v>20</v>
      </c>
      <c r="G4" s="26">
        <v>20</v>
      </c>
      <c r="H4" s="24">
        <v>0</v>
      </c>
      <c r="I4" s="24">
        <f t="shared" ref="I4:I11" si="0">G4/F4*E4</f>
        <v>20</v>
      </c>
    </row>
    <row r="5" spans="1:9" x14ac:dyDescent="0.25">
      <c r="A5" s="21" t="s">
        <v>55</v>
      </c>
      <c r="B5" s="22">
        <v>10</v>
      </c>
      <c r="C5" s="22">
        <v>10</v>
      </c>
      <c r="D5" s="22">
        <v>45</v>
      </c>
      <c r="E5" s="22">
        <v>25</v>
      </c>
      <c r="F5" s="27">
        <f>F4</f>
        <v>20</v>
      </c>
      <c r="G5" s="26">
        <v>20</v>
      </c>
      <c r="H5" s="24">
        <f t="shared" ref="H5:H11" si="1">G5/F5*C5</f>
        <v>10</v>
      </c>
      <c r="I5" s="24">
        <f t="shared" si="0"/>
        <v>25</v>
      </c>
    </row>
    <row r="6" spans="1:9" x14ac:dyDescent="0.25">
      <c r="A6" s="21" t="s">
        <v>180</v>
      </c>
      <c r="B6" s="22">
        <v>50</v>
      </c>
      <c r="C6" s="22">
        <v>40</v>
      </c>
      <c r="D6" s="22">
        <v>75</v>
      </c>
      <c r="E6" s="22">
        <v>30</v>
      </c>
      <c r="F6" s="27">
        <v>25</v>
      </c>
      <c r="G6" s="26">
        <v>25</v>
      </c>
      <c r="H6" s="24">
        <f t="shared" si="1"/>
        <v>40</v>
      </c>
      <c r="I6" s="24">
        <f t="shared" si="0"/>
        <v>30</v>
      </c>
    </row>
    <row r="7" spans="1:9" ht="25.5" x14ac:dyDescent="0.25">
      <c r="A7" s="38" t="s">
        <v>181</v>
      </c>
      <c r="B7" s="22">
        <v>65</v>
      </c>
      <c r="C7" s="22">
        <v>15</v>
      </c>
      <c r="D7" s="22">
        <v>85</v>
      </c>
      <c r="E7" s="22">
        <v>10</v>
      </c>
      <c r="F7" s="27">
        <f>F4</f>
        <v>20</v>
      </c>
      <c r="G7" s="26">
        <v>20</v>
      </c>
      <c r="H7" s="24">
        <f t="shared" si="1"/>
        <v>15</v>
      </c>
      <c r="I7" s="24">
        <f t="shared" si="0"/>
        <v>10</v>
      </c>
    </row>
    <row r="8" spans="1:9" x14ac:dyDescent="0.25">
      <c r="A8" s="21" t="s">
        <v>182</v>
      </c>
      <c r="B8" s="22">
        <v>75</v>
      </c>
      <c r="C8" s="22">
        <v>10</v>
      </c>
      <c r="D8" s="22">
        <v>90</v>
      </c>
      <c r="E8" s="22">
        <v>5</v>
      </c>
      <c r="F8" s="27">
        <f>F4</f>
        <v>20</v>
      </c>
      <c r="G8" s="26">
        <v>20</v>
      </c>
      <c r="H8" s="24">
        <f t="shared" si="1"/>
        <v>10</v>
      </c>
      <c r="I8" s="24">
        <f t="shared" si="0"/>
        <v>5</v>
      </c>
    </row>
    <row r="9" spans="1:9" ht="25.5" x14ac:dyDescent="0.25">
      <c r="A9" s="21" t="s">
        <v>183</v>
      </c>
      <c r="B9" s="22">
        <v>85</v>
      </c>
      <c r="C9" s="22">
        <v>10</v>
      </c>
      <c r="D9" s="22">
        <v>95</v>
      </c>
      <c r="E9" s="22">
        <v>5</v>
      </c>
      <c r="F9" s="27">
        <f>F5</f>
        <v>20</v>
      </c>
      <c r="G9" s="26">
        <v>20</v>
      </c>
      <c r="H9" s="24">
        <f t="shared" si="1"/>
        <v>10</v>
      </c>
      <c r="I9" s="24">
        <f t="shared" si="0"/>
        <v>5</v>
      </c>
    </row>
    <row r="10" spans="1:9" ht="25.5" x14ac:dyDescent="0.25">
      <c r="A10" s="38" t="s">
        <v>201</v>
      </c>
      <c r="B10" s="22">
        <v>95</v>
      </c>
      <c r="C10" s="22">
        <v>10</v>
      </c>
      <c r="D10" s="22">
        <v>95</v>
      </c>
      <c r="E10" s="22">
        <v>0</v>
      </c>
      <c r="F10" s="27">
        <f>F4</f>
        <v>20</v>
      </c>
      <c r="G10" s="26">
        <v>0</v>
      </c>
      <c r="H10" s="24">
        <f t="shared" si="1"/>
        <v>0</v>
      </c>
      <c r="I10" s="24">
        <f t="shared" si="0"/>
        <v>0</v>
      </c>
    </row>
    <row r="11" spans="1:9" x14ac:dyDescent="0.25">
      <c r="A11" s="21" t="s">
        <v>185</v>
      </c>
      <c r="B11" s="22">
        <v>100</v>
      </c>
      <c r="C11" s="22">
        <v>5</v>
      </c>
      <c r="D11" s="22">
        <v>100</v>
      </c>
      <c r="E11" s="22">
        <v>5</v>
      </c>
      <c r="F11" s="27">
        <f>F4</f>
        <v>20</v>
      </c>
      <c r="G11" s="26">
        <v>0</v>
      </c>
      <c r="H11" s="24">
        <f t="shared" si="1"/>
        <v>0</v>
      </c>
      <c r="I11" s="24">
        <f t="shared" si="0"/>
        <v>0</v>
      </c>
    </row>
    <row r="12" spans="1:9" x14ac:dyDescent="0.25">
      <c r="A12" s="28"/>
      <c r="B12" s="28"/>
      <c r="C12" s="28">
        <f>SUM(C4:C11)</f>
        <v>100</v>
      </c>
      <c r="D12" s="28"/>
      <c r="E12" s="28">
        <f>SUM(E4:E11)</f>
        <v>100</v>
      </c>
      <c r="F12" s="28"/>
      <c r="G12" s="29" t="s">
        <v>186</v>
      </c>
      <c r="H12" s="30">
        <f>SUM(H4:H11)</f>
        <v>85</v>
      </c>
      <c r="I12" s="30">
        <f>SUM(I4:I11)</f>
        <v>95</v>
      </c>
    </row>
    <row r="14" spans="1:9" ht="19.5" x14ac:dyDescent="0.3">
      <c r="A14" s="196" t="s">
        <v>193</v>
      </c>
      <c r="B14" s="197"/>
      <c r="C14" s="197"/>
      <c r="D14" s="197"/>
      <c r="E14" s="197"/>
      <c r="F14" s="197"/>
      <c r="G14" s="197"/>
      <c r="H14" s="197"/>
      <c r="I14" s="198"/>
    </row>
    <row r="15" spans="1:9" x14ac:dyDescent="0.25">
      <c r="A15" s="194" t="s">
        <v>170</v>
      </c>
      <c r="B15" s="194"/>
      <c r="C15" s="194"/>
      <c r="D15" s="194"/>
      <c r="E15" s="194"/>
      <c r="F15" s="194"/>
      <c r="G15" s="194"/>
      <c r="H15" s="194"/>
      <c r="I15" s="194"/>
    </row>
    <row r="16" spans="1:9" x14ac:dyDescent="0.25">
      <c r="A16" s="21"/>
      <c r="B16" s="22" t="s">
        <v>171</v>
      </c>
      <c r="C16" s="22" t="s">
        <v>172</v>
      </c>
      <c r="D16" s="22" t="s">
        <v>173</v>
      </c>
      <c r="E16" s="22" t="s">
        <v>174</v>
      </c>
      <c r="F16" s="23" t="s">
        <v>175</v>
      </c>
      <c r="G16" s="23" t="s">
        <v>176</v>
      </c>
      <c r="H16" s="22" t="s">
        <v>177</v>
      </c>
      <c r="I16" s="24" t="s">
        <v>178</v>
      </c>
    </row>
    <row r="17" spans="1:9" x14ac:dyDescent="0.25">
      <c r="A17" s="21" t="s">
        <v>179</v>
      </c>
      <c r="B17" s="22">
        <v>0</v>
      </c>
      <c r="C17" s="22">
        <v>0</v>
      </c>
      <c r="D17" s="22">
        <v>20</v>
      </c>
      <c r="E17" s="22">
        <v>20</v>
      </c>
      <c r="F17" s="25">
        <v>30</v>
      </c>
      <c r="G17" s="26">
        <v>30</v>
      </c>
      <c r="H17" s="24">
        <v>0</v>
      </c>
      <c r="I17" s="24">
        <f t="shared" ref="I17:I26" si="2">G17/F17*E17</f>
        <v>20</v>
      </c>
    </row>
    <row r="18" spans="1:9" x14ac:dyDescent="0.25">
      <c r="A18" s="21" t="s">
        <v>55</v>
      </c>
      <c r="B18" s="22">
        <v>10</v>
      </c>
      <c r="C18" s="22">
        <v>10</v>
      </c>
      <c r="D18" s="33">
        <f>D17+I18</f>
        <v>45</v>
      </c>
      <c r="E18" s="22">
        <v>25</v>
      </c>
      <c r="F18" s="27">
        <f>F17</f>
        <v>30</v>
      </c>
      <c r="G18" s="26">
        <v>30</v>
      </c>
      <c r="H18" s="24">
        <f>G18/F18*C18</f>
        <v>10</v>
      </c>
      <c r="I18" s="24">
        <f t="shared" si="2"/>
        <v>25</v>
      </c>
    </row>
    <row r="19" spans="1:9" x14ac:dyDescent="0.25">
      <c r="A19" s="21" t="s">
        <v>180</v>
      </c>
      <c r="B19" s="33">
        <f>B18+H19</f>
        <v>50</v>
      </c>
      <c r="C19" s="22">
        <v>40</v>
      </c>
      <c r="D19" s="33">
        <f>D18+I19</f>
        <v>75</v>
      </c>
      <c r="E19" s="22">
        <v>30</v>
      </c>
      <c r="F19" s="27">
        <v>35</v>
      </c>
      <c r="G19" s="26">
        <v>35</v>
      </c>
      <c r="H19" s="24">
        <f>G19/F19*C19</f>
        <v>40</v>
      </c>
      <c r="I19" s="24">
        <f t="shared" si="2"/>
        <v>30</v>
      </c>
    </row>
    <row r="20" spans="1:9" x14ac:dyDescent="0.25">
      <c r="A20" s="38" t="s">
        <v>188</v>
      </c>
      <c r="B20" s="33">
        <f t="shared" ref="B20:B25" si="3">B19+H20</f>
        <v>57.5</v>
      </c>
      <c r="C20" s="22">
        <v>7.5</v>
      </c>
      <c r="D20" s="33">
        <f t="shared" ref="D20:D25" si="4">D19+I20</f>
        <v>80</v>
      </c>
      <c r="E20" s="22">
        <v>5</v>
      </c>
      <c r="F20" s="27">
        <f>F17</f>
        <v>30</v>
      </c>
      <c r="G20" s="26">
        <v>30</v>
      </c>
      <c r="H20" s="24">
        <f>G20/F20*7.5</f>
        <v>7.5</v>
      </c>
      <c r="I20" s="24">
        <f t="shared" si="2"/>
        <v>5</v>
      </c>
    </row>
    <row r="21" spans="1:9" x14ac:dyDescent="0.25">
      <c r="A21" s="38" t="s">
        <v>189</v>
      </c>
      <c r="B21" s="33">
        <f t="shared" si="3"/>
        <v>65</v>
      </c>
      <c r="C21" s="22">
        <v>7.5</v>
      </c>
      <c r="D21" s="33">
        <f t="shared" si="4"/>
        <v>85</v>
      </c>
      <c r="E21" s="22">
        <v>5</v>
      </c>
      <c r="F21" s="27">
        <f>F18</f>
        <v>30</v>
      </c>
      <c r="G21" s="26">
        <v>30</v>
      </c>
      <c r="H21" s="24">
        <f>G21/F21*C21</f>
        <v>7.5</v>
      </c>
      <c r="I21" s="24">
        <f>G21/F21*E21</f>
        <v>5</v>
      </c>
    </row>
    <row r="22" spans="1:9" ht="25.5" x14ac:dyDescent="0.25">
      <c r="A22" s="21" t="s">
        <v>183</v>
      </c>
      <c r="B22" s="33">
        <f t="shared" si="3"/>
        <v>75</v>
      </c>
      <c r="C22" s="22">
        <v>10</v>
      </c>
      <c r="D22" s="33">
        <f t="shared" si="4"/>
        <v>90</v>
      </c>
      <c r="E22" s="22">
        <v>5</v>
      </c>
      <c r="F22" s="27">
        <f>F17</f>
        <v>30</v>
      </c>
      <c r="G22" s="26">
        <v>30</v>
      </c>
      <c r="H22" s="24">
        <f>G22/F22*C22</f>
        <v>10</v>
      </c>
      <c r="I22" s="24">
        <f>G22/F22*E22</f>
        <v>5</v>
      </c>
    </row>
    <row r="23" spans="1:9" x14ac:dyDescent="0.25">
      <c r="A23" s="21" t="s">
        <v>182</v>
      </c>
      <c r="B23" s="33">
        <f t="shared" si="3"/>
        <v>85</v>
      </c>
      <c r="C23" s="22">
        <v>10</v>
      </c>
      <c r="D23" s="33">
        <f t="shared" si="4"/>
        <v>95</v>
      </c>
      <c r="E23" s="22">
        <v>5</v>
      </c>
      <c r="F23" s="27">
        <f>F17</f>
        <v>30</v>
      </c>
      <c r="G23" s="26">
        <v>30</v>
      </c>
      <c r="H23" s="24">
        <f>G23/F23*C23</f>
        <v>10</v>
      </c>
      <c r="I23" s="24">
        <f>G23/F23*E23</f>
        <v>5</v>
      </c>
    </row>
    <row r="24" spans="1:9" x14ac:dyDescent="0.25">
      <c r="A24" s="38" t="s">
        <v>190</v>
      </c>
      <c r="B24" s="33">
        <f t="shared" si="3"/>
        <v>90</v>
      </c>
      <c r="C24" s="22">
        <v>5</v>
      </c>
      <c r="D24" s="33">
        <f t="shared" si="4"/>
        <v>95</v>
      </c>
      <c r="E24" s="22">
        <v>0</v>
      </c>
      <c r="F24" s="27">
        <f>F18</f>
        <v>30</v>
      </c>
      <c r="G24" s="26">
        <v>30</v>
      </c>
      <c r="H24" s="24">
        <f t="shared" ref="H24:H26" si="5">G24/F24*C24</f>
        <v>5</v>
      </c>
      <c r="I24" s="24">
        <f t="shared" si="2"/>
        <v>0</v>
      </c>
    </row>
    <row r="25" spans="1:9" ht="25.5" x14ac:dyDescent="0.25">
      <c r="A25" s="38" t="s">
        <v>184</v>
      </c>
      <c r="B25" s="33">
        <f t="shared" si="3"/>
        <v>95</v>
      </c>
      <c r="C25" s="22">
        <v>5</v>
      </c>
      <c r="D25" s="33">
        <f t="shared" si="4"/>
        <v>95</v>
      </c>
      <c r="E25" s="22">
        <v>0</v>
      </c>
      <c r="F25" s="27">
        <f>F17</f>
        <v>30</v>
      </c>
      <c r="G25" s="26">
        <v>30</v>
      </c>
      <c r="H25" s="24">
        <f t="shared" si="5"/>
        <v>5</v>
      </c>
      <c r="I25" s="24">
        <f t="shared" si="2"/>
        <v>0</v>
      </c>
    </row>
    <row r="26" spans="1:9" x14ac:dyDescent="0.25">
      <c r="A26" s="21" t="s">
        <v>185</v>
      </c>
      <c r="B26" s="22">
        <v>100</v>
      </c>
      <c r="C26" s="22">
        <v>5</v>
      </c>
      <c r="D26" s="22">
        <v>100</v>
      </c>
      <c r="E26" s="22">
        <v>5</v>
      </c>
      <c r="F26" s="27">
        <f>F17</f>
        <v>30</v>
      </c>
      <c r="G26" s="26">
        <v>30</v>
      </c>
      <c r="H26" s="24">
        <f t="shared" si="5"/>
        <v>5</v>
      </c>
      <c r="I26" s="24">
        <f t="shared" si="2"/>
        <v>5</v>
      </c>
    </row>
    <row r="27" spans="1:9" x14ac:dyDescent="0.25">
      <c r="A27" s="28"/>
      <c r="B27" s="28"/>
      <c r="C27" s="28">
        <f>SUM(C17:C26)</f>
        <v>100</v>
      </c>
      <c r="D27" s="28"/>
      <c r="E27" s="28">
        <f>SUM(E17:E26)</f>
        <v>100</v>
      </c>
      <c r="F27" s="28"/>
      <c r="G27" s="29" t="s">
        <v>186</v>
      </c>
      <c r="H27" s="30">
        <f>SUM(H17:H26)</f>
        <v>100</v>
      </c>
      <c r="I27" s="30">
        <f>SUM(I17:I26)</f>
        <v>100</v>
      </c>
    </row>
    <row r="30" spans="1:9" hidden="1" x14ac:dyDescent="0.25">
      <c r="C30" s="39" t="s">
        <v>191</v>
      </c>
      <c r="D30" s="39"/>
    </row>
    <row r="31" spans="1:9" hidden="1" x14ac:dyDescent="0.25"/>
    <row r="32" spans="1:9" hidden="1" x14ac:dyDescent="0.25">
      <c r="A32" s="193" t="s">
        <v>170</v>
      </c>
      <c r="B32" s="193"/>
      <c r="C32" s="193"/>
      <c r="D32" s="193"/>
      <c r="E32" s="193"/>
      <c r="F32" s="193"/>
      <c r="G32" s="193"/>
      <c r="H32" s="193"/>
      <c r="I32" s="193"/>
    </row>
    <row r="33" spans="1:9" hidden="1" x14ac:dyDescent="0.25">
      <c r="A33" s="21"/>
      <c r="B33" s="22" t="s">
        <v>171</v>
      </c>
      <c r="C33" s="22" t="s">
        <v>172</v>
      </c>
      <c r="D33" s="22" t="s">
        <v>173</v>
      </c>
      <c r="E33" s="22" t="s">
        <v>174</v>
      </c>
      <c r="F33" s="23" t="s">
        <v>175</v>
      </c>
      <c r="G33" s="23" t="s">
        <v>176</v>
      </c>
      <c r="H33" s="22" t="s">
        <v>177</v>
      </c>
      <c r="I33" s="24" t="s">
        <v>178</v>
      </c>
    </row>
    <row r="34" spans="1:9" hidden="1" x14ac:dyDescent="0.25">
      <c r="A34" s="21" t="s">
        <v>179</v>
      </c>
      <c r="B34" s="22">
        <v>0</v>
      </c>
      <c r="C34" s="22">
        <v>0</v>
      </c>
      <c r="D34" s="22">
        <v>20</v>
      </c>
      <c r="E34" s="22">
        <v>20</v>
      </c>
      <c r="F34" s="25">
        <v>30</v>
      </c>
      <c r="G34" s="26">
        <v>30</v>
      </c>
      <c r="H34" s="24">
        <v>0</v>
      </c>
      <c r="I34" s="24">
        <f t="shared" ref="I34:I37" si="6">G34/F34*E34</f>
        <v>20</v>
      </c>
    </row>
    <row r="35" spans="1:9" hidden="1" x14ac:dyDescent="0.25">
      <c r="A35" s="21" t="s">
        <v>55</v>
      </c>
      <c r="B35" s="22">
        <v>10</v>
      </c>
      <c r="C35" s="22">
        <v>10</v>
      </c>
      <c r="D35" s="33">
        <f>D34+I35</f>
        <v>45</v>
      </c>
      <c r="E35" s="22">
        <v>25</v>
      </c>
      <c r="F35" s="27">
        <f>F34</f>
        <v>30</v>
      </c>
      <c r="G35" s="26">
        <v>30</v>
      </c>
      <c r="H35" s="24">
        <f>G35/F35*C35</f>
        <v>10</v>
      </c>
      <c r="I35" s="24">
        <f t="shared" si="6"/>
        <v>25</v>
      </c>
    </row>
    <row r="36" spans="1:9" hidden="1" x14ac:dyDescent="0.25">
      <c r="A36" s="21" t="s">
        <v>180</v>
      </c>
      <c r="B36" s="33">
        <f>B35+H36</f>
        <v>50</v>
      </c>
      <c r="C36" s="22">
        <v>40</v>
      </c>
      <c r="D36" s="33">
        <f>D35+I36</f>
        <v>75</v>
      </c>
      <c r="E36" s="22">
        <v>30</v>
      </c>
      <c r="F36" s="27">
        <v>35</v>
      </c>
      <c r="G36" s="26">
        <v>35</v>
      </c>
      <c r="H36" s="24">
        <f>G36/F36*C36</f>
        <v>40</v>
      </c>
      <c r="I36" s="24">
        <f t="shared" si="6"/>
        <v>30</v>
      </c>
    </row>
    <row r="37" spans="1:9" hidden="1" x14ac:dyDescent="0.25">
      <c r="A37" s="21" t="s">
        <v>188</v>
      </c>
      <c r="B37" s="33">
        <f t="shared" ref="B37:B42" si="7">B36+H37</f>
        <v>57.5</v>
      </c>
      <c r="C37" s="22">
        <v>10</v>
      </c>
      <c r="D37" s="33">
        <f t="shared" ref="D37:D42" si="8">D36+I37</f>
        <v>82.5</v>
      </c>
      <c r="E37" s="22">
        <v>7.5</v>
      </c>
      <c r="F37" s="27">
        <f>F34</f>
        <v>30</v>
      </c>
      <c r="G37" s="26">
        <v>30</v>
      </c>
      <c r="H37" s="24">
        <f>G37/F37*7.5</f>
        <v>7.5</v>
      </c>
      <c r="I37" s="24">
        <f t="shared" si="6"/>
        <v>7.5</v>
      </c>
    </row>
    <row r="38" spans="1:9" ht="25.5" hidden="1" x14ac:dyDescent="0.25">
      <c r="A38" s="21" t="s">
        <v>183</v>
      </c>
      <c r="B38" s="33">
        <f t="shared" si="7"/>
        <v>62.5</v>
      </c>
      <c r="C38" s="22">
        <v>5</v>
      </c>
      <c r="D38" s="33">
        <f t="shared" si="8"/>
        <v>85</v>
      </c>
      <c r="E38" s="22">
        <v>2.5</v>
      </c>
      <c r="F38" s="27">
        <f>F34</f>
        <v>30</v>
      </c>
      <c r="G38" s="26">
        <v>30</v>
      </c>
      <c r="H38" s="24">
        <f>G38/F38*C38</f>
        <v>5</v>
      </c>
      <c r="I38" s="24">
        <f>G38/F38*E38</f>
        <v>2.5</v>
      </c>
    </row>
    <row r="39" spans="1:9" hidden="1" x14ac:dyDescent="0.25">
      <c r="A39" s="21" t="s">
        <v>189</v>
      </c>
      <c r="B39" s="33">
        <f t="shared" si="7"/>
        <v>67.5</v>
      </c>
      <c r="C39" s="22">
        <v>5</v>
      </c>
      <c r="D39" s="33">
        <f t="shared" si="8"/>
        <v>87.5</v>
      </c>
      <c r="E39" s="22">
        <v>2.5</v>
      </c>
      <c r="F39" s="27">
        <f>F35</f>
        <v>30</v>
      </c>
      <c r="G39" s="26">
        <v>30</v>
      </c>
      <c r="H39" s="24">
        <f t="shared" ref="H39" si="9">G39/F39*C39</f>
        <v>5</v>
      </c>
      <c r="I39" s="24">
        <f t="shared" ref="I39" si="10">G39/F39*E39</f>
        <v>2.5</v>
      </c>
    </row>
    <row r="40" spans="1:9" hidden="1" x14ac:dyDescent="0.25">
      <c r="A40" s="21" t="s">
        <v>182</v>
      </c>
      <c r="B40" s="33">
        <f t="shared" si="7"/>
        <v>77.5</v>
      </c>
      <c r="C40" s="22">
        <v>10</v>
      </c>
      <c r="D40" s="33">
        <f t="shared" si="8"/>
        <v>90</v>
      </c>
      <c r="E40" s="22">
        <v>2.5</v>
      </c>
      <c r="F40" s="27">
        <f>F34</f>
        <v>30</v>
      </c>
      <c r="G40" s="26">
        <v>30</v>
      </c>
      <c r="H40" s="24">
        <f>G40/F40*C40</f>
        <v>10</v>
      </c>
      <c r="I40" s="24">
        <f>G40/F40*E40</f>
        <v>2.5</v>
      </c>
    </row>
    <row r="41" spans="1:9" hidden="1" x14ac:dyDescent="0.25">
      <c r="A41" s="21" t="s">
        <v>190</v>
      </c>
      <c r="B41" s="33">
        <f t="shared" si="7"/>
        <v>87.5</v>
      </c>
      <c r="C41" s="22">
        <v>10</v>
      </c>
      <c r="D41" s="33">
        <f t="shared" si="8"/>
        <v>95</v>
      </c>
      <c r="E41" s="22">
        <v>5</v>
      </c>
      <c r="F41" s="27">
        <f>F35</f>
        <v>30</v>
      </c>
      <c r="G41" s="26">
        <v>30</v>
      </c>
      <c r="H41" s="24">
        <f t="shared" ref="H41:H43" si="11">G41/F41*C41</f>
        <v>10</v>
      </c>
      <c r="I41" s="24">
        <f t="shared" ref="I41:I43" si="12">G41/F41*E41</f>
        <v>5</v>
      </c>
    </row>
    <row r="42" spans="1:9" ht="25.5" hidden="1" x14ac:dyDescent="0.25">
      <c r="A42" s="21" t="s">
        <v>184</v>
      </c>
      <c r="B42" s="33">
        <f t="shared" si="7"/>
        <v>92.5</v>
      </c>
      <c r="C42" s="22">
        <v>5</v>
      </c>
      <c r="D42" s="33">
        <f t="shared" si="8"/>
        <v>97.5</v>
      </c>
      <c r="E42" s="22">
        <v>2.5</v>
      </c>
      <c r="F42" s="27">
        <f>F34</f>
        <v>30</v>
      </c>
      <c r="G42" s="26">
        <v>30</v>
      </c>
      <c r="H42" s="24">
        <f t="shared" si="11"/>
        <v>5</v>
      </c>
      <c r="I42" s="24">
        <f t="shared" si="12"/>
        <v>2.5</v>
      </c>
    </row>
    <row r="43" spans="1:9" hidden="1" x14ac:dyDescent="0.25">
      <c r="A43" s="21" t="s">
        <v>185</v>
      </c>
      <c r="B43" s="22">
        <v>100</v>
      </c>
      <c r="C43" s="22">
        <v>5</v>
      </c>
      <c r="D43" s="22">
        <v>100</v>
      </c>
      <c r="E43" s="22">
        <v>2.5</v>
      </c>
      <c r="F43" s="27">
        <f>F34</f>
        <v>30</v>
      </c>
      <c r="G43" s="26">
        <v>30</v>
      </c>
      <c r="H43" s="24">
        <f t="shared" si="11"/>
        <v>5</v>
      </c>
      <c r="I43" s="24">
        <f t="shared" si="12"/>
        <v>2.5</v>
      </c>
    </row>
    <row r="44" spans="1:9" hidden="1" x14ac:dyDescent="0.25">
      <c r="A44" s="28"/>
      <c r="B44" s="28"/>
      <c r="C44" s="28">
        <f>SUM(C34:C43)</f>
        <v>100</v>
      </c>
      <c r="D44" s="28"/>
      <c r="E44" s="28">
        <f>SUM(E34:E43)</f>
        <v>100</v>
      </c>
      <c r="F44" s="28"/>
      <c r="G44" s="29" t="s">
        <v>186</v>
      </c>
      <c r="H44" s="30">
        <f>SUM(H34:H43)</f>
        <v>97.5</v>
      </c>
      <c r="I44" s="30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79</v>
      </c>
      <c r="C2" s="199"/>
      <c r="D2" s="199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80</v>
      </c>
      <c r="B4" s="3" t="s">
        <v>81</v>
      </c>
      <c r="C4" s="200" t="s">
        <v>82</v>
      </c>
      <c r="D4" s="200"/>
      <c r="E4" s="200"/>
      <c r="F4" s="4"/>
      <c r="G4" s="200" t="s">
        <v>83</v>
      </c>
      <c r="H4" s="200"/>
      <c r="I4" s="200"/>
      <c r="J4" s="200" t="s">
        <v>84</v>
      </c>
      <c r="K4" s="200"/>
      <c r="L4" s="200"/>
    </row>
    <row r="5" spans="1:12" x14ac:dyDescent="0.25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25">
      <c r="B6" s="5" t="s">
        <v>87</v>
      </c>
      <c r="C6" s="5"/>
      <c r="D6" s="5"/>
      <c r="E6" s="5">
        <f>C6*D6</f>
        <v>0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90</v>
      </c>
      <c r="C9" s="5"/>
      <c r="D9" s="5"/>
      <c r="E9" s="5">
        <f t="shared" si="0"/>
        <v>0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93</v>
      </c>
      <c r="C23" s="5"/>
      <c r="D23" s="5"/>
      <c r="E23" s="5">
        <f t="shared" si="0"/>
        <v>0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64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B15" sqref="B15"/>
    </sheetView>
  </sheetViews>
  <sheetFormatPr defaultColWidth="8.7109375" defaultRowHeight="15" x14ac:dyDescent="0.25"/>
  <cols>
    <col min="1" max="1" width="8.7109375" style="7"/>
    <col min="2" max="2" width="22.140625" style="7" customWidth="1"/>
    <col min="3" max="3" width="37" style="7" customWidth="1"/>
    <col min="4" max="5" width="11.42578125" style="7" customWidth="1"/>
    <col min="6" max="6" width="14" style="7" customWidth="1"/>
    <col min="7" max="7" width="20" style="7" customWidth="1"/>
    <col min="8" max="8" width="16.42578125" style="7" customWidth="1"/>
    <col min="9" max="16384" width="8.7109375" style="7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6"/>
    </row>
    <row r="2" spans="1:9" ht="15" customHeight="1" x14ac:dyDescent="0.2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25">
      <c r="A3" s="8"/>
      <c r="B3" s="201" t="s">
        <v>144</v>
      </c>
      <c r="C3" s="201"/>
      <c r="D3" s="201"/>
      <c r="E3" s="201"/>
      <c r="F3" s="201"/>
      <c r="G3" s="201"/>
      <c r="H3" s="201"/>
    </row>
    <row r="4" spans="1:9" x14ac:dyDescent="0.25">
      <c r="A4" s="8"/>
      <c r="B4" s="9" t="s">
        <v>145</v>
      </c>
      <c r="C4" s="9" t="s">
        <v>146</v>
      </c>
      <c r="D4" s="9" t="s">
        <v>80</v>
      </c>
      <c r="E4" s="9" t="s">
        <v>147</v>
      </c>
      <c r="F4" s="9" t="s">
        <v>154</v>
      </c>
      <c r="G4" s="9" t="s">
        <v>155</v>
      </c>
      <c r="H4" s="9" t="s">
        <v>148</v>
      </c>
    </row>
    <row r="5" spans="1:9" ht="15" customHeight="1" x14ac:dyDescent="0.25">
      <c r="A5" s="8"/>
      <c r="B5" s="11" t="s">
        <v>149</v>
      </c>
      <c r="C5" s="12"/>
      <c r="D5" s="11" t="s">
        <v>150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25">
      <c r="A6" s="8"/>
      <c r="B6" s="11" t="s">
        <v>149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25">
      <c r="A7" s="8"/>
      <c r="B7" s="11" t="s">
        <v>149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25">
      <c r="A8" s="8"/>
      <c r="B8" s="11" t="s">
        <v>149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25">
      <c r="A9" s="8"/>
      <c r="B9" s="11" t="s">
        <v>149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25">
      <c r="A10" s="8"/>
      <c r="B10" s="11" t="s">
        <v>151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25">
      <c r="A11" s="8"/>
      <c r="B11" s="11" t="s">
        <v>151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25">
      <c r="A12" s="8"/>
      <c r="B12" s="16" t="s">
        <v>152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25">
      <c r="A13" s="6"/>
      <c r="B13" s="16" t="s">
        <v>153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25">
      <c r="B14" s="6"/>
      <c r="C14" s="6"/>
      <c r="D14" s="6"/>
      <c r="E14" s="6"/>
    </row>
    <row r="15" spans="1:9" ht="15" customHeight="1" x14ac:dyDescent="0.25">
      <c r="B15" s="6"/>
      <c r="C15" s="6"/>
      <c r="D15" s="6"/>
      <c r="E15" s="6"/>
    </row>
    <row r="16" spans="1:9" ht="15" customHeight="1" x14ac:dyDescent="0.2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2025-09-10T10:03:13Z</cp:lastPrinted>
  <dcterms:created xsi:type="dcterms:W3CDTF">2019-07-16T09:29:46Z</dcterms:created>
  <dcterms:modified xsi:type="dcterms:W3CDTF">2025-09-10T10:03:19Z</dcterms:modified>
</cp:coreProperties>
</file>