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2.09 Dump\"/>
    </mc:Choice>
  </mc:AlternateContent>
  <xr:revisionPtr revIDLastSave="0" documentId="13_ncr:1_{F11D287F-6A2B-46D2-8404-3A8C31713E13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Note" sheetId="4" r:id="rId2"/>
    <sheet name="Flat detail" sheetId="3" r:id="rId3"/>
    <sheet name="valuation" sheetId="5" r:id="rId4"/>
  </sheets>
  <definedNames>
    <definedName name="_xlnm.Print_Area" localSheetId="0">Report!$A$1:$H$331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G125" i="1" l="1"/>
  <c r="G124" i="1"/>
  <c r="G123" i="1"/>
  <c r="D228" i="1"/>
  <c r="D227" i="1"/>
  <c r="D225" i="1"/>
  <c r="D224" i="1"/>
  <c r="D223" i="1"/>
  <c r="D222" i="1"/>
  <c r="D221" i="1"/>
  <c r="G220" i="1"/>
  <c r="D220" i="1"/>
  <c r="P220" i="1"/>
  <c r="O220" i="1"/>
  <c r="G126" i="1" l="1"/>
  <c r="N220" i="1"/>
  <c r="O221" i="1"/>
  <c r="P221" i="1"/>
  <c r="P222" i="1" s="1"/>
  <c r="P223" i="1" s="1"/>
  <c r="P224" i="1" s="1"/>
  <c r="P225" i="1" s="1"/>
  <c r="P226" i="1" s="1"/>
  <c r="P227" i="1" s="1"/>
  <c r="P228" i="1" s="1"/>
  <c r="D196" i="1"/>
  <c r="D195" i="1"/>
  <c r="D193" i="1"/>
  <c r="D192" i="1"/>
  <c r="D191" i="1"/>
  <c r="D190" i="1"/>
  <c r="G189" i="1"/>
  <c r="D189" i="1"/>
  <c r="I167" i="1"/>
  <c r="D167" i="1"/>
  <c r="D166" i="1"/>
  <c r="D165" i="1"/>
  <c r="D163" i="1"/>
  <c r="D162" i="1"/>
  <c r="D161" i="1"/>
  <c r="D160" i="1"/>
  <c r="D159" i="1"/>
  <c r="D158" i="1"/>
  <c r="G157" i="1"/>
  <c r="D157" i="1"/>
  <c r="I155" i="1"/>
  <c r="K133" i="1"/>
  <c r="P189" i="1"/>
  <c r="O189" i="1"/>
  <c r="P157" i="1"/>
  <c r="O157" i="1"/>
  <c r="O222" i="1" l="1"/>
  <c r="N221" i="1"/>
  <c r="P190" i="1"/>
  <c r="P191" i="1" s="1"/>
  <c r="P192" i="1" s="1"/>
  <c r="P193" i="1" s="1"/>
  <c r="P194" i="1" s="1"/>
  <c r="P195" i="1" s="1"/>
  <c r="P196" i="1" s="1"/>
  <c r="O190" i="1"/>
  <c r="N189" i="1"/>
  <c r="N157" i="1"/>
  <c r="O158" i="1"/>
  <c r="P158" i="1"/>
  <c r="P159" i="1" s="1"/>
  <c r="P160" i="1" s="1"/>
  <c r="P161" i="1" s="1"/>
  <c r="P162" i="1" s="1"/>
  <c r="P163" i="1" s="1"/>
  <c r="P164" i="1" s="1"/>
  <c r="P165" i="1" s="1"/>
  <c r="P166" i="1" s="1"/>
  <c r="P167" i="1" s="1"/>
  <c r="I140" i="1"/>
  <c r="I133" i="1"/>
  <c r="N222" i="1" l="1"/>
  <c r="O223" i="1"/>
  <c r="N190" i="1"/>
  <c r="O191" i="1"/>
  <c r="O159" i="1"/>
  <c r="N158" i="1"/>
  <c r="D216" i="1"/>
  <c r="D215" i="1"/>
  <c r="D214" i="1"/>
  <c r="D211" i="1"/>
  <c r="D210" i="1"/>
  <c r="D206" i="1"/>
  <c r="D205" i="1"/>
  <c r="D204" i="1"/>
  <c r="D155" i="1"/>
  <c r="D154" i="1"/>
  <c r="D153" i="1"/>
  <c r="D152" i="1"/>
  <c r="D149" i="1"/>
  <c r="D148" i="1"/>
  <c r="D147" i="1"/>
  <c r="D218" i="1"/>
  <c r="D217" i="1"/>
  <c r="D213" i="1"/>
  <c r="D212" i="1"/>
  <c r="D208" i="1"/>
  <c r="D207" i="1"/>
  <c r="D203" i="1"/>
  <c r="D202" i="1"/>
  <c r="D187" i="1"/>
  <c r="D186" i="1"/>
  <c r="D185" i="1"/>
  <c r="D184" i="1"/>
  <c r="D183" i="1"/>
  <c r="D182" i="1"/>
  <c r="D181" i="1"/>
  <c r="D180" i="1"/>
  <c r="D177" i="1"/>
  <c r="D176" i="1"/>
  <c r="D175" i="1"/>
  <c r="D174" i="1"/>
  <c r="D151" i="1"/>
  <c r="D150" i="1"/>
  <c r="D146" i="1"/>
  <c r="D145" i="1"/>
  <c r="D143" i="1"/>
  <c r="I143" i="1" s="1"/>
  <c r="D142" i="1"/>
  <c r="D141" i="1"/>
  <c r="D140" i="1"/>
  <c r="J140" i="1" s="1"/>
  <c r="D139" i="1"/>
  <c r="D138" i="1"/>
  <c r="D134" i="1"/>
  <c r="D133" i="1"/>
  <c r="C123" i="1" l="1"/>
  <c r="J133" i="1"/>
  <c r="E123" i="1"/>
  <c r="C125" i="1"/>
  <c r="E125" i="1"/>
  <c r="C124" i="1"/>
  <c r="E124" i="1"/>
  <c r="O224" i="1"/>
  <c r="N223" i="1"/>
  <c r="O192" i="1"/>
  <c r="N191" i="1"/>
  <c r="N159" i="1"/>
  <c r="O160" i="1"/>
  <c r="F6" i="5"/>
  <c r="F5" i="5"/>
  <c r="G210" i="1"/>
  <c r="G180" i="1"/>
  <c r="G145" i="1"/>
  <c r="G200" i="1"/>
  <c r="A201" i="1"/>
  <c r="A202" i="1" s="1"/>
  <c r="A203" i="1" s="1"/>
  <c r="A204" i="1" s="1"/>
  <c r="A205" i="1" s="1"/>
  <c r="A206" i="1" s="1"/>
  <c r="A207" i="1" s="1"/>
  <c r="A208" i="1" s="1"/>
  <c r="G133" i="1"/>
  <c r="A134" i="1"/>
  <c r="A135" i="1" s="1"/>
  <c r="A136" i="1" s="1"/>
  <c r="A137" i="1" s="1"/>
  <c r="O145" i="1"/>
  <c r="P210" i="1"/>
  <c r="O180" i="1"/>
  <c r="O210" i="1"/>
  <c r="P180" i="1"/>
  <c r="P145" i="1"/>
  <c r="E126" i="1" l="1"/>
  <c r="C126" i="1"/>
  <c r="N224" i="1"/>
  <c r="O225" i="1"/>
  <c r="N192" i="1"/>
  <c r="O193" i="1"/>
  <c r="O161" i="1"/>
  <c r="N160" i="1"/>
  <c r="N210" i="1"/>
  <c r="O211" i="1"/>
  <c r="P211" i="1"/>
  <c r="P212" i="1" s="1"/>
  <c r="P213" i="1" s="1"/>
  <c r="P214" i="1" s="1"/>
  <c r="P215" i="1" s="1"/>
  <c r="P216" i="1" s="1"/>
  <c r="P217" i="1" s="1"/>
  <c r="P218" i="1" s="1"/>
  <c r="N180" i="1"/>
  <c r="O181" i="1"/>
  <c r="P181" i="1"/>
  <c r="P182" i="1" s="1"/>
  <c r="P183" i="1" s="1"/>
  <c r="P184" i="1" s="1"/>
  <c r="P185" i="1" s="1"/>
  <c r="P186" i="1" s="1"/>
  <c r="P187" i="1" s="1"/>
  <c r="P146" i="1"/>
  <c r="P147" i="1" s="1"/>
  <c r="P148" i="1" s="1"/>
  <c r="P149" i="1" s="1"/>
  <c r="P150" i="1" s="1"/>
  <c r="P151" i="1" s="1"/>
  <c r="P152" i="1" s="1"/>
  <c r="P153" i="1" s="1"/>
  <c r="P154" i="1" s="1"/>
  <c r="P155" i="1" s="1"/>
  <c r="O146" i="1"/>
  <c r="N145" i="1"/>
  <c r="A138" i="1"/>
  <c r="A139" i="1" s="1"/>
  <c r="A140" i="1" s="1"/>
  <c r="A141" i="1" s="1"/>
  <c r="A142" i="1" s="1"/>
  <c r="A143" i="1" s="1"/>
  <c r="C90" i="1"/>
  <c r="C76" i="1"/>
  <c r="C62" i="1"/>
  <c r="J101" i="1"/>
  <c r="J100" i="1"/>
  <c r="J87" i="1"/>
  <c r="J86" i="1"/>
  <c r="J73" i="1"/>
  <c r="J72" i="1"/>
  <c r="H77" i="1"/>
  <c r="H91" i="1"/>
  <c r="H63" i="1"/>
  <c r="O226" i="1" l="1"/>
  <c r="N225" i="1"/>
  <c r="O194" i="1"/>
  <c r="N193" i="1"/>
  <c r="N161" i="1"/>
  <c r="O162" i="1"/>
  <c r="N211" i="1"/>
  <c r="O212" i="1"/>
  <c r="N181" i="1"/>
  <c r="O182" i="1"/>
  <c r="O147" i="1"/>
  <c r="N146" i="1"/>
  <c r="D103" i="1"/>
  <c r="D99" i="1"/>
  <c r="J95" i="1"/>
  <c r="C94" i="1" s="1"/>
  <c r="J93" i="1"/>
  <c r="D98" i="1"/>
  <c r="D102" i="1"/>
  <c r="J96" i="1"/>
  <c r="J94" i="1"/>
  <c r="D97" i="1"/>
  <c r="D101" i="1"/>
  <c r="D100" i="1"/>
  <c r="D96" i="1"/>
  <c r="D82" i="1"/>
  <c r="J80" i="1"/>
  <c r="J82" i="1"/>
  <c r="D89" i="1"/>
  <c r="D85" i="1"/>
  <c r="J81" i="1"/>
  <c r="J79" i="1"/>
  <c r="D87" i="1"/>
  <c r="D83" i="1"/>
  <c r="D86" i="1"/>
  <c r="D88" i="1"/>
  <c r="D84" i="1"/>
  <c r="D68" i="1"/>
  <c r="D74" i="1"/>
  <c r="J66" i="1"/>
  <c r="D75" i="1"/>
  <c r="D71" i="1"/>
  <c r="J67" i="1"/>
  <c r="J65" i="1"/>
  <c r="D70" i="1"/>
  <c r="D73" i="1"/>
  <c r="D69" i="1"/>
  <c r="J68" i="1"/>
  <c r="D72" i="1"/>
  <c r="G47" i="1"/>
  <c r="C66" i="1" l="1"/>
  <c r="D66" i="1" s="1"/>
  <c r="C80" i="1"/>
  <c r="D80" i="1" s="1"/>
  <c r="N226" i="1"/>
  <c r="O227" i="1"/>
  <c r="N194" i="1"/>
  <c r="O195" i="1"/>
  <c r="O163" i="1"/>
  <c r="N162" i="1"/>
  <c r="J97" i="1"/>
  <c r="J102" i="1" s="1"/>
  <c r="J83" i="1"/>
  <c r="J69" i="1"/>
  <c r="N212" i="1"/>
  <c r="O213" i="1"/>
  <c r="N182" i="1"/>
  <c r="O183" i="1"/>
  <c r="O148" i="1"/>
  <c r="N147" i="1"/>
  <c r="J98" i="1"/>
  <c r="J99" i="1" s="1"/>
  <c r="D94" i="1"/>
  <c r="J84" i="1"/>
  <c r="J85" i="1" s="1"/>
  <c r="J70" i="1"/>
  <c r="J71" i="1" s="1"/>
  <c r="A231" i="1"/>
  <c r="A232" i="1" s="1"/>
  <c r="A233" i="1" s="1"/>
  <c r="A234" i="1" s="1"/>
  <c r="O228" i="1" l="1"/>
  <c r="N228" i="1" s="1"/>
  <c r="N227" i="1"/>
  <c r="O196" i="1"/>
  <c r="N196" i="1" s="1"/>
  <c r="N195" i="1"/>
  <c r="N163" i="1"/>
  <c r="O164" i="1"/>
  <c r="A235" i="1"/>
  <c r="J74" i="1"/>
  <c r="J88" i="1"/>
  <c r="J89" i="1" s="1"/>
  <c r="C81" i="1" s="1"/>
  <c r="N213" i="1"/>
  <c r="O214" i="1"/>
  <c r="N183" i="1"/>
  <c r="O184" i="1"/>
  <c r="O149" i="1"/>
  <c r="N148" i="1"/>
  <c r="J103" i="1"/>
  <c r="C95" i="1" s="1"/>
  <c r="A172" i="1"/>
  <c r="A173" i="1" s="1"/>
  <c r="A174" i="1" s="1"/>
  <c r="A175" i="1" s="1"/>
  <c r="A176" i="1" s="1"/>
  <c r="A177" i="1" s="1"/>
  <c r="A178" i="1" s="1"/>
  <c r="O165" i="1" l="1"/>
  <c r="N164" i="1"/>
  <c r="J75" i="1"/>
  <c r="C67" i="1" s="1"/>
  <c r="D67" i="1" s="1"/>
  <c r="N214" i="1"/>
  <c r="O215" i="1"/>
  <c r="N184" i="1"/>
  <c r="O185" i="1"/>
  <c r="O150" i="1"/>
  <c r="N149" i="1"/>
  <c r="E94" i="1"/>
  <c r="I90" i="1" s="1"/>
  <c r="C92" i="1" s="1"/>
  <c r="D95" i="1"/>
  <c r="G94" i="1"/>
  <c r="E80" i="1"/>
  <c r="I76" i="1" s="1"/>
  <c r="C78" i="1" s="1"/>
  <c r="D81" i="1"/>
  <c r="G80" i="1"/>
  <c r="E66" i="1" l="1"/>
  <c r="I62" i="1" s="1"/>
  <c r="C64" i="1" s="1"/>
  <c r="G66" i="1"/>
  <c r="N165" i="1"/>
  <c r="O166" i="1"/>
  <c r="O216" i="1"/>
  <c r="N215" i="1"/>
  <c r="N185" i="1"/>
  <c r="O186" i="1"/>
  <c r="O151" i="1"/>
  <c r="N150" i="1"/>
  <c r="O167" i="1" l="1"/>
  <c r="N167" i="1" s="1"/>
  <c r="N166" i="1"/>
  <c r="N216" i="1"/>
  <c r="O217" i="1"/>
  <c r="N186" i="1"/>
  <c r="O187" i="1"/>
  <c r="N187" i="1" s="1"/>
  <c r="O152" i="1"/>
  <c r="N151" i="1"/>
  <c r="N217" i="1" l="1"/>
  <c r="O218" i="1"/>
  <c r="O153" i="1"/>
  <c r="N152" i="1"/>
  <c r="N218" i="1" l="1"/>
  <c r="O154" i="1"/>
  <c r="N153" i="1"/>
  <c r="N154" i="1" l="1"/>
  <c r="O155" i="1"/>
  <c r="N155" i="1" s="1"/>
  <c r="D61" i="1" l="1"/>
  <c r="F104" i="1" s="1"/>
  <c r="C14" i="1" l="1"/>
  <c r="E41" i="1" l="1"/>
  <c r="E42" i="1" s="1"/>
  <c r="D59" i="1" l="1"/>
  <c r="G171" i="1" l="1"/>
  <c r="E25" i="1"/>
  <c r="E23" i="1"/>
  <c r="G6" i="5" l="1"/>
  <c r="G7" i="5"/>
  <c r="G8" i="5"/>
  <c r="F9" i="5"/>
  <c r="G9" i="5" s="1"/>
  <c r="F10" i="5"/>
  <c r="G10" i="5" s="1"/>
  <c r="F11" i="5"/>
  <c r="G11" i="5" s="1"/>
  <c r="G5" i="5"/>
  <c r="G12" i="5" l="1"/>
  <c r="E7" i="1" l="1"/>
  <c r="D251" i="1" l="1"/>
  <c r="F120" i="1"/>
  <c r="C47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<sst xmlns="http://schemas.openxmlformats.org/spreadsheetml/2006/main" count="465" uniqueCount="252">
  <si>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</si>
  <si>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</si>
  <si>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</si>
  <si>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</si>
  <si>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</si>
  <si>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</si>
  <si>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</si>
  <si>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</si>
  <si>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</si>
  <si>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</si>
  <si>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</si>
  <si>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</si>
  <si>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</si>
  <si>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</si>
  <si>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</si>
  <si>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</si>
  <si>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</si>
  <si>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</si>
  <si>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</si>
  <si>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</si>
  <si>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</si>
  <si>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</si>
  <si>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</si>
  <si>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</si>
  <si>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</si>
  <si>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</si>
  <si>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</si>
  <si>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</si>
  <si>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</si>
  <si>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</si>
  <si>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</si>
  <si>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</si>
  <si>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</si>
  <si>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</si>
  <si>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</si>
  <si>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</si>
  <si>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</si>
  <si>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</si>
  <si>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</si>
  <si>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</si>
  <si>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</si>
  <si>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</si>
  <si>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</si>
  <si>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</si>
  <si>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</si>
  <si>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</si>
  <si>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</si>
  <si>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</si>
  <si>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</si>
  <si>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</si>
  <si>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</si>
  <si>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</si>
  <si>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</si>
  <si>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</si>
  <si>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</si>
  <si>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</si>
  <si>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</si>
  <si>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</si>
  <si>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</si>
  <si>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</si>
  <si>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</si>
  <si>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</si>
  <si>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</si>
  <si>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</si>
  <si>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</si>
  <si>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</si>
  <si>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</si>
  <si>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</si>
  <si>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</si>
  <si>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</si>
  <si>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</si>
  <si>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</si>
  <si>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</si>
  <si>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</si>
  <si>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</si>
  <si>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</si>
  <si>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</si>
  <si>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</si>
  <si>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</si>
  <si>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</si>
  <si>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</si>
  <si>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</si>
  <si>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</si>
  <si>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</si>
  <si>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</si>
  <si>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</si>
  <si>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</si>
  <si>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</si>
  <si>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</si>
  <si>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</si>
  <si>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</si>
  <si>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</si>
  <si>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</si>
  <si>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</si>
  <si>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</si>
  <si>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</si>
  <si>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</si>
  <si>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</si>
  <si>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</si>
  <si>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</si>
  <si>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</si>
  <si>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</si>
  <si>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</si>
  <si>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</si>
  <si>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</si>
  <si>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</si>
  <si>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</si>
  <si>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</si>
  <si>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</si>
  <si>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</si>
  <si>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</si>
  <si>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</si>
  <si>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</si>
  <si>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</si>
  <si>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</si>
  <si>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</si>
  <si>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</si>
  <si>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</si>
  <si>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</si>
  <si>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</si>
  <si>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</si>
  <si>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</si>
  <si>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</si>
  <si>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</si>
  <si>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</si>
  <si>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</si>
  <si>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</si>
  <si>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</si>
  <si>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</si>
  <si>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</si>
  <si>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</si>
  <si>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</si>
  <si>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</si>
  <si>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</si>
  <si>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</si>
  <si>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</si>
  <si>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</si>
  <si>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</si>
  <si>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</si>
  <si>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</si>
  <si>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</si>
  <si>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</si>
  <si>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</si>
  <si>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</si>
  <si>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</si>
  <si>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</si>
  <si>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</si>
  <si>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</si>
  <si>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</si>
  <si>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</si>
  <si>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</si>
  <si>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</si>
  <si>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</si>
  <si>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</si>
  <si>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</si>
  <si>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</si>
  <si>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</si>
  <si>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</si>
  <si>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</si>
  <si>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</si>
  <si>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</si>
  <si>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</si>
  <si>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</si>
  <si>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</si>
  <si>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</si>
  <si>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</si>
  <si>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</si>
  <si>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</si>
  <si>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</si>
  <si>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</si>
  <si>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</si>
  <si>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</si>
  <si>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</si>
  <si>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</si>
  <si>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</si>
  <si>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</si>
  <si>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</si>
  <si>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</si>
  <si>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</si>
  <si>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</si>
  <si>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</si>
  <si>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</si>
  <si>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</si>
  <si>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Sanpada</t>
  </si>
  <si>
    <t>M/s. Arihant Vatika Realty Private Limited</t>
  </si>
  <si>
    <t>Arihant 5 Anaika</t>
  </si>
  <si>
    <t>02262493333/02262493344</t>
  </si>
  <si>
    <t>Village</t>
  </si>
  <si>
    <t>Koynavele, Ghot</t>
  </si>
  <si>
    <t>Raigad</t>
  </si>
  <si>
    <t>Panvel</t>
  </si>
  <si>
    <t>Open Plot</t>
  </si>
  <si>
    <t>Building H</t>
  </si>
  <si>
    <t>Sarvam Taloja</t>
  </si>
  <si>
    <t>Ghot Road</t>
  </si>
  <si>
    <t xml:space="preserve">410208
</t>
  </si>
  <si>
    <t>Building No.R</t>
  </si>
  <si>
    <t>2BHK</t>
  </si>
  <si>
    <t>1BHK</t>
  </si>
  <si>
    <t>Stilt For Parking</t>
  </si>
  <si>
    <t>Building No.S</t>
  </si>
  <si>
    <t>Building No.T</t>
  </si>
  <si>
    <t>1st Floor for Residential &amp; Parking</t>
  </si>
  <si>
    <t>We considered Gross carpet area = Net carpet + Enclose balcony.</t>
  </si>
  <si>
    <t>Residential</t>
  </si>
  <si>
    <t>S No</t>
  </si>
  <si>
    <t>36/1, 35/4, 33/2</t>
  </si>
  <si>
    <t>Building/Wing T</t>
  </si>
  <si>
    <t xml:space="preserve"> Building/Wing S</t>
  </si>
  <si>
    <t xml:space="preserve"> Building/Wing R</t>
  </si>
  <si>
    <t>3.1Km from Taloja Panchanand Railway Station</t>
  </si>
  <si>
    <t>We considered  Saleable area as per Builder area Sheet.</t>
  </si>
  <si>
    <t>Builder Saleable area</t>
  </si>
  <si>
    <t>Utility Connection Charges</t>
  </si>
  <si>
    <t>1,50,000/-</t>
  </si>
  <si>
    <t>Approved Plans, CC, Cost Sheet, Builder saleable</t>
  </si>
  <si>
    <t>Asmi</t>
  </si>
  <si>
    <t>Akash</t>
  </si>
  <si>
    <t>2,00,000/-</t>
  </si>
  <si>
    <t xml:space="preserve">Recommended rate should be considered as all inclusive rate if other charges are not mentioned. (Excluding GST &amp; other government Taxes)
</t>
  </si>
  <si>
    <t>Ground Floor for Parking</t>
  </si>
  <si>
    <t xml:space="preserve">2nd to 7th, 9th to 12th &amp; 14th to 16th Floor </t>
  </si>
  <si>
    <t>8th &amp; 13th Floor (Part Refuge Area)</t>
  </si>
  <si>
    <t>Refuge Area</t>
  </si>
  <si>
    <t>Flats - 433</t>
  </si>
  <si>
    <t xml:space="preserve">Panvel </t>
  </si>
  <si>
    <t>3 Building</t>
  </si>
  <si>
    <t>PMP/NRV/16010/JK- 2598/2021</t>
  </si>
  <si>
    <t>PMC/TP/Koynavele/33/2, 35/4, 36/1/21-21/16010/2598/2021</t>
  </si>
  <si>
    <t>We have update approved floor plan &amp; C.C. (on 11/03/2022)</t>
  </si>
  <si>
    <t>Location Link</t>
  </si>
  <si>
    <t>https://goo.gl/maps/Mzmfdqe2q84ouQeE6</t>
  </si>
  <si>
    <t>5000 to 5200</t>
  </si>
  <si>
    <t>smith</t>
  </si>
  <si>
    <t xml:space="preserve">Recommended Rates of the Property have been revised on 16/04/2024.
</t>
  </si>
  <si>
    <t>Site Person - Contact Details (Name &amp; Contact No.)</t>
  </si>
  <si>
    <t>Sunil Peravi</t>
  </si>
  <si>
    <t>Latitude &amp; Longitude</t>
  </si>
  <si>
    <t>19.0815897,73.112533</t>
  </si>
  <si>
    <t>Office No. 1031, Wing J, Akshar Business Park, Plot No. 03 Sector 25, Near APMC Market, Vashi,
Navi Mumbai, Maharashtra 400703 TEL: 022-46090378/79/80
E mail : vsjcapf@gmail.com. Web site : www.vsjadon.com</t>
  </si>
  <si>
    <t>Mr. Aryan 02262493333</t>
  </si>
  <si>
    <t xml:space="preserve">Building No. R, S &amp; T </t>
  </si>
  <si>
    <t>As per RERA - 31/12/2026</t>
  </si>
  <si>
    <t>Building/Wing - R = G/St + 1st to 16th Floor</t>
  </si>
  <si>
    <t>Building/Wing - S = G/St + 1st to 16th Floor</t>
  </si>
  <si>
    <t>Building/Wing - T = G/St + 1st to 16th Floor</t>
  </si>
  <si>
    <t>Building/Wing - R, S &amp; T = G/St + 1st to 16th Floor</t>
  </si>
  <si>
    <t>Valid Up to: Building No. R, S &amp; T = G/St + 1st to 16th Floor</t>
  </si>
  <si>
    <t>Pranita Mhatre</t>
  </si>
  <si>
    <t>Construction work is in process at the time of Visit. (Internal visit was not allowed.)</t>
  </si>
  <si>
    <t>P52000029482</t>
  </si>
  <si>
    <t>Construction work is in process at the time of Visit.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</si>
</sst>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1" fillId="0" borderId="0"/>
    <xf numFmtId="0" fontId="23" fillId="0" borderId="0" applyNumberFormat="0" applyFill="0" applyBorder="0" applyAlignment="0" applyProtection="0"/>
  </cellStyleXfs>
  <cellXfs count="187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0" fillId="2" borderId="1" xfId="0" applyFill="1" applyBorder="1"/>
    <xf numFmtId="0" fontId="0" fillId="0" borderId="2" xfId="0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8" fillId="0" borderId="0" xfId="1" applyFont="1"/>
    <xf numFmtId="0" fontId="7" fillId="0" borderId="0" xfId="2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0" fontId="8" fillId="0" borderId="0" xfId="1" applyFont="1" applyProtection="1">
      <protection locked="0"/>
    </xf>
    <xf numFmtId="0" fontId="8" fillId="0" borderId="0" xfId="1" applyFont="1" applyProtection="1">
      <protection hidden="1"/>
    </xf>
    <xf numFmtId="0" fontId="8" fillId="0" borderId="12" xfId="1" applyFont="1" applyBorder="1" applyProtection="1">
      <protection hidden="1"/>
    </xf>
    <xf numFmtId="0" fontId="8" fillId="0" borderId="13" xfId="1" applyFont="1" applyBorder="1" applyProtection="1">
      <protection hidden="1"/>
    </xf>
    <xf numFmtId="0" fontId="8" fillId="0" borderId="13" xfId="1" applyFont="1" applyBorder="1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18" fillId="0" borderId="0" xfId="0" applyFont="1" applyProtection="1">
      <protection hidden="1"/>
    </xf>
    <xf numFmtId="14" fontId="8" fillId="0" borderId="0" xfId="1" applyNumberFormat="1" applyFont="1"/>
    <xf numFmtId="1" fontId="8" fillId="0" borderId="0" xfId="1" applyNumberFormat="1" applyFont="1"/>
    <xf numFmtId="0" fontId="18" fillId="0" borderId="13" xfId="0" applyFont="1" applyBorder="1" applyProtection="1">
      <protection hidden="1"/>
    </xf>
    <xf numFmtId="0" fontId="8" fillId="0" borderId="11" xfId="1" applyFont="1" applyBorder="1" applyProtection="1">
      <protection hidden="1"/>
    </xf>
    <xf numFmtId="0" fontId="18" fillId="0" borderId="14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3" fillId="0" borderId="5" xfId="1" applyFont="1" applyBorder="1" applyAlignment="1" applyProtection="1">
      <alignment horizontal="center" vertical="top"/>
      <protection locked="0"/>
    </xf>
    <xf numFmtId="0" fontId="1" fillId="0" borderId="1" xfId="5" applyFont="1" applyBorder="1" applyAlignment="1">
      <alignment horizontal="left" vertical="center"/>
    </xf>
    <xf numFmtId="0" fontId="1" fillId="0" borderId="1" xfId="5" applyFont="1" applyBorder="1" applyAlignment="1">
      <alignment horizontal="center" vertical="center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" fontId="5" fillId="0" borderId="3" xfId="1" applyNumberFormat="1" applyFont="1" applyBorder="1" applyAlignment="1" applyProtection="1">
      <alignment horizontal="center" vertical="top" wrapText="1"/>
      <protection locked="0"/>
    </xf>
    <xf numFmtId="14" fontId="0" fillId="0" borderId="0" xfId="0" applyNumberFormat="1"/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center" wrapText="1"/>
      <protection locked="0"/>
    </xf>
    <xf numFmtId="9" fontId="13" fillId="0" borderId="1" xfId="1" applyNumberFormat="1" applyFont="1" applyBorder="1" applyAlignment="1" applyProtection="1">
      <alignment horizontal="center" vertical="center" wrapText="1"/>
      <protection hidden="1"/>
    </xf>
    <xf numFmtId="1" fontId="13" fillId="0" borderId="1" xfId="1" applyNumberFormat="1" applyFont="1" applyBorder="1" applyAlignment="1" applyProtection="1">
      <alignment horizontal="center" wrapText="1"/>
      <protection locked="0"/>
    </xf>
    <xf numFmtId="0" fontId="13" fillId="0" borderId="7" xfId="1" applyFont="1" applyBorder="1" applyAlignment="1" applyProtection="1">
      <alignment horizontal="center" wrapText="1"/>
      <protection locked="0"/>
    </xf>
    <xf numFmtId="9" fontId="13" fillId="0" borderId="7" xfId="1" applyNumberFormat="1" applyFont="1" applyBorder="1" applyAlignment="1" applyProtection="1">
      <alignment horizontal="center" vertical="center" wrapText="1"/>
      <protection hidden="1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11" fillId="0" borderId="0" xfId="1" applyFont="1" applyProtection="1">
      <protection locked="0"/>
    </xf>
    <xf numFmtId="164" fontId="8" fillId="0" borderId="0" xfId="1" applyNumberFormat="1" applyFont="1" applyAlignment="1">
      <alignment horizontal="center" vertical="center"/>
    </xf>
    <xf numFmtId="1" fontId="14" fillId="0" borderId="9" xfId="1" applyNumberFormat="1" applyFont="1" applyBorder="1" applyAlignment="1" applyProtection="1">
      <alignment horizontal="center" vertical="center" wrapText="1"/>
      <protection locked="0"/>
    </xf>
    <xf numFmtId="1" fontId="14" fillId="0" borderId="24" xfId="1" applyNumberFormat="1" applyFont="1" applyBorder="1" applyAlignment="1" applyProtection="1">
      <alignment horizontal="center" vertical="center" wrapText="1"/>
      <protection locked="0"/>
    </xf>
    <xf numFmtId="1" fontId="14" fillId="0" borderId="10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0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28" xfId="1" applyNumberFormat="1" applyFont="1" applyBorder="1" applyAlignment="1" applyProtection="1">
      <alignment horizontal="center" vertical="center" wrapText="1"/>
      <protection locked="0"/>
    </xf>
    <xf numFmtId="1" fontId="7" fillId="0" borderId="29" xfId="1" applyNumberFormat="1" applyFont="1" applyBorder="1" applyAlignment="1" applyProtection="1">
      <alignment horizontal="center" vertical="center" wrapText="1"/>
      <protection locked="0"/>
    </xf>
    <xf numFmtId="1" fontId="7" fillId="0" borderId="22" xfId="1" applyNumberFormat="1" applyFont="1" applyBorder="1" applyAlignment="1" applyProtection="1">
      <alignment horizontal="center" vertical="center" wrapText="1"/>
      <protection locked="0"/>
    </xf>
    <xf numFmtId="1" fontId="7" fillId="0" borderId="23" xfId="1" applyNumberFormat="1" applyFont="1" applyBorder="1" applyAlignment="1" applyProtection="1">
      <alignment horizontal="center" vertical="center" wrapText="1"/>
      <protection locked="0"/>
    </xf>
    <xf numFmtId="1" fontId="7" fillId="0" borderId="24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1" fontId="9" fillId="0" borderId="9" xfId="0" applyNumberFormat="1" applyFont="1" applyBorder="1" applyAlignment="1" applyProtection="1">
      <alignment vertical="top" wrapText="1"/>
      <protection locked="0"/>
    </xf>
    <xf numFmtId="1" fontId="9" fillId="0" borderId="24" xfId="0" applyNumberFormat="1" applyFont="1" applyBorder="1" applyAlignment="1" applyProtection="1">
      <alignment vertical="top" wrapText="1"/>
      <protection locked="0"/>
    </xf>
    <xf numFmtId="1" fontId="9" fillId="0" borderId="10" xfId="0" applyNumberFormat="1" applyFont="1" applyBorder="1" applyAlignment="1" applyProtection="1">
      <alignment vertical="top" wrapText="1"/>
      <protection locked="0"/>
    </xf>
    <xf numFmtId="1" fontId="14" fillId="0" borderId="1" xfId="0" applyNumberFormat="1" applyFont="1" applyBorder="1" applyAlignment="1" applyProtection="1">
      <alignment vertical="top" wrapText="1"/>
      <protection locked="0"/>
    </xf>
    <xf numFmtId="1" fontId="9" fillId="0" borderId="1" xfId="0" applyNumberFormat="1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4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5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9" fontId="13" fillId="0" borderId="1" xfId="1" applyNumberFormat="1" applyFont="1" applyBorder="1" applyAlignment="1" applyProtection="1">
      <alignment horizontal="center" vertical="center" wrapText="1"/>
      <protection hidden="1"/>
    </xf>
    <xf numFmtId="9" fontId="13" fillId="0" borderId="7" xfId="1" applyNumberFormat="1" applyFont="1" applyBorder="1" applyAlignment="1" applyProtection="1">
      <alignment horizontal="center" vertical="center" wrapText="1"/>
      <protection hidden="1"/>
    </xf>
    <xf numFmtId="9" fontId="13" fillId="0" borderId="5" xfId="1" applyNumberFormat="1" applyFont="1" applyBorder="1" applyAlignment="1" applyProtection="1">
      <alignment horizontal="center" vertical="center" wrapText="1"/>
      <protection hidden="1"/>
    </xf>
    <xf numFmtId="9" fontId="13" fillId="0" borderId="8" xfId="1" applyNumberFormat="1" applyFont="1" applyBorder="1" applyAlignment="1" applyProtection="1">
      <alignment horizontal="center" vertical="center" wrapText="1"/>
      <protection hidden="1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4" fillId="0" borderId="33" xfId="1" applyFont="1" applyBorder="1" applyAlignment="1" applyProtection="1">
      <alignment horizontal="left" vertical="top" wrapText="1"/>
      <protection locked="0"/>
    </xf>
    <xf numFmtId="0" fontId="14" fillId="0" borderId="19" xfId="1" applyFont="1" applyBorder="1" applyAlignment="1" applyProtection="1">
      <alignment horizontal="left" vertical="top" wrapText="1"/>
      <protection locked="0"/>
    </xf>
    <xf numFmtId="0" fontId="14" fillId="0" borderId="34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/>
      <protection locked="0"/>
    </xf>
    <xf numFmtId="0" fontId="13" fillId="0" borderId="2" xfId="1" applyFont="1" applyBorder="1" applyAlignment="1" applyProtection="1">
      <alignment horizontal="left" vertical="top"/>
      <protection locked="0"/>
    </xf>
    <xf numFmtId="0" fontId="13" fillId="0" borderId="23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23" fillId="0" borderId="9" xfId="8" applyFill="1" applyBorder="1" applyAlignment="1" applyProtection="1">
      <alignment horizontal="left"/>
      <protection locked="0"/>
    </xf>
    <xf numFmtId="0" fontId="8" fillId="0" borderId="24" xfId="1" applyFont="1" applyBorder="1" applyAlignment="1" applyProtection="1">
      <alignment horizontal="left"/>
      <protection locked="0"/>
    </xf>
    <xf numFmtId="0" fontId="8" fillId="0" borderId="10" xfId="1" applyFont="1" applyBorder="1" applyAlignment="1" applyProtection="1">
      <alignment horizontal="left"/>
      <protection locked="0"/>
    </xf>
    <xf numFmtId="0" fontId="11" fillId="0" borderId="9" xfId="1" applyFont="1" applyBorder="1" applyAlignment="1" applyProtection="1">
      <alignment horizontal="left"/>
      <protection locked="0"/>
    </xf>
    <xf numFmtId="0" fontId="11" fillId="0" borderId="24" xfId="1" applyFont="1" applyBorder="1" applyAlignment="1" applyProtection="1">
      <alignment horizontal="left"/>
      <protection locked="0"/>
    </xf>
    <xf numFmtId="0" fontId="11" fillId="0" borderId="10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27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4" fillId="0" borderId="25" xfId="1" applyFont="1" applyBorder="1" applyAlignment="1" applyProtection="1">
      <alignment horizontal="left" vertical="top" wrapText="1"/>
      <protection locked="0"/>
    </xf>
    <xf numFmtId="0" fontId="14" fillId="0" borderId="18" xfId="1" applyFont="1" applyBorder="1" applyAlignment="1" applyProtection="1">
      <alignment horizontal="left" vertical="top" wrapText="1"/>
      <protection locked="0"/>
    </xf>
    <xf numFmtId="0" fontId="14" fillId="0" borderId="16" xfId="1" applyFont="1" applyBorder="1" applyAlignment="1" applyProtection="1">
      <alignment horizontal="left" vertical="top" wrapText="1"/>
      <protection locked="0"/>
    </xf>
    <xf numFmtId="0" fontId="14" fillId="0" borderId="17" xfId="1" applyFont="1" applyBorder="1" applyAlignment="1" applyProtection="1">
      <alignment horizontal="left" vertical="top" wrapText="1"/>
      <protection locked="0"/>
    </xf>
    <xf numFmtId="0" fontId="14" fillId="0" borderId="26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167" fontId="14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1" fontId="9" fillId="0" borderId="21" xfId="1" applyNumberFormat="1" applyFont="1" applyBorder="1" applyAlignment="1" applyProtection="1">
      <alignment horizontal="center" vertical="top" wrapText="1"/>
      <protection locked="0"/>
    </xf>
    <xf numFmtId="0" fontId="8" fillId="0" borderId="0" xfId="1" applyFont="1" applyAlignment="1">
      <alignment horizontal="center" vertical="center"/>
    </xf>
    <xf numFmtId="0" fontId="14" fillId="0" borderId="30" xfId="1" applyFont="1" applyBorder="1" applyAlignment="1" applyProtection="1">
      <alignment horizontal="left" vertical="top" wrapText="1"/>
      <protection locked="0"/>
    </xf>
    <xf numFmtId="0" fontId="14" fillId="0" borderId="31" xfId="1" applyFont="1" applyBorder="1" applyAlignment="1" applyProtection="1">
      <alignment horizontal="left" vertical="top" wrapText="1"/>
      <protection locked="0"/>
    </xf>
    <xf numFmtId="0" fontId="14" fillId="0" borderId="32" xfId="1" applyFont="1" applyBorder="1" applyAlignment="1" applyProtection="1">
      <alignment horizontal="left" vertical="top" wrapText="1"/>
      <protection locked="0"/>
    </xf>
    <xf numFmtId="0" fontId="13" fillId="0" borderId="28" xfId="1" applyFont="1" applyBorder="1" applyAlignment="1" applyProtection="1">
      <alignment horizontal="left" vertical="top" wrapText="1"/>
      <protection locked="0"/>
    </xf>
    <xf numFmtId="0" fontId="13" fillId="0" borderId="0" xfId="1" applyFont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27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28" xfId="1" applyFont="1" applyBorder="1" applyAlignment="1" applyProtection="1">
      <alignment horizontal="left" vertical="top"/>
      <protection locked="0"/>
    </xf>
    <xf numFmtId="0" fontId="13" fillId="0" borderId="0" xfId="1" applyFont="1" applyAlignment="1" applyProtection="1">
      <alignment horizontal="left" vertical="top"/>
      <protection locked="0"/>
    </xf>
    <xf numFmtId="0" fontId="13" fillId="0" borderId="29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1" fontId="7" fillId="0" borderId="27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 applyProtection="1">
      <alignment horizontal="center" vertical="center" wrapText="1"/>
      <protection locked="0"/>
    </xf>
    <xf numFmtId="1" fontId="7" fillId="0" borderId="2" xfId="1" applyNumberFormat="1" applyFont="1" applyBorder="1" applyAlignment="1" applyProtection="1">
      <alignment horizontal="center" vertical="center" wrapText="1"/>
      <protection locked="0"/>
    </xf>
    <xf numFmtId="1" fontId="14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24" xfId="1" applyNumberFormat="1" applyFont="1" applyBorder="1" applyAlignment="1" applyProtection="1">
      <alignment horizontal="center" vertical="center" wrapText="1"/>
      <protection locked="0"/>
    </xf>
    <xf numFmtId="1" fontId="9" fillId="0" borderId="10" xfId="1" applyNumberFormat="1" applyFont="1" applyBorder="1" applyAlignment="1" applyProtection="1">
      <alignment horizontal="center" vertical="center" wrapText="1"/>
      <protection locked="0"/>
    </xf>
    <xf numFmtId="1" fontId="14" fillId="0" borderId="9" xfId="0" applyNumberFormat="1" applyFont="1" applyBorder="1" applyAlignment="1" applyProtection="1">
      <alignment vertical="top" wrapText="1"/>
      <protection locked="0"/>
    </xf>
    <xf numFmtId="1" fontId="14" fillId="0" borderId="24" xfId="0" applyNumberFormat="1" applyFont="1" applyBorder="1" applyAlignment="1" applyProtection="1">
      <alignment vertical="top" wrapText="1"/>
      <protection locked="0"/>
    </xf>
    <xf numFmtId="1" fontId="14" fillId="0" borderId="10" xfId="0" applyNumberFormat="1" applyFont="1" applyBorder="1" applyAlignment="1" applyProtection="1">
      <alignment vertical="top" wrapText="1"/>
      <protection locked="0"/>
    </xf>
    <xf numFmtId="0" fontId="0" fillId="2" borderId="1" xfId="0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5" applyFont="1" applyBorder="1" applyAlignment="1">
      <alignment horizontal="left"/>
    </xf>
  </cellXfs>
  <cellStyles count="9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8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4" Type="http://schemas.openxmlformats.org/officeDocument/2006/relationships/image" Target="../media/image2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292</xdr:row>
      <xdr:rowOff>190501</xdr:rowOff>
    </xdr:from>
    <xdr:to>
      <xdr:col>7</xdr:col>
      <xdr:colOff>377726</xdr:colOff>
      <xdr:row>310</xdr:row>
      <xdr:rowOff>159795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5340" y="58933081"/>
          <a:ext cx="5406926" cy="353545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30480</xdr:colOff>
      <xdr:row>311</xdr:row>
      <xdr:rowOff>163606</xdr:rowOff>
    </xdr:from>
    <xdr:to>
      <xdr:col>7</xdr:col>
      <xdr:colOff>377726</xdr:colOff>
      <xdr:row>329</xdr:row>
      <xdr:rowOff>132901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5340" y="62670466"/>
          <a:ext cx="5406926" cy="353545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10</xdr:col>
      <xdr:colOff>717095</xdr:colOff>
      <xdr:row>278</xdr:row>
      <xdr:rowOff>129281</xdr:rowOff>
    </xdr:from>
    <xdr:to>
      <xdr:col>11</xdr:col>
      <xdr:colOff>660195</xdr:colOff>
      <xdr:row>279</xdr:row>
      <xdr:rowOff>201516</xdr:rowOff>
    </xdr:to>
    <xdr:sp macro="" textlink="">
      <xdr:nvSpPr>
        <xdr:cNvPr id="47" name="TextBox 3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9177536" y="57413752"/>
          <a:ext cx="693894" cy="273940"/>
        </a:xfrm>
        <a:prstGeom prst="rect">
          <a:avLst/>
        </a:prstGeom>
        <a:solidFill>
          <a:schemeClr val="bg1">
            <a:lumMod val="75000"/>
          </a:scheme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Wing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S</a:t>
          </a:r>
          <a:endParaRPr lang="en-IN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21953</xdr:colOff>
      <xdr:row>278</xdr:row>
      <xdr:rowOff>110260</xdr:rowOff>
    </xdr:from>
    <xdr:to>
      <xdr:col>21</xdr:col>
      <xdr:colOff>122116</xdr:colOff>
      <xdr:row>279</xdr:row>
      <xdr:rowOff>183253</xdr:rowOff>
    </xdr:to>
    <xdr:sp macro="" textlink="">
      <xdr:nvSpPr>
        <xdr:cNvPr id="49" name="TextBox 3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3155247" y="57394731"/>
          <a:ext cx="705281" cy="274698"/>
        </a:xfrm>
        <a:prstGeom prst="rect">
          <a:avLst/>
        </a:prstGeom>
        <a:solidFill>
          <a:schemeClr val="bg1">
            <a:lumMod val="75000"/>
          </a:scheme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Wing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</a:t>
          </a:r>
          <a:endParaRPr lang="en-IN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606452</xdr:colOff>
      <xdr:row>250</xdr:row>
      <xdr:rowOff>102870</xdr:rowOff>
    </xdr:from>
    <xdr:to>
      <xdr:col>21</xdr:col>
      <xdr:colOff>60712</xdr:colOff>
      <xdr:row>286</xdr:row>
      <xdr:rowOff>157948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792112" y="50730150"/>
          <a:ext cx="6876140" cy="7179778"/>
          <a:chOff x="141639" y="51615975"/>
          <a:chExt cx="6727528" cy="7246155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141639" y="51615975"/>
            <a:ext cx="6727528" cy="7246155"/>
            <a:chOff x="160689" y="51558825"/>
            <a:chExt cx="6727528" cy="7246155"/>
          </a:xfrm>
        </xdr:grpSpPr>
        <xdr:pic>
          <xdr:nvPicPr>
            <xdr:cNvPr id="21" name="Picture 20" descr="https://vsjcllp.vsjadon.com/upload/insp-236342-1525.jpg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563586" y="56785681"/>
              <a:ext cx="1512897" cy="201929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2" name="Picture 21" descr="https://vsjcllp.vsjadon.com/upload/insp-236342-845.jpg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61926" y="51558825"/>
              <a:ext cx="2190848" cy="292417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3" name="Picture 22" descr="https://vsjcllp.vsjadon.com/upload/insp-236342-844.jpg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28876" y="51558825"/>
              <a:ext cx="2190848" cy="292417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4" name="Picture 23" descr="https://vsjcllp.vsjadon.com/upload/insp-236342-849.jpg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250745" y="54554446"/>
              <a:ext cx="1627079" cy="21717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6" name="Picture 25" descr="https://vsjcllp.vsjadon.com/upload/insp-236342-860.jpg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562606" y="54558441"/>
              <a:ext cx="1619979" cy="216222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" name="Picture 29" descr="https://vsjcllp.vsjadon.com/upload/insp-236342-931.jpg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963386" y="56785681"/>
              <a:ext cx="1512897" cy="201929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" name="Picture 30" descr="https://vsjcllp.vsjadon.com/upload/insp-236342-862.jpg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698042" y="51564342"/>
              <a:ext cx="2190175" cy="292327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" name="Picture 31" descr="https://vsjcllp.vsjadon.com/upload/insp-236342-851.jpg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60689" y="54554446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3" name="Picture 32" descr="https://vsjcllp.vsjadon.com/upload/insp-236342-847.jpg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65664" y="54554446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34" name="TextBox 35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633212" y="51867573"/>
            <a:ext cx="697647" cy="276898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Times New Roman" panose="02020603050405020304" pitchFamily="18" charset="0"/>
                <a:cs typeface="Times New Roman" panose="02020603050405020304" pitchFamily="18" charset="0"/>
              </a:rPr>
              <a:t>Wing</a:t>
            </a:r>
            <a:r>
              <a:rPr lang="en-US" sz="1200" b="0" cap="none" spc="0" baseline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Times New Roman" panose="02020603050405020304" pitchFamily="18" charset="0"/>
                <a:cs typeface="Times New Roman" panose="02020603050405020304" pitchFamily="18" charset="0"/>
              </a:rPr>
              <a:t> R</a:t>
            </a:r>
            <a:endPara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35" name="TextBox 35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/>
        </xdr:nvSpPr>
        <xdr:spPr>
          <a:xfrm>
            <a:off x="2514600" y="51635025"/>
            <a:ext cx="697647" cy="276898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Times New Roman" panose="02020603050405020304" pitchFamily="18" charset="0"/>
                <a:cs typeface="Times New Roman" panose="02020603050405020304" pitchFamily="18" charset="0"/>
              </a:rPr>
              <a:t>Wing</a:t>
            </a:r>
            <a:r>
              <a:rPr lang="en-US" sz="1200" b="0" cap="none" spc="0" baseline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Times New Roman" panose="02020603050405020304" pitchFamily="18" charset="0"/>
                <a:cs typeface="Times New Roman" panose="02020603050405020304" pitchFamily="18" charset="0"/>
              </a:rPr>
              <a:t> S</a:t>
            </a:r>
            <a:endPara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5942335" y="51679071"/>
            <a:ext cx="697647" cy="276898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Times New Roman" panose="02020603050405020304" pitchFamily="18" charset="0"/>
                <a:cs typeface="Times New Roman" panose="02020603050405020304" pitchFamily="18" charset="0"/>
              </a:rPr>
              <a:t>Wing</a:t>
            </a:r>
            <a:r>
              <a:rPr lang="en-US" sz="1200" b="0" cap="none" spc="0" baseline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Times New Roman" panose="02020603050405020304" pitchFamily="18" charset="0"/>
                <a:cs typeface="Times New Roman" panose="02020603050405020304" pitchFamily="18" charset="0"/>
              </a:rPr>
              <a:t> T</a:t>
            </a:r>
            <a:endPara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144780</xdr:colOff>
      <xdr:row>251</xdr:row>
      <xdr:rowOff>99060</xdr:rowOff>
    </xdr:from>
    <xdr:to>
      <xdr:col>7</xdr:col>
      <xdr:colOff>1181100</xdr:colOff>
      <xdr:row>290</xdr:row>
      <xdr:rowOff>38100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7314C63B-43A4-800A-1430-EA026A9FE7AC}"/>
            </a:ext>
          </a:extLst>
        </xdr:cNvPr>
        <xdr:cNvGrpSpPr/>
      </xdr:nvGrpSpPr>
      <xdr:grpSpPr>
        <a:xfrm>
          <a:off x="144780" y="50924460"/>
          <a:ext cx="6880860" cy="7658100"/>
          <a:chOff x="144780" y="51175920"/>
          <a:chExt cx="6880860" cy="7658100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AE2A73C2-6BA3-4B0E-6653-FACA3B065F98}"/>
              </a:ext>
            </a:extLst>
          </xdr:cNvPr>
          <xdr:cNvGrpSpPr/>
        </xdr:nvGrpSpPr>
        <xdr:grpSpPr>
          <a:xfrm>
            <a:off x="144780" y="51175920"/>
            <a:ext cx="6880860" cy="7658100"/>
            <a:chOff x="-488228" y="-601519"/>
            <a:chExt cx="7346228" cy="7448104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C6F149AA-0D50-7B76-BAD7-C6240935EE3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672043" y="4686585"/>
              <a:ext cx="16185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A5208E28-89A8-9CA0-CF6B-101EA55BF03A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-488228" y="-601519"/>
              <a:ext cx="2341100" cy="312436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18FF2E21-F6BA-CE23-111D-D1919CBD2BDA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033698" y="-590659"/>
              <a:ext cx="2341100" cy="312436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32EC57B3-D750-B4DD-172D-A410C169F7A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672463" y="4686585"/>
              <a:ext cx="2877336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47FC1E36-9A8C-46B7-F83A-168F7820F082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2648286"/>
              <a:ext cx="1441450" cy="192371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83F4048D-01CA-C525-FFCA-20D7C28521E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695645" y="2658702"/>
              <a:ext cx="1441450" cy="192371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269056FD-2E38-33DF-25FE-F94EA7BEC1E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72838" y="2648286"/>
              <a:ext cx="1441450" cy="192371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4B45C974-551D-8DB2-CEBD-0ABCC52BB87B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145856" y="2658702"/>
              <a:ext cx="1441450" cy="192371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07905159-A6DA-C960-AF51-C64D5C28578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16900" y="-590659"/>
              <a:ext cx="2341100" cy="312436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09F42580-57FB-E43C-ED1D-995075CE82AF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-59246" y="4686585"/>
              <a:ext cx="16185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17" name="TextBox 35">
            <a:extLst>
              <a:ext uri="{FF2B5EF4-FFF2-40B4-BE49-F238E27FC236}">
                <a16:creationId xmlns:a16="http://schemas.microsoft.com/office/drawing/2014/main" id="{CCA7A0CA-AA30-4AA2-A778-6E9CA0F4D788}"/>
              </a:ext>
            </a:extLst>
          </xdr:cNvPr>
          <xdr:cNvSpPr txBox="1"/>
        </xdr:nvSpPr>
        <xdr:spPr>
          <a:xfrm>
            <a:off x="335280" y="51389280"/>
            <a:ext cx="713058" cy="274362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Times New Roman" panose="02020603050405020304" pitchFamily="18" charset="0"/>
                <a:cs typeface="Times New Roman" panose="02020603050405020304" pitchFamily="18" charset="0"/>
              </a:rPr>
              <a:t>Wing</a:t>
            </a:r>
            <a:r>
              <a:rPr lang="en-US" sz="1200" b="1" cap="none" spc="0" baseline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Times New Roman" panose="02020603050405020304" pitchFamily="18" charset="0"/>
                <a:cs typeface="Times New Roman" panose="02020603050405020304" pitchFamily="18" charset="0"/>
              </a:rPr>
              <a:t> R</a:t>
            </a:r>
            <a:endParaRPr lang="en-IN" sz="1200" b="1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" name="TextBox 35">
            <a:extLst>
              <a:ext uri="{FF2B5EF4-FFF2-40B4-BE49-F238E27FC236}">
                <a16:creationId xmlns:a16="http://schemas.microsoft.com/office/drawing/2014/main" id="{F3CEC58F-3A0B-1057-EACE-7F32D3E7208A}"/>
              </a:ext>
            </a:extLst>
          </xdr:cNvPr>
          <xdr:cNvSpPr txBox="1"/>
        </xdr:nvSpPr>
        <xdr:spPr>
          <a:xfrm>
            <a:off x="2598420" y="51259740"/>
            <a:ext cx="713058" cy="274362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Times New Roman" panose="02020603050405020304" pitchFamily="18" charset="0"/>
                <a:cs typeface="Times New Roman" panose="02020603050405020304" pitchFamily="18" charset="0"/>
              </a:rPr>
              <a:t>Wing</a:t>
            </a:r>
            <a:r>
              <a:rPr lang="en-US" sz="1200" b="1" cap="none" spc="0" baseline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Times New Roman" panose="02020603050405020304" pitchFamily="18" charset="0"/>
                <a:cs typeface="Times New Roman" panose="02020603050405020304" pitchFamily="18" charset="0"/>
              </a:rPr>
              <a:t> S</a:t>
            </a:r>
            <a:endParaRPr lang="en-IN" sz="1200" b="1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TextBox 35">
            <a:extLst>
              <a:ext uri="{FF2B5EF4-FFF2-40B4-BE49-F238E27FC236}">
                <a16:creationId xmlns:a16="http://schemas.microsoft.com/office/drawing/2014/main" id="{B498ABCD-040D-E719-A162-EF963A9F9C5D}"/>
              </a:ext>
            </a:extLst>
          </xdr:cNvPr>
          <xdr:cNvSpPr txBox="1"/>
        </xdr:nvSpPr>
        <xdr:spPr>
          <a:xfrm>
            <a:off x="4815840" y="51343560"/>
            <a:ext cx="713058" cy="274362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Times New Roman" panose="02020603050405020304" pitchFamily="18" charset="0"/>
                <a:cs typeface="Times New Roman" panose="02020603050405020304" pitchFamily="18" charset="0"/>
              </a:rPr>
              <a:t>Wing</a:t>
            </a:r>
            <a:r>
              <a:rPr lang="en-US" sz="1200" b="1" cap="none" spc="0" baseline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Times New Roman" panose="02020603050405020304" pitchFamily="18" charset="0"/>
                <a:cs typeface="Times New Roman" panose="02020603050405020304" pitchFamily="18" charset="0"/>
              </a:rPr>
              <a:t> T</a:t>
            </a:r>
            <a:endParaRPr lang="en-IN" sz="1200" b="1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275419</xdr:colOff>
      <xdr:row>0</xdr:row>
      <xdr:rowOff>0</xdr:rowOff>
    </xdr:from>
    <xdr:to>
      <xdr:col>8</xdr:col>
      <xdr:colOff>110882</xdr:colOff>
      <xdr:row>23</xdr:row>
      <xdr:rowOff>126063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310391" y="803767"/>
          <a:ext cx="4507563" cy="29000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669</xdr:colOff>
      <xdr:row>32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783" y="2675283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34</xdr:row>
      <xdr:rowOff>76200</xdr:rowOff>
    </xdr:from>
    <xdr:to>
      <xdr:col>6</xdr:col>
      <xdr:colOff>669</xdr:colOff>
      <xdr:row>53</xdr:row>
      <xdr:rowOff>56700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9783" y="6561483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6</xdr:col>
      <xdr:colOff>669</xdr:colOff>
      <xdr:row>73</xdr:row>
      <xdr:rowOff>171000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9783" y="10485783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74</xdr:row>
      <xdr:rowOff>152400</xdr:rowOff>
    </xdr:from>
    <xdr:to>
      <xdr:col>6</xdr:col>
      <xdr:colOff>669</xdr:colOff>
      <xdr:row>93</xdr:row>
      <xdr:rowOff>132900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9783" y="14257683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Mzmfdqe2q84ouQeE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92"/>
  <sheetViews>
    <sheetView tabSelected="1" view="pageBreakPreview" topLeftCell="A224" zoomScaleNormal="100" zoomScaleSheetLayoutView="100" zoomScalePageLayoutView="115" workbookViewId="0">
      <selection activeCell="K234" sqref="K234"/>
    </sheetView>
  </sheetViews>
  <sheetFormatPr defaultColWidth="9.109375" defaultRowHeight="15.6" x14ac:dyDescent="0.3"/>
  <cols>
    <col min="1" max="1" width="11.44140625" style="13" customWidth="1"/>
    <col min="2" max="2" width="12" style="13" customWidth="1"/>
    <col min="3" max="3" width="12.6640625" style="13" customWidth="1"/>
    <col min="4" max="4" width="14.109375" style="13" customWidth="1"/>
    <col min="5" max="7" width="11.6640625" style="13" customWidth="1"/>
    <col min="8" max="8" width="19.5546875" style="13" customWidth="1"/>
    <col min="9" max="9" width="17.44140625" style="8" customWidth="1"/>
    <col min="10" max="10" width="11.44140625" style="8" customWidth="1"/>
    <col min="11" max="11" width="11.33203125" style="8" bestFit="1" customWidth="1"/>
    <col min="12" max="12" width="10.5546875" style="8" customWidth="1"/>
    <col min="13" max="13" width="11.88671875" style="8" customWidth="1"/>
    <col min="14" max="14" width="12.5546875" style="8" hidden="1" customWidth="1"/>
    <col min="15" max="15" width="9.88671875" style="8" hidden="1" customWidth="1"/>
    <col min="16" max="16" width="10.44140625" style="8" hidden="1" customWidth="1"/>
    <col min="17" max="247" width="9.109375" style="8"/>
    <col min="248" max="248" width="8.6640625" style="8" customWidth="1"/>
    <col min="249" max="249" width="9.88671875" style="8" customWidth="1"/>
    <col min="250" max="250" width="14.44140625" style="8" customWidth="1"/>
    <col min="251" max="251" width="7.33203125" style="8" customWidth="1"/>
    <col min="252" max="252" width="5.5546875" style="8" customWidth="1"/>
    <col min="253" max="253" width="9" style="8" customWidth="1"/>
    <col min="254" max="255" width="9.88671875" style="8" customWidth="1"/>
    <col min="256" max="256" width="11.109375" style="8" customWidth="1"/>
    <col min="257" max="257" width="2.88671875" style="8" customWidth="1"/>
    <col min="258" max="258" width="3.5546875" style="8" customWidth="1"/>
    <col min="259" max="503" width="9.109375" style="8"/>
    <col min="504" max="504" width="8.6640625" style="8" customWidth="1"/>
    <col min="505" max="505" width="9.88671875" style="8" customWidth="1"/>
    <col min="506" max="506" width="14.44140625" style="8" customWidth="1"/>
    <col min="507" max="507" width="7.33203125" style="8" customWidth="1"/>
    <col min="508" max="508" width="5.5546875" style="8" customWidth="1"/>
    <col min="509" max="509" width="9" style="8" customWidth="1"/>
    <col min="510" max="511" width="9.88671875" style="8" customWidth="1"/>
    <col min="512" max="512" width="11.109375" style="8" customWidth="1"/>
    <col min="513" max="513" width="2.88671875" style="8" customWidth="1"/>
    <col min="514" max="514" width="3.5546875" style="8" customWidth="1"/>
    <col min="515" max="759" width="9.109375" style="8"/>
    <col min="760" max="760" width="8.6640625" style="8" customWidth="1"/>
    <col min="761" max="761" width="9.88671875" style="8" customWidth="1"/>
    <col min="762" max="762" width="14.44140625" style="8" customWidth="1"/>
    <col min="763" max="763" width="7.33203125" style="8" customWidth="1"/>
    <col min="764" max="764" width="5.5546875" style="8" customWidth="1"/>
    <col min="765" max="765" width="9" style="8" customWidth="1"/>
    <col min="766" max="767" width="9.88671875" style="8" customWidth="1"/>
    <col min="768" max="768" width="11.109375" style="8" customWidth="1"/>
    <col min="769" max="769" width="2.88671875" style="8" customWidth="1"/>
    <col min="770" max="770" width="3.5546875" style="8" customWidth="1"/>
    <col min="771" max="1015" width="9.109375" style="8"/>
    <col min="1016" max="1016" width="8.6640625" style="8" customWidth="1"/>
    <col min="1017" max="1017" width="9.88671875" style="8" customWidth="1"/>
    <col min="1018" max="1018" width="14.44140625" style="8" customWidth="1"/>
    <col min="1019" max="1019" width="7.33203125" style="8" customWidth="1"/>
    <col min="1020" max="1020" width="5.5546875" style="8" customWidth="1"/>
    <col min="1021" max="1021" width="9" style="8" customWidth="1"/>
    <col min="1022" max="1023" width="9.88671875" style="8" customWidth="1"/>
    <col min="1024" max="1024" width="11.109375" style="8" customWidth="1"/>
    <col min="1025" max="1025" width="2.88671875" style="8" customWidth="1"/>
    <col min="1026" max="1026" width="3.5546875" style="8" customWidth="1"/>
    <col min="1027" max="1271" width="9.109375" style="8"/>
    <col min="1272" max="1272" width="8.6640625" style="8" customWidth="1"/>
    <col min="1273" max="1273" width="9.88671875" style="8" customWidth="1"/>
    <col min="1274" max="1274" width="14.44140625" style="8" customWidth="1"/>
    <col min="1275" max="1275" width="7.33203125" style="8" customWidth="1"/>
    <col min="1276" max="1276" width="5.5546875" style="8" customWidth="1"/>
    <col min="1277" max="1277" width="9" style="8" customWidth="1"/>
    <col min="1278" max="1279" width="9.88671875" style="8" customWidth="1"/>
    <col min="1280" max="1280" width="11.109375" style="8" customWidth="1"/>
    <col min="1281" max="1281" width="2.88671875" style="8" customWidth="1"/>
    <col min="1282" max="1282" width="3.5546875" style="8" customWidth="1"/>
    <col min="1283" max="1527" width="9.109375" style="8"/>
    <col min="1528" max="1528" width="8.6640625" style="8" customWidth="1"/>
    <col min="1529" max="1529" width="9.88671875" style="8" customWidth="1"/>
    <col min="1530" max="1530" width="14.44140625" style="8" customWidth="1"/>
    <col min="1531" max="1531" width="7.33203125" style="8" customWidth="1"/>
    <col min="1532" max="1532" width="5.5546875" style="8" customWidth="1"/>
    <col min="1533" max="1533" width="9" style="8" customWidth="1"/>
    <col min="1534" max="1535" width="9.88671875" style="8" customWidth="1"/>
    <col min="1536" max="1536" width="11.109375" style="8" customWidth="1"/>
    <col min="1537" max="1537" width="2.88671875" style="8" customWidth="1"/>
    <col min="1538" max="1538" width="3.5546875" style="8" customWidth="1"/>
    <col min="1539" max="1783" width="9.109375" style="8"/>
    <col min="1784" max="1784" width="8.6640625" style="8" customWidth="1"/>
    <col min="1785" max="1785" width="9.88671875" style="8" customWidth="1"/>
    <col min="1786" max="1786" width="14.44140625" style="8" customWidth="1"/>
    <col min="1787" max="1787" width="7.33203125" style="8" customWidth="1"/>
    <col min="1788" max="1788" width="5.5546875" style="8" customWidth="1"/>
    <col min="1789" max="1789" width="9" style="8" customWidth="1"/>
    <col min="1790" max="1791" width="9.88671875" style="8" customWidth="1"/>
    <col min="1792" max="1792" width="11.109375" style="8" customWidth="1"/>
    <col min="1793" max="1793" width="2.88671875" style="8" customWidth="1"/>
    <col min="1794" max="1794" width="3.5546875" style="8" customWidth="1"/>
    <col min="1795" max="2039" width="9.109375" style="8"/>
    <col min="2040" max="2040" width="8.6640625" style="8" customWidth="1"/>
    <col min="2041" max="2041" width="9.88671875" style="8" customWidth="1"/>
    <col min="2042" max="2042" width="14.44140625" style="8" customWidth="1"/>
    <col min="2043" max="2043" width="7.33203125" style="8" customWidth="1"/>
    <col min="2044" max="2044" width="5.5546875" style="8" customWidth="1"/>
    <col min="2045" max="2045" width="9" style="8" customWidth="1"/>
    <col min="2046" max="2047" width="9.88671875" style="8" customWidth="1"/>
    <col min="2048" max="2048" width="11.109375" style="8" customWidth="1"/>
    <col min="2049" max="2049" width="2.88671875" style="8" customWidth="1"/>
    <col min="2050" max="2050" width="3.5546875" style="8" customWidth="1"/>
    <col min="2051" max="2295" width="9.109375" style="8"/>
    <col min="2296" max="2296" width="8.6640625" style="8" customWidth="1"/>
    <col min="2297" max="2297" width="9.88671875" style="8" customWidth="1"/>
    <col min="2298" max="2298" width="14.44140625" style="8" customWidth="1"/>
    <col min="2299" max="2299" width="7.33203125" style="8" customWidth="1"/>
    <col min="2300" max="2300" width="5.5546875" style="8" customWidth="1"/>
    <col min="2301" max="2301" width="9" style="8" customWidth="1"/>
    <col min="2302" max="2303" width="9.88671875" style="8" customWidth="1"/>
    <col min="2304" max="2304" width="11.109375" style="8" customWidth="1"/>
    <col min="2305" max="2305" width="2.88671875" style="8" customWidth="1"/>
    <col min="2306" max="2306" width="3.5546875" style="8" customWidth="1"/>
    <col min="2307" max="2551" width="9.109375" style="8"/>
    <col min="2552" max="2552" width="8.6640625" style="8" customWidth="1"/>
    <col min="2553" max="2553" width="9.88671875" style="8" customWidth="1"/>
    <col min="2554" max="2554" width="14.44140625" style="8" customWidth="1"/>
    <col min="2555" max="2555" width="7.33203125" style="8" customWidth="1"/>
    <col min="2556" max="2556" width="5.5546875" style="8" customWidth="1"/>
    <col min="2557" max="2557" width="9" style="8" customWidth="1"/>
    <col min="2558" max="2559" width="9.88671875" style="8" customWidth="1"/>
    <col min="2560" max="2560" width="11.109375" style="8" customWidth="1"/>
    <col min="2561" max="2561" width="2.88671875" style="8" customWidth="1"/>
    <col min="2562" max="2562" width="3.5546875" style="8" customWidth="1"/>
    <col min="2563" max="2807" width="9.109375" style="8"/>
    <col min="2808" max="2808" width="8.6640625" style="8" customWidth="1"/>
    <col min="2809" max="2809" width="9.88671875" style="8" customWidth="1"/>
    <col min="2810" max="2810" width="14.44140625" style="8" customWidth="1"/>
    <col min="2811" max="2811" width="7.33203125" style="8" customWidth="1"/>
    <col min="2812" max="2812" width="5.5546875" style="8" customWidth="1"/>
    <col min="2813" max="2813" width="9" style="8" customWidth="1"/>
    <col min="2814" max="2815" width="9.88671875" style="8" customWidth="1"/>
    <col min="2816" max="2816" width="11.109375" style="8" customWidth="1"/>
    <col min="2817" max="2817" width="2.88671875" style="8" customWidth="1"/>
    <col min="2818" max="2818" width="3.5546875" style="8" customWidth="1"/>
    <col min="2819" max="3063" width="9.109375" style="8"/>
    <col min="3064" max="3064" width="8.6640625" style="8" customWidth="1"/>
    <col min="3065" max="3065" width="9.88671875" style="8" customWidth="1"/>
    <col min="3066" max="3066" width="14.44140625" style="8" customWidth="1"/>
    <col min="3067" max="3067" width="7.33203125" style="8" customWidth="1"/>
    <col min="3068" max="3068" width="5.5546875" style="8" customWidth="1"/>
    <col min="3069" max="3069" width="9" style="8" customWidth="1"/>
    <col min="3070" max="3071" width="9.88671875" style="8" customWidth="1"/>
    <col min="3072" max="3072" width="11.109375" style="8" customWidth="1"/>
    <col min="3073" max="3073" width="2.88671875" style="8" customWidth="1"/>
    <col min="3074" max="3074" width="3.5546875" style="8" customWidth="1"/>
    <col min="3075" max="3319" width="9.109375" style="8"/>
    <col min="3320" max="3320" width="8.6640625" style="8" customWidth="1"/>
    <col min="3321" max="3321" width="9.88671875" style="8" customWidth="1"/>
    <col min="3322" max="3322" width="14.44140625" style="8" customWidth="1"/>
    <col min="3323" max="3323" width="7.33203125" style="8" customWidth="1"/>
    <col min="3324" max="3324" width="5.5546875" style="8" customWidth="1"/>
    <col min="3325" max="3325" width="9" style="8" customWidth="1"/>
    <col min="3326" max="3327" width="9.88671875" style="8" customWidth="1"/>
    <col min="3328" max="3328" width="11.109375" style="8" customWidth="1"/>
    <col min="3329" max="3329" width="2.88671875" style="8" customWidth="1"/>
    <col min="3330" max="3330" width="3.5546875" style="8" customWidth="1"/>
    <col min="3331" max="3575" width="9.109375" style="8"/>
    <col min="3576" max="3576" width="8.6640625" style="8" customWidth="1"/>
    <col min="3577" max="3577" width="9.88671875" style="8" customWidth="1"/>
    <col min="3578" max="3578" width="14.44140625" style="8" customWidth="1"/>
    <col min="3579" max="3579" width="7.33203125" style="8" customWidth="1"/>
    <col min="3580" max="3580" width="5.5546875" style="8" customWidth="1"/>
    <col min="3581" max="3581" width="9" style="8" customWidth="1"/>
    <col min="3582" max="3583" width="9.88671875" style="8" customWidth="1"/>
    <col min="3584" max="3584" width="11.109375" style="8" customWidth="1"/>
    <col min="3585" max="3585" width="2.88671875" style="8" customWidth="1"/>
    <col min="3586" max="3586" width="3.5546875" style="8" customWidth="1"/>
    <col min="3587" max="3831" width="9.109375" style="8"/>
    <col min="3832" max="3832" width="8.6640625" style="8" customWidth="1"/>
    <col min="3833" max="3833" width="9.88671875" style="8" customWidth="1"/>
    <col min="3834" max="3834" width="14.44140625" style="8" customWidth="1"/>
    <col min="3835" max="3835" width="7.33203125" style="8" customWidth="1"/>
    <col min="3836" max="3836" width="5.5546875" style="8" customWidth="1"/>
    <col min="3837" max="3837" width="9" style="8" customWidth="1"/>
    <col min="3838" max="3839" width="9.88671875" style="8" customWidth="1"/>
    <col min="3840" max="3840" width="11.109375" style="8" customWidth="1"/>
    <col min="3841" max="3841" width="2.88671875" style="8" customWidth="1"/>
    <col min="3842" max="3842" width="3.5546875" style="8" customWidth="1"/>
    <col min="3843" max="4087" width="9.109375" style="8"/>
    <col min="4088" max="4088" width="8.6640625" style="8" customWidth="1"/>
    <col min="4089" max="4089" width="9.88671875" style="8" customWidth="1"/>
    <col min="4090" max="4090" width="14.44140625" style="8" customWidth="1"/>
    <col min="4091" max="4091" width="7.33203125" style="8" customWidth="1"/>
    <col min="4092" max="4092" width="5.5546875" style="8" customWidth="1"/>
    <col min="4093" max="4093" width="9" style="8" customWidth="1"/>
    <col min="4094" max="4095" width="9.88671875" style="8" customWidth="1"/>
    <col min="4096" max="4096" width="11.109375" style="8" customWidth="1"/>
    <col min="4097" max="4097" width="2.88671875" style="8" customWidth="1"/>
    <col min="4098" max="4098" width="3.5546875" style="8" customWidth="1"/>
    <col min="4099" max="4343" width="9.109375" style="8"/>
    <col min="4344" max="4344" width="8.6640625" style="8" customWidth="1"/>
    <col min="4345" max="4345" width="9.88671875" style="8" customWidth="1"/>
    <col min="4346" max="4346" width="14.44140625" style="8" customWidth="1"/>
    <col min="4347" max="4347" width="7.33203125" style="8" customWidth="1"/>
    <col min="4348" max="4348" width="5.5546875" style="8" customWidth="1"/>
    <col min="4349" max="4349" width="9" style="8" customWidth="1"/>
    <col min="4350" max="4351" width="9.88671875" style="8" customWidth="1"/>
    <col min="4352" max="4352" width="11.109375" style="8" customWidth="1"/>
    <col min="4353" max="4353" width="2.88671875" style="8" customWidth="1"/>
    <col min="4354" max="4354" width="3.5546875" style="8" customWidth="1"/>
    <col min="4355" max="4599" width="9.109375" style="8"/>
    <col min="4600" max="4600" width="8.6640625" style="8" customWidth="1"/>
    <col min="4601" max="4601" width="9.88671875" style="8" customWidth="1"/>
    <col min="4602" max="4602" width="14.44140625" style="8" customWidth="1"/>
    <col min="4603" max="4603" width="7.33203125" style="8" customWidth="1"/>
    <col min="4604" max="4604" width="5.5546875" style="8" customWidth="1"/>
    <col min="4605" max="4605" width="9" style="8" customWidth="1"/>
    <col min="4606" max="4607" width="9.88671875" style="8" customWidth="1"/>
    <col min="4608" max="4608" width="11.109375" style="8" customWidth="1"/>
    <col min="4609" max="4609" width="2.88671875" style="8" customWidth="1"/>
    <col min="4610" max="4610" width="3.5546875" style="8" customWidth="1"/>
    <col min="4611" max="4855" width="9.109375" style="8"/>
    <col min="4856" max="4856" width="8.6640625" style="8" customWidth="1"/>
    <col min="4857" max="4857" width="9.88671875" style="8" customWidth="1"/>
    <col min="4858" max="4858" width="14.44140625" style="8" customWidth="1"/>
    <col min="4859" max="4859" width="7.33203125" style="8" customWidth="1"/>
    <col min="4860" max="4860" width="5.5546875" style="8" customWidth="1"/>
    <col min="4861" max="4861" width="9" style="8" customWidth="1"/>
    <col min="4862" max="4863" width="9.88671875" style="8" customWidth="1"/>
    <col min="4864" max="4864" width="11.109375" style="8" customWidth="1"/>
    <col min="4865" max="4865" width="2.88671875" style="8" customWidth="1"/>
    <col min="4866" max="4866" width="3.5546875" style="8" customWidth="1"/>
    <col min="4867" max="5111" width="9.109375" style="8"/>
    <col min="5112" max="5112" width="8.6640625" style="8" customWidth="1"/>
    <col min="5113" max="5113" width="9.88671875" style="8" customWidth="1"/>
    <col min="5114" max="5114" width="14.44140625" style="8" customWidth="1"/>
    <col min="5115" max="5115" width="7.33203125" style="8" customWidth="1"/>
    <col min="5116" max="5116" width="5.5546875" style="8" customWidth="1"/>
    <col min="5117" max="5117" width="9" style="8" customWidth="1"/>
    <col min="5118" max="5119" width="9.88671875" style="8" customWidth="1"/>
    <col min="5120" max="5120" width="11.109375" style="8" customWidth="1"/>
    <col min="5121" max="5121" width="2.88671875" style="8" customWidth="1"/>
    <col min="5122" max="5122" width="3.5546875" style="8" customWidth="1"/>
    <col min="5123" max="5367" width="9.109375" style="8"/>
    <col min="5368" max="5368" width="8.6640625" style="8" customWidth="1"/>
    <col min="5369" max="5369" width="9.88671875" style="8" customWidth="1"/>
    <col min="5370" max="5370" width="14.44140625" style="8" customWidth="1"/>
    <col min="5371" max="5371" width="7.33203125" style="8" customWidth="1"/>
    <col min="5372" max="5372" width="5.5546875" style="8" customWidth="1"/>
    <col min="5373" max="5373" width="9" style="8" customWidth="1"/>
    <col min="5374" max="5375" width="9.88671875" style="8" customWidth="1"/>
    <col min="5376" max="5376" width="11.109375" style="8" customWidth="1"/>
    <col min="5377" max="5377" width="2.88671875" style="8" customWidth="1"/>
    <col min="5378" max="5378" width="3.5546875" style="8" customWidth="1"/>
    <col min="5379" max="5623" width="9.109375" style="8"/>
    <col min="5624" max="5624" width="8.6640625" style="8" customWidth="1"/>
    <col min="5625" max="5625" width="9.88671875" style="8" customWidth="1"/>
    <col min="5626" max="5626" width="14.44140625" style="8" customWidth="1"/>
    <col min="5627" max="5627" width="7.33203125" style="8" customWidth="1"/>
    <col min="5628" max="5628" width="5.5546875" style="8" customWidth="1"/>
    <col min="5629" max="5629" width="9" style="8" customWidth="1"/>
    <col min="5630" max="5631" width="9.88671875" style="8" customWidth="1"/>
    <col min="5632" max="5632" width="11.109375" style="8" customWidth="1"/>
    <col min="5633" max="5633" width="2.88671875" style="8" customWidth="1"/>
    <col min="5634" max="5634" width="3.5546875" style="8" customWidth="1"/>
    <col min="5635" max="5879" width="9.109375" style="8"/>
    <col min="5880" max="5880" width="8.6640625" style="8" customWidth="1"/>
    <col min="5881" max="5881" width="9.88671875" style="8" customWidth="1"/>
    <col min="5882" max="5882" width="14.44140625" style="8" customWidth="1"/>
    <col min="5883" max="5883" width="7.33203125" style="8" customWidth="1"/>
    <col min="5884" max="5884" width="5.5546875" style="8" customWidth="1"/>
    <col min="5885" max="5885" width="9" style="8" customWidth="1"/>
    <col min="5886" max="5887" width="9.88671875" style="8" customWidth="1"/>
    <col min="5888" max="5888" width="11.109375" style="8" customWidth="1"/>
    <col min="5889" max="5889" width="2.88671875" style="8" customWidth="1"/>
    <col min="5890" max="5890" width="3.5546875" style="8" customWidth="1"/>
    <col min="5891" max="6135" width="9.109375" style="8"/>
    <col min="6136" max="6136" width="8.6640625" style="8" customWidth="1"/>
    <col min="6137" max="6137" width="9.88671875" style="8" customWidth="1"/>
    <col min="6138" max="6138" width="14.44140625" style="8" customWidth="1"/>
    <col min="6139" max="6139" width="7.33203125" style="8" customWidth="1"/>
    <col min="6140" max="6140" width="5.5546875" style="8" customWidth="1"/>
    <col min="6141" max="6141" width="9" style="8" customWidth="1"/>
    <col min="6142" max="6143" width="9.88671875" style="8" customWidth="1"/>
    <col min="6144" max="6144" width="11.109375" style="8" customWidth="1"/>
    <col min="6145" max="6145" width="2.88671875" style="8" customWidth="1"/>
    <col min="6146" max="6146" width="3.5546875" style="8" customWidth="1"/>
    <col min="6147" max="6391" width="9.109375" style="8"/>
    <col min="6392" max="6392" width="8.6640625" style="8" customWidth="1"/>
    <col min="6393" max="6393" width="9.88671875" style="8" customWidth="1"/>
    <col min="6394" max="6394" width="14.44140625" style="8" customWidth="1"/>
    <col min="6395" max="6395" width="7.33203125" style="8" customWidth="1"/>
    <col min="6396" max="6396" width="5.5546875" style="8" customWidth="1"/>
    <col min="6397" max="6397" width="9" style="8" customWidth="1"/>
    <col min="6398" max="6399" width="9.88671875" style="8" customWidth="1"/>
    <col min="6400" max="6400" width="11.109375" style="8" customWidth="1"/>
    <col min="6401" max="6401" width="2.88671875" style="8" customWidth="1"/>
    <col min="6402" max="6402" width="3.5546875" style="8" customWidth="1"/>
    <col min="6403" max="6647" width="9.109375" style="8"/>
    <col min="6648" max="6648" width="8.6640625" style="8" customWidth="1"/>
    <col min="6649" max="6649" width="9.88671875" style="8" customWidth="1"/>
    <col min="6650" max="6650" width="14.44140625" style="8" customWidth="1"/>
    <col min="6651" max="6651" width="7.33203125" style="8" customWidth="1"/>
    <col min="6652" max="6652" width="5.5546875" style="8" customWidth="1"/>
    <col min="6653" max="6653" width="9" style="8" customWidth="1"/>
    <col min="6654" max="6655" width="9.88671875" style="8" customWidth="1"/>
    <col min="6656" max="6656" width="11.109375" style="8" customWidth="1"/>
    <col min="6657" max="6657" width="2.88671875" style="8" customWidth="1"/>
    <col min="6658" max="6658" width="3.5546875" style="8" customWidth="1"/>
    <col min="6659" max="6903" width="9.109375" style="8"/>
    <col min="6904" max="6904" width="8.6640625" style="8" customWidth="1"/>
    <col min="6905" max="6905" width="9.88671875" style="8" customWidth="1"/>
    <col min="6906" max="6906" width="14.44140625" style="8" customWidth="1"/>
    <col min="6907" max="6907" width="7.33203125" style="8" customWidth="1"/>
    <col min="6908" max="6908" width="5.5546875" style="8" customWidth="1"/>
    <col min="6909" max="6909" width="9" style="8" customWidth="1"/>
    <col min="6910" max="6911" width="9.88671875" style="8" customWidth="1"/>
    <col min="6912" max="6912" width="11.109375" style="8" customWidth="1"/>
    <col min="6913" max="6913" width="2.88671875" style="8" customWidth="1"/>
    <col min="6914" max="6914" width="3.5546875" style="8" customWidth="1"/>
    <col min="6915" max="7159" width="9.109375" style="8"/>
    <col min="7160" max="7160" width="8.6640625" style="8" customWidth="1"/>
    <col min="7161" max="7161" width="9.88671875" style="8" customWidth="1"/>
    <col min="7162" max="7162" width="14.44140625" style="8" customWidth="1"/>
    <col min="7163" max="7163" width="7.33203125" style="8" customWidth="1"/>
    <col min="7164" max="7164" width="5.5546875" style="8" customWidth="1"/>
    <col min="7165" max="7165" width="9" style="8" customWidth="1"/>
    <col min="7166" max="7167" width="9.88671875" style="8" customWidth="1"/>
    <col min="7168" max="7168" width="11.109375" style="8" customWidth="1"/>
    <col min="7169" max="7169" width="2.88671875" style="8" customWidth="1"/>
    <col min="7170" max="7170" width="3.5546875" style="8" customWidth="1"/>
    <col min="7171" max="7415" width="9.109375" style="8"/>
    <col min="7416" max="7416" width="8.6640625" style="8" customWidth="1"/>
    <col min="7417" max="7417" width="9.88671875" style="8" customWidth="1"/>
    <col min="7418" max="7418" width="14.44140625" style="8" customWidth="1"/>
    <col min="7419" max="7419" width="7.33203125" style="8" customWidth="1"/>
    <col min="7420" max="7420" width="5.5546875" style="8" customWidth="1"/>
    <col min="7421" max="7421" width="9" style="8" customWidth="1"/>
    <col min="7422" max="7423" width="9.88671875" style="8" customWidth="1"/>
    <col min="7424" max="7424" width="11.109375" style="8" customWidth="1"/>
    <col min="7425" max="7425" width="2.88671875" style="8" customWidth="1"/>
    <col min="7426" max="7426" width="3.5546875" style="8" customWidth="1"/>
    <col min="7427" max="7671" width="9.109375" style="8"/>
    <col min="7672" max="7672" width="8.6640625" style="8" customWidth="1"/>
    <col min="7673" max="7673" width="9.88671875" style="8" customWidth="1"/>
    <col min="7674" max="7674" width="14.44140625" style="8" customWidth="1"/>
    <col min="7675" max="7675" width="7.33203125" style="8" customWidth="1"/>
    <col min="7676" max="7676" width="5.5546875" style="8" customWidth="1"/>
    <col min="7677" max="7677" width="9" style="8" customWidth="1"/>
    <col min="7678" max="7679" width="9.88671875" style="8" customWidth="1"/>
    <col min="7680" max="7680" width="11.109375" style="8" customWidth="1"/>
    <col min="7681" max="7681" width="2.88671875" style="8" customWidth="1"/>
    <col min="7682" max="7682" width="3.5546875" style="8" customWidth="1"/>
    <col min="7683" max="7927" width="9.109375" style="8"/>
    <col min="7928" max="7928" width="8.6640625" style="8" customWidth="1"/>
    <col min="7929" max="7929" width="9.88671875" style="8" customWidth="1"/>
    <col min="7930" max="7930" width="14.44140625" style="8" customWidth="1"/>
    <col min="7931" max="7931" width="7.33203125" style="8" customWidth="1"/>
    <col min="7932" max="7932" width="5.5546875" style="8" customWidth="1"/>
    <col min="7933" max="7933" width="9" style="8" customWidth="1"/>
    <col min="7934" max="7935" width="9.88671875" style="8" customWidth="1"/>
    <col min="7936" max="7936" width="11.109375" style="8" customWidth="1"/>
    <col min="7937" max="7937" width="2.88671875" style="8" customWidth="1"/>
    <col min="7938" max="7938" width="3.5546875" style="8" customWidth="1"/>
    <col min="7939" max="8183" width="9.109375" style="8"/>
    <col min="8184" max="8184" width="8.6640625" style="8" customWidth="1"/>
    <col min="8185" max="8185" width="9.88671875" style="8" customWidth="1"/>
    <col min="8186" max="8186" width="14.44140625" style="8" customWidth="1"/>
    <col min="8187" max="8187" width="7.33203125" style="8" customWidth="1"/>
    <col min="8188" max="8188" width="5.5546875" style="8" customWidth="1"/>
    <col min="8189" max="8189" width="9" style="8" customWidth="1"/>
    <col min="8190" max="8191" width="9.88671875" style="8" customWidth="1"/>
    <col min="8192" max="8192" width="11.109375" style="8" customWidth="1"/>
    <col min="8193" max="8193" width="2.88671875" style="8" customWidth="1"/>
    <col min="8194" max="8194" width="3.5546875" style="8" customWidth="1"/>
    <col min="8195" max="8439" width="9.109375" style="8"/>
    <col min="8440" max="8440" width="8.6640625" style="8" customWidth="1"/>
    <col min="8441" max="8441" width="9.88671875" style="8" customWidth="1"/>
    <col min="8442" max="8442" width="14.44140625" style="8" customWidth="1"/>
    <col min="8443" max="8443" width="7.33203125" style="8" customWidth="1"/>
    <col min="8444" max="8444" width="5.5546875" style="8" customWidth="1"/>
    <col min="8445" max="8445" width="9" style="8" customWidth="1"/>
    <col min="8446" max="8447" width="9.88671875" style="8" customWidth="1"/>
    <col min="8448" max="8448" width="11.109375" style="8" customWidth="1"/>
    <col min="8449" max="8449" width="2.88671875" style="8" customWidth="1"/>
    <col min="8450" max="8450" width="3.5546875" style="8" customWidth="1"/>
    <col min="8451" max="8695" width="9.109375" style="8"/>
    <col min="8696" max="8696" width="8.6640625" style="8" customWidth="1"/>
    <col min="8697" max="8697" width="9.88671875" style="8" customWidth="1"/>
    <col min="8698" max="8698" width="14.44140625" style="8" customWidth="1"/>
    <col min="8699" max="8699" width="7.33203125" style="8" customWidth="1"/>
    <col min="8700" max="8700" width="5.5546875" style="8" customWidth="1"/>
    <col min="8701" max="8701" width="9" style="8" customWidth="1"/>
    <col min="8702" max="8703" width="9.88671875" style="8" customWidth="1"/>
    <col min="8704" max="8704" width="11.109375" style="8" customWidth="1"/>
    <col min="8705" max="8705" width="2.88671875" style="8" customWidth="1"/>
    <col min="8706" max="8706" width="3.5546875" style="8" customWidth="1"/>
    <col min="8707" max="8951" width="9.109375" style="8"/>
    <col min="8952" max="8952" width="8.6640625" style="8" customWidth="1"/>
    <col min="8953" max="8953" width="9.88671875" style="8" customWidth="1"/>
    <col min="8954" max="8954" width="14.44140625" style="8" customWidth="1"/>
    <col min="8955" max="8955" width="7.33203125" style="8" customWidth="1"/>
    <col min="8956" max="8956" width="5.5546875" style="8" customWidth="1"/>
    <col min="8957" max="8957" width="9" style="8" customWidth="1"/>
    <col min="8958" max="8959" width="9.88671875" style="8" customWidth="1"/>
    <col min="8960" max="8960" width="11.109375" style="8" customWidth="1"/>
    <col min="8961" max="8961" width="2.88671875" style="8" customWidth="1"/>
    <col min="8962" max="8962" width="3.5546875" style="8" customWidth="1"/>
    <col min="8963" max="9207" width="9.109375" style="8"/>
    <col min="9208" max="9208" width="8.6640625" style="8" customWidth="1"/>
    <col min="9209" max="9209" width="9.88671875" style="8" customWidth="1"/>
    <col min="9210" max="9210" width="14.44140625" style="8" customWidth="1"/>
    <col min="9211" max="9211" width="7.33203125" style="8" customWidth="1"/>
    <col min="9212" max="9212" width="5.5546875" style="8" customWidth="1"/>
    <col min="9213" max="9213" width="9" style="8" customWidth="1"/>
    <col min="9214" max="9215" width="9.88671875" style="8" customWidth="1"/>
    <col min="9216" max="9216" width="11.109375" style="8" customWidth="1"/>
    <col min="9217" max="9217" width="2.88671875" style="8" customWidth="1"/>
    <col min="9218" max="9218" width="3.5546875" style="8" customWidth="1"/>
    <col min="9219" max="9463" width="9.109375" style="8"/>
    <col min="9464" max="9464" width="8.6640625" style="8" customWidth="1"/>
    <col min="9465" max="9465" width="9.88671875" style="8" customWidth="1"/>
    <col min="9466" max="9466" width="14.44140625" style="8" customWidth="1"/>
    <col min="9467" max="9467" width="7.33203125" style="8" customWidth="1"/>
    <col min="9468" max="9468" width="5.5546875" style="8" customWidth="1"/>
    <col min="9469" max="9469" width="9" style="8" customWidth="1"/>
    <col min="9470" max="9471" width="9.88671875" style="8" customWidth="1"/>
    <col min="9472" max="9472" width="11.109375" style="8" customWidth="1"/>
    <col min="9473" max="9473" width="2.88671875" style="8" customWidth="1"/>
    <col min="9474" max="9474" width="3.5546875" style="8" customWidth="1"/>
    <col min="9475" max="9719" width="9.109375" style="8"/>
    <col min="9720" max="9720" width="8.6640625" style="8" customWidth="1"/>
    <col min="9721" max="9721" width="9.88671875" style="8" customWidth="1"/>
    <col min="9722" max="9722" width="14.44140625" style="8" customWidth="1"/>
    <col min="9723" max="9723" width="7.33203125" style="8" customWidth="1"/>
    <col min="9724" max="9724" width="5.5546875" style="8" customWidth="1"/>
    <col min="9725" max="9725" width="9" style="8" customWidth="1"/>
    <col min="9726" max="9727" width="9.88671875" style="8" customWidth="1"/>
    <col min="9728" max="9728" width="11.109375" style="8" customWidth="1"/>
    <col min="9729" max="9729" width="2.88671875" style="8" customWidth="1"/>
    <col min="9730" max="9730" width="3.5546875" style="8" customWidth="1"/>
    <col min="9731" max="9975" width="9.109375" style="8"/>
    <col min="9976" max="9976" width="8.6640625" style="8" customWidth="1"/>
    <col min="9977" max="9977" width="9.88671875" style="8" customWidth="1"/>
    <col min="9978" max="9978" width="14.44140625" style="8" customWidth="1"/>
    <col min="9979" max="9979" width="7.33203125" style="8" customWidth="1"/>
    <col min="9980" max="9980" width="5.5546875" style="8" customWidth="1"/>
    <col min="9981" max="9981" width="9" style="8" customWidth="1"/>
    <col min="9982" max="9983" width="9.88671875" style="8" customWidth="1"/>
    <col min="9984" max="9984" width="11.109375" style="8" customWidth="1"/>
    <col min="9985" max="9985" width="2.88671875" style="8" customWidth="1"/>
    <col min="9986" max="9986" width="3.5546875" style="8" customWidth="1"/>
    <col min="9987" max="10231" width="9.109375" style="8"/>
    <col min="10232" max="10232" width="8.6640625" style="8" customWidth="1"/>
    <col min="10233" max="10233" width="9.88671875" style="8" customWidth="1"/>
    <col min="10234" max="10234" width="14.44140625" style="8" customWidth="1"/>
    <col min="10235" max="10235" width="7.33203125" style="8" customWidth="1"/>
    <col min="10236" max="10236" width="5.5546875" style="8" customWidth="1"/>
    <col min="10237" max="10237" width="9" style="8" customWidth="1"/>
    <col min="10238" max="10239" width="9.88671875" style="8" customWidth="1"/>
    <col min="10240" max="10240" width="11.109375" style="8" customWidth="1"/>
    <col min="10241" max="10241" width="2.88671875" style="8" customWidth="1"/>
    <col min="10242" max="10242" width="3.5546875" style="8" customWidth="1"/>
    <col min="10243" max="10487" width="9.109375" style="8"/>
    <col min="10488" max="10488" width="8.6640625" style="8" customWidth="1"/>
    <col min="10489" max="10489" width="9.88671875" style="8" customWidth="1"/>
    <col min="10490" max="10490" width="14.44140625" style="8" customWidth="1"/>
    <col min="10491" max="10491" width="7.33203125" style="8" customWidth="1"/>
    <col min="10492" max="10492" width="5.5546875" style="8" customWidth="1"/>
    <col min="10493" max="10493" width="9" style="8" customWidth="1"/>
    <col min="10494" max="10495" width="9.88671875" style="8" customWidth="1"/>
    <col min="10496" max="10496" width="11.109375" style="8" customWidth="1"/>
    <col min="10497" max="10497" width="2.88671875" style="8" customWidth="1"/>
    <col min="10498" max="10498" width="3.5546875" style="8" customWidth="1"/>
    <col min="10499" max="10743" width="9.109375" style="8"/>
    <col min="10744" max="10744" width="8.6640625" style="8" customWidth="1"/>
    <col min="10745" max="10745" width="9.88671875" style="8" customWidth="1"/>
    <col min="10746" max="10746" width="14.44140625" style="8" customWidth="1"/>
    <col min="10747" max="10747" width="7.33203125" style="8" customWidth="1"/>
    <col min="10748" max="10748" width="5.5546875" style="8" customWidth="1"/>
    <col min="10749" max="10749" width="9" style="8" customWidth="1"/>
    <col min="10750" max="10751" width="9.88671875" style="8" customWidth="1"/>
    <col min="10752" max="10752" width="11.109375" style="8" customWidth="1"/>
    <col min="10753" max="10753" width="2.88671875" style="8" customWidth="1"/>
    <col min="10754" max="10754" width="3.5546875" style="8" customWidth="1"/>
    <col min="10755" max="10999" width="9.109375" style="8"/>
    <col min="11000" max="11000" width="8.6640625" style="8" customWidth="1"/>
    <col min="11001" max="11001" width="9.88671875" style="8" customWidth="1"/>
    <col min="11002" max="11002" width="14.44140625" style="8" customWidth="1"/>
    <col min="11003" max="11003" width="7.33203125" style="8" customWidth="1"/>
    <col min="11004" max="11004" width="5.5546875" style="8" customWidth="1"/>
    <col min="11005" max="11005" width="9" style="8" customWidth="1"/>
    <col min="11006" max="11007" width="9.88671875" style="8" customWidth="1"/>
    <col min="11008" max="11008" width="11.109375" style="8" customWidth="1"/>
    <col min="11009" max="11009" width="2.88671875" style="8" customWidth="1"/>
    <col min="11010" max="11010" width="3.5546875" style="8" customWidth="1"/>
    <col min="11011" max="11255" width="9.109375" style="8"/>
    <col min="11256" max="11256" width="8.6640625" style="8" customWidth="1"/>
    <col min="11257" max="11257" width="9.88671875" style="8" customWidth="1"/>
    <col min="11258" max="11258" width="14.44140625" style="8" customWidth="1"/>
    <col min="11259" max="11259" width="7.33203125" style="8" customWidth="1"/>
    <col min="11260" max="11260" width="5.5546875" style="8" customWidth="1"/>
    <col min="11261" max="11261" width="9" style="8" customWidth="1"/>
    <col min="11262" max="11263" width="9.88671875" style="8" customWidth="1"/>
    <col min="11264" max="11264" width="11.109375" style="8" customWidth="1"/>
    <col min="11265" max="11265" width="2.88671875" style="8" customWidth="1"/>
    <col min="11266" max="11266" width="3.5546875" style="8" customWidth="1"/>
    <col min="11267" max="11511" width="9.109375" style="8"/>
    <col min="11512" max="11512" width="8.6640625" style="8" customWidth="1"/>
    <col min="11513" max="11513" width="9.88671875" style="8" customWidth="1"/>
    <col min="11514" max="11514" width="14.44140625" style="8" customWidth="1"/>
    <col min="11515" max="11515" width="7.33203125" style="8" customWidth="1"/>
    <col min="11516" max="11516" width="5.5546875" style="8" customWidth="1"/>
    <col min="11517" max="11517" width="9" style="8" customWidth="1"/>
    <col min="11518" max="11519" width="9.88671875" style="8" customWidth="1"/>
    <col min="11520" max="11520" width="11.109375" style="8" customWidth="1"/>
    <col min="11521" max="11521" width="2.88671875" style="8" customWidth="1"/>
    <col min="11522" max="11522" width="3.5546875" style="8" customWidth="1"/>
    <col min="11523" max="11767" width="9.109375" style="8"/>
    <col min="11768" max="11768" width="8.6640625" style="8" customWidth="1"/>
    <col min="11769" max="11769" width="9.88671875" style="8" customWidth="1"/>
    <col min="11770" max="11770" width="14.44140625" style="8" customWidth="1"/>
    <col min="11771" max="11771" width="7.33203125" style="8" customWidth="1"/>
    <col min="11772" max="11772" width="5.5546875" style="8" customWidth="1"/>
    <col min="11773" max="11773" width="9" style="8" customWidth="1"/>
    <col min="11774" max="11775" width="9.88671875" style="8" customWidth="1"/>
    <col min="11776" max="11776" width="11.109375" style="8" customWidth="1"/>
    <col min="11777" max="11777" width="2.88671875" style="8" customWidth="1"/>
    <col min="11778" max="11778" width="3.5546875" style="8" customWidth="1"/>
    <col min="11779" max="12023" width="9.109375" style="8"/>
    <col min="12024" max="12024" width="8.6640625" style="8" customWidth="1"/>
    <col min="12025" max="12025" width="9.88671875" style="8" customWidth="1"/>
    <col min="12026" max="12026" width="14.44140625" style="8" customWidth="1"/>
    <col min="12027" max="12027" width="7.33203125" style="8" customWidth="1"/>
    <col min="12028" max="12028" width="5.5546875" style="8" customWidth="1"/>
    <col min="12029" max="12029" width="9" style="8" customWidth="1"/>
    <col min="12030" max="12031" width="9.88671875" style="8" customWidth="1"/>
    <col min="12032" max="12032" width="11.109375" style="8" customWidth="1"/>
    <col min="12033" max="12033" width="2.88671875" style="8" customWidth="1"/>
    <col min="12034" max="12034" width="3.5546875" style="8" customWidth="1"/>
    <col min="12035" max="12279" width="9.109375" style="8"/>
    <col min="12280" max="12280" width="8.6640625" style="8" customWidth="1"/>
    <col min="12281" max="12281" width="9.88671875" style="8" customWidth="1"/>
    <col min="12282" max="12282" width="14.44140625" style="8" customWidth="1"/>
    <col min="12283" max="12283" width="7.33203125" style="8" customWidth="1"/>
    <col min="12284" max="12284" width="5.5546875" style="8" customWidth="1"/>
    <col min="12285" max="12285" width="9" style="8" customWidth="1"/>
    <col min="12286" max="12287" width="9.88671875" style="8" customWidth="1"/>
    <col min="12288" max="12288" width="11.109375" style="8" customWidth="1"/>
    <col min="12289" max="12289" width="2.88671875" style="8" customWidth="1"/>
    <col min="12290" max="12290" width="3.5546875" style="8" customWidth="1"/>
    <col min="12291" max="12535" width="9.109375" style="8"/>
    <col min="12536" max="12536" width="8.6640625" style="8" customWidth="1"/>
    <col min="12537" max="12537" width="9.88671875" style="8" customWidth="1"/>
    <col min="12538" max="12538" width="14.44140625" style="8" customWidth="1"/>
    <col min="12539" max="12539" width="7.33203125" style="8" customWidth="1"/>
    <col min="12540" max="12540" width="5.5546875" style="8" customWidth="1"/>
    <col min="12541" max="12541" width="9" style="8" customWidth="1"/>
    <col min="12542" max="12543" width="9.88671875" style="8" customWidth="1"/>
    <col min="12544" max="12544" width="11.109375" style="8" customWidth="1"/>
    <col min="12545" max="12545" width="2.88671875" style="8" customWidth="1"/>
    <col min="12546" max="12546" width="3.5546875" style="8" customWidth="1"/>
    <col min="12547" max="12791" width="9.109375" style="8"/>
    <col min="12792" max="12792" width="8.6640625" style="8" customWidth="1"/>
    <col min="12793" max="12793" width="9.88671875" style="8" customWidth="1"/>
    <col min="12794" max="12794" width="14.44140625" style="8" customWidth="1"/>
    <col min="12795" max="12795" width="7.33203125" style="8" customWidth="1"/>
    <col min="12796" max="12796" width="5.5546875" style="8" customWidth="1"/>
    <col min="12797" max="12797" width="9" style="8" customWidth="1"/>
    <col min="12798" max="12799" width="9.88671875" style="8" customWidth="1"/>
    <col min="12800" max="12800" width="11.109375" style="8" customWidth="1"/>
    <col min="12801" max="12801" width="2.88671875" style="8" customWidth="1"/>
    <col min="12802" max="12802" width="3.5546875" style="8" customWidth="1"/>
    <col min="12803" max="13047" width="9.109375" style="8"/>
    <col min="13048" max="13048" width="8.6640625" style="8" customWidth="1"/>
    <col min="13049" max="13049" width="9.88671875" style="8" customWidth="1"/>
    <col min="13050" max="13050" width="14.44140625" style="8" customWidth="1"/>
    <col min="13051" max="13051" width="7.33203125" style="8" customWidth="1"/>
    <col min="13052" max="13052" width="5.5546875" style="8" customWidth="1"/>
    <col min="13053" max="13053" width="9" style="8" customWidth="1"/>
    <col min="13054" max="13055" width="9.88671875" style="8" customWidth="1"/>
    <col min="13056" max="13056" width="11.109375" style="8" customWidth="1"/>
    <col min="13057" max="13057" width="2.88671875" style="8" customWidth="1"/>
    <col min="13058" max="13058" width="3.5546875" style="8" customWidth="1"/>
    <col min="13059" max="13303" width="9.109375" style="8"/>
    <col min="13304" max="13304" width="8.6640625" style="8" customWidth="1"/>
    <col min="13305" max="13305" width="9.88671875" style="8" customWidth="1"/>
    <col min="13306" max="13306" width="14.44140625" style="8" customWidth="1"/>
    <col min="13307" max="13307" width="7.33203125" style="8" customWidth="1"/>
    <col min="13308" max="13308" width="5.5546875" style="8" customWidth="1"/>
    <col min="13309" max="13309" width="9" style="8" customWidth="1"/>
    <col min="13310" max="13311" width="9.88671875" style="8" customWidth="1"/>
    <col min="13312" max="13312" width="11.109375" style="8" customWidth="1"/>
    <col min="13313" max="13313" width="2.88671875" style="8" customWidth="1"/>
    <col min="13314" max="13314" width="3.5546875" style="8" customWidth="1"/>
    <col min="13315" max="13559" width="9.109375" style="8"/>
    <col min="13560" max="13560" width="8.6640625" style="8" customWidth="1"/>
    <col min="13561" max="13561" width="9.88671875" style="8" customWidth="1"/>
    <col min="13562" max="13562" width="14.44140625" style="8" customWidth="1"/>
    <col min="13563" max="13563" width="7.33203125" style="8" customWidth="1"/>
    <col min="13564" max="13564" width="5.5546875" style="8" customWidth="1"/>
    <col min="13565" max="13565" width="9" style="8" customWidth="1"/>
    <col min="13566" max="13567" width="9.88671875" style="8" customWidth="1"/>
    <col min="13568" max="13568" width="11.109375" style="8" customWidth="1"/>
    <col min="13569" max="13569" width="2.88671875" style="8" customWidth="1"/>
    <col min="13570" max="13570" width="3.5546875" style="8" customWidth="1"/>
    <col min="13571" max="13815" width="9.109375" style="8"/>
    <col min="13816" max="13816" width="8.6640625" style="8" customWidth="1"/>
    <col min="13817" max="13817" width="9.88671875" style="8" customWidth="1"/>
    <col min="13818" max="13818" width="14.44140625" style="8" customWidth="1"/>
    <col min="13819" max="13819" width="7.33203125" style="8" customWidth="1"/>
    <col min="13820" max="13820" width="5.5546875" style="8" customWidth="1"/>
    <col min="13821" max="13821" width="9" style="8" customWidth="1"/>
    <col min="13822" max="13823" width="9.88671875" style="8" customWidth="1"/>
    <col min="13824" max="13824" width="11.109375" style="8" customWidth="1"/>
    <col min="13825" max="13825" width="2.88671875" style="8" customWidth="1"/>
    <col min="13826" max="13826" width="3.5546875" style="8" customWidth="1"/>
    <col min="13827" max="14071" width="9.109375" style="8"/>
    <col min="14072" max="14072" width="8.6640625" style="8" customWidth="1"/>
    <col min="14073" max="14073" width="9.88671875" style="8" customWidth="1"/>
    <col min="14074" max="14074" width="14.44140625" style="8" customWidth="1"/>
    <col min="14075" max="14075" width="7.33203125" style="8" customWidth="1"/>
    <col min="14076" max="14076" width="5.5546875" style="8" customWidth="1"/>
    <col min="14077" max="14077" width="9" style="8" customWidth="1"/>
    <col min="14078" max="14079" width="9.88671875" style="8" customWidth="1"/>
    <col min="14080" max="14080" width="11.109375" style="8" customWidth="1"/>
    <col min="14081" max="14081" width="2.88671875" style="8" customWidth="1"/>
    <col min="14082" max="14082" width="3.5546875" style="8" customWidth="1"/>
    <col min="14083" max="14327" width="9.109375" style="8"/>
    <col min="14328" max="14328" width="8.6640625" style="8" customWidth="1"/>
    <col min="14329" max="14329" width="9.88671875" style="8" customWidth="1"/>
    <col min="14330" max="14330" width="14.44140625" style="8" customWidth="1"/>
    <col min="14331" max="14331" width="7.33203125" style="8" customWidth="1"/>
    <col min="14332" max="14332" width="5.5546875" style="8" customWidth="1"/>
    <col min="14333" max="14333" width="9" style="8" customWidth="1"/>
    <col min="14334" max="14335" width="9.88671875" style="8" customWidth="1"/>
    <col min="14336" max="14336" width="11.109375" style="8" customWidth="1"/>
    <col min="14337" max="14337" width="2.88671875" style="8" customWidth="1"/>
    <col min="14338" max="14338" width="3.5546875" style="8" customWidth="1"/>
    <col min="14339" max="14583" width="9.109375" style="8"/>
    <col min="14584" max="14584" width="8.6640625" style="8" customWidth="1"/>
    <col min="14585" max="14585" width="9.88671875" style="8" customWidth="1"/>
    <col min="14586" max="14586" width="14.44140625" style="8" customWidth="1"/>
    <col min="14587" max="14587" width="7.33203125" style="8" customWidth="1"/>
    <col min="14588" max="14588" width="5.5546875" style="8" customWidth="1"/>
    <col min="14589" max="14589" width="9" style="8" customWidth="1"/>
    <col min="14590" max="14591" width="9.88671875" style="8" customWidth="1"/>
    <col min="14592" max="14592" width="11.109375" style="8" customWidth="1"/>
    <col min="14593" max="14593" width="2.88671875" style="8" customWidth="1"/>
    <col min="14594" max="14594" width="3.5546875" style="8" customWidth="1"/>
    <col min="14595" max="14839" width="9.109375" style="8"/>
    <col min="14840" max="14840" width="8.6640625" style="8" customWidth="1"/>
    <col min="14841" max="14841" width="9.88671875" style="8" customWidth="1"/>
    <col min="14842" max="14842" width="14.44140625" style="8" customWidth="1"/>
    <col min="14843" max="14843" width="7.33203125" style="8" customWidth="1"/>
    <col min="14844" max="14844" width="5.5546875" style="8" customWidth="1"/>
    <col min="14845" max="14845" width="9" style="8" customWidth="1"/>
    <col min="14846" max="14847" width="9.88671875" style="8" customWidth="1"/>
    <col min="14848" max="14848" width="11.109375" style="8" customWidth="1"/>
    <col min="14849" max="14849" width="2.88671875" style="8" customWidth="1"/>
    <col min="14850" max="14850" width="3.5546875" style="8" customWidth="1"/>
    <col min="14851" max="15095" width="9.109375" style="8"/>
    <col min="15096" max="15096" width="8.6640625" style="8" customWidth="1"/>
    <col min="15097" max="15097" width="9.88671875" style="8" customWidth="1"/>
    <col min="15098" max="15098" width="14.44140625" style="8" customWidth="1"/>
    <col min="15099" max="15099" width="7.33203125" style="8" customWidth="1"/>
    <col min="15100" max="15100" width="5.5546875" style="8" customWidth="1"/>
    <col min="15101" max="15101" width="9" style="8" customWidth="1"/>
    <col min="15102" max="15103" width="9.88671875" style="8" customWidth="1"/>
    <col min="15104" max="15104" width="11.109375" style="8" customWidth="1"/>
    <col min="15105" max="15105" width="2.88671875" style="8" customWidth="1"/>
    <col min="15106" max="15106" width="3.5546875" style="8" customWidth="1"/>
    <col min="15107" max="15351" width="9.109375" style="8"/>
    <col min="15352" max="15352" width="8.6640625" style="8" customWidth="1"/>
    <col min="15353" max="15353" width="9.88671875" style="8" customWidth="1"/>
    <col min="15354" max="15354" width="14.44140625" style="8" customWidth="1"/>
    <col min="15355" max="15355" width="7.33203125" style="8" customWidth="1"/>
    <col min="15356" max="15356" width="5.5546875" style="8" customWidth="1"/>
    <col min="15357" max="15357" width="9" style="8" customWidth="1"/>
    <col min="15358" max="15359" width="9.88671875" style="8" customWidth="1"/>
    <col min="15360" max="15360" width="11.109375" style="8" customWidth="1"/>
    <col min="15361" max="15361" width="2.88671875" style="8" customWidth="1"/>
    <col min="15362" max="15362" width="3.5546875" style="8" customWidth="1"/>
    <col min="15363" max="15607" width="9.109375" style="8"/>
    <col min="15608" max="15608" width="8.6640625" style="8" customWidth="1"/>
    <col min="15609" max="15609" width="9.88671875" style="8" customWidth="1"/>
    <col min="15610" max="15610" width="14.44140625" style="8" customWidth="1"/>
    <col min="15611" max="15611" width="7.33203125" style="8" customWidth="1"/>
    <col min="15612" max="15612" width="5.5546875" style="8" customWidth="1"/>
    <col min="15613" max="15613" width="9" style="8" customWidth="1"/>
    <col min="15614" max="15615" width="9.88671875" style="8" customWidth="1"/>
    <col min="15616" max="15616" width="11.109375" style="8" customWidth="1"/>
    <col min="15617" max="15617" width="2.88671875" style="8" customWidth="1"/>
    <col min="15618" max="15618" width="3.5546875" style="8" customWidth="1"/>
    <col min="15619" max="15863" width="9.109375" style="8"/>
    <col min="15864" max="15864" width="8.6640625" style="8" customWidth="1"/>
    <col min="15865" max="15865" width="9.88671875" style="8" customWidth="1"/>
    <col min="15866" max="15866" width="14.44140625" style="8" customWidth="1"/>
    <col min="15867" max="15867" width="7.33203125" style="8" customWidth="1"/>
    <col min="15868" max="15868" width="5.5546875" style="8" customWidth="1"/>
    <col min="15869" max="15869" width="9" style="8" customWidth="1"/>
    <col min="15870" max="15871" width="9.88671875" style="8" customWidth="1"/>
    <col min="15872" max="15872" width="11.109375" style="8" customWidth="1"/>
    <col min="15873" max="15873" width="2.88671875" style="8" customWidth="1"/>
    <col min="15874" max="15874" width="3.5546875" style="8" customWidth="1"/>
    <col min="15875" max="16119" width="9.109375" style="8"/>
    <col min="16120" max="16120" width="8.6640625" style="8" customWidth="1"/>
    <col min="16121" max="16121" width="9.88671875" style="8" customWidth="1"/>
    <col min="16122" max="16122" width="14.44140625" style="8" customWidth="1"/>
    <col min="16123" max="16123" width="7.33203125" style="8" customWidth="1"/>
    <col min="16124" max="16124" width="5.5546875" style="8" customWidth="1"/>
    <col min="16125" max="16125" width="9" style="8" customWidth="1"/>
    <col min="16126" max="16127" width="9.88671875" style="8" customWidth="1"/>
    <col min="16128" max="16128" width="11.109375" style="8" customWidth="1"/>
    <col min="16129" max="16129" width="2.88671875" style="8" customWidth="1"/>
    <col min="16130" max="16130" width="3.5546875" style="8" customWidth="1"/>
    <col min="16131" max="16384" width="9.109375" style="8"/>
  </cols>
  <sheetData>
    <row r="1" spans="1:8" ht="46.5" customHeight="1" x14ac:dyDescent="0.3">
      <c r="A1" s="128" t="s">
        <v>239</v>
      </c>
      <c r="B1" s="128"/>
      <c r="C1" s="128"/>
      <c r="D1" s="128"/>
      <c r="E1" s="128"/>
      <c r="F1" s="128"/>
      <c r="G1" s="128"/>
      <c r="H1" s="128"/>
    </row>
    <row r="2" spans="1:8" ht="16.5" customHeight="1" x14ac:dyDescent="0.3">
      <c r="A2" s="90" t="s">
        <v>0</v>
      </c>
      <c r="B2" s="90"/>
      <c r="C2" s="90"/>
      <c r="D2" s="90"/>
      <c r="E2" s="90"/>
      <c r="F2" s="90"/>
      <c r="G2" s="90"/>
      <c r="H2" s="90"/>
    </row>
    <row r="3" spans="1:8" x14ac:dyDescent="0.3">
      <c r="A3" s="76" t="s">
        <v>1</v>
      </c>
      <c r="B3" s="76"/>
      <c r="C3" s="76"/>
      <c r="D3" s="76"/>
      <c r="E3" s="127" t="str">
        <f ca="1">TEXT(TODAY(),"DD/MM/YYYY")</f>
        <v>13/09/2025</v>
      </c>
      <c r="F3" s="127"/>
      <c r="G3" s="127"/>
      <c r="H3" s="127"/>
    </row>
    <row r="4" spans="1:8" ht="15" customHeight="1" x14ac:dyDescent="0.3">
      <c r="A4" s="76" t="s">
        <v>2</v>
      </c>
      <c r="B4" s="76"/>
      <c r="C4" s="76"/>
      <c r="D4" s="76"/>
      <c r="E4" s="125" t="s">
        <v>183</v>
      </c>
      <c r="F4" s="125"/>
      <c r="G4" s="125"/>
      <c r="H4" s="125"/>
    </row>
    <row r="5" spans="1:8" x14ac:dyDescent="0.3">
      <c r="A5" s="76" t="s">
        <v>3</v>
      </c>
      <c r="B5" s="76"/>
      <c r="C5" s="76"/>
      <c r="D5" s="76"/>
      <c r="E5" s="127">
        <v>45908</v>
      </c>
      <c r="F5" s="127"/>
      <c r="G5" s="127"/>
      <c r="H5" s="127"/>
    </row>
    <row r="6" spans="1:8" ht="16.5" customHeight="1" x14ac:dyDescent="0.3">
      <c r="A6" s="76" t="s">
        <v>4</v>
      </c>
      <c r="B6" s="76"/>
      <c r="C6" s="76"/>
      <c r="D6" s="76"/>
      <c r="E6" s="124" t="s">
        <v>184</v>
      </c>
      <c r="F6" s="124"/>
      <c r="G6" s="124"/>
      <c r="H6" s="124"/>
    </row>
    <row r="7" spans="1:8" ht="15" customHeight="1" x14ac:dyDescent="0.3">
      <c r="A7" s="76" t="s">
        <v>5</v>
      </c>
      <c r="B7" s="76"/>
      <c r="C7" s="76"/>
      <c r="D7" s="76"/>
      <c r="E7" s="124" t="str">
        <f>E6</f>
        <v>M/s. Arihant Vatika Realty Private Limited</v>
      </c>
      <c r="F7" s="124"/>
      <c r="G7" s="124"/>
      <c r="H7" s="124"/>
    </row>
    <row r="8" spans="1:8" x14ac:dyDescent="0.3">
      <c r="A8" s="76" t="s">
        <v>6</v>
      </c>
      <c r="B8" s="76"/>
      <c r="C8" s="76"/>
      <c r="D8" s="76"/>
      <c r="E8" s="116" t="s">
        <v>185</v>
      </c>
      <c r="F8" s="116"/>
      <c r="G8" s="116"/>
      <c r="H8" s="116"/>
    </row>
    <row r="9" spans="1:8" x14ac:dyDescent="0.3">
      <c r="A9" s="76" t="s">
        <v>156</v>
      </c>
      <c r="B9" s="76"/>
      <c r="C9" s="76"/>
      <c r="D9" s="76"/>
      <c r="E9" s="76" t="s">
        <v>186</v>
      </c>
      <c r="F9" s="76"/>
      <c r="G9" s="76"/>
      <c r="H9" s="76"/>
    </row>
    <row r="10" spans="1:8" x14ac:dyDescent="0.3">
      <c r="A10" s="76" t="s">
        <v>235</v>
      </c>
      <c r="B10" s="76"/>
      <c r="C10" s="76"/>
      <c r="D10" s="76"/>
      <c r="E10" s="76" t="s">
        <v>240</v>
      </c>
      <c r="F10" s="76"/>
      <c r="G10" s="76"/>
      <c r="H10" s="76"/>
    </row>
    <row r="11" spans="1:8" x14ac:dyDescent="0.3">
      <c r="A11" s="91" t="s">
        <v>7</v>
      </c>
      <c r="B11" s="91"/>
      <c r="C11" s="91"/>
      <c r="D11" s="91"/>
      <c r="E11" s="91" t="s">
        <v>241</v>
      </c>
      <c r="F11" s="91"/>
      <c r="G11" s="91"/>
      <c r="H11" s="91"/>
    </row>
    <row r="12" spans="1:8" x14ac:dyDescent="0.3">
      <c r="A12" s="76" t="s">
        <v>8</v>
      </c>
      <c r="B12" s="76"/>
      <c r="C12" s="76"/>
      <c r="D12" s="76"/>
      <c r="E12" s="123" t="s">
        <v>215</v>
      </c>
      <c r="F12" s="123"/>
      <c r="G12" s="123"/>
      <c r="H12" s="123"/>
    </row>
    <row r="13" spans="1:8" x14ac:dyDescent="0.3">
      <c r="A13" s="76" t="s">
        <v>9</v>
      </c>
      <c r="B13" s="76"/>
      <c r="C13" s="76"/>
      <c r="D13" s="76"/>
      <c r="E13" s="123" t="s">
        <v>250</v>
      </c>
      <c r="F13" s="91"/>
      <c r="G13" s="91"/>
      <c r="H13" s="91"/>
    </row>
    <row r="14" spans="1:8" ht="33" customHeight="1" x14ac:dyDescent="0.3">
      <c r="A14" s="124" t="s">
        <v>10</v>
      </c>
      <c r="B14" s="124"/>
      <c r="C14" s="124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Arihant 5 Anaika, S No.36/1, 35/4, 33/2, near Sarvam Taloja, Ghot Road, Koynavele, Ghot, Panvel , Panvel, Raigad.</v>
      </c>
      <c r="D14" s="124"/>
      <c r="E14" s="124"/>
      <c r="F14" s="124"/>
      <c r="G14" s="124"/>
      <c r="H14" s="124"/>
    </row>
    <row r="15" spans="1:8" x14ac:dyDescent="0.3">
      <c r="A15" s="123" t="s">
        <v>205</v>
      </c>
      <c r="B15" s="123"/>
      <c r="C15" s="123" t="s">
        <v>206</v>
      </c>
      <c r="D15" s="123"/>
      <c r="E15" s="123"/>
      <c r="F15" s="123"/>
      <c r="G15" s="123"/>
      <c r="H15" s="123"/>
    </row>
    <row r="16" spans="1:8" ht="15.75" customHeight="1" x14ac:dyDescent="0.3">
      <c r="A16" s="124" t="s">
        <v>11</v>
      </c>
      <c r="B16" s="124"/>
      <c r="C16" s="91" t="s">
        <v>194</v>
      </c>
      <c r="D16" s="91"/>
      <c r="E16" s="124" t="s">
        <v>187</v>
      </c>
      <c r="F16" s="124"/>
      <c r="G16" s="123" t="s">
        <v>188</v>
      </c>
      <c r="H16" s="123"/>
    </row>
    <row r="17" spans="1:8" x14ac:dyDescent="0.3">
      <c r="A17" s="76" t="s">
        <v>13</v>
      </c>
      <c r="B17" s="76"/>
      <c r="C17" s="123" t="s">
        <v>225</v>
      </c>
      <c r="D17" s="123"/>
      <c r="E17" s="124" t="s">
        <v>12</v>
      </c>
      <c r="F17" s="124"/>
      <c r="G17" s="126" t="s">
        <v>189</v>
      </c>
      <c r="H17" s="126"/>
    </row>
    <row r="18" spans="1:8" x14ac:dyDescent="0.3">
      <c r="A18" s="76" t="s">
        <v>102</v>
      </c>
      <c r="B18" s="76"/>
      <c r="C18" s="123" t="s">
        <v>190</v>
      </c>
      <c r="D18" s="123"/>
      <c r="E18" s="124" t="s">
        <v>14</v>
      </c>
      <c r="F18" s="124"/>
      <c r="G18" s="123" t="s">
        <v>195</v>
      </c>
      <c r="H18" s="123"/>
    </row>
    <row r="19" spans="1:8" ht="34.200000000000003" customHeight="1" x14ac:dyDescent="0.3">
      <c r="A19" s="76" t="s">
        <v>157</v>
      </c>
      <c r="B19" s="76"/>
      <c r="C19" s="124" t="s">
        <v>193</v>
      </c>
      <c r="D19" s="124"/>
      <c r="E19" s="124" t="s">
        <v>15</v>
      </c>
      <c r="F19" s="124"/>
      <c r="G19" s="123" t="s">
        <v>210</v>
      </c>
      <c r="H19" s="123"/>
    </row>
    <row r="20" spans="1:8" ht="15" customHeight="1" x14ac:dyDescent="0.3">
      <c r="A20" s="124" t="s">
        <v>106</v>
      </c>
      <c r="B20" s="124"/>
      <c r="C20" s="124"/>
      <c r="D20" s="124"/>
      <c r="E20" s="91" t="s">
        <v>16</v>
      </c>
      <c r="F20" s="91"/>
      <c r="G20" s="91"/>
      <c r="H20" s="91"/>
    </row>
    <row r="21" spans="1:8" ht="18.75" customHeight="1" x14ac:dyDescent="0.3">
      <c r="A21" s="124"/>
      <c r="B21" s="124"/>
      <c r="C21" s="124"/>
      <c r="D21" s="124"/>
      <c r="E21" s="91"/>
      <c r="F21" s="91"/>
      <c r="G21" s="91"/>
      <c r="H21" s="91"/>
    </row>
    <row r="22" spans="1:8" ht="15" customHeight="1" x14ac:dyDescent="0.3">
      <c r="A22" s="124" t="s">
        <v>17</v>
      </c>
      <c r="B22" s="124"/>
      <c r="C22" s="124"/>
      <c r="D22" s="124"/>
      <c r="E22" s="123" t="s">
        <v>18</v>
      </c>
      <c r="F22" s="123"/>
      <c r="G22" s="123"/>
      <c r="H22" s="123"/>
    </row>
    <row r="23" spans="1:8" ht="15" customHeight="1" x14ac:dyDescent="0.3">
      <c r="A23" s="76" t="s">
        <v>19</v>
      </c>
      <c r="B23" s="76"/>
      <c r="C23" s="76"/>
      <c r="D23" s="76"/>
      <c r="E23" s="123" t="str">
        <f>IF(AND(G17="Mumbai"),"Upper Class","Middle Class")</f>
        <v>Middle Class</v>
      </c>
      <c r="F23" s="123"/>
      <c r="G23" s="123"/>
      <c r="H23" s="123"/>
    </row>
    <row r="24" spans="1:8" x14ac:dyDescent="0.3">
      <c r="A24" s="76" t="s">
        <v>20</v>
      </c>
      <c r="B24" s="76"/>
      <c r="C24" s="76"/>
      <c r="D24" s="76"/>
      <c r="E24" s="123" t="s">
        <v>21</v>
      </c>
      <c r="F24" s="123"/>
      <c r="G24" s="123"/>
      <c r="H24" s="123"/>
    </row>
    <row r="25" spans="1:8" ht="15.75" customHeight="1" x14ac:dyDescent="0.3">
      <c r="A25" s="76" t="s">
        <v>22</v>
      </c>
      <c r="B25" s="76"/>
      <c r="C25" s="76"/>
      <c r="D25" s="76"/>
      <c r="E25" s="123" t="str">
        <f>IF(AND(G17="Mumbai"),"Developed","Developing")</f>
        <v>Developing</v>
      </c>
      <c r="F25" s="123"/>
      <c r="G25" s="123"/>
      <c r="H25" s="123"/>
    </row>
    <row r="26" spans="1:8" x14ac:dyDescent="0.3">
      <c r="A26" s="76" t="s">
        <v>23</v>
      </c>
      <c r="B26" s="76"/>
      <c r="C26" s="76"/>
      <c r="D26" s="76"/>
      <c r="E26" s="123" t="s">
        <v>24</v>
      </c>
      <c r="F26" s="123"/>
      <c r="G26" s="123"/>
      <c r="H26" s="123"/>
    </row>
    <row r="27" spans="1:8" x14ac:dyDescent="0.3">
      <c r="A27" s="76" t="s">
        <v>113</v>
      </c>
      <c r="B27" s="76"/>
      <c r="C27" s="76"/>
      <c r="D27" s="76"/>
      <c r="E27" s="123" t="s">
        <v>114</v>
      </c>
      <c r="F27" s="123"/>
      <c r="G27" s="123"/>
      <c r="H27" s="123"/>
    </row>
    <row r="28" spans="1:8" ht="15" customHeight="1" x14ac:dyDescent="0.3">
      <c r="A28" s="124" t="s">
        <v>33</v>
      </c>
      <c r="B28" s="124"/>
      <c r="C28" s="124"/>
      <c r="D28" s="124"/>
      <c r="E28" s="125" t="s">
        <v>204</v>
      </c>
      <c r="F28" s="125"/>
      <c r="G28" s="125"/>
      <c r="H28" s="125"/>
    </row>
    <row r="29" spans="1:8" x14ac:dyDescent="0.3">
      <c r="A29" s="124" t="s">
        <v>125</v>
      </c>
      <c r="B29" s="124"/>
      <c r="C29" s="124"/>
      <c r="D29" s="124"/>
      <c r="E29" s="124" t="s">
        <v>34</v>
      </c>
      <c r="F29" s="124"/>
      <c r="G29" s="124"/>
      <c r="H29" s="124"/>
    </row>
    <row r="30" spans="1:8" s="11" customFormat="1" x14ac:dyDescent="0.3">
      <c r="A30" s="115" t="s">
        <v>126</v>
      </c>
      <c r="B30" s="115"/>
      <c r="C30" s="113" t="s">
        <v>29</v>
      </c>
      <c r="D30" s="113"/>
      <c r="E30" s="113"/>
      <c r="F30" s="113" t="s">
        <v>31</v>
      </c>
      <c r="G30" s="113"/>
      <c r="H30" s="113"/>
    </row>
    <row r="31" spans="1:8" s="11" customFormat="1" x14ac:dyDescent="0.3">
      <c r="A31" s="114" t="s">
        <v>25</v>
      </c>
      <c r="B31" s="114" t="s">
        <v>30</v>
      </c>
      <c r="C31" s="103" t="s">
        <v>30</v>
      </c>
      <c r="D31" s="103"/>
      <c r="E31" s="103"/>
      <c r="F31" s="103" t="s">
        <v>191</v>
      </c>
      <c r="G31" s="103"/>
      <c r="H31" s="103"/>
    </row>
    <row r="32" spans="1:8" x14ac:dyDescent="0.3">
      <c r="A32" s="114" t="s">
        <v>26</v>
      </c>
      <c r="B32" s="114" t="s">
        <v>30</v>
      </c>
      <c r="C32" s="103" t="s">
        <v>30</v>
      </c>
      <c r="D32" s="103"/>
      <c r="E32" s="103"/>
      <c r="F32" s="103" t="s">
        <v>192</v>
      </c>
      <c r="G32" s="103"/>
      <c r="H32" s="103"/>
    </row>
    <row r="33" spans="1:8" s="11" customFormat="1" x14ac:dyDescent="0.3">
      <c r="A33" s="114" t="s">
        <v>28</v>
      </c>
      <c r="B33" s="114" t="s">
        <v>30</v>
      </c>
      <c r="C33" s="103" t="s">
        <v>30</v>
      </c>
      <c r="D33" s="103"/>
      <c r="E33" s="103"/>
      <c r="F33" s="103" t="s">
        <v>191</v>
      </c>
      <c r="G33" s="103"/>
      <c r="H33" s="103"/>
    </row>
    <row r="34" spans="1:8" x14ac:dyDescent="0.3">
      <c r="A34" s="114" t="s">
        <v>27</v>
      </c>
      <c r="B34" s="114" t="s">
        <v>30</v>
      </c>
      <c r="C34" s="103" t="s">
        <v>30</v>
      </c>
      <c r="D34" s="103"/>
      <c r="E34" s="103"/>
      <c r="F34" s="103" t="s">
        <v>191</v>
      </c>
      <c r="G34" s="103"/>
      <c r="H34" s="103"/>
    </row>
    <row r="35" spans="1:8" x14ac:dyDescent="0.3">
      <c r="A35" s="76" t="s">
        <v>32</v>
      </c>
      <c r="B35" s="76"/>
      <c r="C35" s="76"/>
      <c r="D35" s="76"/>
      <c r="E35" s="76"/>
      <c r="F35" s="76"/>
      <c r="G35" s="76"/>
      <c r="H35" s="76"/>
    </row>
    <row r="36" spans="1:8" ht="15.75" customHeight="1" x14ac:dyDescent="0.3">
      <c r="A36" s="76" t="s">
        <v>237</v>
      </c>
      <c r="B36" s="76"/>
      <c r="C36" s="120" t="s">
        <v>238</v>
      </c>
      <c r="D36" s="121"/>
      <c r="E36" s="121"/>
      <c r="F36" s="121"/>
      <c r="G36" s="121"/>
      <c r="H36" s="122"/>
    </row>
    <row r="37" spans="1:8" ht="15.75" customHeight="1" x14ac:dyDescent="0.3">
      <c r="A37" s="76" t="s">
        <v>230</v>
      </c>
      <c r="B37" s="76"/>
      <c r="C37" s="117" t="s">
        <v>231</v>
      </c>
      <c r="D37" s="118"/>
      <c r="E37" s="118"/>
      <c r="F37" s="118"/>
      <c r="G37" s="118"/>
      <c r="H37" s="119"/>
    </row>
    <row r="38" spans="1:8" x14ac:dyDescent="0.3">
      <c r="A38" s="116" t="s">
        <v>35</v>
      </c>
      <c r="B38" s="116"/>
      <c r="C38" s="116"/>
      <c r="D38" s="116"/>
      <c r="E38" s="116"/>
      <c r="F38" s="116"/>
      <c r="G38" s="116"/>
      <c r="H38" s="116"/>
    </row>
    <row r="39" spans="1:8" x14ac:dyDescent="0.3">
      <c r="A39" s="76" t="s">
        <v>36</v>
      </c>
      <c r="B39" s="76"/>
      <c r="C39" s="76"/>
      <c r="D39" s="76"/>
      <c r="E39" s="112">
        <v>29397.9</v>
      </c>
      <c r="F39" s="112"/>
      <c r="G39" s="112"/>
      <c r="H39" s="112"/>
    </row>
    <row r="40" spans="1:8" x14ac:dyDescent="0.3">
      <c r="A40" s="76" t="s">
        <v>37</v>
      </c>
      <c r="B40" s="76"/>
      <c r="C40" s="76"/>
      <c r="D40" s="76"/>
      <c r="E40" s="131">
        <v>1</v>
      </c>
      <c r="F40" s="131"/>
      <c r="G40" s="131"/>
      <c r="H40" s="131"/>
    </row>
    <row r="41" spans="1:8" x14ac:dyDescent="0.3">
      <c r="A41" s="76" t="s">
        <v>38</v>
      </c>
      <c r="B41" s="76"/>
      <c r="C41" s="76"/>
      <c r="D41" s="76"/>
      <c r="E41" s="131">
        <f>E43/E39-E40</f>
        <v>0.6757696638195243</v>
      </c>
      <c r="F41" s="131"/>
      <c r="G41" s="131"/>
      <c r="H41" s="131"/>
    </row>
    <row r="42" spans="1:8" x14ac:dyDescent="0.3">
      <c r="A42" s="76" t="s">
        <v>39</v>
      </c>
      <c r="B42" s="76"/>
      <c r="C42" s="76"/>
      <c r="D42" s="76"/>
      <c r="E42" s="131">
        <f>E40+E41</f>
        <v>1.6757696638195243</v>
      </c>
      <c r="F42" s="131"/>
      <c r="G42" s="131"/>
      <c r="H42" s="131"/>
    </row>
    <row r="43" spans="1:8" x14ac:dyDescent="0.3">
      <c r="A43" s="76" t="s">
        <v>124</v>
      </c>
      <c r="B43" s="76"/>
      <c r="C43" s="76"/>
      <c r="D43" s="76"/>
      <c r="E43" s="132">
        <v>49264.108999999997</v>
      </c>
      <c r="F43" s="132"/>
      <c r="G43" s="132"/>
      <c r="H43" s="132"/>
    </row>
    <row r="44" spans="1:8" x14ac:dyDescent="0.3">
      <c r="A44" s="91" t="s">
        <v>40</v>
      </c>
      <c r="B44" s="91"/>
      <c r="C44" s="91"/>
      <c r="D44" s="91"/>
      <c r="E44" s="91" t="s">
        <v>226</v>
      </c>
      <c r="F44" s="91"/>
      <c r="G44" s="91"/>
      <c r="H44" s="91"/>
    </row>
    <row r="45" spans="1:8" x14ac:dyDescent="0.3">
      <c r="A45" s="116" t="s">
        <v>41</v>
      </c>
      <c r="B45" s="116"/>
      <c r="C45" s="116"/>
      <c r="D45" s="116"/>
      <c r="E45" s="116"/>
      <c r="F45" s="116"/>
      <c r="G45" s="116"/>
      <c r="H45" s="116"/>
    </row>
    <row r="46" spans="1:8" x14ac:dyDescent="0.3">
      <c r="A46" s="124" t="s">
        <v>42</v>
      </c>
      <c r="B46" s="124"/>
      <c r="C46" s="123" t="s">
        <v>227</v>
      </c>
      <c r="D46" s="123"/>
      <c r="E46" s="123"/>
      <c r="F46" s="49" t="s">
        <v>43</v>
      </c>
      <c r="G46" s="137">
        <v>44547</v>
      </c>
      <c r="H46" s="137"/>
    </row>
    <row r="47" spans="1:8" x14ac:dyDescent="0.3">
      <c r="A47" s="76" t="s">
        <v>44</v>
      </c>
      <c r="B47" s="76"/>
      <c r="C47" s="123" t="str">
        <f>C46</f>
        <v>PMP/NRV/16010/JK- 2598/2021</v>
      </c>
      <c r="D47" s="123"/>
      <c r="E47" s="123"/>
      <c r="F47" s="49" t="s">
        <v>43</v>
      </c>
      <c r="G47" s="137">
        <f>G46</f>
        <v>44547</v>
      </c>
      <c r="H47" s="137"/>
    </row>
    <row r="48" spans="1:8" s="10" customFormat="1" ht="32.25" customHeight="1" x14ac:dyDescent="0.3">
      <c r="A48" s="123" t="s">
        <v>45</v>
      </c>
      <c r="B48" s="123"/>
      <c r="C48" s="123" t="s">
        <v>228</v>
      </c>
      <c r="D48" s="91"/>
      <c r="E48" s="91"/>
      <c r="F48" s="54" t="s">
        <v>43</v>
      </c>
      <c r="G48" s="137">
        <v>44547</v>
      </c>
      <c r="H48" s="137"/>
    </row>
    <row r="49" spans="1:14" s="10" customFormat="1" x14ac:dyDescent="0.3">
      <c r="A49" s="123"/>
      <c r="B49" s="123"/>
      <c r="C49" s="153" t="s">
        <v>247</v>
      </c>
      <c r="D49" s="154"/>
      <c r="E49" s="154"/>
      <c r="F49" s="154"/>
      <c r="G49" s="154"/>
      <c r="H49" s="155"/>
    </row>
    <row r="50" spans="1:14" x14ac:dyDescent="0.3">
      <c r="A50" s="173" t="s">
        <v>46</v>
      </c>
      <c r="B50" s="173"/>
      <c r="C50" s="94" t="s">
        <v>140</v>
      </c>
      <c r="D50" s="77"/>
      <c r="E50" s="77" t="s">
        <v>47</v>
      </c>
      <c r="F50" s="51" t="s">
        <v>43</v>
      </c>
      <c r="G50" s="152" t="s">
        <v>30</v>
      </c>
      <c r="H50" s="152"/>
    </row>
    <row r="51" spans="1:14" x14ac:dyDescent="0.3">
      <c r="A51" s="151" t="s">
        <v>49</v>
      </c>
      <c r="B51" s="151"/>
      <c r="C51" s="151"/>
      <c r="D51" s="151"/>
      <c r="E51" s="151"/>
      <c r="F51" s="151"/>
      <c r="G51" s="151"/>
      <c r="H51" s="151"/>
    </row>
    <row r="52" spans="1:14" x14ac:dyDescent="0.3">
      <c r="A52" s="124" t="s">
        <v>123</v>
      </c>
      <c r="B52" s="124"/>
      <c r="C52" s="124"/>
      <c r="D52" s="76">
        <v>11543.319</v>
      </c>
      <c r="E52" s="76"/>
      <c r="F52" s="76"/>
      <c r="G52" s="76"/>
      <c r="H52" s="76"/>
    </row>
    <row r="53" spans="1:14" x14ac:dyDescent="0.3">
      <c r="A53" s="123" t="s">
        <v>50</v>
      </c>
      <c r="B53" s="91"/>
      <c r="C53" s="91"/>
      <c r="D53" s="91" t="s">
        <v>224</v>
      </c>
      <c r="E53" s="91"/>
      <c r="F53" s="91"/>
      <c r="G53" s="91"/>
      <c r="H53" s="91"/>
      <c r="I53" s="33"/>
    </row>
    <row r="54" spans="1:14" ht="15.75" customHeight="1" x14ac:dyDescent="0.3">
      <c r="A54" s="134" t="s">
        <v>51</v>
      </c>
      <c r="B54" s="135"/>
      <c r="C54" s="136"/>
      <c r="D54" s="133" t="s">
        <v>246</v>
      </c>
      <c r="E54" s="133"/>
      <c r="F54" s="133"/>
      <c r="G54" s="133"/>
      <c r="H54" s="133"/>
    </row>
    <row r="55" spans="1:14" ht="15.75" customHeight="1" x14ac:dyDescent="0.3">
      <c r="A55" s="134" t="s">
        <v>121</v>
      </c>
      <c r="B55" s="135"/>
      <c r="C55" s="135"/>
      <c r="D55" s="167" t="s">
        <v>243</v>
      </c>
      <c r="E55" s="168"/>
      <c r="F55" s="168"/>
      <c r="G55" s="168"/>
      <c r="H55" s="169"/>
    </row>
    <row r="56" spans="1:14" ht="15.75" customHeight="1" x14ac:dyDescent="0.3">
      <c r="A56" s="163"/>
      <c r="B56" s="164"/>
      <c r="C56" s="164"/>
      <c r="D56" s="170" t="s">
        <v>244</v>
      </c>
      <c r="E56" s="171"/>
      <c r="F56" s="171"/>
      <c r="G56" s="171"/>
      <c r="H56" s="172"/>
    </row>
    <row r="57" spans="1:14" ht="15.75" customHeight="1" x14ac:dyDescent="0.3">
      <c r="A57" s="165"/>
      <c r="B57" s="166"/>
      <c r="C57" s="166"/>
      <c r="D57" s="107" t="s">
        <v>245</v>
      </c>
      <c r="E57" s="108"/>
      <c r="F57" s="108"/>
      <c r="G57" s="108"/>
      <c r="H57" s="109"/>
    </row>
    <row r="58" spans="1:14" ht="15.75" customHeight="1" x14ac:dyDescent="0.3">
      <c r="A58" s="76" t="s">
        <v>48</v>
      </c>
      <c r="B58" s="76"/>
      <c r="C58" s="76"/>
      <c r="D58" s="129" t="s">
        <v>242</v>
      </c>
      <c r="E58" s="129"/>
      <c r="F58" s="129"/>
      <c r="G58" s="129"/>
      <c r="H58" s="129"/>
      <c r="J58" s="32"/>
      <c r="K58" s="33"/>
      <c r="N58" s="33"/>
    </row>
    <row r="59" spans="1:14" ht="15.75" customHeight="1" x14ac:dyDescent="0.3">
      <c r="A59" s="76" t="s">
        <v>119</v>
      </c>
      <c r="B59" s="76"/>
      <c r="C59" s="76"/>
      <c r="D59" s="130" t="str">
        <f>(IF(G50="NA","60 Years After Completion",IF(G50&lt;&gt;"NA",""&amp;ROUNDDOWN((E3-G50)/360,0)&amp;" Years"," ")))</f>
        <v>60 Years After Completion</v>
      </c>
      <c r="E59" s="130"/>
      <c r="F59" s="130"/>
      <c r="G59" s="130"/>
      <c r="H59" s="130"/>
      <c r="N59" s="33"/>
    </row>
    <row r="60" spans="1:14" ht="15.75" customHeight="1" x14ac:dyDescent="0.3">
      <c r="A60" s="76" t="s">
        <v>120</v>
      </c>
      <c r="B60" s="76"/>
      <c r="C60" s="76"/>
      <c r="D60" s="124" t="s">
        <v>24</v>
      </c>
      <c r="E60" s="124"/>
      <c r="F60" s="124"/>
      <c r="G60" s="124"/>
      <c r="H60" s="124"/>
      <c r="J60" s="14"/>
      <c r="K60" s="14"/>
    </row>
    <row r="61" spans="1:14" ht="15.75" customHeight="1" thickBot="1" x14ac:dyDescent="0.35">
      <c r="A61" s="143" t="s">
        <v>118</v>
      </c>
      <c r="B61" s="143"/>
      <c r="C61" s="143"/>
      <c r="D61" s="144" t="str">
        <f ca="1">(IF(G66&gt;95%,"Nothing",IF(G66&gt;0%,"Cement, Aggregate, Steel, etc",IF(G66=0%,"Work not yet Started"))))</f>
        <v>Cement, Aggregate, Steel, etc</v>
      </c>
      <c r="E61" s="144"/>
      <c r="F61" s="144"/>
      <c r="G61" s="144"/>
      <c r="H61" s="144"/>
      <c r="J61" s="14"/>
    </row>
    <row r="62" spans="1:14" ht="15.75" customHeight="1" x14ac:dyDescent="0.3">
      <c r="A62" s="138" t="s">
        <v>175</v>
      </c>
      <c r="B62" s="139"/>
      <c r="C62" s="140" t="str">
        <f>D55</f>
        <v>Building/Wing - R = G/St + 1st to 16th Floor</v>
      </c>
      <c r="D62" s="141"/>
      <c r="E62" s="141"/>
      <c r="F62" s="141"/>
      <c r="G62" s="141"/>
      <c r="H62" s="142"/>
      <c r="I62" s="35" t="str">
        <f ca="1">(IF(E66&gt;99%,"All work completed. Please provide OC.",IF(E66&gt;89.8%,"Plinth, RCC, Brick, Plaster, Flooring, Painting work Completed. Finishing work is in process.",IF(E66&lt;94%,(IF(C66=0,"Work not yet Started.",IF(D66=25%,"Piling work in process",IF(D66=50%,"Excavation work in process",IF(D66=100%,"Excavation work Completed. ","0")))&amp;(IF(C67=0%,"",IF(C67=J68,"Footing work is process",IF(C67=J69,"Footing work Completed",IF(C67=J70,"1st Basement Completed",IF(C67=J71,"1st &amp; 2nd Basement Completed",IF(C67=J72,"1st to 3rd Basement Completed",IF(C67=J73,"1st to 4th Basement Completed",IF(C67=J74,"Plinth work is process",IF(C67=J75,"Plinth work completed","0")))))))))))&amp;(IF(C68=(D63+F63+H63),", RCC Slab",IF(C68&gt;0,", RCC upto "&amp;C68&amp;" Slab",""))&amp;(IF(C69=H63,", Brickwork",IF(C69&gt;0,", Brickwork upto "&amp;C69&amp;" Floor",""))&amp;(IF(C70=H63,", Internal Plaster",IF(C70&gt;0,", Internal Plaster upto "&amp;C70&amp;" Floor",""))&amp;(IF(C71=H63,", External Plaster",IF(C71&gt;0,", External Plaster upto "&amp;C71&amp;" Floor",""))&amp;(IF(C72=H63,", Flooring",IF(C72&gt;0,", Flooring upto "&amp;C72&amp;" Floor",""))&amp;(IF(C73=H63,", Painting",IF(C73&gt;0,", Painting upto "&amp;C73&amp;" Floor",""))&amp;(IF(C74&gt;0,", Finishing upto "&amp;C74&amp;" Floor","")&amp;(IF(C68&gt;0.5," Completed",""))))))))))))))</f>
        <v>Plinth, RCC, Brick, Plaster, Flooring, Painting work Completed. Finishing work is in process.</v>
      </c>
      <c r="J62" s="15"/>
    </row>
    <row r="63" spans="1:14" x14ac:dyDescent="0.3">
      <c r="A63" s="52" t="s">
        <v>177</v>
      </c>
      <c r="B63" s="53">
        <v>0</v>
      </c>
      <c r="C63" s="53" t="s">
        <v>101</v>
      </c>
      <c r="D63" s="53">
        <v>1</v>
      </c>
      <c r="E63" s="53" t="s">
        <v>100</v>
      </c>
      <c r="F63" s="53">
        <v>0</v>
      </c>
      <c r="G63" s="53" t="s">
        <v>112</v>
      </c>
      <c r="H63" s="40">
        <f ca="1">--TRIM(RIGHT(SUBSTITUTE(LEFT(C62,_xlfn.AGGREGATE(16,6,FIND({0,1,2,3,4,5,6,7,8,9},C62,ROW(INDIRECT("1:"&amp;LEN(C62)))),1))," ",REPT(" ",LEN(C62))),LEN(C62)))</f>
        <v>16</v>
      </c>
      <c r="I63" s="14"/>
      <c r="J63" s="16"/>
    </row>
    <row r="64" spans="1:14" ht="31.2" customHeight="1" x14ac:dyDescent="0.3">
      <c r="A64" s="93" t="s">
        <v>122</v>
      </c>
      <c r="B64" s="77"/>
      <c r="C64" s="94" t="str">
        <f ca="1">I62</f>
        <v>Plinth, RCC, Brick, Plaster, Flooring, Painting work Completed. Finishing work is in process.</v>
      </c>
      <c r="D64" s="94"/>
      <c r="E64" s="94"/>
      <c r="F64" s="94"/>
      <c r="G64" s="94"/>
      <c r="H64" s="95"/>
      <c r="I64" s="14" t="s">
        <v>139</v>
      </c>
      <c r="J64" s="16"/>
    </row>
    <row r="65" spans="1:10" ht="15.75" customHeight="1" x14ac:dyDescent="0.3">
      <c r="A65" s="96" t="s">
        <v>52</v>
      </c>
      <c r="B65" s="92"/>
      <c r="C65" s="47" t="s">
        <v>174</v>
      </c>
      <c r="D65" s="47" t="s">
        <v>115</v>
      </c>
      <c r="E65" s="92" t="s">
        <v>117</v>
      </c>
      <c r="F65" s="92"/>
      <c r="G65" s="92" t="s">
        <v>116</v>
      </c>
      <c r="H65" s="97"/>
      <c r="I65" s="31" t="s">
        <v>176</v>
      </c>
      <c r="J65" s="17">
        <f ca="1">H63*25%</f>
        <v>4</v>
      </c>
    </row>
    <row r="66" spans="1:10" x14ac:dyDescent="0.3">
      <c r="A66" s="96" t="s">
        <v>163</v>
      </c>
      <c r="B66" s="92"/>
      <c r="C66" s="55">
        <f ca="1">J67</f>
        <v>16</v>
      </c>
      <c r="D66" s="56">
        <f ca="1">((100/H63)*C66)/100</f>
        <v>1</v>
      </c>
      <c r="E66" s="98">
        <f ca="1">(((C67/H63*10)+(40/(D63+F63+H63)*C68)+(7.5/(H63)*C69)+(7.5/(H63)*C70)+(10/H63*C71)+(10/H63*C72)+(5/H63*C73)+(5/H63*C74)+(5/H63*C75))/100)</f>
        <v>0.91874999999999996</v>
      </c>
      <c r="F66" s="98"/>
      <c r="G66" s="98">
        <f ca="1">((((C66/H63)*20)+((C67/H63)*25)+(30/(H63+F63+D63)*C68)+(5/H63*C69)+(5/H63*C70)+(5/H63*C71)+(5/H63*C72)+(0/H63*C73)+(0/H63*C74)+(5/H63*C75))/100)</f>
        <v>0.94687500000000002</v>
      </c>
      <c r="H66" s="100"/>
      <c r="I66" s="31" t="s">
        <v>134</v>
      </c>
      <c r="J66" s="34">
        <f ca="1">H63*50%</f>
        <v>8</v>
      </c>
    </row>
    <row r="67" spans="1:10" x14ac:dyDescent="0.3">
      <c r="A67" s="96" t="s">
        <v>53</v>
      </c>
      <c r="B67" s="92"/>
      <c r="C67" s="57">
        <f ca="1">J75</f>
        <v>16</v>
      </c>
      <c r="D67" s="56">
        <f ca="1">((100/H63)*C67)/100</f>
        <v>1</v>
      </c>
      <c r="E67" s="98"/>
      <c r="F67" s="98"/>
      <c r="G67" s="98"/>
      <c r="H67" s="100"/>
      <c r="I67" s="31" t="s">
        <v>135</v>
      </c>
      <c r="J67" s="34">
        <f ca="1">H63</f>
        <v>16</v>
      </c>
    </row>
    <row r="68" spans="1:10" ht="15.75" customHeight="1" x14ac:dyDescent="0.3">
      <c r="A68" s="102" t="s">
        <v>164</v>
      </c>
      <c r="B68" s="103"/>
      <c r="C68" s="57">
        <v>17</v>
      </c>
      <c r="D68" s="56">
        <f ca="1">((100/(D63+F63+H63))*C68)/100</f>
        <v>1</v>
      </c>
      <c r="E68" s="98"/>
      <c r="F68" s="98"/>
      <c r="G68" s="98"/>
      <c r="H68" s="100"/>
      <c r="I68" s="31" t="s">
        <v>136</v>
      </c>
      <c r="J68" s="37">
        <f ca="1">(IF(B63&gt;1,(H63/(B63+2)),H63/4))</f>
        <v>4</v>
      </c>
    </row>
    <row r="69" spans="1:10" ht="15.75" customHeight="1" x14ac:dyDescent="0.3">
      <c r="A69" s="96" t="s">
        <v>171</v>
      </c>
      <c r="B69" s="92" t="s">
        <v>165</v>
      </c>
      <c r="C69" s="55">
        <v>16</v>
      </c>
      <c r="D69" s="56">
        <f ca="1">((100/H63)*C69)/100</f>
        <v>1</v>
      </c>
      <c r="E69" s="98"/>
      <c r="F69" s="98"/>
      <c r="G69" s="98"/>
      <c r="H69" s="100"/>
      <c r="I69" s="31" t="s">
        <v>137</v>
      </c>
      <c r="J69" s="37">
        <f ca="1">(IF(B63&gt;1,(H63/(B63+2)+J68),H63/4+J68))</f>
        <v>8</v>
      </c>
    </row>
    <row r="70" spans="1:10" ht="15.75" customHeight="1" x14ac:dyDescent="0.3">
      <c r="A70" s="96" t="s">
        <v>172</v>
      </c>
      <c r="B70" s="92" t="s">
        <v>165</v>
      </c>
      <c r="C70" s="55">
        <v>16</v>
      </c>
      <c r="D70" s="56">
        <f ca="1">((100/H63)*C70)/100</f>
        <v>1</v>
      </c>
      <c r="E70" s="98"/>
      <c r="F70" s="98"/>
      <c r="G70" s="98"/>
      <c r="H70" s="100"/>
      <c r="I70" s="31" t="s">
        <v>181</v>
      </c>
      <c r="J70" s="37">
        <f>(IF(B63&gt;1,(H63/(B63+2)+J69),0))</f>
        <v>0</v>
      </c>
    </row>
    <row r="71" spans="1:10" ht="15" customHeight="1" x14ac:dyDescent="0.3">
      <c r="A71" s="96" t="s">
        <v>170</v>
      </c>
      <c r="B71" s="92" t="s">
        <v>167</v>
      </c>
      <c r="C71" s="55">
        <v>16</v>
      </c>
      <c r="D71" s="56">
        <f ca="1">((100/(H63))*C71)/100</f>
        <v>1</v>
      </c>
      <c r="E71" s="98"/>
      <c r="F71" s="98"/>
      <c r="G71" s="98"/>
      <c r="H71" s="100"/>
      <c r="I71" s="31" t="s">
        <v>178</v>
      </c>
      <c r="J71" s="37">
        <f>(IF(B63&gt;2,(H63/(B63+2)+J70),0))</f>
        <v>0</v>
      </c>
    </row>
    <row r="72" spans="1:10" ht="15.75" customHeight="1" x14ac:dyDescent="0.3">
      <c r="A72" s="96" t="s">
        <v>166</v>
      </c>
      <c r="B72" s="92" t="s">
        <v>166</v>
      </c>
      <c r="C72" s="55">
        <v>15</v>
      </c>
      <c r="D72" s="56">
        <f ca="1">((100/H63)*C72)/100</f>
        <v>0.9375</v>
      </c>
      <c r="E72" s="98"/>
      <c r="F72" s="98"/>
      <c r="G72" s="98"/>
      <c r="H72" s="100"/>
      <c r="I72" s="31" t="s">
        <v>179</v>
      </c>
      <c r="J72" s="38">
        <f>(IF(B63&gt;3,(H63/(B63+2)+J71),0))</f>
        <v>0</v>
      </c>
    </row>
    <row r="73" spans="1:10" ht="15.75" customHeight="1" x14ac:dyDescent="0.3">
      <c r="A73" s="96" t="s">
        <v>173</v>
      </c>
      <c r="B73" s="92"/>
      <c r="C73" s="55">
        <v>14</v>
      </c>
      <c r="D73" s="56">
        <f ca="1">((100/H63)*C73)/100</f>
        <v>0.875</v>
      </c>
      <c r="E73" s="98"/>
      <c r="F73" s="98"/>
      <c r="G73" s="98"/>
      <c r="H73" s="100"/>
      <c r="I73" s="31" t="s">
        <v>180</v>
      </c>
      <c r="J73" s="37">
        <f>(IF(B63&gt;4,(H63/(B63+2)+J72),0))</f>
        <v>0</v>
      </c>
    </row>
    <row r="74" spans="1:10" ht="15.75" customHeight="1" x14ac:dyDescent="0.3">
      <c r="A74" s="96" t="s">
        <v>168</v>
      </c>
      <c r="B74" s="92" t="s">
        <v>168</v>
      </c>
      <c r="C74" s="55">
        <v>10</v>
      </c>
      <c r="D74" s="56">
        <f ca="1">((100/(H63))*C74)/100</f>
        <v>0.625</v>
      </c>
      <c r="E74" s="98"/>
      <c r="F74" s="98"/>
      <c r="G74" s="98"/>
      <c r="H74" s="100"/>
      <c r="I74" s="31" t="s">
        <v>182</v>
      </c>
      <c r="J74" s="37">
        <f ca="1">(IF(B63=1,(H63/(B63+3)+J69),IF(B63=0,(H63/4+J69),IF(B63&gt;1,0))))</f>
        <v>12</v>
      </c>
    </row>
    <row r="75" spans="1:10" ht="16.2" thickBot="1" x14ac:dyDescent="0.35">
      <c r="A75" s="110" t="s">
        <v>169</v>
      </c>
      <c r="B75" s="111"/>
      <c r="C75" s="58">
        <v>0</v>
      </c>
      <c r="D75" s="59">
        <f ca="1">((100/(H63))*C75)/100</f>
        <v>0</v>
      </c>
      <c r="E75" s="99"/>
      <c r="F75" s="99"/>
      <c r="G75" s="99"/>
      <c r="H75" s="101"/>
      <c r="I75" s="36" t="s">
        <v>138</v>
      </c>
      <c r="J75" s="39">
        <f ca="1">(IF(B63&gt;1.5,(H63/(B63+2)+J69+MAX(0,J70-J69)+MAX(0,J71-J70)+MAX(0,J72-J71)+MAX(0,J73-J72)+MAX(0,J74-J73)),IF(B63=1,(H63/(B63+3)+J74),IF(B63=0,H63/4+J74))))</f>
        <v>16</v>
      </c>
    </row>
    <row r="76" spans="1:10" ht="15.75" customHeight="1" x14ac:dyDescent="0.3">
      <c r="A76" s="160" t="s">
        <v>175</v>
      </c>
      <c r="B76" s="161"/>
      <c r="C76" s="161" t="str">
        <f>D56</f>
        <v>Building/Wing - S = G/St + 1st to 16th Floor</v>
      </c>
      <c r="D76" s="161"/>
      <c r="E76" s="161"/>
      <c r="F76" s="161"/>
      <c r="G76" s="161"/>
      <c r="H76" s="162"/>
      <c r="I76" s="35" t="str">
        <f ca="1">(IF(E80&gt;99%,"All work completed. Please provide OC.",IF(E80&gt;89.8%,"Plinth, RCC, Brick, Plaster, Flooring, Painting work Completed. Finishing work is in process.",IF(E80&lt;94%,(IF(C80=0,"Work not yet Started.",IF(D80=25%,"Piling work in process",IF(D80=50%,"Excavation work in process",IF(D80=100%,"Excavation work Completed. ","0")))&amp;(IF(C81=0%,"",IF(C81=J82,"Footing work is process",IF(C81=J83,"Footing work Completed",IF(C81=J84,"1st Basement Completed",IF(C81=J85,"1st &amp; 2nd Basement Completed",IF(C81=J86,"1st to 3rd Basement Completed",IF(C81=J87,"1st to 4th Basement Completed",IF(C81=J88,"Plinth work is process",IF(C81=J89,"Plinth work completed","0")))))))))))&amp;(IF(C82=(D77+F77+H77),", RCC Slab",IF(C82&gt;0,", RCC upto "&amp;C82&amp;" Slab",""))&amp;(IF(C83=H77,", Brickwork",IF(C83&gt;0,", Brickwork upto "&amp;C83&amp;" Floor",""))&amp;(IF(C84=H77,", Internal Plaster",IF(C84&gt;0,", Internal Plaster upto "&amp;C84&amp;" Floor",""))&amp;(IF(C85=H77,", External Plaster",IF(C85&gt;0,", External Plaster upto "&amp;C85&amp;" Floor",""))&amp;(IF(C86=H77,", Flooring",IF(C86&gt;0,", Flooring upto "&amp;C86&amp;" Floor",""))&amp;(IF(C87=H77,", Painting",IF(C87&gt;0,", Painting upto "&amp;C87&amp;" Floor",""))&amp;(IF(C88&gt;0,", Finishing upto "&amp;C88&amp;" Floor","")&amp;(IF(C82&gt;0.5," Completed",""))))))))))))))</f>
        <v>Plinth, RCC, Brick, Plaster, Flooring, Painting work Completed. Finishing work is in process.</v>
      </c>
      <c r="J76" s="15"/>
    </row>
    <row r="77" spans="1:10" x14ac:dyDescent="0.3">
      <c r="A77" s="52" t="s">
        <v>177</v>
      </c>
      <c r="B77" s="53">
        <v>0</v>
      </c>
      <c r="C77" s="53" t="s">
        <v>101</v>
      </c>
      <c r="D77" s="53">
        <v>1</v>
      </c>
      <c r="E77" s="53" t="s">
        <v>100</v>
      </c>
      <c r="F77" s="53">
        <v>0</v>
      </c>
      <c r="G77" s="53" t="s">
        <v>112</v>
      </c>
      <c r="H77" s="40">
        <f ca="1">--TRIM(RIGHT(SUBSTITUTE(LEFT(C76,_xlfn.AGGREGATE(16,6,FIND({0,1,2,3,4,5,6,7,8,9},C76,ROW(INDIRECT("1:"&amp;LEN(C76)))),1))," ",REPT(" ",LEN(C76))),LEN(C76)))</f>
        <v>16</v>
      </c>
      <c r="I77" s="14"/>
      <c r="J77" s="16"/>
    </row>
    <row r="78" spans="1:10" ht="30" customHeight="1" x14ac:dyDescent="0.3">
      <c r="A78" s="77" t="s">
        <v>122</v>
      </c>
      <c r="B78" s="77"/>
      <c r="C78" s="94" t="str">
        <f ca="1">I76</f>
        <v>Plinth, RCC, Brick, Plaster, Flooring, Painting work Completed. Finishing work is in process.</v>
      </c>
      <c r="D78" s="94"/>
      <c r="E78" s="94"/>
      <c r="F78" s="94"/>
      <c r="G78" s="94"/>
      <c r="H78" s="94"/>
      <c r="I78" s="14" t="s">
        <v>139</v>
      </c>
      <c r="J78" s="16"/>
    </row>
    <row r="79" spans="1:10" ht="15.75" customHeight="1" x14ac:dyDescent="0.3">
      <c r="A79" s="92" t="s">
        <v>52</v>
      </c>
      <c r="B79" s="92"/>
      <c r="C79" s="47" t="s">
        <v>174</v>
      </c>
      <c r="D79" s="47" t="s">
        <v>115</v>
      </c>
      <c r="E79" s="92" t="s">
        <v>117</v>
      </c>
      <c r="F79" s="92"/>
      <c r="G79" s="92" t="s">
        <v>116</v>
      </c>
      <c r="H79" s="92"/>
      <c r="I79" s="31" t="s">
        <v>176</v>
      </c>
      <c r="J79" s="17">
        <f ca="1">H77*25%</f>
        <v>4</v>
      </c>
    </row>
    <row r="80" spans="1:10" x14ac:dyDescent="0.3">
      <c r="A80" s="92" t="s">
        <v>163</v>
      </c>
      <c r="B80" s="92"/>
      <c r="C80" s="55">
        <f ca="1">J81</f>
        <v>16</v>
      </c>
      <c r="D80" s="56">
        <f ca="1">((100/H77)*C80)/100</f>
        <v>1</v>
      </c>
      <c r="E80" s="98">
        <f ca="1">(((C81/H77*10)+(40/(D77+F77+H77)*C82)+(7.5/(H77)*C83)+(7.5/(H77)*C84)+(10/H77*C85)+(10/H77*C86)+(5/H77*C87)+(5/H77*C88)+(5/H77*C89))/100)</f>
        <v>0.90937500000000004</v>
      </c>
      <c r="F80" s="98"/>
      <c r="G80" s="98">
        <f ca="1">((((C80/H77)*20)+((C81/H77)*25)+(30/(H77+F77+D77)*C82)+(5/H77*C83)+(5/H77*C84)+(5/H77*C85)+(5/H77*C86)+(0/H77*C87)+(0/H77*C88)+(5/H77*C89))/100)</f>
        <v>0.94687500000000002</v>
      </c>
      <c r="H80" s="98"/>
      <c r="I80" s="31" t="s">
        <v>134</v>
      </c>
      <c r="J80" s="34">
        <f ca="1">H77*50%</f>
        <v>8</v>
      </c>
    </row>
    <row r="81" spans="1:10" x14ac:dyDescent="0.3">
      <c r="A81" s="92" t="s">
        <v>53</v>
      </c>
      <c r="B81" s="92"/>
      <c r="C81" s="57">
        <f ca="1">J89</f>
        <v>16</v>
      </c>
      <c r="D81" s="56">
        <f ca="1">((100/H77)*C81)/100</f>
        <v>1</v>
      </c>
      <c r="E81" s="98"/>
      <c r="F81" s="98"/>
      <c r="G81" s="98"/>
      <c r="H81" s="98"/>
      <c r="I81" s="31" t="s">
        <v>135</v>
      </c>
      <c r="J81" s="34">
        <f ca="1">H77</f>
        <v>16</v>
      </c>
    </row>
    <row r="82" spans="1:10" ht="15.75" customHeight="1" x14ac:dyDescent="0.3">
      <c r="A82" s="103" t="s">
        <v>164</v>
      </c>
      <c r="B82" s="103"/>
      <c r="C82" s="57">
        <v>17</v>
      </c>
      <c r="D82" s="56">
        <f ca="1">((100/(D77+F77+H77))*C82)/100</f>
        <v>1</v>
      </c>
      <c r="E82" s="98"/>
      <c r="F82" s="98"/>
      <c r="G82" s="98"/>
      <c r="H82" s="98"/>
      <c r="I82" s="31" t="s">
        <v>136</v>
      </c>
      <c r="J82" s="37">
        <f ca="1">(IF(B77&gt;1,(H77/(B77+2)),H77/4))</f>
        <v>4</v>
      </c>
    </row>
    <row r="83" spans="1:10" ht="15.75" customHeight="1" x14ac:dyDescent="0.3">
      <c r="A83" s="92" t="s">
        <v>171</v>
      </c>
      <c r="B83" s="92" t="s">
        <v>165</v>
      </c>
      <c r="C83" s="55">
        <v>16</v>
      </c>
      <c r="D83" s="56">
        <f ca="1">((100/H77)*C83)/100</f>
        <v>1</v>
      </c>
      <c r="E83" s="98"/>
      <c r="F83" s="98"/>
      <c r="G83" s="98"/>
      <c r="H83" s="98"/>
      <c r="I83" s="31" t="s">
        <v>137</v>
      </c>
      <c r="J83" s="37">
        <f ca="1">(IF(B77&gt;1,(H77/(B77+2)+J82),H77/4+J82))</f>
        <v>8</v>
      </c>
    </row>
    <row r="84" spans="1:10" ht="15.75" customHeight="1" x14ac:dyDescent="0.3">
      <c r="A84" s="92" t="s">
        <v>172</v>
      </c>
      <c r="B84" s="92" t="s">
        <v>165</v>
      </c>
      <c r="C84" s="55">
        <v>16</v>
      </c>
      <c r="D84" s="56">
        <f ca="1">((100/H77)*C84)/100</f>
        <v>1</v>
      </c>
      <c r="E84" s="98"/>
      <c r="F84" s="98"/>
      <c r="G84" s="98"/>
      <c r="H84" s="98"/>
      <c r="I84" s="31" t="s">
        <v>181</v>
      </c>
      <c r="J84" s="37">
        <f>(IF(B77&gt;1,(H77/(B77+2)+J83),0))</f>
        <v>0</v>
      </c>
    </row>
    <row r="85" spans="1:10" ht="15" customHeight="1" x14ac:dyDescent="0.3">
      <c r="A85" s="92" t="s">
        <v>170</v>
      </c>
      <c r="B85" s="92" t="s">
        <v>167</v>
      </c>
      <c r="C85" s="55">
        <v>16</v>
      </c>
      <c r="D85" s="56">
        <f ca="1">((100/(H77))*C85)/100</f>
        <v>1</v>
      </c>
      <c r="E85" s="98"/>
      <c r="F85" s="98"/>
      <c r="G85" s="98"/>
      <c r="H85" s="98"/>
      <c r="I85" s="31" t="s">
        <v>178</v>
      </c>
      <c r="J85" s="37">
        <f>(IF(B77&gt;2,(H77/(B77+2)+J84),0))</f>
        <v>0</v>
      </c>
    </row>
    <row r="86" spans="1:10" ht="15.75" customHeight="1" x14ac:dyDescent="0.3">
      <c r="A86" s="92" t="s">
        <v>166</v>
      </c>
      <c r="B86" s="92" t="s">
        <v>166</v>
      </c>
      <c r="C86" s="55">
        <v>15</v>
      </c>
      <c r="D86" s="56">
        <f ca="1">((100/H77)*C86)/100</f>
        <v>0.9375</v>
      </c>
      <c r="E86" s="98"/>
      <c r="F86" s="98"/>
      <c r="G86" s="98"/>
      <c r="H86" s="98"/>
      <c r="I86" s="31" t="s">
        <v>179</v>
      </c>
      <c r="J86" s="38">
        <f>(IF(B77&gt;3,(H77/(B77+2)+J85),0))</f>
        <v>0</v>
      </c>
    </row>
    <row r="87" spans="1:10" ht="15.75" customHeight="1" x14ac:dyDescent="0.3">
      <c r="A87" s="92" t="s">
        <v>173</v>
      </c>
      <c r="B87" s="92"/>
      <c r="C87" s="55">
        <v>13</v>
      </c>
      <c r="D87" s="56">
        <f ca="1">((100/H77)*C87)/100</f>
        <v>0.8125</v>
      </c>
      <c r="E87" s="98"/>
      <c r="F87" s="98"/>
      <c r="G87" s="98"/>
      <c r="H87" s="98"/>
      <c r="I87" s="31" t="s">
        <v>180</v>
      </c>
      <c r="J87" s="37">
        <f>(IF(B77&gt;4,(H77/(B77+2)+J86),0))</f>
        <v>0</v>
      </c>
    </row>
    <row r="88" spans="1:10" ht="15.75" customHeight="1" x14ac:dyDescent="0.3">
      <c r="A88" s="92" t="s">
        <v>168</v>
      </c>
      <c r="B88" s="92" t="s">
        <v>168</v>
      </c>
      <c r="C88" s="55">
        <v>8</v>
      </c>
      <c r="D88" s="56">
        <f ca="1">((100/(H77))*C88)/100</f>
        <v>0.5</v>
      </c>
      <c r="E88" s="98"/>
      <c r="F88" s="98"/>
      <c r="G88" s="98"/>
      <c r="H88" s="98"/>
      <c r="I88" s="31" t="s">
        <v>182</v>
      </c>
      <c r="J88" s="37">
        <f ca="1">(IF(B77=1,(H77/(B77+3)+J83),IF(B77=0,(H77/4+J83),IF(B77&gt;1,0))))</f>
        <v>12</v>
      </c>
    </row>
    <row r="89" spans="1:10" ht="16.2" thickBot="1" x14ac:dyDescent="0.35">
      <c r="A89" s="92" t="s">
        <v>169</v>
      </c>
      <c r="B89" s="92"/>
      <c r="C89" s="55">
        <v>0</v>
      </c>
      <c r="D89" s="56">
        <f ca="1">((100/(H77))*C89)/100</f>
        <v>0</v>
      </c>
      <c r="E89" s="98"/>
      <c r="F89" s="98"/>
      <c r="G89" s="98"/>
      <c r="H89" s="98"/>
      <c r="I89" s="36" t="s">
        <v>138</v>
      </c>
      <c r="J89" s="39">
        <f ca="1">(IF(B77&gt;1.5,(H77/(B77+2)+J83+MAX(0,J84-J83)+MAX(0,J85-J84)+MAX(0,J86-J85)+MAX(0,J87-J86)+MAX(0,J88-J87)),IF(B77=1,(H77/(B77+3)+J88),IF(B77=0,H77/4+J88))))</f>
        <v>16</v>
      </c>
    </row>
    <row r="90" spans="1:10" ht="15.75" customHeight="1" x14ac:dyDescent="0.3">
      <c r="A90" s="104" t="s">
        <v>175</v>
      </c>
      <c r="B90" s="105"/>
      <c r="C90" s="105" t="str">
        <f>D57</f>
        <v>Building/Wing - T = G/St + 1st to 16th Floor</v>
      </c>
      <c r="D90" s="105"/>
      <c r="E90" s="105"/>
      <c r="F90" s="105"/>
      <c r="G90" s="105"/>
      <c r="H90" s="106"/>
      <c r="I90" s="35" t="str">
        <f ca="1">(IF(E94&gt;99%,"All work completed. Please provide OC.",IF(E94&gt;89.8%,"Plinth, RCC, Brick, Plaster, Flooring, Painting work Completed. Finishing work is in process.",IF(E94&lt;94%,(IF(C94=0,"Work not yet Started.",IF(D94=25%,"Piling work in process",IF(D94=50%,"Excavation work in process",IF(D94=100%,"Excavation work Completed. ","0")))&amp;(IF(C95=0%,"",IF(C95=J96,"Footing work is process",IF(C95=J97,"Footing work Completed",IF(C95=J98,"1st Basement Completed",IF(C95=J99,"1st &amp; 2nd Basement Completed",IF(C95=J100,"1st to 3rd Basement Completed",IF(C95=J101,"1st to 4th Basement Completed",IF(C95=J102,"Plinth work is process",IF(C95=J103,"Plinth work completed","0")))))))))))&amp;(IF(C96=(D91+F91+H91),", RCC Slab",IF(C96&gt;0,", RCC upto "&amp;C96&amp;" Slab",""))&amp;(IF(C97=H91,", Brickwork",IF(C97&gt;0,", Brickwork upto "&amp;C97&amp;" Floor",""))&amp;(IF(C98=H91,", Internal Plaster",IF(C98&gt;0,", Internal Plaster upto "&amp;C98&amp;" Floor",""))&amp;(IF(C99=H91,", External Plaster",IF(C99&gt;0,", External Plaster upto "&amp;C99&amp;" Floor",""))&amp;(IF(C100=H91,", Flooring",IF(C100&gt;0,", Flooring upto "&amp;C100&amp;" Floor",""))&amp;(IF(C101=H91,", Painting",IF(C101&gt;0,", Painting upto "&amp;C101&amp;" Floor",""))&amp;(IF(C102&gt;0,", Finishing upto "&amp;C102&amp;" Floor","")&amp;(IF(C96&gt;0.5," Completed",""))))))))))))))</f>
        <v>Excavation work Completed. Plinth work completed, RCC Slab, Brickwork, Internal Plaster, External Plaster, Flooring upto 14 Floor, Painting upto 10 Floor, Finishing upto 5 Floor Completed</v>
      </c>
      <c r="J90" s="15"/>
    </row>
    <row r="91" spans="1:10" x14ac:dyDescent="0.3">
      <c r="A91" s="52" t="s">
        <v>177</v>
      </c>
      <c r="B91" s="53">
        <v>0</v>
      </c>
      <c r="C91" s="53" t="s">
        <v>101</v>
      </c>
      <c r="D91" s="53">
        <v>1</v>
      </c>
      <c r="E91" s="53" t="s">
        <v>100</v>
      </c>
      <c r="F91" s="53">
        <v>0</v>
      </c>
      <c r="G91" s="53" t="s">
        <v>112</v>
      </c>
      <c r="H91" s="40">
        <f ca="1">--TRIM(RIGHT(SUBSTITUTE(LEFT(C90,_xlfn.AGGREGATE(16,6,FIND({0,1,2,3,4,5,6,7,8,9},C90,ROW(INDIRECT("1:"&amp;LEN(C90)))),1))," ",REPT(" ",LEN(C90))),LEN(C90)))</f>
        <v>16</v>
      </c>
      <c r="I91" s="14"/>
      <c r="J91" s="16"/>
    </row>
    <row r="92" spans="1:10" ht="49.2" customHeight="1" x14ac:dyDescent="0.3">
      <c r="A92" s="93" t="s">
        <v>122</v>
      </c>
      <c r="B92" s="77"/>
      <c r="C92" s="94" t="str">
        <f ca="1">I90</f>
        <v>Excavation work Completed. Plinth work completed, RCC Slab, Brickwork, Internal Plaster, External Plaster, Flooring upto 14 Floor, Painting upto 10 Floor, Finishing upto 5 Floor Completed</v>
      </c>
      <c r="D92" s="94"/>
      <c r="E92" s="94"/>
      <c r="F92" s="94"/>
      <c r="G92" s="94"/>
      <c r="H92" s="95"/>
      <c r="I92" s="14" t="s">
        <v>139</v>
      </c>
      <c r="J92" s="16"/>
    </row>
    <row r="93" spans="1:10" ht="15.75" customHeight="1" x14ac:dyDescent="0.3">
      <c r="A93" s="96" t="s">
        <v>52</v>
      </c>
      <c r="B93" s="92"/>
      <c r="C93" s="47" t="s">
        <v>174</v>
      </c>
      <c r="D93" s="47" t="s">
        <v>115</v>
      </c>
      <c r="E93" s="92" t="s">
        <v>117</v>
      </c>
      <c r="F93" s="92"/>
      <c r="G93" s="92" t="s">
        <v>116</v>
      </c>
      <c r="H93" s="97"/>
      <c r="I93" s="31" t="s">
        <v>176</v>
      </c>
      <c r="J93" s="17">
        <f ca="1">H91*25%</f>
        <v>4</v>
      </c>
    </row>
    <row r="94" spans="1:10" x14ac:dyDescent="0.3">
      <c r="A94" s="96" t="s">
        <v>163</v>
      </c>
      <c r="B94" s="92"/>
      <c r="C94" s="55">
        <f ca="1">J95</f>
        <v>16</v>
      </c>
      <c r="D94" s="56">
        <f ca="1">((100/H91)*C94)/100</f>
        <v>1</v>
      </c>
      <c r="E94" s="98">
        <f ca="1">(((C95/H91*10)+(40/(D91+F91+H91)*C96)+(7.5/(H91)*C97)+(7.5/(H91)*C98)+(10/H91*C99)+(10/H91*C100)+(5/H91*C101)+(5/H91*C102)+(5/H91*C103))/100)</f>
        <v>0.88437500000000002</v>
      </c>
      <c r="F94" s="98"/>
      <c r="G94" s="98">
        <f ca="1">((((C94/H91)*20)+((C95/H91)*25)+(30/(H91+F91+D91)*C96)+(5/H91*C97)+(5/H91*C98)+(5/H91*C99)+(5/H91*C100)+(0/H91*C101)+(0/H91*C102)+(5/H91*C103))/100)</f>
        <v>0.94374999999999998</v>
      </c>
      <c r="H94" s="100"/>
      <c r="I94" s="31" t="s">
        <v>134</v>
      </c>
      <c r="J94" s="34">
        <f ca="1">H91*50%</f>
        <v>8</v>
      </c>
    </row>
    <row r="95" spans="1:10" x14ac:dyDescent="0.3">
      <c r="A95" s="96" t="s">
        <v>53</v>
      </c>
      <c r="B95" s="92"/>
      <c r="C95" s="57">
        <f ca="1">J103</f>
        <v>16</v>
      </c>
      <c r="D95" s="56">
        <f ca="1">((100/H91)*C95)/100</f>
        <v>1</v>
      </c>
      <c r="E95" s="98"/>
      <c r="F95" s="98"/>
      <c r="G95" s="98"/>
      <c r="H95" s="100"/>
      <c r="I95" s="31" t="s">
        <v>135</v>
      </c>
      <c r="J95" s="34">
        <f ca="1">H91</f>
        <v>16</v>
      </c>
    </row>
    <row r="96" spans="1:10" ht="15.75" customHeight="1" x14ac:dyDescent="0.3">
      <c r="A96" s="102" t="s">
        <v>164</v>
      </c>
      <c r="B96" s="103"/>
      <c r="C96" s="57">
        <v>17</v>
      </c>
      <c r="D96" s="56">
        <f ca="1">((100/(D91+F91+H91))*C96)/100</f>
        <v>1</v>
      </c>
      <c r="E96" s="98"/>
      <c r="F96" s="98"/>
      <c r="G96" s="98"/>
      <c r="H96" s="100"/>
      <c r="I96" s="31" t="s">
        <v>136</v>
      </c>
      <c r="J96" s="37">
        <f ca="1">(IF(B91&gt;1,(H91/(B91+2)),H91/4))</f>
        <v>4</v>
      </c>
    </row>
    <row r="97" spans="1:12" ht="15.75" customHeight="1" x14ac:dyDescent="0.3">
      <c r="A97" s="96" t="s">
        <v>171</v>
      </c>
      <c r="B97" s="92" t="s">
        <v>165</v>
      </c>
      <c r="C97" s="55">
        <v>16</v>
      </c>
      <c r="D97" s="56">
        <f ca="1">((100/H91)*C97)/100</f>
        <v>1</v>
      </c>
      <c r="E97" s="98"/>
      <c r="F97" s="98"/>
      <c r="G97" s="98"/>
      <c r="H97" s="100"/>
      <c r="I97" s="31" t="s">
        <v>137</v>
      </c>
      <c r="J97" s="37">
        <f ca="1">(IF(B91&gt;1,(H91/(B91+2)+J96),H91/4+J96))</f>
        <v>8</v>
      </c>
    </row>
    <row r="98" spans="1:12" ht="15.75" customHeight="1" x14ac:dyDescent="0.3">
      <c r="A98" s="96" t="s">
        <v>172</v>
      </c>
      <c r="B98" s="92" t="s">
        <v>165</v>
      </c>
      <c r="C98" s="55">
        <v>16</v>
      </c>
      <c r="D98" s="56">
        <f ca="1">((100/H91)*C98)/100</f>
        <v>1</v>
      </c>
      <c r="E98" s="98"/>
      <c r="F98" s="98"/>
      <c r="G98" s="98"/>
      <c r="H98" s="100"/>
      <c r="I98" s="31" t="s">
        <v>181</v>
      </c>
      <c r="J98" s="37">
        <f>(IF(B91&gt;1,(H91/(B91+2)+J97),0))</f>
        <v>0</v>
      </c>
    </row>
    <row r="99" spans="1:12" ht="15" customHeight="1" x14ac:dyDescent="0.3">
      <c r="A99" s="96" t="s">
        <v>170</v>
      </c>
      <c r="B99" s="92" t="s">
        <v>167</v>
      </c>
      <c r="C99" s="55">
        <v>16</v>
      </c>
      <c r="D99" s="56">
        <f ca="1">((100/(H91))*C99)/100</f>
        <v>1</v>
      </c>
      <c r="E99" s="98"/>
      <c r="F99" s="98"/>
      <c r="G99" s="98"/>
      <c r="H99" s="100"/>
      <c r="I99" s="31" t="s">
        <v>178</v>
      </c>
      <c r="J99" s="37">
        <f>(IF(B91&gt;2,(H91/(B91+2)+J98),0))</f>
        <v>0</v>
      </c>
    </row>
    <row r="100" spans="1:12" ht="15.75" customHeight="1" x14ac:dyDescent="0.3">
      <c r="A100" s="96" t="s">
        <v>166</v>
      </c>
      <c r="B100" s="92" t="s">
        <v>166</v>
      </c>
      <c r="C100" s="55">
        <v>14</v>
      </c>
      <c r="D100" s="56">
        <f ca="1">((100/H91)*C100)/100</f>
        <v>0.875</v>
      </c>
      <c r="E100" s="98"/>
      <c r="F100" s="98"/>
      <c r="G100" s="98"/>
      <c r="H100" s="100"/>
      <c r="I100" s="31" t="s">
        <v>179</v>
      </c>
      <c r="J100" s="38">
        <f>(IF(B91&gt;3,(H91/(B91+2)+J99),0))</f>
        <v>0</v>
      </c>
    </row>
    <row r="101" spans="1:12" ht="15.75" customHeight="1" x14ac:dyDescent="0.3">
      <c r="A101" s="96" t="s">
        <v>173</v>
      </c>
      <c r="B101" s="92"/>
      <c r="C101" s="55">
        <v>10</v>
      </c>
      <c r="D101" s="56">
        <f ca="1">((100/H91)*C101)/100</f>
        <v>0.625</v>
      </c>
      <c r="E101" s="98"/>
      <c r="F101" s="98"/>
      <c r="G101" s="98"/>
      <c r="H101" s="100"/>
      <c r="I101" s="31" t="s">
        <v>180</v>
      </c>
      <c r="J101" s="37">
        <f>(IF(B91&gt;4,(H91/(B91+2)+J100),0))</f>
        <v>0</v>
      </c>
    </row>
    <row r="102" spans="1:12" ht="15.75" customHeight="1" x14ac:dyDescent="0.3">
      <c r="A102" s="96" t="s">
        <v>168</v>
      </c>
      <c r="B102" s="92" t="s">
        <v>168</v>
      </c>
      <c r="C102" s="55">
        <v>5</v>
      </c>
      <c r="D102" s="56">
        <f ca="1">((100/(H91))*C102)/100</f>
        <v>0.3125</v>
      </c>
      <c r="E102" s="98"/>
      <c r="F102" s="98"/>
      <c r="G102" s="98"/>
      <c r="H102" s="100"/>
      <c r="I102" s="31" t="s">
        <v>182</v>
      </c>
      <c r="J102" s="37">
        <f ca="1">(IF(B91=1,(H91/(B91+3)+J97),IF(B91=0,(H91/4+J97),IF(B91&gt;1,0))))</f>
        <v>12</v>
      </c>
    </row>
    <row r="103" spans="1:12" ht="16.2" thickBot="1" x14ac:dyDescent="0.35">
      <c r="A103" s="110" t="s">
        <v>169</v>
      </c>
      <c r="B103" s="111"/>
      <c r="C103" s="58">
        <v>0</v>
      </c>
      <c r="D103" s="59">
        <f ca="1">((100/(H91))*C103)/100</f>
        <v>0</v>
      </c>
      <c r="E103" s="99"/>
      <c r="F103" s="99"/>
      <c r="G103" s="99"/>
      <c r="H103" s="101"/>
      <c r="I103" s="36" t="s">
        <v>138</v>
      </c>
      <c r="J103" s="39">
        <f ca="1">(IF(B91&gt;1.5,(H91/(B91+2)+J97+MAX(0,J98-J97)+MAX(0,J99-J98)+MAX(0,J100-J99)+MAX(0,J101-J100)+MAX(0,J102-J101)),IF(B91=1,(H91/(B91+3)+J102),IF(B91=0,H91/4+J102))))</f>
        <v>16</v>
      </c>
    </row>
    <row r="104" spans="1:12" x14ac:dyDescent="0.3">
      <c r="A104" s="107" t="s">
        <v>153</v>
      </c>
      <c r="B104" s="108"/>
      <c r="C104" s="108"/>
      <c r="D104" s="108"/>
      <c r="E104" s="109"/>
      <c r="F104" s="107" t="str">
        <f ca="1">(IF(D61="Nothing","Yes",IF(D61="Cement, Aggregate, Steel, etc","Under Construction",IF(D61="Work not yet Started","Work not yet Started"))))</f>
        <v>Under Construction</v>
      </c>
      <c r="G104" s="108"/>
      <c r="H104" s="109"/>
    </row>
    <row r="105" spans="1:12" x14ac:dyDescent="0.3">
      <c r="A105" s="76" t="s">
        <v>54</v>
      </c>
      <c r="B105" s="76"/>
      <c r="C105" s="76"/>
      <c r="D105" s="76"/>
      <c r="E105" s="76"/>
      <c r="F105" s="76"/>
      <c r="G105" s="76"/>
      <c r="H105" s="76"/>
    </row>
    <row r="106" spans="1:12" ht="15" customHeight="1" x14ac:dyDescent="0.3">
      <c r="A106" s="77" t="s">
        <v>103</v>
      </c>
      <c r="B106" s="77"/>
      <c r="C106" s="94" t="s">
        <v>104</v>
      </c>
      <c r="D106" s="94"/>
      <c r="E106" s="94"/>
      <c r="F106" s="94"/>
      <c r="G106" s="94"/>
      <c r="H106" s="94"/>
    </row>
    <row r="107" spans="1:12" x14ac:dyDescent="0.3">
      <c r="A107" s="116" t="s">
        <v>55</v>
      </c>
      <c r="B107" s="116"/>
      <c r="C107" s="116"/>
      <c r="D107" s="116"/>
      <c r="E107" s="116"/>
      <c r="F107" s="116"/>
      <c r="G107" s="116"/>
      <c r="H107" s="116"/>
    </row>
    <row r="108" spans="1:12" x14ac:dyDescent="0.3">
      <c r="A108" s="76" t="s">
        <v>105</v>
      </c>
      <c r="B108" s="76"/>
      <c r="C108" s="76"/>
      <c r="D108" s="76"/>
      <c r="E108" s="76"/>
      <c r="F108" s="77">
        <v>5200</v>
      </c>
      <c r="G108" s="77"/>
      <c r="H108" s="77"/>
      <c r="J108" s="8" t="s">
        <v>232</v>
      </c>
      <c r="K108" s="32">
        <v>45398</v>
      </c>
      <c r="L108" s="8" t="s">
        <v>233</v>
      </c>
    </row>
    <row r="109" spans="1:12" hidden="1" x14ac:dyDescent="0.3">
      <c r="A109" s="76" t="s">
        <v>110</v>
      </c>
      <c r="B109" s="76"/>
      <c r="C109" s="76"/>
      <c r="D109" s="76"/>
      <c r="E109" s="76"/>
      <c r="F109" s="91"/>
      <c r="G109" s="91"/>
      <c r="H109" s="91"/>
    </row>
    <row r="110" spans="1:12" hidden="1" x14ac:dyDescent="0.3">
      <c r="A110" s="76" t="s">
        <v>111</v>
      </c>
      <c r="B110" s="76"/>
      <c r="C110" s="76"/>
      <c r="D110" s="76"/>
      <c r="E110" s="76"/>
      <c r="F110" s="91"/>
      <c r="G110" s="91"/>
      <c r="H110" s="91"/>
    </row>
    <row r="111" spans="1:12" s="12" customFormat="1" hidden="1" x14ac:dyDescent="0.25">
      <c r="A111" s="76" t="s">
        <v>127</v>
      </c>
      <c r="B111" s="76"/>
      <c r="C111" s="76"/>
      <c r="D111" s="76"/>
      <c r="E111" s="76"/>
      <c r="F111" s="91" t="s">
        <v>30</v>
      </c>
      <c r="G111" s="91"/>
      <c r="H111" s="91"/>
    </row>
    <row r="112" spans="1:12" s="12" customFormat="1" x14ac:dyDescent="0.25">
      <c r="A112" s="76" t="s">
        <v>128</v>
      </c>
      <c r="B112" s="76"/>
      <c r="C112" s="76"/>
      <c r="D112" s="76"/>
      <c r="E112" s="76"/>
      <c r="F112" s="91" t="s">
        <v>218</v>
      </c>
      <c r="G112" s="91"/>
      <c r="H112" s="91"/>
    </row>
    <row r="113" spans="1:8" s="12" customFormat="1" x14ac:dyDescent="0.25">
      <c r="A113" s="76" t="s">
        <v>213</v>
      </c>
      <c r="B113" s="76"/>
      <c r="C113" s="76"/>
      <c r="D113" s="76"/>
      <c r="E113" s="76"/>
      <c r="F113" s="91" t="s">
        <v>214</v>
      </c>
      <c r="G113" s="91"/>
      <c r="H113" s="91"/>
    </row>
    <row r="114" spans="1:8" s="12" customFormat="1" hidden="1" x14ac:dyDescent="0.25">
      <c r="A114" s="76" t="s">
        <v>129</v>
      </c>
      <c r="B114" s="76"/>
      <c r="C114" s="76"/>
      <c r="D114" s="76"/>
      <c r="E114" s="76"/>
      <c r="F114" s="91" t="s">
        <v>30</v>
      </c>
      <c r="G114" s="91"/>
      <c r="H114" s="91"/>
    </row>
    <row r="115" spans="1:8" s="12" customFormat="1" hidden="1" x14ac:dyDescent="0.25">
      <c r="A115" s="76" t="s">
        <v>130</v>
      </c>
      <c r="B115" s="76"/>
      <c r="C115" s="76"/>
      <c r="D115" s="76"/>
      <c r="E115" s="76"/>
      <c r="F115" s="91" t="s">
        <v>30</v>
      </c>
      <c r="G115" s="91"/>
      <c r="H115" s="91"/>
    </row>
    <row r="116" spans="1:8" s="12" customFormat="1" hidden="1" x14ac:dyDescent="0.25">
      <c r="A116" s="76" t="s">
        <v>131</v>
      </c>
      <c r="B116" s="76"/>
      <c r="C116" s="76"/>
      <c r="D116" s="76"/>
      <c r="E116" s="76"/>
      <c r="F116" s="91" t="s">
        <v>30</v>
      </c>
      <c r="G116" s="91"/>
      <c r="H116" s="91"/>
    </row>
    <row r="117" spans="1:8" s="12" customFormat="1" hidden="1" x14ac:dyDescent="0.25">
      <c r="A117" s="76" t="s">
        <v>132</v>
      </c>
      <c r="B117" s="76"/>
      <c r="C117" s="76"/>
      <c r="D117" s="76"/>
      <c r="E117" s="76"/>
      <c r="F117" s="91" t="s">
        <v>30</v>
      </c>
      <c r="G117" s="91"/>
      <c r="H117" s="91"/>
    </row>
    <row r="118" spans="1:8" s="12" customFormat="1" hidden="1" x14ac:dyDescent="0.25">
      <c r="A118" s="76" t="s">
        <v>133</v>
      </c>
      <c r="B118" s="76"/>
      <c r="C118" s="76"/>
      <c r="D118" s="76"/>
      <c r="E118" s="76"/>
      <c r="F118" s="91" t="s">
        <v>30</v>
      </c>
      <c r="G118" s="91"/>
      <c r="H118" s="91"/>
    </row>
    <row r="119" spans="1:8" x14ac:dyDescent="0.3">
      <c r="A119" s="76" t="s">
        <v>56</v>
      </c>
      <c r="B119" s="76"/>
      <c r="C119" s="76"/>
      <c r="D119" s="76"/>
      <c r="E119" s="76"/>
      <c r="F119" s="123" t="s">
        <v>214</v>
      </c>
      <c r="G119" s="123"/>
      <c r="H119" s="123"/>
    </row>
    <row r="120" spans="1:8" s="9" customFormat="1" x14ac:dyDescent="0.3">
      <c r="A120" s="116" t="s">
        <v>57</v>
      </c>
      <c r="B120" s="116"/>
      <c r="C120" s="116"/>
      <c r="D120" s="116"/>
      <c r="E120" s="116"/>
      <c r="F120" s="91">
        <f>F108*0.8</f>
        <v>4160</v>
      </c>
      <c r="G120" s="91"/>
      <c r="H120" s="91"/>
    </row>
    <row r="121" spans="1:8" s="1" customFormat="1" x14ac:dyDescent="0.3">
      <c r="A121" s="85" t="s">
        <v>99</v>
      </c>
      <c r="B121" s="85"/>
      <c r="C121" s="85"/>
      <c r="D121" s="85"/>
      <c r="E121" s="85"/>
      <c r="F121" s="85"/>
      <c r="G121" s="85"/>
      <c r="H121" s="85"/>
    </row>
    <row r="122" spans="1:8" s="1" customFormat="1" ht="15.75" customHeight="1" x14ac:dyDescent="0.3">
      <c r="A122" s="150" t="s">
        <v>58</v>
      </c>
      <c r="B122" s="150"/>
      <c r="C122" s="86" t="s">
        <v>108</v>
      </c>
      <c r="D122" s="86"/>
      <c r="E122" s="88" t="s">
        <v>59</v>
      </c>
      <c r="F122" s="88"/>
      <c r="G122" s="150" t="s">
        <v>60</v>
      </c>
      <c r="H122" s="150"/>
    </row>
    <row r="123" spans="1:8" s="1" customFormat="1" x14ac:dyDescent="0.3">
      <c r="A123" s="148" t="s">
        <v>196</v>
      </c>
      <c r="B123" s="148"/>
      <c r="C123" s="83">
        <f>COUNT(D133:D134,D138:D143)+COUNT(D145:D155)*13+COUNT(D157:D163,D165:D167)*2</f>
        <v>171</v>
      </c>
      <c r="D123" s="83"/>
      <c r="E123" s="84">
        <f>SUM(D133:D134,D138:D143)+SUM(D145:D155)*13+SUM(D157:D163,D165:D167)*2</f>
        <v>73859.446439999985</v>
      </c>
      <c r="F123" s="84"/>
      <c r="G123" s="84">
        <f>SUM(F133:F134,F138:F143)+SUM(F145:F155)*13+SUM(F157:F163,F165:F167)*2</f>
        <v>133988</v>
      </c>
      <c r="H123" s="84"/>
    </row>
    <row r="124" spans="1:8" s="1" customFormat="1" x14ac:dyDescent="0.3">
      <c r="A124" s="148" t="s">
        <v>200</v>
      </c>
      <c r="B124" s="148"/>
      <c r="C124" s="83">
        <f>COUNT(D174:D177)+COUNT(D180:D187)*13+COUNT(D189:D193,D195:D196)*2</f>
        <v>122</v>
      </c>
      <c r="D124" s="83"/>
      <c r="E124" s="84">
        <f>SUM(D174:D177)+SUM(D180:D187)*13+SUM(D189:D193,D195:D196)*2</f>
        <v>64544.17319999999</v>
      </c>
      <c r="F124" s="84"/>
      <c r="G124" s="84">
        <f>SUM(F174:F177)+SUM(F180:F187)*13+SUM(F189:F193,F195:F196)*2</f>
        <v>115900</v>
      </c>
      <c r="H124" s="84"/>
    </row>
    <row r="125" spans="1:8" s="1" customFormat="1" x14ac:dyDescent="0.3">
      <c r="A125" s="148" t="s">
        <v>201</v>
      </c>
      <c r="B125" s="148"/>
      <c r="C125" s="83">
        <f>COUNT(D202:D208)+COUNT(D210:D218)*13+COUNT(D220:D225,D227:D228)*2</f>
        <v>140</v>
      </c>
      <c r="D125" s="83"/>
      <c r="E125" s="84">
        <f>SUM(D202:D208)+SUM(D210:D218)*13+SUM(D220:D225,D227:D228)*2</f>
        <v>62270.601120000007</v>
      </c>
      <c r="F125" s="84"/>
      <c r="G125" s="84">
        <f>SUM(F202:F208)+SUM(F210:F218)*13+SUM(F220:F225,F227:F228)*2</f>
        <v>112784</v>
      </c>
      <c r="H125" s="84"/>
    </row>
    <row r="126" spans="1:8" s="1" customFormat="1" x14ac:dyDescent="0.3">
      <c r="A126" s="85" t="s">
        <v>62</v>
      </c>
      <c r="B126" s="85"/>
      <c r="C126" s="86">
        <f>SUM(C123:D125)</f>
        <v>433</v>
      </c>
      <c r="D126" s="86"/>
      <c r="E126" s="87">
        <f>SUM(E123:F125)</f>
        <v>200674.22076</v>
      </c>
      <c r="F126" s="88"/>
      <c r="G126" s="150">
        <f>SUM(G123:H125)</f>
        <v>362672</v>
      </c>
      <c r="H126" s="150"/>
    </row>
    <row r="127" spans="1:8" s="9" customFormat="1" x14ac:dyDescent="0.3">
      <c r="A127" s="90" t="s">
        <v>63</v>
      </c>
      <c r="B127" s="90"/>
      <c r="C127" s="90"/>
      <c r="D127" s="90"/>
      <c r="E127" s="90"/>
      <c r="F127" s="90"/>
      <c r="G127" s="90"/>
      <c r="H127" s="90"/>
    </row>
    <row r="128" spans="1:8" x14ac:dyDescent="0.3">
      <c r="A128" s="90" t="s">
        <v>64</v>
      </c>
      <c r="B128" s="90"/>
      <c r="C128" s="90"/>
      <c r="D128" s="90"/>
      <c r="E128" s="90"/>
      <c r="F128" s="90"/>
      <c r="G128" s="90"/>
      <c r="H128" s="90"/>
    </row>
    <row r="129" spans="1:14" ht="47.25" customHeight="1" x14ac:dyDescent="0.3">
      <c r="A129" s="48" t="s">
        <v>154</v>
      </c>
      <c r="B129" s="48" t="s">
        <v>155</v>
      </c>
      <c r="C129" s="43" t="s">
        <v>65</v>
      </c>
      <c r="D129" s="43" t="s">
        <v>66</v>
      </c>
      <c r="E129" s="44" t="s">
        <v>67</v>
      </c>
      <c r="F129" s="43" t="s">
        <v>212</v>
      </c>
      <c r="G129" s="157" t="s">
        <v>68</v>
      </c>
      <c r="H129" s="158"/>
      <c r="I129" s="30"/>
    </row>
    <row r="130" spans="1:14" s="2" customFormat="1" x14ac:dyDescent="0.3">
      <c r="A130" s="147" t="s">
        <v>209</v>
      </c>
      <c r="B130" s="147"/>
      <c r="C130" s="147"/>
      <c r="D130" s="147"/>
      <c r="E130" s="147"/>
      <c r="F130" s="147"/>
      <c r="G130" s="147"/>
      <c r="H130" s="147"/>
      <c r="I130" s="30"/>
      <c r="L130" s="159"/>
      <c r="M130" s="159"/>
    </row>
    <row r="131" spans="1:14" s="2" customFormat="1" x14ac:dyDescent="0.3">
      <c r="A131" s="147" t="s">
        <v>220</v>
      </c>
      <c r="B131" s="147"/>
      <c r="C131" s="147"/>
      <c r="D131" s="147"/>
      <c r="E131" s="147"/>
      <c r="F131" s="147"/>
      <c r="G131" s="147"/>
      <c r="H131" s="147"/>
      <c r="I131" s="30"/>
      <c r="L131" s="159"/>
      <c r="M131" s="159"/>
    </row>
    <row r="132" spans="1:14" s="2" customFormat="1" x14ac:dyDescent="0.3">
      <c r="A132" s="147" t="s">
        <v>202</v>
      </c>
      <c r="B132" s="147"/>
      <c r="C132" s="147"/>
      <c r="D132" s="147"/>
      <c r="E132" s="147"/>
      <c r="F132" s="147"/>
      <c r="G132" s="147"/>
      <c r="H132" s="147"/>
      <c r="I132" s="30"/>
      <c r="L132" s="159"/>
      <c r="M132" s="159"/>
    </row>
    <row r="133" spans="1:14" s="2" customFormat="1" ht="15.75" customHeight="1" x14ac:dyDescent="0.3">
      <c r="A133" s="89">
        <v>1</v>
      </c>
      <c r="B133" s="89"/>
      <c r="C133" s="46" t="s">
        <v>197</v>
      </c>
      <c r="D133" s="46">
        <f>49.15*10.764</f>
        <v>529.05059999999992</v>
      </c>
      <c r="E133" s="46">
        <v>0</v>
      </c>
      <c r="F133" s="46">
        <v>950</v>
      </c>
      <c r="G133" s="89" t="str">
        <f>A132</f>
        <v>1st Floor for Residential &amp; Parking</v>
      </c>
      <c r="H133" s="89"/>
      <c r="I133" s="30">
        <f>4750000/F133</f>
        <v>5000</v>
      </c>
      <c r="J133" s="2">
        <f>F133/D133</f>
        <v>1.7956694501433326</v>
      </c>
      <c r="K133" s="30">
        <f>(4.4*3.1+2.75*2.1+2.75*3.65+3.05*3.65+2.1*1.2+1.2*2.1+2.75*0.9+2.25*1)</f>
        <v>50.350000000000009</v>
      </c>
      <c r="N133" s="30"/>
    </row>
    <row r="134" spans="1:14" s="2" customFormat="1" ht="15.75" customHeight="1" x14ac:dyDescent="0.3">
      <c r="A134" s="89">
        <f>A133+1</f>
        <v>2</v>
      </c>
      <c r="B134" s="89"/>
      <c r="C134" s="46" t="s">
        <v>197</v>
      </c>
      <c r="D134" s="46">
        <f>49.15*10.764</f>
        <v>529.05059999999992</v>
      </c>
      <c r="E134" s="46">
        <v>0</v>
      </c>
      <c r="F134" s="46">
        <v>950</v>
      </c>
      <c r="G134" s="89"/>
      <c r="H134" s="89"/>
      <c r="I134" s="30"/>
      <c r="N134" s="30"/>
    </row>
    <row r="135" spans="1:14" s="2" customFormat="1" ht="15.75" customHeight="1" x14ac:dyDescent="0.3">
      <c r="A135" s="89">
        <f>A134+1</f>
        <v>3</v>
      </c>
      <c r="B135" s="89"/>
      <c r="C135" s="89" t="s">
        <v>199</v>
      </c>
      <c r="D135" s="89"/>
      <c r="E135" s="89"/>
      <c r="F135" s="89"/>
      <c r="G135" s="89"/>
      <c r="H135" s="89"/>
      <c r="I135" s="30"/>
      <c r="N135" s="30"/>
    </row>
    <row r="136" spans="1:14" s="2" customFormat="1" ht="15.75" customHeight="1" x14ac:dyDescent="0.3">
      <c r="A136" s="89">
        <f t="shared" ref="A136:A143" si="0">A135+1</f>
        <v>4</v>
      </c>
      <c r="B136" s="89"/>
      <c r="C136" s="89"/>
      <c r="D136" s="89"/>
      <c r="E136" s="89"/>
      <c r="F136" s="89"/>
      <c r="G136" s="89"/>
      <c r="H136" s="89"/>
      <c r="I136" s="30"/>
      <c r="N136" s="30"/>
    </row>
    <row r="137" spans="1:14" s="2" customFormat="1" ht="15.75" customHeight="1" x14ac:dyDescent="0.3">
      <c r="A137" s="89">
        <f t="shared" si="0"/>
        <v>5</v>
      </c>
      <c r="B137" s="89"/>
      <c r="C137" s="89"/>
      <c r="D137" s="89"/>
      <c r="E137" s="89"/>
      <c r="F137" s="89"/>
      <c r="G137" s="89"/>
      <c r="H137" s="89"/>
      <c r="I137" s="30"/>
      <c r="N137" s="30"/>
    </row>
    <row r="138" spans="1:14" s="2" customFormat="1" x14ac:dyDescent="0.3">
      <c r="A138" s="89">
        <f t="shared" si="0"/>
        <v>6</v>
      </c>
      <c r="B138" s="89"/>
      <c r="C138" s="46" t="s">
        <v>197</v>
      </c>
      <c r="D138" s="46">
        <f t="shared" ref="D138:D139" si="1">49.15*10.764</f>
        <v>529.05059999999992</v>
      </c>
      <c r="E138" s="46">
        <v>0</v>
      </c>
      <c r="F138" s="46">
        <v>950</v>
      </c>
      <c r="G138" s="89"/>
      <c r="H138" s="89"/>
      <c r="I138" s="30"/>
      <c r="N138" s="30"/>
    </row>
    <row r="139" spans="1:14" s="2" customFormat="1" x14ac:dyDescent="0.3">
      <c r="A139" s="89">
        <f t="shared" si="0"/>
        <v>7</v>
      </c>
      <c r="B139" s="89"/>
      <c r="C139" s="46" t="s">
        <v>197</v>
      </c>
      <c r="D139" s="46">
        <f t="shared" si="1"/>
        <v>529.05059999999992</v>
      </c>
      <c r="E139" s="46">
        <v>0</v>
      </c>
      <c r="F139" s="46">
        <v>950</v>
      </c>
      <c r="G139" s="89"/>
      <c r="H139" s="89"/>
      <c r="I139" s="30"/>
      <c r="N139" s="30"/>
    </row>
    <row r="140" spans="1:14" s="2" customFormat="1" x14ac:dyDescent="0.3">
      <c r="A140" s="89">
        <f t="shared" si="0"/>
        <v>8</v>
      </c>
      <c r="B140" s="89"/>
      <c r="C140" s="46" t="s">
        <v>198</v>
      </c>
      <c r="D140" s="46">
        <f>34.73*10.764</f>
        <v>373.83371999999997</v>
      </c>
      <c r="E140" s="46">
        <v>0</v>
      </c>
      <c r="F140" s="46">
        <v>684</v>
      </c>
      <c r="G140" s="89"/>
      <c r="H140" s="89"/>
      <c r="I140" s="30">
        <f>3350000/F140</f>
        <v>4897.6608187134507</v>
      </c>
      <c r="J140" s="2">
        <f>F140/D140</f>
        <v>1.829690483779794</v>
      </c>
      <c r="N140" s="30"/>
    </row>
    <row r="141" spans="1:14" s="2" customFormat="1" x14ac:dyDescent="0.3">
      <c r="A141" s="89">
        <f t="shared" si="0"/>
        <v>9</v>
      </c>
      <c r="B141" s="89"/>
      <c r="C141" s="46" t="s">
        <v>198</v>
      </c>
      <c r="D141" s="46">
        <f t="shared" ref="D141:D143" si="2">34.73*10.764</f>
        <v>373.83371999999997</v>
      </c>
      <c r="E141" s="46">
        <v>0</v>
      </c>
      <c r="F141" s="46">
        <v>684</v>
      </c>
      <c r="G141" s="89"/>
      <c r="H141" s="89"/>
      <c r="I141" s="30"/>
      <c r="N141" s="30"/>
    </row>
    <row r="142" spans="1:14" s="2" customFormat="1" x14ac:dyDescent="0.3">
      <c r="A142" s="89">
        <f t="shared" si="0"/>
        <v>10</v>
      </c>
      <c r="B142" s="89"/>
      <c r="C142" s="46" t="s">
        <v>198</v>
      </c>
      <c r="D142" s="46">
        <f t="shared" si="2"/>
        <v>373.83371999999997</v>
      </c>
      <c r="E142" s="46">
        <v>0</v>
      </c>
      <c r="F142" s="46">
        <v>684</v>
      </c>
      <c r="G142" s="89"/>
      <c r="H142" s="89"/>
      <c r="I142" s="30"/>
      <c r="N142" s="30"/>
    </row>
    <row r="143" spans="1:14" s="2" customFormat="1" x14ac:dyDescent="0.3">
      <c r="A143" s="89">
        <f t="shared" si="0"/>
        <v>11</v>
      </c>
      <c r="B143" s="89"/>
      <c r="C143" s="46" t="s">
        <v>198</v>
      </c>
      <c r="D143" s="46">
        <f t="shared" si="2"/>
        <v>373.83371999999997</v>
      </c>
      <c r="E143" s="46">
        <v>0</v>
      </c>
      <c r="F143" s="46">
        <v>684</v>
      </c>
      <c r="G143" s="89"/>
      <c r="H143" s="89"/>
      <c r="I143" s="63">
        <f>F143/D143</f>
        <v>1.829690483779794</v>
      </c>
      <c r="N143" s="30"/>
    </row>
    <row r="144" spans="1:14" s="2" customFormat="1" x14ac:dyDescent="0.3">
      <c r="A144" s="178" t="s">
        <v>221</v>
      </c>
      <c r="B144" s="179"/>
      <c r="C144" s="179"/>
      <c r="D144" s="179"/>
      <c r="E144" s="179"/>
      <c r="F144" s="179"/>
      <c r="G144" s="179"/>
      <c r="H144" s="180"/>
      <c r="I144" s="30"/>
    </row>
    <row r="145" spans="1:16" s="2" customFormat="1" ht="15.75" customHeight="1" x14ac:dyDescent="0.3">
      <c r="A145" s="67">
        <v>1</v>
      </c>
      <c r="B145" s="68"/>
      <c r="C145" s="46" t="s">
        <v>197</v>
      </c>
      <c r="D145" s="46">
        <f t="shared" ref="D145:D146" si="3">49.15*10.764</f>
        <v>529.05059999999992</v>
      </c>
      <c r="E145" s="46">
        <v>0</v>
      </c>
      <c r="F145" s="46">
        <v>950</v>
      </c>
      <c r="G145" s="69" t="str">
        <f>A144</f>
        <v xml:space="preserve">2nd to 7th, 9th to 12th &amp; 14th to 16th Floor </v>
      </c>
      <c r="H145" s="70"/>
      <c r="I145" s="30"/>
      <c r="N145" s="2" t="str">
        <f t="shared" ref="N145:N154" ca="1" si="4">O145&amp;""&amp;" to "&amp;""&amp;P145</f>
        <v>201 to 1601</v>
      </c>
      <c r="O145" s="2">
        <f ca="1">(SUMPRODUCT(MID(0&amp;(LEFT(A144,SUM(LEN(A144)-LEN(SUBSTITUTE(A144,{"0","1","2"},""))))), LARGE(INDEX(ISNUMBER(--MID((LEFT(A144,SUM(LEN(A144)-LEN(SUBSTITUTE(A144,{"0","1","2"},""))))), ROW(INDIRECT("1:"&amp;LEN((LEFT(A144,SUM(LEN(A144)-LEN(SUBSTITUTE(A144,{"0","1","2"},"")))))))), 1)) * ROW(INDIRECT("1:"&amp;LEN((LEFT(A144,SUM(LEN(A144)-LEN(SUBSTITUTE(A144,{"0","1","2"},"")))))))), 0), ROW(INDIRECT("1:"&amp;LEN((LEFT(A144,SUM(LEN(A144)-LEN(SUBSTITUTE(A144,{"0","1","2"},"")))))))))+1, 1) * 10^ROW(INDIRECT("1:"&amp;LEN((LEFT(A144,SUM(LEN(A144)-LEN(SUBSTITUTE(A144,{"0","1","2"},""))))))))/10))*100+1</f>
        <v>201</v>
      </c>
      <c r="P145" s="2">
        <f ca="1">(SUMPRODUCT(MID(0&amp;(--TRIM(RIGHT(SUBSTITUTE(LEFT(A144,_xlfn.AGGREGATE(16,6,FIND({0,1,2,3,4,5,6,7,8,9},A144,ROW(INDIRECT("1:"&amp;LEN(A144)))),1))," ",REPT(" ",LEN(A144))),LEN(A144)))), LARGE(INDEX(ISNUMBER(--MID((--TRIM(RIGHT(SUBSTITUTE(LEFT(A144,_xlfn.AGGREGATE(16,6,FIND({0,1,2,3,4,5,6,7,8,9},A144,ROW(INDIRECT("1:"&amp;LEN(A144)))),1))," ",REPT(" ",LEN(A144))),LEN(A144)))), ROW(INDIRECT("1:"&amp;LEN((--TRIM(RIGHT(SUBSTITUTE(LEFT(A144,_xlfn.AGGREGATE(16,6,FIND({0,1,2,3,4,5,6,7,8,9},A144,ROW(INDIRECT("1:"&amp;LEN(A144)))),1))," ",REPT(" ",LEN(A144))),LEN(A144))))))), 1)) * ROW(INDIRECT("1:"&amp;LEN((--TRIM(RIGHT(SUBSTITUTE(LEFT(A144,_xlfn.AGGREGATE(16,6,FIND({0,1,2,3,4,5,6,7,8,9},A144,ROW(INDIRECT("1:"&amp;LEN(A144)))),1))," ",REPT(" ",LEN(A144))),LEN(A144))))))), 0), ROW(INDIRECT("1:"&amp;LEN((--TRIM(RIGHT(SUBSTITUTE(LEFT(A144,_xlfn.AGGREGATE(16,6,FIND({0,1,2,3,4,5,6,7,8,9},A144,ROW(INDIRECT("1:"&amp;LEN(A144)))),1))," ",REPT(" ",LEN(A144))),LEN(A144))))))))+1, 1) * 10^ROW(INDIRECT("1:"&amp;LEN((--TRIM(RIGHT(SUBSTITUTE(LEFT(A144,_xlfn.AGGREGATE(16,6,FIND({0,1,2,3,4,5,6,7,8,9},A144,ROW(INDIRECT("1:"&amp;LEN(A144)))),1))," ",REPT(" ",LEN(A144))),LEN(A144)))))))/10))*100+1</f>
        <v>1601</v>
      </c>
    </row>
    <row r="146" spans="1:16" s="2" customFormat="1" ht="15.75" customHeight="1" x14ac:dyDescent="0.3">
      <c r="A146" s="67">
        <v>2</v>
      </c>
      <c r="B146" s="68"/>
      <c r="C146" s="46" t="s">
        <v>197</v>
      </c>
      <c r="D146" s="46">
        <f t="shared" si="3"/>
        <v>529.05059999999992</v>
      </c>
      <c r="E146" s="46">
        <v>0</v>
      </c>
      <c r="F146" s="46">
        <v>950</v>
      </c>
      <c r="G146" s="71"/>
      <c r="H146" s="72"/>
      <c r="I146" s="30"/>
      <c r="N146" s="2" t="str">
        <f t="shared" ca="1" si="4"/>
        <v>202 to 1602</v>
      </c>
      <c r="O146" s="2">
        <f t="shared" ref="O146:P146" ca="1" si="5">O145+1</f>
        <v>202</v>
      </c>
      <c r="P146" s="2">
        <f t="shared" ca="1" si="5"/>
        <v>1602</v>
      </c>
    </row>
    <row r="147" spans="1:16" s="2" customFormat="1" ht="15.75" customHeight="1" x14ac:dyDescent="0.3">
      <c r="A147" s="67">
        <v>3</v>
      </c>
      <c r="B147" s="68"/>
      <c r="C147" s="46" t="s">
        <v>198</v>
      </c>
      <c r="D147" s="46">
        <f t="shared" ref="D147:D149" si="6">34.73*10.764</f>
        <v>373.83371999999997</v>
      </c>
      <c r="E147" s="46">
        <v>0</v>
      </c>
      <c r="F147" s="46">
        <v>684</v>
      </c>
      <c r="G147" s="71"/>
      <c r="H147" s="72"/>
      <c r="I147" s="30"/>
      <c r="N147" s="2" t="str">
        <f t="shared" ca="1" si="4"/>
        <v>203 to 1603</v>
      </c>
      <c r="O147" s="2">
        <f t="shared" ref="O147:P147" ca="1" si="7">O146+1</f>
        <v>203</v>
      </c>
      <c r="P147" s="2">
        <f t="shared" ca="1" si="7"/>
        <v>1603</v>
      </c>
    </row>
    <row r="148" spans="1:16" s="2" customFormat="1" ht="15.75" customHeight="1" x14ac:dyDescent="0.3">
      <c r="A148" s="67">
        <v>4</v>
      </c>
      <c r="B148" s="68"/>
      <c r="C148" s="46" t="s">
        <v>198</v>
      </c>
      <c r="D148" s="46">
        <f t="shared" si="6"/>
        <v>373.83371999999997</v>
      </c>
      <c r="E148" s="46">
        <v>0</v>
      </c>
      <c r="F148" s="46">
        <v>684</v>
      </c>
      <c r="G148" s="71"/>
      <c r="H148" s="72"/>
      <c r="I148" s="30"/>
      <c r="N148" s="2" t="str">
        <f t="shared" ca="1" si="4"/>
        <v>204 to 1604</v>
      </c>
      <c r="O148" s="2">
        <f t="shared" ref="O148:P148" ca="1" si="8">O147+1</f>
        <v>204</v>
      </c>
      <c r="P148" s="2">
        <f t="shared" ca="1" si="8"/>
        <v>1604</v>
      </c>
    </row>
    <row r="149" spans="1:16" s="2" customFormat="1" ht="15.75" customHeight="1" x14ac:dyDescent="0.3">
      <c r="A149" s="67">
        <v>5</v>
      </c>
      <c r="B149" s="68"/>
      <c r="C149" s="46" t="s">
        <v>198</v>
      </c>
      <c r="D149" s="46">
        <f t="shared" si="6"/>
        <v>373.83371999999997</v>
      </c>
      <c r="E149" s="46">
        <v>0</v>
      </c>
      <c r="F149" s="46">
        <v>684</v>
      </c>
      <c r="G149" s="71"/>
      <c r="H149" s="72"/>
      <c r="I149" s="30"/>
      <c r="N149" s="2" t="str">
        <f t="shared" ca="1" si="4"/>
        <v>205 to 1605</v>
      </c>
      <c r="O149" s="2">
        <f t="shared" ref="O149:P149" ca="1" si="9">O148+1</f>
        <v>205</v>
      </c>
      <c r="P149" s="2">
        <f t="shared" ca="1" si="9"/>
        <v>1605</v>
      </c>
    </row>
    <row r="150" spans="1:16" s="2" customFormat="1" ht="15.75" customHeight="1" x14ac:dyDescent="0.3">
      <c r="A150" s="67">
        <v>6</v>
      </c>
      <c r="B150" s="68"/>
      <c r="C150" s="46" t="s">
        <v>197</v>
      </c>
      <c r="D150" s="46">
        <f t="shared" ref="D150:D151" si="10">49.15*10.764</f>
        <v>529.05059999999992</v>
      </c>
      <c r="E150" s="46">
        <v>0</v>
      </c>
      <c r="F150" s="46">
        <v>950</v>
      </c>
      <c r="G150" s="71"/>
      <c r="H150" s="72"/>
      <c r="I150" s="30"/>
      <c r="N150" s="2" t="str">
        <f t="shared" ca="1" si="4"/>
        <v>206 to 1606</v>
      </c>
      <c r="O150" s="2">
        <f t="shared" ref="O150:P150" ca="1" si="11">O149+1</f>
        <v>206</v>
      </c>
      <c r="P150" s="2">
        <f t="shared" ca="1" si="11"/>
        <v>1606</v>
      </c>
    </row>
    <row r="151" spans="1:16" s="2" customFormat="1" ht="15.75" customHeight="1" x14ac:dyDescent="0.3">
      <c r="A151" s="67">
        <v>7</v>
      </c>
      <c r="B151" s="68"/>
      <c r="C151" s="46" t="s">
        <v>197</v>
      </c>
      <c r="D151" s="46">
        <f t="shared" si="10"/>
        <v>529.05059999999992</v>
      </c>
      <c r="E151" s="46">
        <v>0</v>
      </c>
      <c r="F151" s="46">
        <v>950</v>
      </c>
      <c r="G151" s="71"/>
      <c r="H151" s="72"/>
      <c r="I151" s="30"/>
      <c r="N151" s="2" t="str">
        <f t="shared" ca="1" si="4"/>
        <v>207 to 1607</v>
      </c>
      <c r="O151" s="2">
        <f t="shared" ref="O151:P151" ca="1" si="12">O150+1</f>
        <v>207</v>
      </c>
      <c r="P151" s="2">
        <f t="shared" ca="1" si="12"/>
        <v>1607</v>
      </c>
    </row>
    <row r="152" spans="1:16" s="2" customFormat="1" ht="15.75" customHeight="1" x14ac:dyDescent="0.3">
      <c r="A152" s="67">
        <v>8</v>
      </c>
      <c r="B152" s="68"/>
      <c r="C152" s="46" t="s">
        <v>198</v>
      </c>
      <c r="D152" s="46">
        <f t="shared" ref="D152:D155" si="13">34.73*10.764</f>
        <v>373.83371999999997</v>
      </c>
      <c r="E152" s="46">
        <v>0</v>
      </c>
      <c r="F152" s="46">
        <v>684</v>
      </c>
      <c r="G152" s="71"/>
      <c r="H152" s="72"/>
      <c r="I152" s="30"/>
      <c r="N152" s="2" t="str">
        <f t="shared" ca="1" si="4"/>
        <v>208 to 1608</v>
      </c>
      <c r="O152" s="2">
        <f t="shared" ref="O152:P152" ca="1" si="14">O151+1</f>
        <v>208</v>
      </c>
      <c r="P152" s="2">
        <f t="shared" ca="1" si="14"/>
        <v>1608</v>
      </c>
    </row>
    <row r="153" spans="1:16" s="2" customFormat="1" ht="15.75" customHeight="1" x14ac:dyDescent="0.3">
      <c r="A153" s="67">
        <v>9</v>
      </c>
      <c r="B153" s="68"/>
      <c r="C153" s="46" t="s">
        <v>198</v>
      </c>
      <c r="D153" s="46">
        <f t="shared" si="13"/>
        <v>373.83371999999997</v>
      </c>
      <c r="E153" s="46">
        <v>0</v>
      </c>
      <c r="F153" s="46">
        <v>684</v>
      </c>
      <c r="G153" s="71"/>
      <c r="H153" s="72"/>
      <c r="I153" s="30"/>
      <c r="N153" s="2" t="str">
        <f t="shared" ca="1" si="4"/>
        <v>209 to 1609</v>
      </c>
      <c r="O153" s="2">
        <f t="shared" ref="O153:P153" ca="1" si="15">O152+1</f>
        <v>209</v>
      </c>
      <c r="P153" s="2">
        <f t="shared" ca="1" si="15"/>
        <v>1609</v>
      </c>
    </row>
    <row r="154" spans="1:16" s="2" customFormat="1" ht="15.75" customHeight="1" x14ac:dyDescent="0.3">
      <c r="A154" s="67">
        <v>10</v>
      </c>
      <c r="B154" s="68"/>
      <c r="C154" s="46" t="s">
        <v>198</v>
      </c>
      <c r="D154" s="46">
        <f t="shared" si="13"/>
        <v>373.83371999999997</v>
      </c>
      <c r="E154" s="46">
        <v>0</v>
      </c>
      <c r="F154" s="46">
        <v>684</v>
      </c>
      <c r="G154" s="71"/>
      <c r="H154" s="72"/>
      <c r="I154" s="30"/>
      <c r="N154" s="2" t="str">
        <f t="shared" ca="1" si="4"/>
        <v>210 to 1610</v>
      </c>
      <c r="O154" s="2">
        <f t="shared" ref="O154:P155" ca="1" si="16">O153+1</f>
        <v>210</v>
      </c>
      <c r="P154" s="2">
        <f t="shared" ca="1" si="16"/>
        <v>1610</v>
      </c>
    </row>
    <row r="155" spans="1:16" s="2" customFormat="1" ht="15.75" customHeight="1" x14ac:dyDescent="0.3">
      <c r="A155" s="67">
        <v>11</v>
      </c>
      <c r="B155" s="68"/>
      <c r="C155" s="46" t="s">
        <v>198</v>
      </c>
      <c r="D155" s="46">
        <f t="shared" si="13"/>
        <v>373.83371999999997</v>
      </c>
      <c r="E155" s="46">
        <v>0</v>
      </c>
      <c r="F155" s="46">
        <v>684</v>
      </c>
      <c r="G155" s="73"/>
      <c r="H155" s="74"/>
      <c r="I155" s="30">
        <f>(4.05*3.65+2.1*2.75+3.35*2.75+1.2*1.2+1.5*0.9+0.9*2+2.25*1)</f>
        <v>36.609999999999992</v>
      </c>
      <c r="N155" s="2" t="str">
        <f t="shared" ref="N155" ca="1" si="17">O155&amp;""&amp;" to "&amp;""&amp;P155</f>
        <v>211 to 1611</v>
      </c>
      <c r="O155" s="2">
        <f t="shared" ca="1" si="16"/>
        <v>211</v>
      </c>
      <c r="P155" s="2">
        <f t="shared" ca="1" si="16"/>
        <v>1611</v>
      </c>
    </row>
    <row r="156" spans="1:16" s="2" customFormat="1" x14ac:dyDescent="0.3">
      <c r="A156" s="178" t="s">
        <v>222</v>
      </c>
      <c r="B156" s="179"/>
      <c r="C156" s="179"/>
      <c r="D156" s="179"/>
      <c r="E156" s="179"/>
      <c r="F156" s="179"/>
      <c r="G156" s="179"/>
      <c r="H156" s="180"/>
      <c r="I156" s="30"/>
    </row>
    <row r="157" spans="1:16" s="2" customFormat="1" ht="15.75" customHeight="1" x14ac:dyDescent="0.3">
      <c r="A157" s="67">
        <v>1</v>
      </c>
      <c r="B157" s="68"/>
      <c r="C157" s="46" t="s">
        <v>197</v>
      </c>
      <c r="D157" s="46">
        <f t="shared" ref="D157:D158" si="18">49.15*10.764</f>
        <v>529.05059999999992</v>
      </c>
      <c r="E157" s="46">
        <v>0</v>
      </c>
      <c r="F157" s="46">
        <v>950</v>
      </c>
      <c r="G157" s="69" t="str">
        <f>A156</f>
        <v>8th &amp; 13th Floor (Part Refuge Area)</v>
      </c>
      <c r="H157" s="70"/>
      <c r="I157" s="30"/>
      <c r="N157" s="2" t="str">
        <f t="shared" ref="N157:N167" ca="1" si="19">O157&amp;""&amp;" to "&amp;""&amp;P157</f>
        <v>801 to 1301</v>
      </c>
      <c r="O157" s="2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10^ROW(INDIRECT("1:"&amp;LEN((LEFT(A156,SUM(LEN(A156)-LEN(SUBSTITUTE(A156,{"0","1","2"},""))))))))/10))*100+1</f>
        <v>801</v>
      </c>
      <c r="P157" s="2">
        <f ca="1">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",LEN(A156))),LEN(A156)))))))/10))*100+1</f>
        <v>1301</v>
      </c>
    </row>
    <row r="158" spans="1:16" s="2" customFormat="1" ht="15.75" customHeight="1" x14ac:dyDescent="0.3">
      <c r="A158" s="67">
        <v>2</v>
      </c>
      <c r="B158" s="68"/>
      <c r="C158" s="46" t="s">
        <v>197</v>
      </c>
      <c r="D158" s="46">
        <f t="shared" si="18"/>
        <v>529.05059999999992</v>
      </c>
      <c r="E158" s="46">
        <v>0</v>
      </c>
      <c r="F158" s="46">
        <v>950</v>
      </c>
      <c r="G158" s="71"/>
      <c r="H158" s="72"/>
      <c r="I158" s="30"/>
      <c r="N158" s="2" t="str">
        <f t="shared" ca="1" si="19"/>
        <v>802 to 1302</v>
      </c>
      <c r="O158" s="2">
        <f t="shared" ref="O158:P158" ca="1" si="20">O157+1</f>
        <v>802</v>
      </c>
      <c r="P158" s="2">
        <f t="shared" ca="1" si="20"/>
        <v>1302</v>
      </c>
    </row>
    <row r="159" spans="1:16" s="2" customFormat="1" ht="15.75" customHeight="1" x14ac:dyDescent="0.3">
      <c r="A159" s="67">
        <v>3</v>
      </c>
      <c r="B159" s="68"/>
      <c r="C159" s="46" t="s">
        <v>198</v>
      </c>
      <c r="D159" s="46">
        <f t="shared" ref="D159:D161" si="21">34.73*10.764</f>
        <v>373.83371999999997</v>
      </c>
      <c r="E159" s="46">
        <v>0</v>
      </c>
      <c r="F159" s="46">
        <v>684</v>
      </c>
      <c r="G159" s="71"/>
      <c r="H159" s="72"/>
      <c r="I159" s="30"/>
      <c r="N159" s="2" t="str">
        <f t="shared" ca="1" si="19"/>
        <v>803 to 1303</v>
      </c>
      <c r="O159" s="2">
        <f t="shared" ref="O159:P159" ca="1" si="22">O158+1</f>
        <v>803</v>
      </c>
      <c r="P159" s="2">
        <f t="shared" ca="1" si="22"/>
        <v>1303</v>
      </c>
    </row>
    <row r="160" spans="1:16" s="2" customFormat="1" ht="15.75" customHeight="1" x14ac:dyDescent="0.3">
      <c r="A160" s="67">
        <v>4</v>
      </c>
      <c r="B160" s="68"/>
      <c r="C160" s="46" t="s">
        <v>198</v>
      </c>
      <c r="D160" s="46">
        <f t="shared" si="21"/>
        <v>373.83371999999997</v>
      </c>
      <c r="E160" s="46">
        <v>0</v>
      </c>
      <c r="F160" s="46">
        <v>684</v>
      </c>
      <c r="G160" s="71"/>
      <c r="H160" s="72"/>
      <c r="I160" s="30"/>
      <c r="N160" s="2" t="str">
        <f t="shared" ca="1" si="19"/>
        <v>804 to 1304</v>
      </c>
      <c r="O160" s="2">
        <f t="shared" ref="O160:P160" ca="1" si="23">O159+1</f>
        <v>804</v>
      </c>
      <c r="P160" s="2">
        <f t="shared" ca="1" si="23"/>
        <v>1304</v>
      </c>
    </row>
    <row r="161" spans="1:16" s="2" customFormat="1" ht="15.75" customHeight="1" x14ac:dyDescent="0.3">
      <c r="A161" s="67">
        <v>5</v>
      </c>
      <c r="B161" s="68"/>
      <c r="C161" s="46" t="s">
        <v>198</v>
      </c>
      <c r="D161" s="46">
        <f t="shared" si="21"/>
        <v>373.83371999999997</v>
      </c>
      <c r="E161" s="46">
        <v>0</v>
      </c>
      <c r="F161" s="46">
        <v>684</v>
      </c>
      <c r="G161" s="71"/>
      <c r="H161" s="72"/>
      <c r="I161" s="30"/>
      <c r="N161" s="2" t="str">
        <f t="shared" ca="1" si="19"/>
        <v>805 to 1305</v>
      </c>
      <c r="O161" s="2">
        <f t="shared" ref="O161:P161" ca="1" si="24">O160+1</f>
        <v>805</v>
      </c>
      <c r="P161" s="2">
        <f t="shared" ca="1" si="24"/>
        <v>1305</v>
      </c>
    </row>
    <row r="162" spans="1:16" s="2" customFormat="1" ht="15.75" customHeight="1" x14ac:dyDescent="0.3">
      <c r="A162" s="67">
        <v>6</v>
      </c>
      <c r="B162" s="68"/>
      <c r="C162" s="46" t="s">
        <v>197</v>
      </c>
      <c r="D162" s="46">
        <f t="shared" ref="D162:D163" si="25">49.15*10.764</f>
        <v>529.05059999999992</v>
      </c>
      <c r="E162" s="46">
        <v>0</v>
      </c>
      <c r="F162" s="46">
        <v>950</v>
      </c>
      <c r="G162" s="71"/>
      <c r="H162" s="72"/>
      <c r="I162" s="30"/>
      <c r="N162" s="2" t="str">
        <f t="shared" ca="1" si="19"/>
        <v>806 to 1306</v>
      </c>
      <c r="O162" s="2">
        <f t="shared" ref="O162:P162" ca="1" si="26">O161+1</f>
        <v>806</v>
      </c>
      <c r="P162" s="2">
        <f t="shared" ca="1" si="26"/>
        <v>1306</v>
      </c>
    </row>
    <row r="163" spans="1:16" s="2" customFormat="1" ht="15.75" customHeight="1" x14ac:dyDescent="0.3">
      <c r="A163" s="67">
        <v>7</v>
      </c>
      <c r="B163" s="68"/>
      <c r="C163" s="46" t="s">
        <v>197</v>
      </c>
      <c r="D163" s="46">
        <f t="shared" si="25"/>
        <v>529.05059999999992</v>
      </c>
      <c r="E163" s="46">
        <v>0</v>
      </c>
      <c r="F163" s="46">
        <v>950</v>
      </c>
      <c r="G163" s="71"/>
      <c r="H163" s="72"/>
      <c r="I163" s="30"/>
      <c r="N163" s="2" t="str">
        <f t="shared" ca="1" si="19"/>
        <v>807 to 1307</v>
      </c>
      <c r="O163" s="2">
        <f t="shared" ref="O163:P163" ca="1" si="27">O162+1</f>
        <v>807</v>
      </c>
      <c r="P163" s="2">
        <f t="shared" ca="1" si="27"/>
        <v>1307</v>
      </c>
    </row>
    <row r="164" spans="1:16" s="2" customFormat="1" ht="15.75" customHeight="1" x14ac:dyDescent="0.3">
      <c r="A164" s="67">
        <v>8</v>
      </c>
      <c r="B164" s="68"/>
      <c r="C164" s="67" t="s">
        <v>223</v>
      </c>
      <c r="D164" s="75"/>
      <c r="E164" s="75"/>
      <c r="F164" s="68"/>
      <c r="G164" s="71"/>
      <c r="H164" s="72"/>
      <c r="I164" s="30"/>
      <c r="N164" s="2" t="str">
        <f t="shared" ca="1" si="19"/>
        <v>808 to 1308</v>
      </c>
      <c r="O164" s="2">
        <f t="shared" ref="O164:P164" ca="1" si="28">O163+1</f>
        <v>808</v>
      </c>
      <c r="P164" s="2">
        <f t="shared" ca="1" si="28"/>
        <v>1308</v>
      </c>
    </row>
    <row r="165" spans="1:16" s="2" customFormat="1" ht="15.75" customHeight="1" x14ac:dyDescent="0.3">
      <c r="A165" s="67">
        <v>9</v>
      </c>
      <c r="B165" s="68"/>
      <c r="C165" s="46" t="s">
        <v>198</v>
      </c>
      <c r="D165" s="46">
        <f t="shared" ref="D165:D167" si="29">34.73*10.764</f>
        <v>373.83371999999997</v>
      </c>
      <c r="E165" s="46">
        <v>0</v>
      </c>
      <c r="F165" s="46">
        <v>684</v>
      </c>
      <c r="G165" s="71"/>
      <c r="H165" s="72"/>
      <c r="I165" s="30"/>
      <c r="N165" s="2" t="str">
        <f t="shared" ca="1" si="19"/>
        <v>809 to 1309</v>
      </c>
      <c r="O165" s="2">
        <f t="shared" ref="O165:P165" ca="1" si="30">O164+1</f>
        <v>809</v>
      </c>
      <c r="P165" s="2">
        <f t="shared" ca="1" si="30"/>
        <v>1309</v>
      </c>
    </row>
    <row r="166" spans="1:16" s="2" customFormat="1" ht="15.75" customHeight="1" x14ac:dyDescent="0.3">
      <c r="A166" s="67">
        <v>10</v>
      </c>
      <c r="B166" s="68"/>
      <c r="C166" s="46" t="s">
        <v>198</v>
      </c>
      <c r="D166" s="46">
        <f t="shared" si="29"/>
        <v>373.83371999999997</v>
      </c>
      <c r="E166" s="46">
        <v>0</v>
      </c>
      <c r="F166" s="46">
        <v>684</v>
      </c>
      <c r="G166" s="71"/>
      <c r="H166" s="72"/>
      <c r="I166" s="30"/>
      <c r="N166" s="2" t="str">
        <f t="shared" ca="1" si="19"/>
        <v>810 to 1310</v>
      </c>
      <c r="O166" s="2">
        <f t="shared" ref="O166:P166" ca="1" si="31">O165+1</f>
        <v>810</v>
      </c>
      <c r="P166" s="2">
        <f t="shared" ca="1" si="31"/>
        <v>1310</v>
      </c>
    </row>
    <row r="167" spans="1:16" s="2" customFormat="1" ht="15.75" customHeight="1" x14ac:dyDescent="0.3">
      <c r="A167" s="67">
        <v>11</v>
      </c>
      <c r="B167" s="68"/>
      <c r="C167" s="46" t="s">
        <v>198</v>
      </c>
      <c r="D167" s="46">
        <f t="shared" si="29"/>
        <v>373.83371999999997</v>
      </c>
      <c r="E167" s="46">
        <v>0</v>
      </c>
      <c r="F167" s="46">
        <v>684</v>
      </c>
      <c r="G167" s="73"/>
      <c r="H167" s="74"/>
      <c r="I167" s="30">
        <f>(4.05*3.65+2.1*2.75+3.35*2.75+1.2*1.2+1.5*0.9+0.9*2+2.25*1)</f>
        <v>36.609999999999992</v>
      </c>
      <c r="N167" s="2" t="str">
        <f t="shared" ca="1" si="19"/>
        <v>811 to 1311</v>
      </c>
      <c r="O167" s="2">
        <f t="shared" ref="O167:P167" ca="1" si="32">O166+1</f>
        <v>811</v>
      </c>
      <c r="P167" s="2">
        <f t="shared" ca="1" si="32"/>
        <v>1311</v>
      </c>
    </row>
    <row r="168" spans="1:16" s="2" customFormat="1" x14ac:dyDescent="0.3">
      <c r="A168" s="147" t="s">
        <v>208</v>
      </c>
      <c r="B168" s="147"/>
      <c r="C168" s="147"/>
      <c r="D168" s="147"/>
      <c r="E168" s="147"/>
      <c r="F168" s="147"/>
      <c r="G168" s="147"/>
      <c r="H168" s="147"/>
      <c r="I168" s="30"/>
      <c r="L168" s="159"/>
      <c r="M168" s="159"/>
    </row>
    <row r="169" spans="1:16" s="2" customFormat="1" x14ac:dyDescent="0.3">
      <c r="A169" s="177" t="s">
        <v>220</v>
      </c>
      <c r="B169" s="177"/>
      <c r="C169" s="177"/>
      <c r="D169" s="177"/>
      <c r="E169" s="177"/>
      <c r="F169" s="177"/>
      <c r="G169" s="177"/>
      <c r="H169" s="177"/>
      <c r="I169" s="30"/>
      <c r="L169" s="159"/>
      <c r="M169" s="159"/>
    </row>
    <row r="170" spans="1:16" s="2" customFormat="1" x14ac:dyDescent="0.3">
      <c r="A170" s="147" t="s">
        <v>202</v>
      </c>
      <c r="B170" s="147"/>
      <c r="C170" s="147"/>
      <c r="D170" s="147"/>
      <c r="E170" s="147"/>
      <c r="F170" s="147"/>
      <c r="G170" s="147"/>
      <c r="H170" s="147"/>
      <c r="I170" s="30"/>
      <c r="L170" s="159"/>
      <c r="M170" s="159"/>
    </row>
    <row r="171" spans="1:16" s="2" customFormat="1" ht="15.75" customHeight="1" x14ac:dyDescent="0.3">
      <c r="A171" s="89">
        <v>1</v>
      </c>
      <c r="B171" s="89"/>
      <c r="C171" s="69" t="s">
        <v>199</v>
      </c>
      <c r="D171" s="174"/>
      <c r="E171" s="174"/>
      <c r="F171" s="70"/>
      <c r="G171" s="69" t="str">
        <f>A170</f>
        <v>1st Floor for Residential &amp; Parking</v>
      </c>
      <c r="H171" s="70"/>
      <c r="I171" s="30"/>
      <c r="N171" s="30"/>
    </row>
    <row r="172" spans="1:16" s="2" customFormat="1" ht="15.75" customHeight="1" x14ac:dyDescent="0.3">
      <c r="A172" s="89">
        <f>A171+1</f>
        <v>2</v>
      </c>
      <c r="B172" s="89"/>
      <c r="C172" s="71"/>
      <c r="D172" s="175"/>
      <c r="E172" s="175"/>
      <c r="F172" s="72"/>
      <c r="G172" s="71"/>
      <c r="H172" s="72"/>
      <c r="I172" s="30"/>
      <c r="N172" s="30"/>
    </row>
    <row r="173" spans="1:16" s="2" customFormat="1" ht="15.75" customHeight="1" x14ac:dyDescent="0.3">
      <c r="A173" s="89">
        <f>A172+1</f>
        <v>3</v>
      </c>
      <c r="B173" s="89"/>
      <c r="C173" s="73"/>
      <c r="D173" s="176"/>
      <c r="E173" s="176"/>
      <c r="F173" s="74"/>
      <c r="G173" s="71"/>
      <c r="H173" s="72"/>
      <c r="I173" s="30"/>
      <c r="N173" s="30"/>
    </row>
    <row r="174" spans="1:16" s="2" customFormat="1" ht="15.75" customHeight="1" x14ac:dyDescent="0.3">
      <c r="A174" s="89">
        <f t="shared" ref="A174:A178" si="33">A173+1</f>
        <v>4</v>
      </c>
      <c r="B174" s="89"/>
      <c r="C174" s="46" t="s">
        <v>197</v>
      </c>
      <c r="D174" s="46">
        <f t="shared" ref="D174:D177" si="34">49.15*10.764</f>
        <v>529.05059999999992</v>
      </c>
      <c r="E174" s="46">
        <v>0</v>
      </c>
      <c r="F174" s="46">
        <v>950</v>
      </c>
      <c r="G174" s="71"/>
      <c r="H174" s="72"/>
      <c r="I174" s="30"/>
      <c r="N174" s="30"/>
    </row>
    <row r="175" spans="1:16" s="2" customFormat="1" ht="15.75" customHeight="1" x14ac:dyDescent="0.3">
      <c r="A175" s="89">
        <f t="shared" si="33"/>
        <v>5</v>
      </c>
      <c r="B175" s="89"/>
      <c r="C175" s="46" t="s">
        <v>197</v>
      </c>
      <c r="D175" s="46">
        <f t="shared" si="34"/>
        <v>529.05059999999992</v>
      </c>
      <c r="E175" s="46">
        <v>0</v>
      </c>
      <c r="F175" s="46">
        <v>950</v>
      </c>
      <c r="G175" s="71"/>
      <c r="H175" s="72"/>
      <c r="I175" s="30"/>
      <c r="N175" s="30"/>
    </row>
    <row r="176" spans="1:16" s="2" customFormat="1" ht="15.75" customHeight="1" x14ac:dyDescent="0.3">
      <c r="A176" s="89">
        <f t="shared" si="33"/>
        <v>6</v>
      </c>
      <c r="B176" s="89"/>
      <c r="C176" s="46" t="s">
        <v>197</v>
      </c>
      <c r="D176" s="46">
        <f t="shared" si="34"/>
        <v>529.05059999999992</v>
      </c>
      <c r="E176" s="46">
        <v>0</v>
      </c>
      <c r="F176" s="46">
        <v>950</v>
      </c>
      <c r="G176" s="71"/>
      <c r="H176" s="72"/>
      <c r="I176" s="30"/>
      <c r="N176" s="30"/>
    </row>
    <row r="177" spans="1:16" s="2" customFormat="1" ht="15.75" customHeight="1" x14ac:dyDescent="0.3">
      <c r="A177" s="89">
        <f t="shared" si="33"/>
        <v>7</v>
      </c>
      <c r="B177" s="89"/>
      <c r="C177" s="46" t="s">
        <v>197</v>
      </c>
      <c r="D177" s="46">
        <f t="shared" si="34"/>
        <v>529.05059999999992</v>
      </c>
      <c r="E177" s="46">
        <v>0</v>
      </c>
      <c r="F177" s="46">
        <v>950</v>
      </c>
      <c r="G177" s="71"/>
      <c r="H177" s="72"/>
      <c r="I177" s="30"/>
      <c r="N177" s="30"/>
    </row>
    <row r="178" spans="1:16" s="2" customFormat="1" ht="15.75" customHeight="1" x14ac:dyDescent="0.3">
      <c r="A178" s="89">
        <f t="shared" si="33"/>
        <v>8</v>
      </c>
      <c r="B178" s="89"/>
      <c r="C178" s="67" t="s">
        <v>199</v>
      </c>
      <c r="D178" s="75"/>
      <c r="E178" s="75"/>
      <c r="F178" s="68"/>
      <c r="G178" s="73"/>
      <c r="H178" s="74"/>
      <c r="I178" s="30"/>
      <c r="N178" s="30"/>
    </row>
    <row r="179" spans="1:16" s="2" customFormat="1" x14ac:dyDescent="0.3">
      <c r="A179" s="147" t="s">
        <v>221</v>
      </c>
      <c r="B179" s="147"/>
      <c r="C179" s="147"/>
      <c r="D179" s="147"/>
      <c r="E179" s="147"/>
      <c r="F179" s="147"/>
      <c r="G179" s="147"/>
      <c r="H179" s="147"/>
      <c r="I179" s="30"/>
    </row>
    <row r="180" spans="1:16" s="2" customFormat="1" ht="15.75" customHeight="1" x14ac:dyDescent="0.3">
      <c r="A180" s="89">
        <v>1</v>
      </c>
      <c r="B180" s="89"/>
      <c r="C180" s="46" t="s">
        <v>197</v>
      </c>
      <c r="D180" s="46">
        <f t="shared" ref="D180:D196" si="35">49.15*10.764</f>
        <v>529.05059999999992</v>
      </c>
      <c r="E180" s="46">
        <v>0</v>
      </c>
      <c r="F180" s="46">
        <v>950</v>
      </c>
      <c r="G180" s="89" t="str">
        <f>A179</f>
        <v xml:space="preserve">2nd to 7th, 9th to 12th &amp; 14th to 16th Floor </v>
      </c>
      <c r="H180" s="89"/>
      <c r="I180" s="30"/>
      <c r="N180" s="2" t="str">
        <f t="shared" ref="N180:N187" ca="1" si="36">O180&amp;""&amp;" to "&amp;""&amp;P180</f>
        <v>201 to 1601</v>
      </c>
      <c r="O180" s="2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10^ROW(INDIRECT("1:"&amp;LEN((LEFT(A179,SUM(LEN(A179)-LEN(SUBSTITUTE(A179,{"0","1","2"},""))))))))/10))*100+1</f>
        <v>201</v>
      </c>
      <c r="P180" s="2">
        <f ca="1">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",LEN(A179))),LEN(A179)))))))/10))*100+1</f>
        <v>1601</v>
      </c>
    </row>
    <row r="181" spans="1:16" s="2" customFormat="1" ht="15.75" customHeight="1" x14ac:dyDescent="0.3">
      <c r="A181" s="89">
        <v>2</v>
      </c>
      <c r="B181" s="89"/>
      <c r="C181" s="46" t="s">
        <v>197</v>
      </c>
      <c r="D181" s="46">
        <f t="shared" si="35"/>
        <v>529.05059999999992</v>
      </c>
      <c r="E181" s="46">
        <v>0</v>
      </c>
      <c r="F181" s="46">
        <v>950</v>
      </c>
      <c r="G181" s="89"/>
      <c r="H181" s="89"/>
      <c r="I181" s="30"/>
      <c r="N181" s="2" t="str">
        <f t="shared" ca="1" si="36"/>
        <v>202 to 1602</v>
      </c>
      <c r="O181" s="2">
        <f t="shared" ref="O181:P181" ca="1" si="37">O180+1</f>
        <v>202</v>
      </c>
      <c r="P181" s="2">
        <f t="shared" ca="1" si="37"/>
        <v>1602</v>
      </c>
    </row>
    <row r="182" spans="1:16" s="2" customFormat="1" ht="15.75" customHeight="1" x14ac:dyDescent="0.3">
      <c r="A182" s="89">
        <v>3</v>
      </c>
      <c r="B182" s="89"/>
      <c r="C182" s="46" t="s">
        <v>197</v>
      </c>
      <c r="D182" s="46">
        <f t="shared" si="35"/>
        <v>529.05059999999992</v>
      </c>
      <c r="E182" s="46">
        <v>0</v>
      </c>
      <c r="F182" s="46">
        <v>950</v>
      </c>
      <c r="G182" s="89"/>
      <c r="H182" s="89"/>
      <c r="I182" s="30"/>
      <c r="N182" s="2" t="str">
        <f t="shared" ca="1" si="36"/>
        <v>203 to 1603</v>
      </c>
      <c r="O182" s="2">
        <f t="shared" ref="O182:P182" ca="1" si="38">O181+1</f>
        <v>203</v>
      </c>
      <c r="P182" s="2">
        <f t="shared" ca="1" si="38"/>
        <v>1603</v>
      </c>
    </row>
    <row r="183" spans="1:16" s="2" customFormat="1" ht="15.75" customHeight="1" x14ac:dyDescent="0.3">
      <c r="A183" s="89">
        <v>4</v>
      </c>
      <c r="B183" s="89"/>
      <c r="C183" s="46" t="s">
        <v>197</v>
      </c>
      <c r="D183" s="46">
        <f t="shared" si="35"/>
        <v>529.05059999999992</v>
      </c>
      <c r="E183" s="46">
        <v>0</v>
      </c>
      <c r="F183" s="46">
        <v>950</v>
      </c>
      <c r="G183" s="89"/>
      <c r="H183" s="89"/>
      <c r="I183" s="30"/>
      <c r="N183" s="2" t="str">
        <f t="shared" ca="1" si="36"/>
        <v>204 to 1604</v>
      </c>
      <c r="O183" s="2">
        <f t="shared" ref="O183:P183" ca="1" si="39">O182+1</f>
        <v>204</v>
      </c>
      <c r="P183" s="2">
        <f t="shared" ca="1" si="39"/>
        <v>1604</v>
      </c>
    </row>
    <row r="184" spans="1:16" s="2" customFormat="1" ht="15.75" customHeight="1" x14ac:dyDescent="0.3">
      <c r="A184" s="89">
        <v>5</v>
      </c>
      <c r="B184" s="89"/>
      <c r="C184" s="46" t="s">
        <v>197</v>
      </c>
      <c r="D184" s="46">
        <f t="shared" si="35"/>
        <v>529.05059999999992</v>
      </c>
      <c r="E184" s="46">
        <v>0</v>
      </c>
      <c r="F184" s="46">
        <v>950</v>
      </c>
      <c r="G184" s="89"/>
      <c r="H184" s="89"/>
      <c r="I184" s="30"/>
      <c r="N184" s="2" t="str">
        <f t="shared" ca="1" si="36"/>
        <v>205 to 1605</v>
      </c>
      <c r="O184" s="2">
        <f t="shared" ref="O184:P184" ca="1" si="40">O183+1</f>
        <v>205</v>
      </c>
      <c r="P184" s="2">
        <f t="shared" ca="1" si="40"/>
        <v>1605</v>
      </c>
    </row>
    <row r="185" spans="1:16" s="2" customFormat="1" ht="15.75" customHeight="1" x14ac:dyDescent="0.3">
      <c r="A185" s="89">
        <v>6</v>
      </c>
      <c r="B185" s="89"/>
      <c r="C185" s="46" t="s">
        <v>197</v>
      </c>
      <c r="D185" s="46">
        <f t="shared" si="35"/>
        <v>529.05059999999992</v>
      </c>
      <c r="E185" s="46">
        <v>0</v>
      </c>
      <c r="F185" s="46">
        <v>950</v>
      </c>
      <c r="G185" s="89"/>
      <c r="H185" s="89"/>
      <c r="I185" s="30"/>
      <c r="N185" s="2" t="str">
        <f t="shared" ca="1" si="36"/>
        <v>206 to 1606</v>
      </c>
      <c r="O185" s="2">
        <f t="shared" ref="O185:P185" ca="1" si="41">O184+1</f>
        <v>206</v>
      </c>
      <c r="P185" s="2">
        <f t="shared" ca="1" si="41"/>
        <v>1606</v>
      </c>
    </row>
    <row r="186" spans="1:16" s="2" customFormat="1" ht="15.75" customHeight="1" x14ac:dyDescent="0.3">
      <c r="A186" s="89">
        <v>7</v>
      </c>
      <c r="B186" s="89"/>
      <c r="C186" s="46" t="s">
        <v>197</v>
      </c>
      <c r="D186" s="46">
        <f t="shared" si="35"/>
        <v>529.05059999999992</v>
      </c>
      <c r="E186" s="46">
        <v>0</v>
      </c>
      <c r="F186" s="46">
        <v>950</v>
      </c>
      <c r="G186" s="89"/>
      <c r="H186" s="89"/>
      <c r="I186" s="30"/>
      <c r="N186" s="2" t="str">
        <f t="shared" ca="1" si="36"/>
        <v>207 to 1607</v>
      </c>
      <c r="O186" s="2">
        <f t="shared" ref="O186:P186" ca="1" si="42">O185+1</f>
        <v>207</v>
      </c>
      <c r="P186" s="2">
        <f t="shared" ca="1" si="42"/>
        <v>1607</v>
      </c>
    </row>
    <row r="187" spans="1:16" s="2" customFormat="1" ht="15.75" customHeight="1" x14ac:dyDescent="0.3">
      <c r="A187" s="89">
        <v>8</v>
      </c>
      <c r="B187" s="89"/>
      <c r="C187" s="46" t="s">
        <v>197</v>
      </c>
      <c r="D187" s="46">
        <f t="shared" si="35"/>
        <v>529.05059999999992</v>
      </c>
      <c r="E187" s="46">
        <v>0</v>
      </c>
      <c r="F187" s="46">
        <v>950</v>
      </c>
      <c r="G187" s="89"/>
      <c r="H187" s="89"/>
      <c r="I187" s="30"/>
      <c r="N187" s="2" t="str">
        <f t="shared" ca="1" si="36"/>
        <v>208 to 1608</v>
      </c>
      <c r="O187" s="2">
        <f t="shared" ref="O187:P187" ca="1" si="43">O186+1</f>
        <v>208</v>
      </c>
      <c r="P187" s="2">
        <f t="shared" ca="1" si="43"/>
        <v>1608</v>
      </c>
    </row>
    <row r="188" spans="1:16" s="2" customFormat="1" x14ac:dyDescent="0.3">
      <c r="A188" s="178" t="s">
        <v>222</v>
      </c>
      <c r="B188" s="179"/>
      <c r="C188" s="179"/>
      <c r="D188" s="179"/>
      <c r="E188" s="179"/>
      <c r="F188" s="179"/>
      <c r="G188" s="179"/>
      <c r="H188" s="180"/>
      <c r="I188" s="30"/>
    </row>
    <row r="189" spans="1:16" s="2" customFormat="1" ht="15.75" customHeight="1" x14ac:dyDescent="0.3">
      <c r="A189" s="67">
        <v>1</v>
      </c>
      <c r="B189" s="68"/>
      <c r="C189" s="46" t="s">
        <v>197</v>
      </c>
      <c r="D189" s="46">
        <f t="shared" si="35"/>
        <v>529.05059999999992</v>
      </c>
      <c r="E189" s="46">
        <v>0</v>
      </c>
      <c r="F189" s="46">
        <v>950</v>
      </c>
      <c r="G189" s="69" t="str">
        <f>A188</f>
        <v>8th &amp; 13th Floor (Part Refuge Area)</v>
      </c>
      <c r="H189" s="70"/>
      <c r="I189" s="30"/>
      <c r="N189" s="2" t="str">
        <f t="shared" ref="N189:N196" ca="1" si="44">O189&amp;""&amp;" to "&amp;""&amp;P189</f>
        <v>801 to 1301</v>
      </c>
      <c r="O189" s="2">
        <f ca="1">(SUMPRODUCT(MID(0&amp;(LEFT(A188,SUM(LEN(A188)-LEN(SUBSTITUTE(A188,{"0","1","2"},""))))), LARGE(INDEX(ISNUMBER(--MID((LEFT(A188,SUM(LEN(A188)-LEN(SUBSTITUTE(A188,{"0","1","2"},""))))), ROW(INDIRECT("1:"&amp;LEN((LEFT(A188,SUM(LEN(A188)-LEN(SUBSTITUTE(A188,{"0","1","2"},"")))))))), 1)) * ROW(INDIRECT("1:"&amp;LEN((LEFT(A188,SUM(LEN(A188)-LEN(SUBSTITUTE(A188,{"0","1","2"},"")))))))), 0), ROW(INDIRECT("1:"&amp;LEN((LEFT(A188,SUM(LEN(A188)-LEN(SUBSTITUTE(A188,{"0","1","2"},"")))))))))+1, 1) * 10^ROW(INDIRECT("1:"&amp;LEN((LEFT(A188,SUM(LEN(A188)-LEN(SUBSTITUTE(A188,{"0","1","2"},""))))))))/10))*100+1</f>
        <v>801</v>
      </c>
      <c r="P189" s="2">
        <f ca="1">(SUMPRODUCT(MID(0&amp;(--TRIM(RIGHT(SUBSTITUTE(LEFT(A188,_xlfn.AGGREGATE(16,6,FIND({0,1,2,3,4,5,6,7,8,9},A188,ROW(INDIRECT("1:"&amp;LEN(A188)))),1))," ",REPT(" ",LEN(A188))),LEN(A188)))), LARGE(INDEX(ISNUMBER(--MID((--TRIM(RIGHT(SUBSTITUTE(LEFT(A188,_xlfn.AGGREGATE(16,6,FIND({0,1,2,3,4,5,6,7,8,9},A188,ROW(INDIRECT("1:"&amp;LEN(A188)))),1))," ",REPT(" ",LEN(A188))),LEN(A188)))), ROW(INDIRECT("1:"&amp;LEN((--TRIM(RIGHT(SUBSTITUTE(LEFT(A188,_xlfn.AGGREGATE(16,6,FIND({0,1,2,3,4,5,6,7,8,9},A188,ROW(INDIRECT("1:"&amp;LEN(A188)))),1))," ",REPT(" ",LEN(A188))),LEN(A188))))))), 1)) * ROW(INDIRECT("1:"&amp;LEN((--TRIM(RIGHT(SUBSTITUTE(LEFT(A188,_xlfn.AGGREGATE(16,6,FIND({0,1,2,3,4,5,6,7,8,9},A188,ROW(INDIRECT("1:"&amp;LEN(A188)))),1))," ",REPT(" ",LEN(A188))),LEN(A188))))))), 0), ROW(INDIRECT("1:"&amp;LEN((--TRIM(RIGHT(SUBSTITUTE(LEFT(A188,_xlfn.AGGREGATE(16,6,FIND({0,1,2,3,4,5,6,7,8,9},A188,ROW(INDIRECT("1:"&amp;LEN(A188)))),1))," ",REPT(" ",LEN(A188))),LEN(A188))))))))+1, 1) * 10^ROW(INDIRECT("1:"&amp;LEN((--TRIM(RIGHT(SUBSTITUTE(LEFT(A188,_xlfn.AGGREGATE(16,6,FIND({0,1,2,3,4,5,6,7,8,9},A188,ROW(INDIRECT("1:"&amp;LEN(A188)))),1))," ",REPT(" ",LEN(A188))),LEN(A188)))))))/10))*100+1</f>
        <v>1301</v>
      </c>
    </row>
    <row r="190" spans="1:16" s="2" customFormat="1" ht="15.75" customHeight="1" x14ac:dyDescent="0.3">
      <c r="A190" s="67">
        <v>2</v>
      </c>
      <c r="B190" s="68"/>
      <c r="C190" s="46" t="s">
        <v>197</v>
      </c>
      <c r="D190" s="46">
        <f t="shared" si="35"/>
        <v>529.05059999999992</v>
      </c>
      <c r="E190" s="46">
        <v>0</v>
      </c>
      <c r="F190" s="46">
        <v>950</v>
      </c>
      <c r="G190" s="71"/>
      <c r="H190" s="72"/>
      <c r="I190" s="30"/>
      <c r="N190" s="2" t="str">
        <f t="shared" ca="1" si="44"/>
        <v>802 to 1302</v>
      </c>
      <c r="O190" s="2">
        <f t="shared" ref="O190:P190" ca="1" si="45">O189+1</f>
        <v>802</v>
      </c>
      <c r="P190" s="2">
        <f t="shared" ca="1" si="45"/>
        <v>1302</v>
      </c>
    </row>
    <row r="191" spans="1:16" s="2" customFormat="1" ht="15.75" customHeight="1" x14ac:dyDescent="0.3">
      <c r="A191" s="67">
        <v>3</v>
      </c>
      <c r="B191" s="68"/>
      <c r="C191" s="46" t="s">
        <v>197</v>
      </c>
      <c r="D191" s="46">
        <f t="shared" si="35"/>
        <v>529.05059999999992</v>
      </c>
      <c r="E191" s="46">
        <v>0</v>
      </c>
      <c r="F191" s="46">
        <v>950</v>
      </c>
      <c r="G191" s="71"/>
      <c r="H191" s="72"/>
      <c r="I191" s="30"/>
      <c r="N191" s="2" t="str">
        <f t="shared" ca="1" si="44"/>
        <v>803 to 1303</v>
      </c>
      <c r="O191" s="2">
        <f t="shared" ref="O191:P191" ca="1" si="46">O190+1</f>
        <v>803</v>
      </c>
      <c r="P191" s="2">
        <f t="shared" ca="1" si="46"/>
        <v>1303</v>
      </c>
    </row>
    <row r="192" spans="1:16" s="2" customFormat="1" ht="15.75" customHeight="1" x14ac:dyDescent="0.3">
      <c r="A192" s="67">
        <v>4</v>
      </c>
      <c r="B192" s="68"/>
      <c r="C192" s="46" t="s">
        <v>197</v>
      </c>
      <c r="D192" s="46">
        <f t="shared" si="35"/>
        <v>529.05059999999992</v>
      </c>
      <c r="E192" s="46">
        <v>0</v>
      </c>
      <c r="F192" s="46">
        <v>950</v>
      </c>
      <c r="G192" s="71"/>
      <c r="H192" s="72"/>
      <c r="I192" s="30"/>
      <c r="N192" s="2" t="str">
        <f t="shared" ca="1" si="44"/>
        <v>804 to 1304</v>
      </c>
      <c r="O192" s="2">
        <f t="shared" ref="O192:P192" ca="1" si="47">O191+1</f>
        <v>804</v>
      </c>
      <c r="P192" s="2">
        <f t="shared" ca="1" si="47"/>
        <v>1304</v>
      </c>
    </row>
    <row r="193" spans="1:16" s="2" customFormat="1" ht="15.75" customHeight="1" x14ac:dyDescent="0.3">
      <c r="A193" s="67">
        <v>5</v>
      </c>
      <c r="B193" s="68"/>
      <c r="C193" s="46" t="s">
        <v>197</v>
      </c>
      <c r="D193" s="46">
        <f t="shared" si="35"/>
        <v>529.05059999999992</v>
      </c>
      <c r="E193" s="46">
        <v>0</v>
      </c>
      <c r="F193" s="46">
        <v>950</v>
      </c>
      <c r="G193" s="71"/>
      <c r="H193" s="72"/>
      <c r="I193" s="30"/>
      <c r="N193" s="2" t="str">
        <f t="shared" ca="1" si="44"/>
        <v>805 to 1305</v>
      </c>
      <c r="O193" s="2">
        <f t="shared" ref="O193:P193" ca="1" si="48">O192+1</f>
        <v>805</v>
      </c>
      <c r="P193" s="2">
        <f t="shared" ca="1" si="48"/>
        <v>1305</v>
      </c>
    </row>
    <row r="194" spans="1:16" s="2" customFormat="1" ht="15.75" customHeight="1" x14ac:dyDescent="0.3">
      <c r="A194" s="67">
        <v>6</v>
      </c>
      <c r="B194" s="68"/>
      <c r="C194" s="67" t="s">
        <v>223</v>
      </c>
      <c r="D194" s="75"/>
      <c r="E194" s="75"/>
      <c r="F194" s="68"/>
      <c r="G194" s="71"/>
      <c r="H194" s="72"/>
      <c r="I194" s="30"/>
      <c r="N194" s="2" t="str">
        <f t="shared" ca="1" si="44"/>
        <v>806 to 1306</v>
      </c>
      <c r="O194" s="2">
        <f t="shared" ref="O194:P194" ca="1" si="49">O193+1</f>
        <v>806</v>
      </c>
      <c r="P194" s="2">
        <f t="shared" ca="1" si="49"/>
        <v>1306</v>
      </c>
    </row>
    <row r="195" spans="1:16" s="2" customFormat="1" ht="15.75" customHeight="1" x14ac:dyDescent="0.3">
      <c r="A195" s="67">
        <v>7</v>
      </c>
      <c r="B195" s="68"/>
      <c r="C195" s="46" t="s">
        <v>197</v>
      </c>
      <c r="D195" s="46">
        <f t="shared" si="35"/>
        <v>529.05059999999992</v>
      </c>
      <c r="E195" s="46">
        <v>0</v>
      </c>
      <c r="F195" s="46">
        <v>950</v>
      </c>
      <c r="G195" s="71"/>
      <c r="H195" s="72"/>
      <c r="I195" s="30"/>
      <c r="N195" s="2" t="str">
        <f t="shared" ca="1" si="44"/>
        <v>807 to 1307</v>
      </c>
      <c r="O195" s="2">
        <f t="shared" ref="O195:P195" ca="1" si="50">O194+1</f>
        <v>807</v>
      </c>
      <c r="P195" s="2">
        <f t="shared" ca="1" si="50"/>
        <v>1307</v>
      </c>
    </row>
    <row r="196" spans="1:16" s="2" customFormat="1" ht="15.75" customHeight="1" x14ac:dyDescent="0.3">
      <c r="A196" s="67">
        <v>8</v>
      </c>
      <c r="B196" s="68"/>
      <c r="C196" s="46" t="s">
        <v>197</v>
      </c>
      <c r="D196" s="46">
        <f t="shared" si="35"/>
        <v>529.05059999999992</v>
      </c>
      <c r="E196" s="46">
        <v>0</v>
      </c>
      <c r="F196" s="46">
        <v>950</v>
      </c>
      <c r="G196" s="73"/>
      <c r="H196" s="74"/>
      <c r="I196" s="30"/>
      <c r="N196" s="2" t="str">
        <f t="shared" ca="1" si="44"/>
        <v>808 to 1308</v>
      </c>
      <c r="O196" s="2">
        <f t="shared" ref="O196:P196" ca="1" si="51">O195+1</f>
        <v>808</v>
      </c>
      <c r="P196" s="2">
        <f t="shared" ca="1" si="51"/>
        <v>1308</v>
      </c>
    </row>
    <row r="197" spans="1:16" s="2" customFormat="1" x14ac:dyDescent="0.3">
      <c r="A197" s="177" t="s">
        <v>207</v>
      </c>
      <c r="B197" s="177"/>
      <c r="C197" s="177"/>
      <c r="D197" s="177"/>
      <c r="E197" s="177"/>
      <c r="F197" s="177"/>
      <c r="G197" s="177"/>
      <c r="H197" s="177"/>
      <c r="I197" s="30"/>
      <c r="L197" s="159"/>
      <c r="M197" s="159"/>
    </row>
    <row r="198" spans="1:16" s="2" customFormat="1" x14ac:dyDescent="0.3">
      <c r="A198" s="177" t="s">
        <v>220</v>
      </c>
      <c r="B198" s="177"/>
      <c r="C198" s="177"/>
      <c r="D198" s="177"/>
      <c r="E198" s="177"/>
      <c r="F198" s="177"/>
      <c r="G198" s="177"/>
      <c r="H198" s="177"/>
      <c r="I198" s="30"/>
      <c r="L198" s="159"/>
      <c r="M198" s="159"/>
    </row>
    <row r="199" spans="1:16" s="2" customFormat="1" x14ac:dyDescent="0.3">
      <c r="A199" s="147" t="s">
        <v>202</v>
      </c>
      <c r="B199" s="147"/>
      <c r="C199" s="147"/>
      <c r="D199" s="147"/>
      <c r="E199" s="147"/>
      <c r="F199" s="147"/>
      <c r="G199" s="147"/>
      <c r="H199" s="147"/>
      <c r="I199" s="30"/>
      <c r="L199" s="159"/>
      <c r="M199" s="159"/>
    </row>
    <row r="200" spans="1:16" s="2" customFormat="1" ht="15.75" customHeight="1" x14ac:dyDescent="0.3">
      <c r="A200" s="89">
        <v>1</v>
      </c>
      <c r="B200" s="89"/>
      <c r="C200" s="69" t="s">
        <v>199</v>
      </c>
      <c r="D200" s="174"/>
      <c r="E200" s="174"/>
      <c r="F200" s="70"/>
      <c r="G200" s="69" t="str">
        <f>A199</f>
        <v>1st Floor for Residential &amp; Parking</v>
      </c>
      <c r="H200" s="70"/>
      <c r="I200" s="30"/>
      <c r="N200" s="30"/>
    </row>
    <row r="201" spans="1:16" s="2" customFormat="1" ht="15.75" customHeight="1" x14ac:dyDescent="0.3">
      <c r="A201" s="89">
        <f>A200+1</f>
        <v>2</v>
      </c>
      <c r="B201" s="89"/>
      <c r="C201" s="73"/>
      <c r="D201" s="176"/>
      <c r="E201" s="176"/>
      <c r="F201" s="74"/>
      <c r="G201" s="71"/>
      <c r="H201" s="72"/>
      <c r="I201" s="30"/>
      <c r="N201" s="30"/>
    </row>
    <row r="202" spans="1:16" s="2" customFormat="1" ht="15.75" customHeight="1" x14ac:dyDescent="0.3">
      <c r="A202" s="89">
        <f>A201+1</f>
        <v>3</v>
      </c>
      <c r="B202" s="89"/>
      <c r="C202" s="46" t="s">
        <v>197</v>
      </c>
      <c r="D202" s="46">
        <f t="shared" ref="D202:D203" si="52">49.15*10.764</f>
        <v>529.05059999999992</v>
      </c>
      <c r="E202" s="46">
        <v>0</v>
      </c>
      <c r="F202" s="46">
        <v>950</v>
      </c>
      <c r="G202" s="71"/>
      <c r="H202" s="72"/>
      <c r="I202" s="30"/>
      <c r="N202" s="30"/>
    </row>
    <row r="203" spans="1:16" s="2" customFormat="1" ht="15.75" customHeight="1" x14ac:dyDescent="0.3">
      <c r="A203" s="89">
        <f t="shared" ref="A203:A208" si="53">A202+1</f>
        <v>4</v>
      </c>
      <c r="B203" s="89"/>
      <c r="C203" s="46" t="s">
        <v>197</v>
      </c>
      <c r="D203" s="46">
        <f t="shared" si="52"/>
        <v>529.05059999999992</v>
      </c>
      <c r="E203" s="46">
        <v>0</v>
      </c>
      <c r="F203" s="46">
        <v>950</v>
      </c>
      <c r="G203" s="71"/>
      <c r="H203" s="72"/>
      <c r="I203" s="30"/>
      <c r="N203" s="30"/>
    </row>
    <row r="204" spans="1:16" s="2" customFormat="1" ht="15.75" customHeight="1" x14ac:dyDescent="0.3">
      <c r="A204" s="89">
        <f t="shared" si="53"/>
        <v>5</v>
      </c>
      <c r="B204" s="89"/>
      <c r="C204" s="46" t="s">
        <v>198</v>
      </c>
      <c r="D204" s="46">
        <f t="shared" ref="D204:D206" si="54">34.73*10.764</f>
        <v>373.83371999999997</v>
      </c>
      <c r="E204" s="46">
        <v>0</v>
      </c>
      <c r="F204" s="46">
        <v>684</v>
      </c>
      <c r="G204" s="71"/>
      <c r="H204" s="72"/>
      <c r="I204" s="30"/>
      <c r="N204" s="30"/>
    </row>
    <row r="205" spans="1:16" s="2" customFormat="1" ht="15.75" customHeight="1" x14ac:dyDescent="0.3">
      <c r="A205" s="89">
        <f t="shared" si="53"/>
        <v>6</v>
      </c>
      <c r="B205" s="89"/>
      <c r="C205" s="46" t="s">
        <v>198</v>
      </c>
      <c r="D205" s="46">
        <f t="shared" si="54"/>
        <v>373.83371999999997</v>
      </c>
      <c r="E205" s="46">
        <v>0</v>
      </c>
      <c r="F205" s="46">
        <v>684</v>
      </c>
      <c r="G205" s="71"/>
      <c r="H205" s="72"/>
      <c r="I205" s="30"/>
      <c r="N205" s="30"/>
    </row>
    <row r="206" spans="1:16" s="2" customFormat="1" ht="15.75" customHeight="1" x14ac:dyDescent="0.3">
      <c r="A206" s="89">
        <f t="shared" si="53"/>
        <v>7</v>
      </c>
      <c r="B206" s="89"/>
      <c r="C206" s="46" t="s">
        <v>198</v>
      </c>
      <c r="D206" s="46">
        <f t="shared" si="54"/>
        <v>373.83371999999997</v>
      </c>
      <c r="E206" s="46">
        <v>0</v>
      </c>
      <c r="F206" s="46">
        <v>684</v>
      </c>
      <c r="G206" s="71"/>
      <c r="H206" s="72"/>
      <c r="I206" s="30"/>
      <c r="N206" s="30"/>
    </row>
    <row r="207" spans="1:16" s="2" customFormat="1" ht="15.75" customHeight="1" x14ac:dyDescent="0.3">
      <c r="A207" s="89">
        <f t="shared" si="53"/>
        <v>8</v>
      </c>
      <c r="B207" s="89"/>
      <c r="C207" s="46" t="s">
        <v>197</v>
      </c>
      <c r="D207" s="46">
        <f t="shared" ref="D207:D208" si="55">49.15*10.764</f>
        <v>529.05059999999992</v>
      </c>
      <c r="E207" s="46">
        <v>0</v>
      </c>
      <c r="F207" s="46">
        <v>950</v>
      </c>
      <c r="G207" s="71"/>
      <c r="H207" s="72"/>
      <c r="I207" s="30"/>
      <c r="N207" s="30"/>
    </row>
    <row r="208" spans="1:16" s="2" customFormat="1" ht="15.75" customHeight="1" x14ac:dyDescent="0.3">
      <c r="A208" s="89">
        <f t="shared" si="53"/>
        <v>9</v>
      </c>
      <c r="B208" s="89"/>
      <c r="C208" s="46" t="s">
        <v>197</v>
      </c>
      <c r="D208" s="46">
        <f t="shared" si="55"/>
        <v>529.05059999999992</v>
      </c>
      <c r="E208" s="46">
        <v>0</v>
      </c>
      <c r="F208" s="46">
        <v>950</v>
      </c>
      <c r="G208" s="73"/>
      <c r="H208" s="74"/>
      <c r="I208" s="30"/>
      <c r="N208" s="30"/>
    </row>
    <row r="209" spans="1:16" s="2" customFormat="1" x14ac:dyDescent="0.3">
      <c r="A209" s="64" t="s">
        <v>221</v>
      </c>
      <c r="B209" s="65"/>
      <c r="C209" s="65"/>
      <c r="D209" s="65"/>
      <c r="E209" s="65"/>
      <c r="F209" s="65"/>
      <c r="G209" s="65"/>
      <c r="H209" s="66"/>
      <c r="I209" s="30"/>
    </row>
    <row r="210" spans="1:16" s="2" customFormat="1" ht="15.75" customHeight="1" x14ac:dyDescent="0.3">
      <c r="A210" s="67">
        <v>1</v>
      </c>
      <c r="B210" s="68"/>
      <c r="C210" s="46" t="s">
        <v>198</v>
      </c>
      <c r="D210" s="46">
        <f t="shared" ref="D210:D211" si="56">34.73*10.764</f>
        <v>373.83371999999997</v>
      </c>
      <c r="E210" s="46">
        <v>0</v>
      </c>
      <c r="F210" s="46">
        <v>684</v>
      </c>
      <c r="G210" s="69" t="str">
        <f>A209</f>
        <v xml:space="preserve">2nd to 7th, 9th to 12th &amp; 14th to 16th Floor </v>
      </c>
      <c r="H210" s="70"/>
      <c r="I210" s="30"/>
      <c r="N210" s="2" t="str">
        <f t="shared" ref="N210:N218" ca="1" si="57">O210&amp;""&amp;" to "&amp;""&amp;P210</f>
        <v>201 to 1601</v>
      </c>
      <c r="O210" s="2">
        <f ca="1">(SUMPRODUCT(MID(0&amp;(LEFT(A209,SUM(LEN(A209)-LEN(SUBSTITUTE(A209,{"0","1","2"},""))))), LARGE(INDEX(ISNUMBER(--MID((LEFT(A209,SUM(LEN(A209)-LEN(SUBSTITUTE(A209,{"0","1","2"},""))))), ROW(INDIRECT("1:"&amp;LEN((LEFT(A209,SUM(LEN(A209)-LEN(SUBSTITUTE(A209,{"0","1","2"},"")))))))), 1)) * ROW(INDIRECT("1:"&amp;LEN((LEFT(A209,SUM(LEN(A209)-LEN(SUBSTITUTE(A209,{"0","1","2"},"")))))))), 0), ROW(INDIRECT("1:"&amp;LEN((LEFT(A209,SUM(LEN(A209)-LEN(SUBSTITUTE(A209,{"0","1","2"},"")))))))))+1, 1) * 10^ROW(INDIRECT("1:"&amp;LEN((LEFT(A209,SUM(LEN(A209)-LEN(SUBSTITUTE(A209,{"0","1","2"},""))))))))/10))*100+1</f>
        <v>201</v>
      </c>
      <c r="P210" s="2">
        <f ca="1">(SUMPRODUCT(MID(0&amp;(--TRIM(RIGHT(SUBSTITUTE(LEFT(A209,_xlfn.AGGREGATE(16,6,FIND({0,1,2,3,4,5,6,7,8,9},A209,ROW(INDIRECT("1:"&amp;LEN(A209)))),1))," ",REPT(" ",LEN(A209))),LEN(A209)))), LARGE(INDEX(ISNUMBER(--MID((--TRIM(RIGHT(SUBSTITUTE(LEFT(A209,_xlfn.AGGREGATE(16,6,FIND({0,1,2,3,4,5,6,7,8,9},A209,ROW(INDIRECT("1:"&amp;LEN(A209)))),1))," ",REPT(" ",LEN(A209))),LEN(A209)))), ROW(INDIRECT("1:"&amp;LEN((--TRIM(RIGHT(SUBSTITUTE(LEFT(A209,_xlfn.AGGREGATE(16,6,FIND({0,1,2,3,4,5,6,7,8,9},A209,ROW(INDIRECT("1:"&amp;LEN(A209)))),1))," ",REPT(" ",LEN(A209))),LEN(A209))))))), 1)) * ROW(INDIRECT("1:"&amp;LEN((--TRIM(RIGHT(SUBSTITUTE(LEFT(A209,_xlfn.AGGREGATE(16,6,FIND({0,1,2,3,4,5,6,7,8,9},A209,ROW(INDIRECT("1:"&amp;LEN(A209)))),1))," ",REPT(" ",LEN(A209))),LEN(A209))))))), 0), ROW(INDIRECT("1:"&amp;LEN((--TRIM(RIGHT(SUBSTITUTE(LEFT(A209,_xlfn.AGGREGATE(16,6,FIND({0,1,2,3,4,5,6,7,8,9},A209,ROW(INDIRECT("1:"&amp;LEN(A209)))),1))," ",REPT(" ",LEN(A209))),LEN(A209))))))))+1, 1) * 10^ROW(INDIRECT("1:"&amp;LEN((--TRIM(RIGHT(SUBSTITUTE(LEFT(A209,_xlfn.AGGREGATE(16,6,FIND({0,1,2,3,4,5,6,7,8,9},A209,ROW(INDIRECT("1:"&amp;LEN(A209)))),1))," ",REPT(" ",LEN(A209))),LEN(A209)))))))/10))*100+1</f>
        <v>1601</v>
      </c>
    </row>
    <row r="211" spans="1:16" s="2" customFormat="1" ht="15.75" customHeight="1" x14ac:dyDescent="0.3">
      <c r="A211" s="67">
        <v>2</v>
      </c>
      <c r="B211" s="68"/>
      <c r="C211" s="46" t="s">
        <v>198</v>
      </c>
      <c r="D211" s="46">
        <f t="shared" si="56"/>
        <v>373.83371999999997</v>
      </c>
      <c r="E211" s="46">
        <v>0</v>
      </c>
      <c r="F211" s="46">
        <v>684</v>
      </c>
      <c r="G211" s="71"/>
      <c r="H211" s="72"/>
      <c r="I211" s="30"/>
      <c r="N211" s="2" t="str">
        <f t="shared" ca="1" si="57"/>
        <v>202 to 1602</v>
      </c>
      <c r="O211" s="2">
        <f t="shared" ref="O211:P211" ca="1" si="58">O210+1</f>
        <v>202</v>
      </c>
      <c r="P211" s="2">
        <f t="shared" ca="1" si="58"/>
        <v>1602</v>
      </c>
    </row>
    <row r="212" spans="1:16" s="2" customFormat="1" ht="15.75" customHeight="1" x14ac:dyDescent="0.3">
      <c r="A212" s="67">
        <v>3</v>
      </c>
      <c r="B212" s="68"/>
      <c r="C212" s="46" t="s">
        <v>197</v>
      </c>
      <c r="D212" s="46">
        <f t="shared" ref="D212:D213" si="59">49.15*10.764</f>
        <v>529.05059999999992</v>
      </c>
      <c r="E212" s="46">
        <v>0</v>
      </c>
      <c r="F212" s="46">
        <v>950</v>
      </c>
      <c r="G212" s="71"/>
      <c r="H212" s="72"/>
      <c r="I212" s="30"/>
      <c r="N212" s="2" t="str">
        <f t="shared" ca="1" si="57"/>
        <v>203 to 1603</v>
      </c>
      <c r="O212" s="2">
        <f t="shared" ref="O212:P212" ca="1" si="60">O211+1</f>
        <v>203</v>
      </c>
      <c r="P212" s="2">
        <f t="shared" ca="1" si="60"/>
        <v>1603</v>
      </c>
    </row>
    <row r="213" spans="1:16" s="2" customFormat="1" ht="15.75" customHeight="1" x14ac:dyDescent="0.3">
      <c r="A213" s="67">
        <v>4</v>
      </c>
      <c r="B213" s="68"/>
      <c r="C213" s="46" t="s">
        <v>197</v>
      </c>
      <c r="D213" s="46">
        <f t="shared" si="59"/>
        <v>529.05059999999992</v>
      </c>
      <c r="E213" s="46">
        <v>0</v>
      </c>
      <c r="F213" s="46">
        <v>950</v>
      </c>
      <c r="G213" s="71"/>
      <c r="H213" s="72"/>
      <c r="I213" s="30"/>
      <c r="N213" s="2" t="str">
        <f t="shared" ca="1" si="57"/>
        <v>204 to 1604</v>
      </c>
      <c r="O213" s="2">
        <f t="shared" ref="O213:P213" ca="1" si="61">O212+1</f>
        <v>204</v>
      </c>
      <c r="P213" s="2">
        <f t="shared" ca="1" si="61"/>
        <v>1604</v>
      </c>
    </row>
    <row r="214" spans="1:16" s="2" customFormat="1" ht="15.75" customHeight="1" x14ac:dyDescent="0.3">
      <c r="A214" s="67">
        <v>5</v>
      </c>
      <c r="B214" s="68"/>
      <c r="C214" s="46" t="s">
        <v>198</v>
      </c>
      <c r="D214" s="46">
        <f t="shared" ref="D214:D216" si="62">34.73*10.764</f>
        <v>373.83371999999997</v>
      </c>
      <c r="E214" s="46">
        <v>0</v>
      </c>
      <c r="F214" s="46">
        <v>684</v>
      </c>
      <c r="G214" s="71"/>
      <c r="H214" s="72"/>
      <c r="I214" s="30"/>
      <c r="N214" s="2" t="str">
        <f t="shared" ca="1" si="57"/>
        <v>205 to 1605</v>
      </c>
      <c r="O214" s="2">
        <f t="shared" ref="O214:P214" ca="1" si="63">O213+1</f>
        <v>205</v>
      </c>
      <c r="P214" s="2">
        <f t="shared" ca="1" si="63"/>
        <v>1605</v>
      </c>
    </row>
    <row r="215" spans="1:16" s="2" customFormat="1" ht="15.75" customHeight="1" x14ac:dyDescent="0.3">
      <c r="A215" s="67">
        <v>6</v>
      </c>
      <c r="B215" s="68"/>
      <c r="C215" s="46" t="s">
        <v>198</v>
      </c>
      <c r="D215" s="46">
        <f t="shared" si="62"/>
        <v>373.83371999999997</v>
      </c>
      <c r="E215" s="46">
        <v>0</v>
      </c>
      <c r="F215" s="46">
        <v>684</v>
      </c>
      <c r="G215" s="71"/>
      <c r="H215" s="72"/>
      <c r="I215" s="30"/>
      <c r="N215" s="2" t="str">
        <f t="shared" ca="1" si="57"/>
        <v>206 to 1606</v>
      </c>
      <c r="O215" s="2">
        <f t="shared" ref="O215:P215" ca="1" si="64">O214+1</f>
        <v>206</v>
      </c>
      <c r="P215" s="2">
        <f t="shared" ca="1" si="64"/>
        <v>1606</v>
      </c>
    </row>
    <row r="216" spans="1:16" s="2" customFormat="1" ht="15.75" customHeight="1" x14ac:dyDescent="0.3">
      <c r="A216" s="67">
        <v>7</v>
      </c>
      <c r="B216" s="68"/>
      <c r="C216" s="46" t="s">
        <v>198</v>
      </c>
      <c r="D216" s="46">
        <f t="shared" si="62"/>
        <v>373.83371999999997</v>
      </c>
      <c r="E216" s="46">
        <v>0</v>
      </c>
      <c r="F216" s="46">
        <v>684</v>
      </c>
      <c r="G216" s="71"/>
      <c r="H216" s="72"/>
      <c r="I216" s="30"/>
      <c r="N216" s="2" t="str">
        <f t="shared" ca="1" si="57"/>
        <v>207 to 1607</v>
      </c>
      <c r="O216" s="2">
        <f t="shared" ref="O216:P216" ca="1" si="65">O215+1</f>
        <v>207</v>
      </c>
      <c r="P216" s="2">
        <f t="shared" ca="1" si="65"/>
        <v>1607</v>
      </c>
    </row>
    <row r="217" spans="1:16" s="2" customFormat="1" ht="15.75" customHeight="1" x14ac:dyDescent="0.3">
      <c r="A217" s="67">
        <v>8</v>
      </c>
      <c r="B217" s="68"/>
      <c r="C217" s="46" t="s">
        <v>197</v>
      </c>
      <c r="D217" s="46">
        <f t="shared" ref="D217:D218" si="66">49.15*10.764</f>
        <v>529.05059999999992</v>
      </c>
      <c r="E217" s="46">
        <v>0</v>
      </c>
      <c r="F217" s="46">
        <v>950</v>
      </c>
      <c r="G217" s="71"/>
      <c r="H217" s="72"/>
      <c r="I217" s="30"/>
      <c r="N217" s="2" t="str">
        <f t="shared" ca="1" si="57"/>
        <v>208 to 1608</v>
      </c>
      <c r="O217" s="2">
        <f t="shared" ref="O217:P217" ca="1" si="67">O216+1</f>
        <v>208</v>
      </c>
      <c r="P217" s="2">
        <f t="shared" ca="1" si="67"/>
        <v>1608</v>
      </c>
    </row>
    <row r="218" spans="1:16" s="2" customFormat="1" ht="15.75" customHeight="1" x14ac:dyDescent="0.3">
      <c r="A218" s="67">
        <v>9</v>
      </c>
      <c r="B218" s="68"/>
      <c r="C218" s="46" t="s">
        <v>197</v>
      </c>
      <c r="D218" s="46">
        <f t="shared" si="66"/>
        <v>529.05059999999992</v>
      </c>
      <c r="E218" s="46">
        <v>0</v>
      </c>
      <c r="F218" s="46">
        <v>950</v>
      </c>
      <c r="G218" s="73"/>
      <c r="H218" s="74"/>
      <c r="I218" s="30"/>
      <c r="N218" s="2" t="str">
        <f t="shared" ca="1" si="57"/>
        <v>209 to 1609</v>
      </c>
      <c r="O218" s="2">
        <f t="shared" ref="O218:P218" ca="1" si="68">O217+1</f>
        <v>209</v>
      </c>
      <c r="P218" s="2">
        <f t="shared" ca="1" si="68"/>
        <v>1609</v>
      </c>
    </row>
    <row r="219" spans="1:16" s="2" customFormat="1" x14ac:dyDescent="0.3">
      <c r="A219" s="64" t="s">
        <v>222</v>
      </c>
      <c r="B219" s="65"/>
      <c r="C219" s="65"/>
      <c r="D219" s="65"/>
      <c r="E219" s="65"/>
      <c r="F219" s="65"/>
      <c r="G219" s="65"/>
      <c r="H219" s="66"/>
      <c r="I219" s="30"/>
    </row>
    <row r="220" spans="1:16" s="2" customFormat="1" ht="15.75" customHeight="1" x14ac:dyDescent="0.3">
      <c r="A220" s="67">
        <v>1</v>
      </c>
      <c r="B220" s="68"/>
      <c r="C220" s="46" t="s">
        <v>198</v>
      </c>
      <c r="D220" s="46">
        <f t="shared" ref="D220:D221" si="69">34.73*10.764</f>
        <v>373.83371999999997</v>
      </c>
      <c r="E220" s="46">
        <v>0</v>
      </c>
      <c r="F220" s="46">
        <v>684</v>
      </c>
      <c r="G220" s="69" t="str">
        <f>A219</f>
        <v>8th &amp; 13th Floor (Part Refuge Area)</v>
      </c>
      <c r="H220" s="70"/>
      <c r="I220" s="30"/>
      <c r="N220" s="2" t="str">
        <f t="shared" ref="N220:N228" ca="1" si="70">O220&amp;""&amp;" to "&amp;""&amp;P220</f>
        <v>801 to 1301</v>
      </c>
      <c r="O220" s="2">
        <f ca="1">(SUMPRODUCT(MID(0&amp;(LEFT(A219,SUM(LEN(A219)-LEN(SUBSTITUTE(A219,{"0","1","2"},""))))), LARGE(INDEX(ISNUMBER(--MID((LEFT(A219,SUM(LEN(A219)-LEN(SUBSTITUTE(A219,{"0","1","2"},""))))), ROW(INDIRECT("1:"&amp;LEN((LEFT(A219,SUM(LEN(A219)-LEN(SUBSTITUTE(A219,{"0","1","2"},"")))))))), 1)) * ROW(INDIRECT("1:"&amp;LEN((LEFT(A219,SUM(LEN(A219)-LEN(SUBSTITUTE(A219,{"0","1","2"},"")))))))), 0), ROW(INDIRECT("1:"&amp;LEN((LEFT(A219,SUM(LEN(A219)-LEN(SUBSTITUTE(A219,{"0","1","2"},"")))))))))+1, 1) * 10^ROW(INDIRECT("1:"&amp;LEN((LEFT(A219,SUM(LEN(A219)-LEN(SUBSTITUTE(A219,{"0","1","2"},""))))))))/10))*100+1</f>
        <v>801</v>
      </c>
      <c r="P220" s="2">
        <f ca="1">(SUMPRODUCT(MID(0&amp;(--TRIM(RIGHT(SUBSTITUTE(LEFT(A219,_xlfn.AGGREGATE(16,6,FIND({0,1,2,3,4,5,6,7,8,9},A219,ROW(INDIRECT("1:"&amp;LEN(A219)))),1))," ",REPT(" ",LEN(A219))),LEN(A219)))), LARGE(INDEX(ISNUMBER(--MID((--TRIM(RIGHT(SUBSTITUTE(LEFT(A219,_xlfn.AGGREGATE(16,6,FIND({0,1,2,3,4,5,6,7,8,9},A219,ROW(INDIRECT("1:"&amp;LEN(A219)))),1))," ",REPT(" ",LEN(A219))),LEN(A219)))), ROW(INDIRECT("1:"&amp;LEN((--TRIM(RIGHT(SUBSTITUTE(LEFT(A219,_xlfn.AGGREGATE(16,6,FIND({0,1,2,3,4,5,6,7,8,9},A219,ROW(INDIRECT("1:"&amp;LEN(A219)))),1))," ",REPT(" ",LEN(A219))),LEN(A219))))))), 1)) * ROW(INDIRECT("1:"&amp;LEN((--TRIM(RIGHT(SUBSTITUTE(LEFT(A219,_xlfn.AGGREGATE(16,6,FIND({0,1,2,3,4,5,6,7,8,9},A219,ROW(INDIRECT("1:"&amp;LEN(A219)))),1))," ",REPT(" ",LEN(A219))),LEN(A219))))))), 0), ROW(INDIRECT("1:"&amp;LEN((--TRIM(RIGHT(SUBSTITUTE(LEFT(A219,_xlfn.AGGREGATE(16,6,FIND({0,1,2,3,4,5,6,7,8,9},A219,ROW(INDIRECT("1:"&amp;LEN(A219)))),1))," ",REPT(" ",LEN(A219))),LEN(A219))))))))+1, 1) * 10^ROW(INDIRECT("1:"&amp;LEN((--TRIM(RIGHT(SUBSTITUTE(LEFT(A219,_xlfn.AGGREGATE(16,6,FIND({0,1,2,3,4,5,6,7,8,9},A219,ROW(INDIRECT("1:"&amp;LEN(A219)))),1))," ",REPT(" ",LEN(A219))),LEN(A219)))))))/10))*100+1</f>
        <v>1301</v>
      </c>
    </row>
    <row r="221" spans="1:16" s="2" customFormat="1" ht="15.75" customHeight="1" x14ac:dyDescent="0.3">
      <c r="A221" s="67">
        <v>2</v>
      </c>
      <c r="B221" s="68"/>
      <c r="C221" s="46" t="s">
        <v>198</v>
      </c>
      <c r="D221" s="46">
        <f t="shared" si="69"/>
        <v>373.83371999999997</v>
      </c>
      <c r="E221" s="46">
        <v>0</v>
      </c>
      <c r="F221" s="46">
        <v>684</v>
      </c>
      <c r="G221" s="71"/>
      <c r="H221" s="72"/>
      <c r="I221" s="30"/>
      <c r="N221" s="2" t="str">
        <f t="shared" ca="1" si="70"/>
        <v>802 to 1302</v>
      </c>
      <c r="O221" s="2">
        <f t="shared" ref="O221:P221" ca="1" si="71">O220+1</f>
        <v>802</v>
      </c>
      <c r="P221" s="2">
        <f t="shared" ca="1" si="71"/>
        <v>1302</v>
      </c>
    </row>
    <row r="222" spans="1:16" s="2" customFormat="1" ht="15.75" customHeight="1" x14ac:dyDescent="0.3">
      <c r="A222" s="67">
        <v>3</v>
      </c>
      <c r="B222" s="68"/>
      <c r="C222" s="46" t="s">
        <v>197</v>
      </c>
      <c r="D222" s="46">
        <f t="shared" ref="D222:D223" si="72">49.15*10.764</f>
        <v>529.05059999999992</v>
      </c>
      <c r="E222" s="46">
        <v>0</v>
      </c>
      <c r="F222" s="46">
        <v>950</v>
      </c>
      <c r="G222" s="71"/>
      <c r="H222" s="72"/>
      <c r="I222" s="30"/>
      <c r="N222" s="2" t="str">
        <f t="shared" ca="1" si="70"/>
        <v>803 to 1303</v>
      </c>
      <c r="O222" s="2">
        <f t="shared" ref="O222:P222" ca="1" si="73">O221+1</f>
        <v>803</v>
      </c>
      <c r="P222" s="2">
        <f t="shared" ca="1" si="73"/>
        <v>1303</v>
      </c>
    </row>
    <row r="223" spans="1:16" s="2" customFormat="1" ht="15.75" customHeight="1" x14ac:dyDescent="0.3">
      <c r="A223" s="67">
        <v>4</v>
      </c>
      <c r="B223" s="68"/>
      <c r="C223" s="46" t="s">
        <v>197</v>
      </c>
      <c r="D223" s="46">
        <f t="shared" si="72"/>
        <v>529.05059999999992</v>
      </c>
      <c r="E223" s="46">
        <v>0</v>
      </c>
      <c r="F223" s="46">
        <v>950</v>
      </c>
      <c r="G223" s="71"/>
      <c r="H223" s="72"/>
      <c r="I223" s="30"/>
      <c r="N223" s="2" t="str">
        <f t="shared" ca="1" si="70"/>
        <v>804 to 1304</v>
      </c>
      <c r="O223" s="2">
        <f t="shared" ref="O223:P223" ca="1" si="74">O222+1</f>
        <v>804</v>
      </c>
      <c r="P223" s="2">
        <f t="shared" ca="1" si="74"/>
        <v>1304</v>
      </c>
    </row>
    <row r="224" spans="1:16" s="2" customFormat="1" ht="15.75" customHeight="1" x14ac:dyDescent="0.3">
      <c r="A224" s="67">
        <v>5</v>
      </c>
      <c r="B224" s="68"/>
      <c r="C224" s="46" t="s">
        <v>198</v>
      </c>
      <c r="D224" s="46">
        <f t="shared" ref="D224:D225" si="75">34.73*10.764</f>
        <v>373.83371999999997</v>
      </c>
      <c r="E224" s="46">
        <v>0</v>
      </c>
      <c r="F224" s="46">
        <v>684</v>
      </c>
      <c r="G224" s="71"/>
      <c r="H224" s="72"/>
      <c r="I224" s="30"/>
      <c r="N224" s="2" t="str">
        <f t="shared" ca="1" si="70"/>
        <v>805 to 1305</v>
      </c>
      <c r="O224" s="2">
        <f t="shared" ref="O224:P224" ca="1" si="76">O223+1</f>
        <v>805</v>
      </c>
      <c r="P224" s="2">
        <f t="shared" ca="1" si="76"/>
        <v>1305</v>
      </c>
    </row>
    <row r="225" spans="1:16" s="2" customFormat="1" ht="15.75" customHeight="1" x14ac:dyDescent="0.3">
      <c r="A225" s="67">
        <v>6</v>
      </c>
      <c r="B225" s="68"/>
      <c r="C225" s="46" t="s">
        <v>198</v>
      </c>
      <c r="D225" s="46">
        <f t="shared" si="75"/>
        <v>373.83371999999997</v>
      </c>
      <c r="E225" s="46">
        <v>0</v>
      </c>
      <c r="F225" s="46">
        <v>684</v>
      </c>
      <c r="G225" s="71"/>
      <c r="H225" s="72"/>
      <c r="I225" s="30"/>
      <c r="N225" s="2" t="str">
        <f t="shared" ca="1" si="70"/>
        <v>806 to 1306</v>
      </c>
      <c r="O225" s="2">
        <f t="shared" ref="O225:P225" ca="1" si="77">O224+1</f>
        <v>806</v>
      </c>
      <c r="P225" s="2">
        <f t="shared" ca="1" si="77"/>
        <v>1306</v>
      </c>
    </row>
    <row r="226" spans="1:16" s="2" customFormat="1" ht="15.75" customHeight="1" x14ac:dyDescent="0.3">
      <c r="A226" s="67">
        <v>7</v>
      </c>
      <c r="B226" s="68"/>
      <c r="C226" s="67" t="s">
        <v>223</v>
      </c>
      <c r="D226" s="75"/>
      <c r="E226" s="75"/>
      <c r="F226" s="68"/>
      <c r="G226" s="71"/>
      <c r="H226" s="72"/>
      <c r="I226" s="30"/>
      <c r="N226" s="2" t="str">
        <f t="shared" ca="1" si="70"/>
        <v>807 to 1307</v>
      </c>
      <c r="O226" s="2">
        <f t="shared" ref="O226:P226" ca="1" si="78">O225+1</f>
        <v>807</v>
      </c>
      <c r="P226" s="2">
        <f t="shared" ca="1" si="78"/>
        <v>1307</v>
      </c>
    </row>
    <row r="227" spans="1:16" s="2" customFormat="1" ht="15.75" customHeight="1" x14ac:dyDescent="0.3">
      <c r="A227" s="67">
        <v>8</v>
      </c>
      <c r="B227" s="68"/>
      <c r="C227" s="46" t="s">
        <v>197</v>
      </c>
      <c r="D227" s="46">
        <f t="shared" ref="D227:D228" si="79">49.15*10.764</f>
        <v>529.05059999999992</v>
      </c>
      <c r="E227" s="46">
        <v>0</v>
      </c>
      <c r="F227" s="46">
        <v>950</v>
      </c>
      <c r="G227" s="71"/>
      <c r="H227" s="72"/>
      <c r="I227" s="30"/>
      <c r="N227" s="2" t="str">
        <f t="shared" ca="1" si="70"/>
        <v>808 to 1308</v>
      </c>
      <c r="O227" s="2">
        <f t="shared" ref="O227:P227" ca="1" si="80">O226+1</f>
        <v>808</v>
      </c>
      <c r="P227" s="2">
        <f t="shared" ca="1" si="80"/>
        <v>1308</v>
      </c>
    </row>
    <row r="228" spans="1:16" s="2" customFormat="1" ht="15.75" customHeight="1" x14ac:dyDescent="0.3">
      <c r="A228" s="67">
        <v>9</v>
      </c>
      <c r="B228" s="68"/>
      <c r="C228" s="46" t="s">
        <v>197</v>
      </c>
      <c r="D228" s="46">
        <f t="shared" si="79"/>
        <v>529.05059999999992</v>
      </c>
      <c r="E228" s="46">
        <v>0</v>
      </c>
      <c r="F228" s="46">
        <v>950</v>
      </c>
      <c r="G228" s="73"/>
      <c r="H228" s="74"/>
      <c r="I228" s="30"/>
      <c r="N228" s="2" t="str">
        <f t="shared" ca="1" si="70"/>
        <v>809 to 1309</v>
      </c>
      <c r="O228" s="2">
        <f t="shared" ref="O228:P228" ca="1" si="81">O227+1</f>
        <v>809</v>
      </c>
      <c r="P228" s="2">
        <f t="shared" ca="1" si="81"/>
        <v>1309</v>
      </c>
    </row>
    <row r="229" spans="1:16" s="1" customFormat="1" x14ac:dyDescent="0.3">
      <c r="A229" s="149" t="s">
        <v>76</v>
      </c>
      <c r="B229" s="149"/>
      <c r="C229" s="149"/>
      <c r="D229" s="149"/>
      <c r="E229" s="149"/>
      <c r="F229" s="149"/>
      <c r="G229" s="149"/>
      <c r="H229" s="149"/>
    </row>
    <row r="230" spans="1:16" s="1" customFormat="1" x14ac:dyDescent="0.3">
      <c r="A230" s="50">
        <v>1</v>
      </c>
      <c r="B230" s="81" t="s">
        <v>251</v>
      </c>
      <c r="C230" s="81"/>
      <c r="D230" s="81"/>
      <c r="E230" s="81"/>
      <c r="F230" s="81"/>
      <c r="G230" s="81"/>
      <c r="H230" s="81"/>
      <c r="I230" s="81" t="s">
        <v>249</v>
      </c>
      <c r="J230" s="81"/>
      <c r="K230" s="81"/>
      <c r="L230" s="81"/>
      <c r="M230" s="81"/>
      <c r="N230" s="81"/>
      <c r="O230" s="81"/>
    </row>
    <row r="231" spans="1:16" s="1" customFormat="1" x14ac:dyDescent="0.3">
      <c r="A231" s="50">
        <f>A230+1</f>
        <v>2</v>
      </c>
      <c r="B231" s="81" t="s">
        <v>211</v>
      </c>
      <c r="C231" s="81"/>
      <c r="D231" s="81"/>
      <c r="E231" s="81"/>
      <c r="F231" s="81"/>
      <c r="G231" s="81"/>
      <c r="H231" s="81"/>
    </row>
    <row r="232" spans="1:16" s="1" customFormat="1" x14ac:dyDescent="0.3">
      <c r="A232" s="50">
        <f t="shared" ref="A232:A235" si="82">A231+1</f>
        <v>3</v>
      </c>
      <c r="B232" s="82" t="s">
        <v>158</v>
      </c>
      <c r="C232" s="82"/>
      <c r="D232" s="82"/>
      <c r="E232" s="82"/>
      <c r="F232" s="82"/>
      <c r="G232" s="82"/>
      <c r="H232" s="82"/>
    </row>
    <row r="233" spans="1:16" s="1" customFormat="1" x14ac:dyDescent="0.3">
      <c r="A233" s="50">
        <f t="shared" si="82"/>
        <v>4</v>
      </c>
      <c r="B233" s="82" t="s">
        <v>203</v>
      </c>
      <c r="C233" s="82"/>
      <c r="D233" s="82"/>
      <c r="E233" s="82"/>
      <c r="F233" s="82"/>
      <c r="G233" s="82"/>
      <c r="H233" s="82"/>
    </row>
    <row r="234" spans="1:16" s="1" customFormat="1" x14ac:dyDescent="0.3">
      <c r="A234" s="50">
        <f t="shared" si="82"/>
        <v>5</v>
      </c>
      <c r="B234" s="82" t="s">
        <v>159</v>
      </c>
      <c r="C234" s="82"/>
      <c r="D234" s="82"/>
      <c r="E234" s="82"/>
      <c r="F234" s="82"/>
      <c r="G234" s="82"/>
      <c r="H234" s="82"/>
    </row>
    <row r="235" spans="1:16" s="1" customFormat="1" ht="33" customHeight="1" x14ac:dyDescent="0.3">
      <c r="A235" s="50">
        <f t="shared" si="82"/>
        <v>6</v>
      </c>
      <c r="B235" s="82" t="s">
        <v>219</v>
      </c>
      <c r="C235" s="82"/>
      <c r="D235" s="82"/>
      <c r="E235" s="82"/>
      <c r="F235" s="82"/>
      <c r="G235" s="82"/>
      <c r="H235" s="82"/>
    </row>
    <row r="236" spans="1:16" s="1" customFormat="1" x14ac:dyDescent="0.3">
      <c r="A236" s="50">
        <v>7</v>
      </c>
      <c r="B236" s="78" t="s">
        <v>160</v>
      </c>
      <c r="C236" s="79"/>
      <c r="D236" s="79"/>
      <c r="E236" s="79"/>
      <c r="F236" s="79"/>
      <c r="G236" s="79"/>
      <c r="H236" s="80"/>
    </row>
    <row r="237" spans="1:16" s="1" customFormat="1" x14ac:dyDescent="0.3">
      <c r="A237" s="50">
        <v>8</v>
      </c>
      <c r="B237" s="181" t="s">
        <v>229</v>
      </c>
      <c r="C237" s="182"/>
      <c r="D237" s="182"/>
      <c r="E237" s="182"/>
      <c r="F237" s="182"/>
      <c r="G237" s="182"/>
      <c r="H237" s="183"/>
    </row>
    <row r="238" spans="1:16" s="1" customFormat="1" x14ac:dyDescent="0.3">
      <c r="A238" s="50">
        <v>9</v>
      </c>
      <c r="B238" s="181" t="s">
        <v>234</v>
      </c>
      <c r="C238" s="182"/>
      <c r="D238" s="182"/>
      <c r="E238" s="182"/>
      <c r="F238" s="182"/>
      <c r="G238" s="182"/>
      <c r="H238" s="183"/>
    </row>
    <row r="239" spans="1:16" x14ac:dyDescent="0.3">
      <c r="A239" s="151" t="s">
        <v>69</v>
      </c>
      <c r="B239" s="151"/>
      <c r="C239" s="151"/>
      <c r="D239" s="151"/>
      <c r="E239" s="151"/>
      <c r="F239" s="151"/>
      <c r="G239" s="151"/>
      <c r="H239" s="151"/>
    </row>
    <row r="240" spans="1:16" x14ac:dyDescent="0.3">
      <c r="A240" s="76" t="s">
        <v>70</v>
      </c>
      <c r="B240" s="76"/>
      <c r="C240" s="76"/>
      <c r="D240" s="76"/>
      <c r="E240" s="76"/>
      <c r="F240" s="76"/>
      <c r="G240" s="76"/>
      <c r="H240" s="76"/>
    </row>
    <row r="241" spans="1:8" ht="15.75" customHeight="1" x14ac:dyDescent="0.3">
      <c r="A241" s="156" t="s">
        <v>71</v>
      </c>
      <c r="B241" s="156"/>
      <c r="C241" s="156"/>
      <c r="D241" s="156"/>
      <c r="E241" s="156"/>
      <c r="F241" s="156"/>
      <c r="G241" s="156"/>
      <c r="H241" s="156"/>
    </row>
    <row r="242" spans="1:8" x14ac:dyDescent="0.3">
      <c r="A242" s="76" t="s">
        <v>72</v>
      </c>
      <c r="B242" s="76"/>
      <c r="C242" s="76"/>
      <c r="D242" s="76"/>
      <c r="E242" s="76"/>
      <c r="F242" s="76"/>
      <c r="G242" s="76"/>
      <c r="H242" s="76"/>
    </row>
    <row r="243" spans="1:8" x14ac:dyDescent="0.3">
      <c r="A243" s="76" t="s">
        <v>73</v>
      </c>
      <c r="B243" s="76"/>
      <c r="C243" s="76"/>
      <c r="D243" s="76"/>
      <c r="E243" s="76"/>
      <c r="F243" s="76"/>
      <c r="G243" s="76"/>
      <c r="H243" s="76"/>
    </row>
    <row r="244" spans="1:8" x14ac:dyDescent="0.3">
      <c r="A244" s="76" t="s">
        <v>161</v>
      </c>
      <c r="B244" s="76"/>
      <c r="C244" s="76"/>
      <c r="D244" s="76"/>
      <c r="E244" s="76"/>
      <c r="F244" s="76"/>
      <c r="G244" s="76"/>
      <c r="H244" s="76"/>
    </row>
    <row r="245" spans="1:8" ht="32.25" customHeight="1" x14ac:dyDescent="0.3">
      <c r="A245" s="124" t="s">
        <v>162</v>
      </c>
      <c r="B245" s="124"/>
      <c r="C245" s="124"/>
      <c r="D245" s="124"/>
      <c r="E245" s="124"/>
      <c r="F245" s="124"/>
      <c r="G245" s="124"/>
      <c r="H245" s="124"/>
    </row>
    <row r="246" spans="1:8" x14ac:dyDescent="0.3">
      <c r="A246" s="146" t="s">
        <v>107</v>
      </c>
      <c r="B246" s="146"/>
      <c r="C246" s="146" t="s">
        <v>236</v>
      </c>
      <c r="D246" s="146"/>
      <c r="E246" s="146" t="s">
        <v>141</v>
      </c>
      <c r="F246" s="146"/>
      <c r="G246" s="146" t="s">
        <v>248</v>
      </c>
      <c r="H246" s="146"/>
    </row>
    <row r="247" spans="1:8" x14ac:dyDescent="0.3">
      <c r="A247" s="145" t="s">
        <v>109</v>
      </c>
      <c r="B247" s="145"/>
      <c r="C247" s="145"/>
      <c r="D247" s="145"/>
      <c r="E247" s="145"/>
      <c r="F247" s="145"/>
      <c r="G247" s="145"/>
      <c r="H247" s="145"/>
    </row>
    <row r="248" spans="1:8" x14ac:dyDescent="0.3">
      <c r="A248" s="145"/>
      <c r="B248" s="145"/>
      <c r="C248" s="145"/>
      <c r="D248" s="145"/>
      <c r="E248" s="145"/>
      <c r="F248" s="145"/>
      <c r="G248" s="145"/>
      <c r="H248" s="145"/>
    </row>
    <row r="249" spans="1:8" x14ac:dyDescent="0.3">
      <c r="A249" s="145"/>
      <c r="B249" s="145"/>
      <c r="C249" s="145"/>
      <c r="D249" s="145"/>
      <c r="E249" s="145"/>
      <c r="F249" s="145"/>
      <c r="G249" s="145"/>
      <c r="H249" s="145"/>
    </row>
    <row r="250" spans="1:8" x14ac:dyDescent="0.3">
      <c r="A250" s="145"/>
      <c r="B250" s="145"/>
      <c r="C250" s="145"/>
      <c r="D250" s="145"/>
      <c r="E250" s="145"/>
      <c r="F250" s="145"/>
      <c r="G250" s="145"/>
      <c r="H250" s="145"/>
    </row>
    <row r="251" spans="1:8" x14ac:dyDescent="0.3">
      <c r="A251" s="60" t="s">
        <v>74</v>
      </c>
      <c r="B251" s="61"/>
      <c r="C251" s="61"/>
      <c r="D251" s="60" t="str">
        <f>E8</f>
        <v>Arihant 5 Anaika</v>
      </c>
      <c r="F251" s="61"/>
      <c r="G251" s="61"/>
      <c r="H251" s="61"/>
    </row>
    <row r="252" spans="1:8" x14ac:dyDescent="0.3">
      <c r="A252" s="61"/>
      <c r="B252" s="61"/>
      <c r="C252" s="61"/>
      <c r="D252" s="61"/>
      <c r="E252" s="61"/>
      <c r="F252" s="61"/>
      <c r="G252" s="61"/>
      <c r="H252" s="61"/>
    </row>
    <row r="253" spans="1:8" x14ac:dyDescent="0.3">
      <c r="A253" s="61"/>
      <c r="B253" s="61"/>
      <c r="C253" s="61"/>
      <c r="D253" s="61"/>
      <c r="E253" s="61"/>
      <c r="F253" s="61"/>
      <c r="G253" s="61"/>
      <c r="H253" s="61"/>
    </row>
    <row r="254" spans="1:8" ht="15" customHeight="1" x14ac:dyDescent="0.3"/>
    <row r="292" spans="1:1" x14ac:dyDescent="0.3">
      <c r="A292" s="62" t="s">
        <v>75</v>
      </c>
    </row>
  </sheetData>
  <mergeCells count="388">
    <mergeCell ref="I230:O230"/>
    <mergeCell ref="B238:H238"/>
    <mergeCell ref="B237:H237"/>
    <mergeCell ref="A198:H198"/>
    <mergeCell ref="L198:M198"/>
    <mergeCell ref="A169:H169"/>
    <mergeCell ref="L169:M169"/>
    <mergeCell ref="A188:H188"/>
    <mergeCell ref="A189:B189"/>
    <mergeCell ref="G189:H196"/>
    <mergeCell ref="A190:B190"/>
    <mergeCell ref="A191:B191"/>
    <mergeCell ref="A192:B192"/>
    <mergeCell ref="A193:B193"/>
    <mergeCell ref="A194:B194"/>
    <mergeCell ref="A195:B195"/>
    <mergeCell ref="A196:B196"/>
    <mergeCell ref="C194:F194"/>
    <mergeCell ref="B235:H235"/>
    <mergeCell ref="G210:H218"/>
    <mergeCell ref="A185:B185"/>
    <mergeCell ref="A186:B186"/>
    <mergeCell ref="A187:B187"/>
    <mergeCell ref="A209:H209"/>
    <mergeCell ref="A210:B210"/>
    <mergeCell ref="A213:B213"/>
    <mergeCell ref="A214:B214"/>
    <mergeCell ref="A215:B215"/>
    <mergeCell ref="A144:H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6:H156"/>
    <mergeCell ref="A157:B157"/>
    <mergeCell ref="G157:H167"/>
    <mergeCell ref="A158:B158"/>
    <mergeCell ref="A159:B159"/>
    <mergeCell ref="A160:B160"/>
    <mergeCell ref="A161:B161"/>
    <mergeCell ref="A162:B162"/>
    <mergeCell ref="A163:B163"/>
    <mergeCell ref="G171:H178"/>
    <mergeCell ref="A217:B217"/>
    <mergeCell ref="A218:B218"/>
    <mergeCell ref="A203:B203"/>
    <mergeCell ref="A204:B204"/>
    <mergeCell ref="A205:B205"/>
    <mergeCell ref="A206:B206"/>
    <mergeCell ref="A207:B207"/>
    <mergeCell ref="L168:M168"/>
    <mergeCell ref="A197:H197"/>
    <mergeCell ref="L197:M197"/>
    <mergeCell ref="A199:H199"/>
    <mergeCell ref="L199:M199"/>
    <mergeCell ref="A200:B200"/>
    <mergeCell ref="A201:B201"/>
    <mergeCell ref="A202:B202"/>
    <mergeCell ref="C200:F201"/>
    <mergeCell ref="A179:H179"/>
    <mergeCell ref="A180:B180"/>
    <mergeCell ref="A181:B181"/>
    <mergeCell ref="A182:B182"/>
    <mergeCell ref="A183:B183"/>
    <mergeCell ref="A184:B184"/>
    <mergeCell ref="L170:M170"/>
    <mergeCell ref="A211:B211"/>
    <mergeCell ref="A216:B216"/>
    <mergeCell ref="G200:H208"/>
    <mergeCell ref="A177:B177"/>
    <mergeCell ref="A178:B178"/>
    <mergeCell ref="C171:F173"/>
    <mergeCell ref="C178:F178"/>
    <mergeCell ref="A168:H168"/>
    <mergeCell ref="A139:B139"/>
    <mergeCell ref="A140:B140"/>
    <mergeCell ref="A141:B141"/>
    <mergeCell ref="A142:B142"/>
    <mergeCell ref="G133:H143"/>
    <mergeCell ref="G145:H155"/>
    <mergeCell ref="A153:B153"/>
    <mergeCell ref="A154:B154"/>
    <mergeCell ref="A155:B155"/>
    <mergeCell ref="A208:B208"/>
    <mergeCell ref="A165:B165"/>
    <mergeCell ref="A166:B166"/>
    <mergeCell ref="A167:B167"/>
    <mergeCell ref="C164:F164"/>
    <mergeCell ref="A164:B164"/>
    <mergeCell ref="G180:H187"/>
    <mergeCell ref="A212:B212"/>
    <mergeCell ref="L130:M130"/>
    <mergeCell ref="A132:H132"/>
    <mergeCell ref="L132:M132"/>
    <mergeCell ref="A133:B133"/>
    <mergeCell ref="A134:B134"/>
    <mergeCell ref="A135:B135"/>
    <mergeCell ref="A131:H131"/>
    <mergeCell ref="L131:M131"/>
    <mergeCell ref="E40:H40"/>
    <mergeCell ref="A40:D40"/>
    <mergeCell ref="A76:B76"/>
    <mergeCell ref="C76:H76"/>
    <mergeCell ref="A71:B71"/>
    <mergeCell ref="A46:B46"/>
    <mergeCell ref="C46:E46"/>
    <mergeCell ref="G46:H46"/>
    <mergeCell ref="G48:H48"/>
    <mergeCell ref="D52:H52"/>
    <mergeCell ref="C48:E48"/>
    <mergeCell ref="A55:C57"/>
    <mergeCell ref="D55:H55"/>
    <mergeCell ref="D56:H56"/>
    <mergeCell ref="C47:E47"/>
    <mergeCell ref="A50:B50"/>
    <mergeCell ref="A244:H244"/>
    <mergeCell ref="A176:B176"/>
    <mergeCell ref="A241:H241"/>
    <mergeCell ref="A171:B171"/>
    <mergeCell ref="A122:B122"/>
    <mergeCell ref="G129:H129"/>
    <mergeCell ref="A84:B84"/>
    <mergeCell ref="A85:B85"/>
    <mergeCell ref="A86:B86"/>
    <mergeCell ref="A100:B100"/>
    <mergeCell ref="F108:H108"/>
    <mergeCell ref="A143:B143"/>
    <mergeCell ref="C135:F137"/>
    <mergeCell ref="A128:H128"/>
    <mergeCell ref="A117:E117"/>
    <mergeCell ref="C106:H106"/>
    <mergeCell ref="F109:H109"/>
    <mergeCell ref="A109:E109"/>
    <mergeCell ref="A118:E118"/>
    <mergeCell ref="A110:E110"/>
    <mergeCell ref="A112:E112"/>
    <mergeCell ref="F112:H112"/>
    <mergeCell ref="A124:B124"/>
    <mergeCell ref="C124:D124"/>
    <mergeCell ref="C50:E50"/>
    <mergeCell ref="A47:B47"/>
    <mergeCell ref="A51:H51"/>
    <mergeCell ref="A52:C52"/>
    <mergeCell ref="A53:C53"/>
    <mergeCell ref="D53:H53"/>
    <mergeCell ref="G50:H50"/>
    <mergeCell ref="D57:H57"/>
    <mergeCell ref="C49:H49"/>
    <mergeCell ref="G124:H124"/>
    <mergeCell ref="A125:B125"/>
    <mergeCell ref="A107:H107"/>
    <mergeCell ref="G126:H126"/>
    <mergeCell ref="F113:H113"/>
    <mergeCell ref="A114:E114"/>
    <mergeCell ref="A116:E116"/>
    <mergeCell ref="F110:H110"/>
    <mergeCell ref="A115:E115"/>
    <mergeCell ref="A247:H250"/>
    <mergeCell ref="A246:B246"/>
    <mergeCell ref="E246:F246"/>
    <mergeCell ref="C246:D246"/>
    <mergeCell ref="G246:H246"/>
    <mergeCell ref="A119:E119"/>
    <mergeCell ref="F119:H119"/>
    <mergeCell ref="A120:E120"/>
    <mergeCell ref="F120:H120"/>
    <mergeCell ref="A170:H170"/>
    <mergeCell ref="A123:B123"/>
    <mergeCell ref="A242:H242"/>
    <mergeCell ref="A121:H121"/>
    <mergeCell ref="A245:H245"/>
    <mergeCell ref="A243:H243"/>
    <mergeCell ref="A229:H229"/>
    <mergeCell ref="C122:D122"/>
    <mergeCell ref="G122:H122"/>
    <mergeCell ref="A130:H130"/>
    <mergeCell ref="A136:B136"/>
    <mergeCell ref="A137:B137"/>
    <mergeCell ref="A138:B138"/>
    <mergeCell ref="A239:H239"/>
    <mergeCell ref="A240:H240"/>
    <mergeCell ref="A66:B66"/>
    <mergeCell ref="G65:H65"/>
    <mergeCell ref="A64:B64"/>
    <mergeCell ref="A62:B62"/>
    <mergeCell ref="C62:H62"/>
    <mergeCell ref="A70:B70"/>
    <mergeCell ref="A60:C60"/>
    <mergeCell ref="D60:H60"/>
    <mergeCell ref="C64:H64"/>
    <mergeCell ref="A67:B67"/>
    <mergeCell ref="A69:B69"/>
    <mergeCell ref="E65:F65"/>
    <mergeCell ref="A61:C61"/>
    <mergeCell ref="D61:H61"/>
    <mergeCell ref="A58:C58"/>
    <mergeCell ref="A59:C59"/>
    <mergeCell ref="D58:H58"/>
    <mergeCell ref="E66:F75"/>
    <mergeCell ref="G66:H75"/>
    <mergeCell ref="A74:B74"/>
    <mergeCell ref="A75:B75"/>
    <mergeCell ref="D59:H59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D54:H54"/>
    <mergeCell ref="A54:C54"/>
    <mergeCell ref="G47:H47"/>
    <mergeCell ref="A48:B49"/>
    <mergeCell ref="A72:B72"/>
    <mergeCell ref="A65:B65"/>
    <mergeCell ref="A68:B6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C36:H36"/>
    <mergeCell ref="A73:B73"/>
    <mergeCell ref="C123:D123"/>
    <mergeCell ref="E123:F123"/>
    <mergeCell ref="G123:H123"/>
    <mergeCell ref="F114:H114"/>
    <mergeCell ref="A108:E108"/>
    <mergeCell ref="A90:B90"/>
    <mergeCell ref="C90:H90"/>
    <mergeCell ref="A80:B80"/>
    <mergeCell ref="E80:F89"/>
    <mergeCell ref="F117:H117"/>
    <mergeCell ref="A111:E111"/>
    <mergeCell ref="A78:B78"/>
    <mergeCell ref="C78:H78"/>
    <mergeCell ref="A79:B79"/>
    <mergeCell ref="E79:F79"/>
    <mergeCell ref="G79:H79"/>
    <mergeCell ref="A113:E113"/>
    <mergeCell ref="A87:B87"/>
    <mergeCell ref="E122:F122"/>
    <mergeCell ref="A104:E104"/>
    <mergeCell ref="F104:H104"/>
    <mergeCell ref="A103:B103"/>
    <mergeCell ref="A88:B88"/>
    <mergeCell ref="A89:B89"/>
    <mergeCell ref="A92:B92"/>
    <mergeCell ref="C92:H92"/>
    <mergeCell ref="A93:B93"/>
    <mergeCell ref="E93:F93"/>
    <mergeCell ref="G93:H93"/>
    <mergeCell ref="A94:B94"/>
    <mergeCell ref="E94:F103"/>
    <mergeCell ref="G94:H103"/>
    <mergeCell ref="A95:B95"/>
    <mergeCell ref="A96:B96"/>
    <mergeCell ref="G80:H89"/>
    <mergeCell ref="A81:B81"/>
    <mergeCell ref="A82:B82"/>
    <mergeCell ref="A83:B83"/>
    <mergeCell ref="A97:B97"/>
    <mergeCell ref="A98:B98"/>
    <mergeCell ref="A99:B99"/>
    <mergeCell ref="A101:B101"/>
    <mergeCell ref="A102:B102"/>
    <mergeCell ref="A105:H105"/>
    <mergeCell ref="A106:B106"/>
    <mergeCell ref="B236:H236"/>
    <mergeCell ref="B230:H230"/>
    <mergeCell ref="B231:H231"/>
    <mergeCell ref="B232:H232"/>
    <mergeCell ref="B233:H233"/>
    <mergeCell ref="B234:H234"/>
    <mergeCell ref="C125:D125"/>
    <mergeCell ref="E125:F125"/>
    <mergeCell ref="G125:H125"/>
    <mergeCell ref="A126:B126"/>
    <mergeCell ref="C126:D126"/>
    <mergeCell ref="E126:F126"/>
    <mergeCell ref="A175:B175"/>
    <mergeCell ref="A172:B172"/>
    <mergeCell ref="A173:B173"/>
    <mergeCell ref="A174:B174"/>
    <mergeCell ref="A127:H127"/>
    <mergeCell ref="F115:H115"/>
    <mergeCell ref="F111:H111"/>
    <mergeCell ref="F118:H118"/>
    <mergeCell ref="F116:H116"/>
    <mergeCell ref="E124:F124"/>
    <mergeCell ref="A219:H219"/>
    <mergeCell ref="A220:B220"/>
    <mergeCell ref="G220:H228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C226:F226"/>
  </mergeCells>
  <hyperlinks>
    <hyperlink ref="C37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scale="93" fitToHeight="0" orientation="portrait" r:id="rId2"/>
  <headerFooter>
    <oddHeader>&amp;C&amp;G</oddHeader>
    <oddFooter>&amp;L&amp;"Times New Roman,Bold"&amp;12Ref No: &amp;F&amp;C&amp;G&amp;R&amp;"Times New Roman,Bold"&amp;12                                     &amp;P</oddFooter>
  </headerFooter>
  <rowBreaks count="3" manualBreakCount="3">
    <brk id="75" max="7" man="1"/>
    <brk id="250" max="16383" man="1"/>
    <brk id="29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C1"/>
  <sheetViews>
    <sheetView topLeftCell="A11" zoomScale="145" zoomScaleNormal="145" workbookViewId="0">
      <selection activeCell="B7" sqref="B7"/>
    </sheetView>
  </sheetViews>
  <sheetFormatPr defaultRowHeight="14.4" x14ac:dyDescent="0.3"/>
  <cols>
    <col min="1" max="1" width="11.33203125" bestFit="1" customWidth="1"/>
  </cols>
  <sheetData>
    <row r="1" spans="1:3" x14ac:dyDescent="0.3">
      <c r="A1" s="45">
        <v>44468</v>
      </c>
      <c r="B1" t="s">
        <v>216</v>
      </c>
      <c r="C1" t="s">
        <v>217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L36"/>
  <sheetViews>
    <sheetView topLeftCell="A4" workbookViewId="0">
      <selection activeCell="F21" sqref="F21"/>
    </sheetView>
  </sheetViews>
  <sheetFormatPr defaultRowHeight="14.4" x14ac:dyDescent="0.3"/>
  <cols>
    <col min="2" max="2" width="12.33203125" customWidth="1"/>
  </cols>
  <sheetData>
    <row r="2" spans="1:12" x14ac:dyDescent="0.3">
      <c r="B2" s="3" t="s">
        <v>77</v>
      </c>
      <c r="C2" s="184"/>
      <c r="D2" s="184"/>
    </row>
    <row r="3" spans="1:12" x14ac:dyDescent="0.3">
      <c r="D3" s="4"/>
      <c r="E3" s="4"/>
      <c r="F3" s="4"/>
      <c r="G3" s="4"/>
      <c r="H3" s="4"/>
      <c r="I3" s="4"/>
    </row>
    <row r="4" spans="1:12" x14ac:dyDescent="0.3">
      <c r="A4" s="3" t="s">
        <v>78</v>
      </c>
      <c r="B4" s="5" t="s">
        <v>79</v>
      </c>
      <c r="C4" s="185" t="s">
        <v>80</v>
      </c>
      <c r="D4" s="185"/>
      <c r="E4" s="185"/>
      <c r="F4" s="6"/>
      <c r="G4" s="185" t="s">
        <v>81</v>
      </c>
      <c r="H4" s="185"/>
      <c r="I4" s="185"/>
      <c r="J4" s="185" t="s">
        <v>82</v>
      </c>
      <c r="K4" s="185"/>
      <c r="L4" s="185"/>
    </row>
    <row r="5" spans="1:12" x14ac:dyDescent="0.3">
      <c r="A5" s="3">
        <v>202</v>
      </c>
      <c r="B5" s="5"/>
      <c r="C5" s="5" t="s">
        <v>83</v>
      </c>
      <c r="D5" s="5" t="s">
        <v>84</v>
      </c>
      <c r="E5" s="5" t="s">
        <v>61</v>
      </c>
      <c r="F5" s="5"/>
      <c r="G5" s="5" t="s">
        <v>83</v>
      </c>
      <c r="H5" s="5" t="s">
        <v>84</v>
      </c>
      <c r="I5" s="5" t="s">
        <v>61</v>
      </c>
      <c r="J5" s="5" t="s">
        <v>83</v>
      </c>
      <c r="K5" s="5" t="s">
        <v>84</v>
      </c>
      <c r="L5" s="5" t="s">
        <v>61</v>
      </c>
    </row>
    <row r="6" spans="1:12" x14ac:dyDescent="0.3">
      <c r="B6" s="7" t="s">
        <v>85</v>
      </c>
      <c r="C6" s="7"/>
      <c r="D6" s="7"/>
      <c r="E6" s="7">
        <f>C6*D6</f>
        <v>0</v>
      </c>
      <c r="F6" s="7" t="s">
        <v>86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">
      <c r="B7" s="7"/>
      <c r="C7" s="7"/>
      <c r="D7" s="7"/>
      <c r="E7" s="7">
        <f t="shared" ref="E7:E33" si="0">C7*D7</f>
        <v>0</v>
      </c>
      <c r="F7" s="7" t="s">
        <v>87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">
      <c r="B9" s="7" t="s">
        <v>88</v>
      </c>
      <c r="C9" s="7"/>
      <c r="D9" s="7"/>
      <c r="E9" s="7">
        <f t="shared" si="0"/>
        <v>0</v>
      </c>
      <c r="F9" s="7" t="s">
        <v>86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">
      <c r="B10" s="7"/>
      <c r="C10" s="7"/>
      <c r="D10" s="7"/>
      <c r="E10" s="7">
        <f t="shared" si="0"/>
        <v>0</v>
      </c>
      <c r="F10" s="7" t="s">
        <v>87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">
      <c r="B13" s="7" t="s">
        <v>89</v>
      </c>
      <c r="C13" s="7"/>
      <c r="D13" s="7"/>
      <c r="E13" s="7">
        <f t="shared" si="0"/>
        <v>0</v>
      </c>
      <c r="F13" s="7" t="s">
        <v>86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">
      <c r="B14" s="7"/>
      <c r="C14" s="7"/>
      <c r="D14" s="7"/>
      <c r="E14" s="7">
        <f t="shared" si="0"/>
        <v>0</v>
      </c>
      <c r="F14" s="7" t="s">
        <v>87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">
      <c r="B17" s="7" t="s">
        <v>90</v>
      </c>
      <c r="C17" s="7"/>
      <c r="D17" s="7"/>
      <c r="E17" s="7">
        <f t="shared" si="0"/>
        <v>0</v>
      </c>
      <c r="F17" s="7" t="s">
        <v>86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">
      <c r="B18" s="7"/>
      <c r="C18" s="7"/>
      <c r="D18" s="7"/>
      <c r="E18" s="7">
        <f t="shared" si="0"/>
        <v>0</v>
      </c>
      <c r="F18" s="7" t="s">
        <v>87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">
      <c r="B20" s="7" t="s">
        <v>90</v>
      </c>
      <c r="C20" s="7"/>
      <c r="D20" s="7"/>
      <c r="E20" s="7">
        <f t="shared" si="0"/>
        <v>0</v>
      </c>
      <c r="F20" s="7" t="s">
        <v>86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">
      <c r="B21" s="7"/>
      <c r="C21" s="7"/>
      <c r="D21" s="7"/>
      <c r="E21" s="7">
        <f t="shared" si="0"/>
        <v>0</v>
      </c>
      <c r="F21" s="7" t="s">
        <v>87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">
      <c r="B23" s="7" t="s">
        <v>91</v>
      </c>
      <c r="C23" s="7"/>
      <c r="D23" s="7"/>
      <c r="E23" s="7">
        <f t="shared" si="0"/>
        <v>0</v>
      </c>
      <c r="F23" s="7" t="s">
        <v>92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">
      <c r="B24" s="7" t="s">
        <v>93</v>
      </c>
      <c r="C24" s="7"/>
      <c r="D24" s="7"/>
      <c r="E24" s="7">
        <f t="shared" si="0"/>
        <v>0</v>
      </c>
      <c r="F24" s="7" t="s">
        <v>92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">
      <c r="B25" s="7" t="s">
        <v>94</v>
      </c>
      <c r="C25" s="7"/>
      <c r="D25" s="7"/>
      <c r="E25" s="7">
        <f t="shared" si="0"/>
        <v>0</v>
      </c>
      <c r="F25" s="7" t="s">
        <v>92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">
      <c r="B27" s="7" t="s">
        <v>95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">
      <c r="B28" s="7" t="s">
        <v>96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">
      <c r="B29" s="7" t="s">
        <v>97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">
      <c r="B30" s="7" t="s">
        <v>98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">
      <c r="B34" s="7" t="s">
        <v>62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16"/>
  <sheetViews>
    <sheetView zoomScale="115" zoomScaleNormal="115" workbookViewId="0">
      <selection activeCell="H7" sqref="H7"/>
    </sheetView>
  </sheetViews>
  <sheetFormatPr defaultColWidth="8.6640625" defaultRowHeight="14.4" x14ac:dyDescent="0.3"/>
  <cols>
    <col min="1" max="1" width="8.6640625" style="18"/>
    <col min="2" max="2" width="22.109375" style="18" customWidth="1"/>
    <col min="3" max="3" width="37" style="18" customWidth="1"/>
    <col min="4" max="5" width="11.44140625" style="18" customWidth="1"/>
    <col min="6" max="6" width="14" style="18" customWidth="1"/>
    <col min="7" max="7" width="20" style="18" customWidth="1"/>
    <col min="8" max="8" width="16.44140625" style="18" customWidth="1"/>
    <col min="9" max="16384" width="8.6640625" style="18"/>
  </cols>
  <sheetData>
    <row r="1" spans="1:9" ht="15" customHeight="1" x14ac:dyDescent="0.3"/>
    <row r="2" spans="1:9" ht="15" customHeight="1" x14ac:dyDescent="0.3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3">
      <c r="A3" s="19"/>
      <c r="B3" s="186" t="s">
        <v>142</v>
      </c>
      <c r="C3" s="186"/>
      <c r="D3" s="186"/>
      <c r="E3" s="186"/>
      <c r="F3" s="186"/>
      <c r="G3" s="186"/>
      <c r="H3" s="186"/>
    </row>
    <row r="4" spans="1:9" x14ac:dyDescent="0.3">
      <c r="A4" s="19"/>
      <c r="B4" s="20" t="s">
        <v>143</v>
      </c>
      <c r="C4" s="20" t="s">
        <v>144</v>
      </c>
      <c r="D4" s="20" t="s">
        <v>78</v>
      </c>
      <c r="E4" s="20" t="s">
        <v>145</v>
      </c>
      <c r="F4" s="20" t="s">
        <v>151</v>
      </c>
      <c r="G4" s="20" t="s">
        <v>152</v>
      </c>
      <c r="H4" s="20" t="s">
        <v>146</v>
      </c>
    </row>
    <row r="5" spans="1:9" ht="15" customHeight="1" x14ac:dyDescent="0.3">
      <c r="A5" s="19"/>
      <c r="B5" s="22" t="s">
        <v>148</v>
      </c>
      <c r="C5" s="41" t="s">
        <v>185</v>
      </c>
      <c r="D5" s="42" t="s">
        <v>198</v>
      </c>
      <c r="E5" s="22">
        <v>376.74</v>
      </c>
      <c r="F5" s="24">
        <f>E5*1.45</f>
        <v>546.27300000000002</v>
      </c>
      <c r="G5" s="24">
        <f>H5/F5</f>
        <v>5491.759614698145</v>
      </c>
      <c r="H5" s="25">
        <v>3000000</v>
      </c>
    </row>
    <row r="6" spans="1:9" x14ac:dyDescent="0.3">
      <c r="A6" s="19"/>
      <c r="B6" s="22" t="s">
        <v>148</v>
      </c>
      <c r="C6" s="41" t="s">
        <v>185</v>
      </c>
      <c r="D6" s="42" t="s">
        <v>197</v>
      </c>
      <c r="E6" s="22">
        <v>538.20000000000005</v>
      </c>
      <c r="F6" s="24">
        <f>E6*1.45</f>
        <v>780.39</v>
      </c>
      <c r="G6" s="24">
        <f t="shared" ref="G6:G11" si="0">H6/F6</f>
        <v>5510.0654800804723</v>
      </c>
      <c r="H6" s="25">
        <v>4300000</v>
      </c>
    </row>
    <row r="7" spans="1:9" ht="15" customHeight="1" x14ac:dyDescent="0.3">
      <c r="A7" s="19"/>
      <c r="B7" s="22" t="s">
        <v>147</v>
      </c>
      <c r="C7" s="23"/>
      <c r="D7" s="42" t="s">
        <v>198</v>
      </c>
      <c r="E7" s="22">
        <v>396</v>
      </c>
      <c r="F7" s="24">
        <v>684</v>
      </c>
      <c r="G7" s="24">
        <f t="shared" si="0"/>
        <v>3947.3684210526317</v>
      </c>
      <c r="H7" s="25">
        <v>2700000</v>
      </c>
    </row>
    <row r="8" spans="1:9" x14ac:dyDescent="0.3">
      <c r="A8" s="19"/>
      <c r="B8" s="22" t="s">
        <v>147</v>
      </c>
      <c r="C8" s="26"/>
      <c r="D8" s="42" t="s">
        <v>197</v>
      </c>
      <c r="E8" s="22">
        <v>543</v>
      </c>
      <c r="F8" s="24">
        <v>950</v>
      </c>
      <c r="G8" s="24">
        <f t="shared" si="0"/>
        <v>4631.5789473684208</v>
      </c>
      <c r="H8" s="25">
        <v>4400000</v>
      </c>
    </row>
    <row r="9" spans="1:9" ht="15" customHeight="1" x14ac:dyDescent="0.3">
      <c r="A9" s="19"/>
      <c r="B9" s="22" t="s">
        <v>147</v>
      </c>
      <c r="C9" s="26"/>
      <c r="D9" s="22"/>
      <c r="E9" s="22"/>
      <c r="F9" s="24">
        <f t="shared" ref="F9:F11" si="1">E9*1.6</f>
        <v>0</v>
      </c>
      <c r="G9" s="24" t="e">
        <f t="shared" si="0"/>
        <v>#DIV/0!</v>
      </c>
      <c r="H9" s="25"/>
    </row>
    <row r="10" spans="1:9" ht="15" customHeight="1" x14ac:dyDescent="0.3">
      <c r="A10" s="19"/>
      <c r="B10" s="22" t="s">
        <v>148</v>
      </c>
      <c r="C10" s="23"/>
      <c r="D10" s="22"/>
      <c r="E10" s="22"/>
      <c r="F10" s="24">
        <f t="shared" si="1"/>
        <v>0</v>
      </c>
      <c r="G10" s="24" t="e">
        <f t="shared" si="0"/>
        <v>#DIV/0!</v>
      </c>
      <c r="H10" s="25"/>
    </row>
    <row r="11" spans="1:9" ht="15" customHeight="1" x14ac:dyDescent="0.3">
      <c r="A11" s="19"/>
      <c r="B11" s="22" t="s">
        <v>148</v>
      </c>
      <c r="C11" s="23"/>
      <c r="D11" s="22"/>
      <c r="E11" s="22"/>
      <c r="F11" s="24">
        <f t="shared" si="1"/>
        <v>0</v>
      </c>
      <c r="G11" s="24" t="e">
        <f t="shared" si="0"/>
        <v>#DIV/0!</v>
      </c>
      <c r="H11" s="25"/>
    </row>
    <row r="12" spans="1:9" ht="15" customHeight="1" x14ac:dyDescent="0.3">
      <c r="A12" s="19"/>
      <c r="B12" s="27" t="s">
        <v>149</v>
      </c>
      <c r="C12" s="22"/>
      <c r="D12" s="22"/>
      <c r="E12" s="22"/>
      <c r="F12" s="22"/>
      <c r="G12" s="28" t="e">
        <f>AVERAGE(G5:G11)</f>
        <v>#DIV/0!</v>
      </c>
      <c r="H12" s="22"/>
    </row>
    <row r="13" spans="1:9" ht="15" customHeight="1" x14ac:dyDescent="0.3">
      <c r="B13" s="27" t="s">
        <v>150</v>
      </c>
      <c r="C13" s="22"/>
      <c r="D13" s="22"/>
      <c r="E13" s="22"/>
      <c r="F13" s="29"/>
      <c r="G13" s="27"/>
      <c r="H13" s="27"/>
      <c r="I13" s="21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Note</vt:lpstr>
      <vt:lpstr>Flat detail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2025-09-12T10:16:23Z</cp:lastPrinted>
  <dcterms:created xsi:type="dcterms:W3CDTF">2019-07-16T09:29:46Z</dcterms:created>
  <dcterms:modified xsi:type="dcterms:W3CDTF">2025-09-13T07:38:02Z</dcterms:modified>
</cp:coreProperties>
</file>