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Revised dump Report\"/>
    </mc:Choice>
  </mc:AlternateContent>
  <bookViews>
    <workbookView xWindow="0" yWindow="0" windowWidth="20490" windowHeight="7620"/>
  </bookViews>
  <sheets>
    <sheet name="Report" sheetId="1" r:id="rId1"/>
    <sheet name="Flat detail" sheetId="3" r:id="rId2"/>
    <sheet name="Note" sheetId="4" r:id="rId3"/>
    <sheet name="valuation" sheetId="5" r:id="rId4"/>
  </sheets>
  <definedNames>
    <definedName name="_xlnm.Print_Area" localSheetId="0">Report!$A$1:$H$329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C63" i="1"/>
  <c r="J86" i="1" l="1"/>
  <c r="J85" i="1"/>
  <c r="J84" i="1"/>
  <c r="J83" i="1"/>
  <c r="J72" i="1"/>
  <c r="J71" i="1"/>
  <c r="J70" i="1"/>
  <c r="J69" i="1"/>
  <c r="H76" i="1"/>
  <c r="H62" i="1"/>
  <c r="D81" i="1" l="1"/>
  <c r="J79" i="1"/>
  <c r="D88" i="1"/>
  <c r="D86" i="1"/>
  <c r="D84" i="1"/>
  <c r="D82" i="1"/>
  <c r="J80" i="1"/>
  <c r="C79" i="1" s="1"/>
  <c r="D79" i="1" s="1"/>
  <c r="J81" i="1"/>
  <c r="J82" i="1" s="1"/>
  <c r="J87" i="1" s="1"/>
  <c r="J88" i="1" s="1"/>
  <c r="C80" i="1" s="1"/>
  <c r="J78" i="1"/>
  <c r="D87" i="1"/>
  <c r="D85" i="1"/>
  <c r="D83" i="1"/>
  <c r="D74" i="1"/>
  <c r="D68" i="1"/>
  <c r="J67" i="1"/>
  <c r="J68" i="1" s="1"/>
  <c r="J73" i="1" s="1"/>
  <c r="J74" i="1" s="1"/>
  <c r="C66" i="1" s="1"/>
  <c r="J65" i="1"/>
  <c r="D72" i="1"/>
  <c r="D70" i="1"/>
  <c r="J66" i="1"/>
  <c r="C65" i="1" s="1"/>
  <c r="D65" i="1" s="1"/>
  <c r="J64" i="1"/>
  <c r="D73" i="1"/>
  <c r="D71" i="1"/>
  <c r="D69" i="1"/>
  <c r="D67" i="1"/>
  <c r="E79" i="1" l="1"/>
  <c r="I75" i="1" s="1"/>
  <c r="C77" i="1" s="1"/>
  <c r="D80" i="1"/>
  <c r="G79" i="1"/>
  <c r="E65" i="1"/>
  <c r="D66" i="1"/>
  <c r="G65" i="1"/>
  <c r="I61" i="1" l="1"/>
  <c r="D60" i="1"/>
  <c r="B120" i="1" l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E241" i="1" l="1"/>
  <c r="E240" i="1"/>
  <c r="E239" i="1"/>
  <c r="E238" i="1"/>
  <c r="E236" i="1"/>
  <c r="E235" i="1"/>
  <c r="E234" i="1"/>
  <c r="E233" i="1"/>
  <c r="E232" i="1"/>
  <c r="E231" i="1"/>
  <c r="D241" i="1"/>
  <c r="D240" i="1"/>
  <c r="D239" i="1"/>
  <c r="D238" i="1"/>
  <c r="D237" i="1"/>
  <c r="F237" i="1" s="1"/>
  <c r="D236" i="1"/>
  <c r="D235" i="1"/>
  <c r="D234" i="1"/>
  <c r="D233" i="1"/>
  <c r="D231" i="1"/>
  <c r="D232" i="1"/>
  <c r="D230" i="1"/>
  <c r="F230" i="1" s="1"/>
  <c r="D229" i="1"/>
  <c r="F229" i="1" s="1"/>
  <c r="E168" i="1"/>
  <c r="E167" i="1"/>
  <c r="E166" i="1"/>
  <c r="E165" i="1"/>
  <c r="D170" i="1"/>
  <c r="F170" i="1" s="1"/>
  <c r="D169" i="1"/>
  <c r="F169" i="1" s="1"/>
  <c r="D168" i="1"/>
  <c r="D167" i="1"/>
  <c r="D166" i="1"/>
  <c r="D165" i="1"/>
  <c r="D226" i="1"/>
  <c r="F226" i="1" s="1"/>
  <c r="D225" i="1"/>
  <c r="F225" i="1" s="1"/>
  <c r="D224" i="1"/>
  <c r="F224" i="1" s="1"/>
  <c r="D223" i="1"/>
  <c r="F223" i="1" s="1"/>
  <c r="D222" i="1"/>
  <c r="F222" i="1" s="1"/>
  <c r="D221" i="1"/>
  <c r="F221" i="1" s="1"/>
  <c r="D220" i="1"/>
  <c r="F220" i="1" s="1"/>
  <c r="D219" i="1"/>
  <c r="F219" i="1" s="1"/>
  <c r="D218" i="1"/>
  <c r="F218" i="1" s="1"/>
  <c r="D190" i="1"/>
  <c r="F190" i="1" s="1"/>
  <c r="D204" i="1"/>
  <c r="F204" i="1" s="1"/>
  <c r="D227" i="1"/>
  <c r="F227" i="1" s="1"/>
  <c r="D217" i="1"/>
  <c r="F217" i="1" s="1"/>
  <c r="D216" i="1"/>
  <c r="F216" i="1" s="1"/>
  <c r="D215" i="1"/>
  <c r="F215" i="1" s="1"/>
  <c r="D163" i="1"/>
  <c r="F163" i="1" s="1"/>
  <c r="D161" i="1"/>
  <c r="F161" i="1" s="1"/>
  <c r="D160" i="1"/>
  <c r="F160" i="1" s="1"/>
  <c r="D159" i="1"/>
  <c r="F159" i="1" s="1"/>
  <c r="D158" i="1"/>
  <c r="F158" i="1" s="1"/>
  <c r="D162" i="1"/>
  <c r="F162" i="1" s="1"/>
  <c r="D144" i="1"/>
  <c r="F144" i="1" s="1"/>
  <c r="U230" i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G229" i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V228" i="1"/>
  <c r="U216" i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G215" i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V214" i="1"/>
  <c r="U159" i="1"/>
  <c r="U160" i="1" s="1"/>
  <c r="U161" i="1" s="1"/>
  <c r="U162" i="1" s="1"/>
  <c r="U163" i="1" s="1"/>
  <c r="G158" i="1"/>
  <c r="G159" i="1" s="1"/>
  <c r="G160" i="1" s="1"/>
  <c r="G161" i="1" s="1"/>
  <c r="G162" i="1" s="1"/>
  <c r="G163" i="1" s="1"/>
  <c r="V157" i="1"/>
  <c r="D212" i="1"/>
  <c r="F212" i="1" s="1"/>
  <c r="D211" i="1"/>
  <c r="F211" i="1" s="1"/>
  <c r="D210" i="1"/>
  <c r="F210" i="1" s="1"/>
  <c r="D207" i="1"/>
  <c r="F207" i="1" s="1"/>
  <c r="D206" i="1"/>
  <c r="F206" i="1" s="1"/>
  <c r="D205" i="1"/>
  <c r="F205" i="1" s="1"/>
  <c r="D203" i="1"/>
  <c r="F203" i="1" s="1"/>
  <c r="D202" i="1"/>
  <c r="F202" i="1" s="1"/>
  <c r="D201" i="1"/>
  <c r="F201" i="1" s="1"/>
  <c r="D213" i="1"/>
  <c r="F213" i="1" s="1"/>
  <c r="D209" i="1"/>
  <c r="F209" i="1" s="1"/>
  <c r="D208" i="1"/>
  <c r="F208" i="1" s="1"/>
  <c r="D173" i="1"/>
  <c r="U202" i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G201" i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V200" i="1"/>
  <c r="D156" i="1"/>
  <c r="F156" i="1" s="1"/>
  <c r="D155" i="1"/>
  <c r="F155" i="1" s="1"/>
  <c r="D154" i="1"/>
  <c r="F154" i="1" s="1"/>
  <c r="D153" i="1"/>
  <c r="F153" i="1" s="1"/>
  <c r="D152" i="1"/>
  <c r="F152" i="1" s="1"/>
  <c r="D151" i="1"/>
  <c r="F151" i="1" s="1"/>
  <c r="D137" i="1"/>
  <c r="D138" i="1"/>
  <c r="F138" i="1" s="1"/>
  <c r="D139" i="1"/>
  <c r="F139" i="1" s="1"/>
  <c r="D140" i="1"/>
  <c r="F140" i="1" s="1"/>
  <c r="D141" i="1"/>
  <c r="D142" i="1"/>
  <c r="D199" i="1"/>
  <c r="F199" i="1" s="1"/>
  <c r="D184" i="1"/>
  <c r="F184" i="1" s="1"/>
  <c r="D198" i="1"/>
  <c r="F198" i="1" s="1"/>
  <c r="D196" i="1"/>
  <c r="F196" i="1" s="1"/>
  <c r="D195" i="1"/>
  <c r="F195" i="1" s="1"/>
  <c r="D194" i="1"/>
  <c r="F194" i="1" s="1"/>
  <c r="D193" i="1"/>
  <c r="F193" i="1" s="1"/>
  <c r="D192" i="1"/>
  <c r="F192" i="1" s="1"/>
  <c r="D188" i="1"/>
  <c r="F188" i="1" s="1"/>
  <c r="D178" i="1"/>
  <c r="F178" i="1" s="1"/>
  <c r="D177" i="1"/>
  <c r="F177" i="1" s="1"/>
  <c r="D191" i="1"/>
  <c r="F191" i="1" s="1"/>
  <c r="D189" i="1"/>
  <c r="F189" i="1" s="1"/>
  <c r="D197" i="1"/>
  <c r="F197" i="1" s="1"/>
  <c r="D187" i="1"/>
  <c r="F187" i="1" s="1"/>
  <c r="U188" i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G187" i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V186" i="1"/>
  <c r="D149" i="1"/>
  <c r="F149" i="1" s="1"/>
  <c r="D148" i="1"/>
  <c r="F148" i="1" s="1"/>
  <c r="D147" i="1"/>
  <c r="F147" i="1" s="1"/>
  <c r="D146" i="1"/>
  <c r="F146" i="1" s="1"/>
  <c r="D145" i="1"/>
  <c r="F145" i="1" s="1"/>
  <c r="D185" i="1"/>
  <c r="F185" i="1" s="1"/>
  <c r="D183" i="1"/>
  <c r="F183" i="1" s="1"/>
  <c r="D182" i="1"/>
  <c r="F182" i="1" s="1"/>
  <c r="D181" i="1"/>
  <c r="F181" i="1" s="1"/>
  <c r="D180" i="1"/>
  <c r="F180" i="1" s="1"/>
  <c r="D179" i="1"/>
  <c r="F179" i="1" s="1"/>
  <c r="D176" i="1"/>
  <c r="F176" i="1" s="1"/>
  <c r="D175" i="1"/>
  <c r="F175" i="1" s="1"/>
  <c r="E174" i="1"/>
  <c r="D174" i="1"/>
  <c r="E173" i="1"/>
  <c r="E142" i="1"/>
  <c r="E141" i="1"/>
  <c r="I138" i="1"/>
  <c r="I137" i="1"/>
  <c r="D132" i="1"/>
  <c r="D131" i="1"/>
  <c r="F131" i="1" s="1"/>
  <c r="D130" i="1"/>
  <c r="F130" i="1" s="1"/>
  <c r="D129" i="1"/>
  <c r="F129" i="1" s="1"/>
  <c r="D128" i="1"/>
  <c r="F128" i="1" s="1"/>
  <c r="D127" i="1"/>
  <c r="F127" i="1" s="1"/>
  <c r="D126" i="1"/>
  <c r="F126" i="1" s="1"/>
  <c r="D125" i="1"/>
  <c r="D124" i="1"/>
  <c r="D123" i="1"/>
  <c r="D122" i="1"/>
  <c r="D121" i="1"/>
  <c r="D120" i="1"/>
  <c r="D119" i="1"/>
  <c r="G47" i="1"/>
  <c r="W186" i="1"/>
  <c r="V215" i="1"/>
  <c r="V201" i="1"/>
  <c r="V229" i="1"/>
  <c r="W200" i="1"/>
  <c r="V158" i="1"/>
  <c r="V187" i="1"/>
  <c r="F234" i="1" l="1"/>
  <c r="F231" i="1"/>
  <c r="F240" i="1"/>
  <c r="C111" i="1"/>
  <c r="F168" i="1"/>
  <c r="F235" i="1"/>
  <c r="F241" i="1"/>
  <c r="F137" i="1"/>
  <c r="C110" i="1"/>
  <c r="F236" i="1"/>
  <c r="F167" i="1"/>
  <c r="F173" i="1"/>
  <c r="F233" i="1"/>
  <c r="F141" i="1"/>
  <c r="F166" i="1"/>
  <c r="F142" i="1"/>
  <c r="F239" i="1"/>
  <c r="D107" i="1"/>
  <c r="D111" i="1"/>
  <c r="C107" i="1"/>
  <c r="F165" i="1"/>
  <c r="F232" i="1"/>
  <c r="D110" i="1"/>
  <c r="F238" i="1"/>
  <c r="S229" i="1"/>
  <c r="A229" i="1" s="1"/>
  <c r="V230" i="1"/>
  <c r="V216" i="1"/>
  <c r="S215" i="1"/>
  <c r="A215" i="1" s="1"/>
  <c r="V159" i="1"/>
  <c r="S158" i="1"/>
  <c r="A158" i="1" s="1"/>
  <c r="V202" i="1"/>
  <c r="V188" i="1"/>
  <c r="F174" i="1"/>
  <c r="E3" i="1"/>
  <c r="F132" i="1"/>
  <c r="W201" i="1"/>
  <c r="W187" i="1"/>
  <c r="F111" i="1" l="1"/>
  <c r="C112" i="1"/>
  <c r="D112" i="1"/>
  <c r="F110" i="1"/>
  <c r="V231" i="1"/>
  <c r="S230" i="1"/>
  <c r="A230" i="1" s="1"/>
  <c r="V217" i="1"/>
  <c r="S216" i="1"/>
  <c r="A216" i="1" s="1"/>
  <c r="V160" i="1"/>
  <c r="S159" i="1"/>
  <c r="A159" i="1" s="1"/>
  <c r="W202" i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S201" i="1"/>
  <c r="A201" i="1" s="1"/>
  <c r="V203" i="1"/>
  <c r="W188" i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S187" i="1"/>
  <c r="A187" i="1" s="1"/>
  <c r="V189" i="1"/>
  <c r="F125" i="1"/>
  <c r="F124" i="1"/>
  <c r="U174" i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G173" i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V172" i="1"/>
  <c r="U166" i="1"/>
  <c r="U167" i="1" s="1"/>
  <c r="U168" i="1" s="1"/>
  <c r="U169" i="1" s="1"/>
  <c r="U170" i="1" s="1"/>
  <c r="G165" i="1"/>
  <c r="G166" i="1" s="1"/>
  <c r="G167" i="1" s="1"/>
  <c r="G168" i="1" s="1"/>
  <c r="G169" i="1" s="1"/>
  <c r="G170" i="1" s="1"/>
  <c r="V164" i="1"/>
  <c r="U152" i="1"/>
  <c r="U153" i="1" s="1"/>
  <c r="U154" i="1" s="1"/>
  <c r="U155" i="1" s="1"/>
  <c r="U156" i="1" s="1"/>
  <c r="G151" i="1"/>
  <c r="G152" i="1" s="1"/>
  <c r="G153" i="1" s="1"/>
  <c r="G154" i="1" s="1"/>
  <c r="G155" i="1" s="1"/>
  <c r="G156" i="1" s="1"/>
  <c r="V150" i="1"/>
  <c r="U145" i="1"/>
  <c r="U146" i="1" s="1"/>
  <c r="U147" i="1" s="1"/>
  <c r="U148" i="1" s="1"/>
  <c r="U149" i="1" s="1"/>
  <c r="G144" i="1"/>
  <c r="G145" i="1" s="1"/>
  <c r="G146" i="1" s="1"/>
  <c r="G147" i="1" s="1"/>
  <c r="G148" i="1" s="1"/>
  <c r="G149" i="1" s="1"/>
  <c r="V143" i="1"/>
  <c r="U138" i="1"/>
  <c r="U139" i="1" s="1"/>
  <c r="U140" i="1" s="1"/>
  <c r="U141" i="1" s="1"/>
  <c r="U142" i="1" s="1"/>
  <c r="G137" i="1"/>
  <c r="G138" i="1" s="1"/>
  <c r="G139" i="1" s="1"/>
  <c r="G140" i="1" s="1"/>
  <c r="G141" i="1" s="1"/>
  <c r="G142" i="1" s="1"/>
  <c r="V136" i="1"/>
  <c r="V151" i="1"/>
  <c r="V173" i="1"/>
  <c r="V144" i="1"/>
  <c r="V165" i="1"/>
  <c r="W143" i="1"/>
  <c r="V137" i="1"/>
  <c r="W150" i="1"/>
  <c r="F112" i="1" l="1"/>
  <c r="V232" i="1"/>
  <c r="S231" i="1"/>
  <c r="A231" i="1" s="1"/>
  <c r="V218" i="1"/>
  <c r="S217" i="1"/>
  <c r="A217" i="1" s="1"/>
  <c r="V161" i="1"/>
  <c r="S160" i="1"/>
  <c r="A160" i="1" s="1"/>
  <c r="S202" i="1"/>
  <c r="A202" i="1" s="1"/>
  <c r="V204" i="1"/>
  <c r="S203" i="1"/>
  <c r="A203" i="1" s="1"/>
  <c r="V190" i="1"/>
  <c r="S189" i="1"/>
  <c r="A189" i="1" s="1"/>
  <c r="S188" i="1"/>
  <c r="A188" i="1" s="1"/>
  <c r="V174" i="1"/>
  <c r="S173" i="1"/>
  <c r="A173" i="1" s="1"/>
  <c r="S165" i="1"/>
  <c r="A165" i="1" s="1"/>
  <c r="V166" i="1"/>
  <c r="V138" i="1"/>
  <c r="S137" i="1"/>
  <c r="A137" i="1" s="1"/>
  <c r="V152" i="1"/>
  <c r="V145" i="1"/>
  <c r="W144" i="1"/>
  <c r="W151" i="1"/>
  <c r="V233" i="1" l="1"/>
  <c r="S232" i="1"/>
  <c r="A232" i="1" s="1"/>
  <c r="V219" i="1"/>
  <c r="S218" i="1"/>
  <c r="A218" i="1" s="1"/>
  <c r="V162" i="1"/>
  <c r="S161" i="1"/>
  <c r="A161" i="1" s="1"/>
  <c r="V205" i="1"/>
  <c r="S204" i="1"/>
  <c r="A204" i="1" s="1"/>
  <c r="V191" i="1"/>
  <c r="S190" i="1"/>
  <c r="A190" i="1" s="1"/>
  <c r="V175" i="1"/>
  <c r="S174" i="1"/>
  <c r="A174" i="1" s="1"/>
  <c r="V167" i="1"/>
  <c r="S166" i="1"/>
  <c r="A166" i="1" s="1"/>
  <c r="W152" i="1"/>
  <c r="W153" i="1" s="1"/>
  <c r="W154" i="1" s="1"/>
  <c r="W155" i="1" s="1"/>
  <c r="W156" i="1" s="1"/>
  <c r="S151" i="1"/>
  <c r="A151" i="1" s="1"/>
  <c r="W145" i="1"/>
  <c r="W146" i="1" s="1"/>
  <c r="W147" i="1" s="1"/>
  <c r="W148" i="1" s="1"/>
  <c r="W149" i="1" s="1"/>
  <c r="S144" i="1"/>
  <c r="A144" i="1" s="1"/>
  <c r="V146" i="1"/>
  <c r="V153" i="1"/>
  <c r="V139" i="1"/>
  <c r="S138" i="1"/>
  <c r="A138" i="1" s="1"/>
  <c r="U132" i="1"/>
  <c r="F123" i="1"/>
  <c r="F122" i="1"/>
  <c r="F121" i="1"/>
  <c r="F120" i="1"/>
  <c r="G119" i="1"/>
  <c r="F119" i="1"/>
  <c r="E41" i="1"/>
  <c r="E25" i="1"/>
  <c r="E23" i="1"/>
  <c r="F107" i="1" l="1"/>
  <c r="V234" i="1"/>
  <c r="S233" i="1"/>
  <c r="A233" i="1" s="1"/>
  <c r="V220" i="1"/>
  <c r="S219" i="1"/>
  <c r="A219" i="1" s="1"/>
  <c r="V163" i="1"/>
  <c r="S163" i="1" s="1"/>
  <c r="A163" i="1" s="1"/>
  <c r="S162" i="1"/>
  <c r="A162" i="1" s="1"/>
  <c r="V206" i="1"/>
  <c r="S205" i="1"/>
  <c r="A205" i="1" s="1"/>
  <c r="S191" i="1"/>
  <c r="A191" i="1" s="1"/>
  <c r="V192" i="1"/>
  <c r="S175" i="1"/>
  <c r="A175" i="1" s="1"/>
  <c r="V176" i="1"/>
  <c r="S145" i="1"/>
  <c r="A145" i="1" s="1"/>
  <c r="S167" i="1"/>
  <c r="A167" i="1" s="1"/>
  <c r="V168" i="1"/>
  <c r="S139" i="1"/>
  <c r="A139" i="1" s="1"/>
  <c r="V140" i="1"/>
  <c r="S152" i="1"/>
  <c r="A152" i="1" s="1"/>
  <c r="S153" i="1"/>
  <c r="A153" i="1" s="1"/>
  <c r="V154" i="1"/>
  <c r="V147" i="1"/>
  <c r="S146" i="1"/>
  <c r="A146" i="1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V235" i="1" l="1"/>
  <c r="S234" i="1"/>
  <c r="A234" i="1" s="1"/>
  <c r="S220" i="1"/>
  <c r="A220" i="1" s="1"/>
  <c r="V221" i="1"/>
  <c r="V207" i="1"/>
  <c r="S206" i="1"/>
  <c r="A206" i="1" s="1"/>
  <c r="V193" i="1"/>
  <c r="S192" i="1"/>
  <c r="A192" i="1" s="1"/>
  <c r="S176" i="1"/>
  <c r="A176" i="1" s="1"/>
  <c r="V177" i="1"/>
  <c r="V169" i="1"/>
  <c r="S168" i="1"/>
  <c r="A168" i="1" s="1"/>
  <c r="S140" i="1"/>
  <c r="A140" i="1" s="1"/>
  <c r="V141" i="1"/>
  <c r="V148" i="1"/>
  <c r="S147" i="1"/>
  <c r="A147" i="1" s="1"/>
  <c r="V155" i="1"/>
  <c r="V156" i="1" s="1"/>
  <c r="S156" i="1" s="1"/>
  <c r="A156" i="1" s="1"/>
  <c r="S154" i="1"/>
  <c r="A154" i="1" s="1"/>
  <c r="V132" i="1"/>
  <c r="S132" i="1" s="1"/>
  <c r="G12" i="5"/>
  <c r="V236" i="1" l="1"/>
  <c r="S235" i="1"/>
  <c r="A235" i="1" s="1"/>
  <c r="V222" i="1"/>
  <c r="S221" i="1"/>
  <c r="A221" i="1" s="1"/>
  <c r="S169" i="1"/>
  <c r="A169" i="1" s="1"/>
  <c r="V170" i="1"/>
  <c r="S170" i="1" s="1"/>
  <c r="A170" i="1" s="1"/>
  <c r="V208" i="1"/>
  <c r="S207" i="1"/>
  <c r="A207" i="1" s="1"/>
  <c r="S155" i="1"/>
  <c r="A155" i="1" s="1"/>
  <c r="V194" i="1"/>
  <c r="S193" i="1"/>
  <c r="A193" i="1" s="1"/>
  <c r="S148" i="1"/>
  <c r="A148" i="1" s="1"/>
  <c r="V149" i="1"/>
  <c r="S149" i="1" s="1"/>
  <c r="A149" i="1" s="1"/>
  <c r="S177" i="1"/>
  <c r="A177" i="1" s="1"/>
  <c r="V178" i="1"/>
  <c r="S141" i="1"/>
  <c r="A141" i="1" s="1"/>
  <c r="V142" i="1"/>
  <c r="S142" i="1" s="1"/>
  <c r="A142" i="1" s="1"/>
  <c r="C14" i="1"/>
  <c r="V237" i="1" l="1"/>
  <c r="S236" i="1"/>
  <c r="A236" i="1" s="1"/>
  <c r="V223" i="1"/>
  <c r="S222" i="1"/>
  <c r="A222" i="1" s="1"/>
  <c r="V209" i="1"/>
  <c r="S208" i="1"/>
  <c r="A208" i="1" s="1"/>
  <c r="V195" i="1"/>
  <c r="S194" i="1"/>
  <c r="A194" i="1" s="1"/>
  <c r="V179" i="1"/>
  <c r="S178" i="1"/>
  <c r="A178" i="1" s="1"/>
  <c r="V238" i="1" l="1"/>
  <c r="S237" i="1"/>
  <c r="A237" i="1" s="1"/>
  <c r="V224" i="1"/>
  <c r="S223" i="1"/>
  <c r="A223" i="1" s="1"/>
  <c r="V210" i="1"/>
  <c r="S209" i="1"/>
  <c r="A209" i="1" s="1"/>
  <c r="S195" i="1"/>
  <c r="A195" i="1" s="1"/>
  <c r="V196" i="1"/>
  <c r="V180" i="1"/>
  <c r="S179" i="1"/>
  <c r="A179" i="1" s="1"/>
  <c r="V239" i="1" l="1"/>
  <c r="S238" i="1"/>
  <c r="A238" i="1" s="1"/>
  <c r="V225" i="1"/>
  <c r="S224" i="1"/>
  <c r="A224" i="1" s="1"/>
  <c r="V211" i="1"/>
  <c r="S210" i="1"/>
  <c r="A210" i="1" s="1"/>
  <c r="S196" i="1"/>
  <c r="A196" i="1" s="1"/>
  <c r="V197" i="1"/>
  <c r="V181" i="1"/>
  <c r="V182" i="1" s="1"/>
  <c r="S180" i="1"/>
  <c r="A180" i="1" s="1"/>
  <c r="D256" i="1"/>
  <c r="F104" i="1"/>
  <c r="C47" i="1"/>
  <c r="E42" i="1"/>
  <c r="D53" i="1" s="1"/>
  <c r="V240" i="1" l="1"/>
  <c r="S239" i="1"/>
  <c r="A239" i="1" s="1"/>
  <c r="S225" i="1"/>
  <c r="A225" i="1" s="1"/>
  <c r="V226" i="1"/>
  <c r="V212" i="1"/>
  <c r="S211" i="1"/>
  <c r="A211" i="1" s="1"/>
  <c r="V198" i="1"/>
  <c r="S197" i="1"/>
  <c r="A197" i="1" s="1"/>
  <c r="V183" i="1"/>
  <c r="S182" i="1"/>
  <c r="A182" i="1" s="1"/>
  <c r="S181" i="1"/>
  <c r="A181" i="1" s="1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V241" i="1" l="1"/>
  <c r="S241" i="1" s="1"/>
  <c r="A241" i="1" s="1"/>
  <c r="S240" i="1"/>
  <c r="A240" i="1" s="1"/>
  <c r="V227" i="1"/>
  <c r="S226" i="1"/>
  <c r="A226" i="1" s="1"/>
  <c r="V213" i="1"/>
  <c r="S213" i="1" s="1"/>
  <c r="A213" i="1" s="1"/>
  <c r="S212" i="1"/>
  <c r="A212" i="1" s="1"/>
  <c r="S198" i="1"/>
  <c r="A198" i="1" s="1"/>
  <c r="V199" i="1"/>
  <c r="S199" i="1" s="1"/>
  <c r="A199" i="1" s="1"/>
  <c r="V184" i="1"/>
  <c r="S183" i="1"/>
  <c r="A183" i="1" s="1"/>
  <c r="L34" i="3"/>
  <c r="K34" i="3" s="1"/>
  <c r="E34" i="3"/>
  <c r="I34" i="3"/>
  <c r="H34" i="3" s="1"/>
  <c r="S227" i="1" l="1"/>
  <c r="A227" i="1" s="1"/>
  <c r="S184" i="1"/>
  <c r="A184" i="1" s="1"/>
  <c r="V185" i="1"/>
  <c r="S185" i="1" s="1"/>
  <c r="A185" i="1" s="1"/>
  <c r="D34" i="3"/>
  <c r="D36" i="3" s="1"/>
  <c r="E36" i="3"/>
</calcChain>
</file>

<file path=xl/sharedStrings.xml><?xml version="1.0" encoding="utf-8"?>
<sst xmlns="http://schemas.openxmlformats.org/spreadsheetml/2006/main" count="465" uniqueCount="247">
  <si>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</si>
  <si>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</si>
  <si>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</si>
  <si>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</si>
  <si>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</si>
  <si>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</si>
  <si>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</si>
  <si>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</si>
  <si>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</si>
  <si>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</si>
  <si>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</si>
  <si>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</si>
  <si>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</si>
  <si>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</si>
  <si>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</si>
  <si>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</si>
  <si>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</si>
  <si>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</si>
  <si>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</si>
  <si>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</si>
  <si>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</si>
  <si>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</si>
  <si>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</si>
  <si>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</si>
  <si>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</si>
  <si>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</si>
  <si>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</si>
  <si>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</si>
  <si>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</si>
  <si>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</si>
  <si>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</si>
  <si>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</si>
  <si>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</si>
  <si>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</si>
  <si>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</si>
  <si>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</si>
  <si>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</si>
  <si>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</si>
  <si>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</si>
  <si>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</si>
  <si>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</si>
  <si>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</si>
  <si>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</si>
  <si>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</si>
  <si>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</si>
  <si>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</si>
  <si>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</si>
  <si>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</si>
  <si>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</si>
  <si>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</si>
  <si>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</si>
  <si>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</si>
  <si>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</si>
  <si>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</si>
  <si>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</si>
  <si>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</si>
  <si>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</si>
  <si>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</si>
  <si>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</si>
  <si>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</si>
  <si>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</si>
  <si>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</si>
  <si>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</si>
  <si>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</si>
  <si>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</si>
  <si>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</si>
  <si>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</si>
  <si>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</si>
  <si>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</si>
  <si>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</si>
  <si>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</si>
  <si>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</si>
  <si>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</si>
  <si>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</si>
  <si>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</si>
  <si>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</si>
  <si>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</si>
  <si>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</si>
  <si>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</si>
  <si>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</si>
  <si>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</si>
  <si>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</si>
  <si>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</si>
  <si>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</si>
  <si>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</si>
  <si>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</si>
  <si>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</si>
  <si>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</si>
  <si>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</si>
  <si>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</si>
  <si>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</si>
  <si>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</si>
  <si>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</si>
  <si>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</si>
  <si>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</si>
  <si>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</si>
  <si>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</si>
  <si>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</si>
  <si>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</si>
  <si>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</si>
  <si>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</si>
  <si>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</si>
  <si>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</si>
  <si>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</si>
  <si>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</si>
  <si>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</si>
  <si>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</si>
  <si>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</si>
  <si>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</si>
  <si>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</si>
  <si>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</si>
  <si>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</si>
  <si>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</si>
  <si>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</si>
  <si>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</si>
  <si>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</si>
  <si>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</si>
  <si>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</si>
  <si>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</si>
  <si>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</si>
  <si>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</si>
  <si>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</si>
  <si>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</si>
  <si>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</si>
  <si>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>60 Years After Completion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</si>
  <si>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</si>
  <si>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</si>
  <si>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</si>
  <si>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</si>
  <si>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</si>
  <si>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</si>
  <si>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</si>
  <si>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</si>
  <si>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</si>
  <si>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</si>
  <si>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</si>
  <si>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</si>
  <si>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</si>
  <si>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</si>
  <si>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</si>
  <si>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</si>
  <si>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</si>
  <si>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</si>
  <si>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</si>
  <si>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</si>
  <si>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</si>
  <si>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</si>
  <si>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</si>
  <si>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</si>
  <si>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</si>
  <si>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</si>
  <si>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</si>
  <si>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</si>
  <si>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</si>
  <si>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</si>
  <si>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</si>
  <si>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</si>
  <si>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</si>
  <si>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</si>
  <si>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</si>
  <si>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t>,..,</t>
  </si>
  <si>
    <t>1st Floor</t>
  </si>
  <si>
    <t>Axis Sanpada</t>
  </si>
  <si>
    <t xml:space="preserve">M/s. Today Shyam Developers
</t>
  </si>
  <si>
    <t>Contact Details ( Name &amp; Contact No.)</t>
  </si>
  <si>
    <t>P52000015331</t>
  </si>
  <si>
    <t>Aarohi Complex</t>
  </si>
  <si>
    <t>CIDCO/BP-15322/TPO(NM &amp; K)/2016/1778</t>
  </si>
  <si>
    <t>156, Phase-II</t>
  </si>
  <si>
    <t>Open Plot</t>
  </si>
  <si>
    <t>Yash Homes</t>
  </si>
  <si>
    <t>Vasani Residency</t>
  </si>
  <si>
    <t>Neelkamal Mangalmurti</t>
  </si>
  <si>
    <t>Navade</t>
  </si>
  <si>
    <t>Raigad</t>
  </si>
  <si>
    <t>Panvel</t>
  </si>
  <si>
    <t>Navade Road</t>
  </si>
  <si>
    <t>Taloja</t>
  </si>
  <si>
    <t xml:space="preserve">Neelkamal Mangalmurti </t>
  </si>
  <si>
    <t>Wing A</t>
  </si>
  <si>
    <t>Shop</t>
  </si>
  <si>
    <t>Ground Floor for Commercial &amp; Parking</t>
  </si>
  <si>
    <t>1st Floor for Residential</t>
  </si>
  <si>
    <t>1BHK</t>
  </si>
  <si>
    <t>2BHK</t>
  </si>
  <si>
    <t>Wing B</t>
  </si>
  <si>
    <t>2nd &amp; 4th Floor</t>
  </si>
  <si>
    <t>3rd &amp; 5th Floor</t>
  </si>
  <si>
    <t>6th Floor</t>
  </si>
  <si>
    <t>7th Floor</t>
  </si>
  <si>
    <t>1RK</t>
  </si>
  <si>
    <t>Flats - 133, Shops - 14</t>
  </si>
  <si>
    <t>0.17Km from Navade Road Railway Station</t>
  </si>
  <si>
    <t>Plot No</t>
  </si>
  <si>
    <t>Shop No.</t>
  </si>
  <si>
    <t>Flat No.</t>
  </si>
  <si>
    <t>Wing A &amp; B</t>
  </si>
  <si>
    <t>A Wing</t>
  </si>
  <si>
    <t>B Wing</t>
  </si>
  <si>
    <t>2 Wings</t>
  </si>
  <si>
    <t>10000/-</t>
  </si>
  <si>
    <t>100000/-</t>
  </si>
  <si>
    <t>Society Formation + Infrastructure + Maintenance Charges</t>
  </si>
  <si>
    <t>350000/-</t>
  </si>
  <si>
    <t>Water, Electricity &amp; Development Charges</t>
  </si>
  <si>
    <t>250000/-</t>
  </si>
  <si>
    <t>Wing A &amp; B = Gr + 1st to 7th Floor</t>
  </si>
  <si>
    <t>Construction details:</t>
  </si>
  <si>
    <t>Slab/Floor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</si>
  <si>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</si>
  <si>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</si>
  <si>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</si>
  <si>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</si>
  <si>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</si>
  <si>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</si>
  <si>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</si>
  <si>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</si>
  <si>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</si>
  <si>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</si>
  <si>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</si>
  <si>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</si>
  <si>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</si>
  <si>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</si>
  <si>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</si>
  <si>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</si>
  <si>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Wing B = G + 1st to 7th Floor</t>
  </si>
  <si>
    <t>Valid Up to: Wing A &amp; B = Gr +  7th Floor</t>
  </si>
  <si>
    <t>RCC(Including podiums)</t>
  </si>
  <si>
    <t>1 Building (Wing A &amp; B)</t>
  </si>
  <si>
    <t>Location Link</t>
  </si>
  <si>
    <t>https://goo.gl/maps/cxnFrzuYMFxXArqx5</t>
  </si>
  <si>
    <t>Site Meet Person Contact Details ( Name &amp; Contact No.)</t>
  </si>
  <si>
    <t>Office No. 1031, Wing J, Akshar Business Park, Plot No. 03 Sector 25, Near APMC Market,
Vashi, Navi Mumbai, Maharashtra 400703 TEL: 022-46090378/79/80                                                                                             E mail : vsjcapf@gmail.com. Web site : www.vsjadon.com</t>
  </si>
  <si>
    <t>Latitude &amp;  Longitude</t>
  </si>
  <si>
    <t>19.05174118,73.103013311</t>
  </si>
  <si>
    <t>Mr. Harsh Doshi 9820453807</t>
  </si>
  <si>
    <t>As per RERA - 30/06/2025</t>
  </si>
  <si>
    <t>Wing A &amp; B = G + 1st to 7th Floor</t>
  </si>
  <si>
    <t>Pranita Mhatre</t>
  </si>
  <si>
    <t>Mayur Ranvare</t>
  </si>
  <si>
    <t>Completed</t>
  </si>
  <si>
    <t>60 Years</t>
  </si>
  <si>
    <t>Approved Plans, CC, Sale Plans &amp; OC</t>
  </si>
  <si>
    <t>O. Certificate No.:
Approved upto:</t>
  </si>
  <si>
    <t>CIDCO/BP-15322/TPO(NM &amp; K)/2016/1426</t>
  </si>
  <si>
    <t xml:space="preserve">1. All work Completed. OC Received.
2. We considered  Saleable area  as per our calculation.
3. We considered Carpet area as per Approved Plan.
4. We considered Gross carpet area = Net carpet + Enclose balcony + C.B Area + F.B Area + Chajja/Cornice + W.S.
5. We have considered rate by verifying it from market inquire.
6. Car parking is subjected to authentic documentation.
7. We have updated approved OC on 20/09/2025
7. Since the project has received first CC on 24/6/2017, But construction work is not yet completed.
7. On Site, we meet Mr. Harsh (8097550038)
</t>
  </si>
  <si>
    <t>Wing A &amp; B = Gr + 1st to 7th Floor
No of Residential Unit = 133 No. &amp; No. of Commercial Unit =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</si>
</sst>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58">
    <xf numFmtId="0" fontId="0" fillId="0" borderId="0" xfId="0"/>
    <xf numFmtId="0" fontId="0" fillId="2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7" fillId="0" borderId="11" xfId="1" applyFont="1" applyBorder="1" applyProtection="1">
      <protection hidden="1"/>
    </xf>
    <xf numFmtId="0" fontId="7" fillId="0" borderId="0" xfId="1" applyFont="1" applyProtection="1">
      <protection hidden="1"/>
    </xf>
    <xf numFmtId="0" fontId="17" fillId="0" borderId="0" xfId="0" applyFont="1" applyProtection="1">
      <protection hidden="1"/>
    </xf>
    <xf numFmtId="0" fontId="17" fillId="0" borderId="14" xfId="0" applyFont="1" applyBorder="1" applyProtection="1">
      <protection hidden="1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0" xfId="1" applyFont="1"/>
    <xf numFmtId="0" fontId="15" fillId="0" borderId="0" xfId="1" applyFont="1"/>
    <xf numFmtId="0" fontId="12" fillId="0" borderId="1" xfId="1" applyFont="1" applyBorder="1" applyAlignment="1" applyProtection="1">
      <alignment vertical="top"/>
      <protection locked="0"/>
    </xf>
    <xf numFmtId="0" fontId="12" fillId="0" borderId="0" xfId="1" applyFont="1"/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12" fillId="0" borderId="1" xfId="1" applyFont="1" applyBorder="1" applyAlignment="1" applyProtection="1">
      <alignment horizontal="center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7" fillId="0" borderId="13" xfId="0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1" fontId="0" fillId="0" borderId="15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0" applyFont="1"/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9" xfId="0" applyNumberFormat="1" applyFont="1" applyBorder="1" applyAlignment="1" applyProtection="1">
      <alignment horizontal="center" vertical="top" wrapText="1"/>
      <protection locked="0"/>
    </xf>
    <xf numFmtId="1" fontId="7" fillId="0" borderId="24" xfId="0" applyNumberFormat="1" applyFont="1" applyBorder="1" applyAlignment="1" applyProtection="1">
      <alignment horizontal="center" vertical="top" wrapText="1"/>
      <protection locked="0"/>
    </xf>
    <xf numFmtId="1" fontId="7" fillId="0" borderId="10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9" fontId="12" fillId="0" borderId="5" xfId="1" applyNumberFormat="1" applyFont="1" applyBorder="1" applyAlignment="1" applyProtection="1">
      <alignment horizontal="center" vertical="center" wrapText="1"/>
      <protection hidden="1"/>
    </xf>
    <xf numFmtId="9" fontId="12" fillId="0" borderId="8" xfId="1" applyNumberFormat="1" applyFont="1" applyBorder="1" applyAlignment="1" applyProtection="1">
      <alignment horizontal="center" vertical="center" wrapText="1"/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0" xfId="1" applyFont="1" applyBorder="1" applyAlignment="1" applyProtection="1">
      <alignment horizontal="left" vertical="top" wrapText="1"/>
      <protection locked="0"/>
    </xf>
    <xf numFmtId="0" fontId="22" fillId="0" borderId="1" xfId="9" applyFill="1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0" fillId="0" borderId="1" xfId="1" applyFont="1" applyBorder="1" applyAlignment="1" applyProtection="1"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0" fontId="12" fillId="3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457938</xdr:colOff>
      <xdr:row>313</xdr:row>
      <xdr:rowOff>175776</xdr:rowOff>
    </xdr:from>
    <xdr:to>
      <xdr:col>6</xdr:col>
      <xdr:colOff>600450</xdr:colOff>
      <xdr:row>328</xdr:row>
      <xdr:rowOff>33112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9938" y="64531646"/>
          <a:ext cx="4151295" cy="28390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429234</xdr:colOff>
      <xdr:row>299</xdr:row>
      <xdr:rowOff>8284</xdr:rowOff>
    </xdr:from>
    <xdr:to>
      <xdr:col>6</xdr:col>
      <xdr:colOff>608313</xdr:colOff>
      <xdr:row>313</xdr:row>
      <xdr:rowOff>64402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91234" y="61382414"/>
          <a:ext cx="4187862" cy="28390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8</xdr:col>
      <xdr:colOff>778329</xdr:colOff>
      <xdr:row>257</xdr:row>
      <xdr:rowOff>21771</xdr:rowOff>
    </xdr:from>
    <xdr:to>
      <xdr:col>23</xdr:col>
      <xdr:colOff>38976</xdr:colOff>
      <xdr:row>291</xdr:row>
      <xdr:rowOff>178253</xdr:rowOff>
    </xdr:to>
    <xdr:grpSp>
      <xdr:nvGrpSpPr>
        <xdr:cNvPr id="7" name="Group 6"/>
        <xdr:cNvGrpSpPr/>
      </xdr:nvGrpSpPr>
      <xdr:grpSpPr>
        <a:xfrm>
          <a:off x="7160079" y="51790146"/>
          <a:ext cx="6251997" cy="6947807"/>
          <a:chOff x="57151" y="54587775"/>
          <a:chExt cx="6283293" cy="6943725"/>
        </a:xfrm>
      </xdr:grpSpPr>
      <xdr:grpSp>
        <xdr:nvGrpSpPr>
          <xdr:cNvPr id="6" name="Group 5"/>
          <xdr:cNvGrpSpPr/>
        </xdr:nvGrpSpPr>
        <xdr:grpSpPr>
          <a:xfrm>
            <a:off x="57151" y="54587775"/>
            <a:ext cx="6283293" cy="6943725"/>
            <a:chOff x="57151" y="54587775"/>
            <a:chExt cx="6283293" cy="6943725"/>
          </a:xfrm>
        </xdr:grpSpPr>
        <xdr:grpSp>
          <xdr:nvGrpSpPr>
            <xdr:cNvPr id="4" name="Group 3"/>
            <xdr:cNvGrpSpPr/>
          </xdr:nvGrpSpPr>
          <xdr:grpSpPr>
            <a:xfrm>
              <a:off x="57151" y="54597300"/>
              <a:ext cx="6283293" cy="6934200"/>
              <a:chOff x="57151" y="54597300"/>
              <a:chExt cx="6283293" cy="6934200"/>
            </a:xfrm>
          </xdr:grpSpPr>
          <xdr:pic>
            <xdr:nvPicPr>
              <xdr:cNvPr id="19" name="Picture 18" descr="https://vsjcllp.vsjadon.com/upload/insp-236343-1525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705351" y="59455050"/>
                <a:ext cx="1555716" cy="207645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0" name="Picture 19" descr="https://vsjcllp.vsjadon.com/upload/insp-236343-843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23825" y="54597300"/>
                <a:ext cx="2000250" cy="266978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1" name="Picture 20" descr="https://vsjcllp.vsjadon.com/upload/insp-236343-845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200275" y="54597300"/>
                <a:ext cx="2000250" cy="266978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2" name="Picture 21" descr="https://vsjcllp.vsjadon.com/upload/insp-236343-844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276725" y="54597300"/>
                <a:ext cx="2000250" cy="266978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3" name="Picture 22" descr="https://vsjcllp.vsjadon.com/upload/insp-236343-849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19076" y="59450287"/>
                <a:ext cx="2766036" cy="207645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4" name="Picture 23" descr="https://vsjcllp.vsjadon.com/upload/insp-236343-862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8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57151" y="57350024"/>
                <a:ext cx="1511268" cy="2017125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5" name="Picture 24" descr="https://vsjcllp.vsjadon.com/upload/insp-236343-860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9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657351" y="57350024"/>
                <a:ext cx="1511268" cy="2017125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6" name="Picture 25" descr="https://vsjcllp.vsjadon.com/upload/insp-236343-871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0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248026" y="57350024"/>
                <a:ext cx="1511268" cy="2017125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7" name="Picture 26" descr="https://vsjcllp.vsjadon.com/upload/insp-236343-880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1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829176" y="57350024"/>
                <a:ext cx="1511268" cy="2017125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0" name="Picture 39" descr="https://vsjcllp.vsjadon.com/upload/insp-236343-931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2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067051" y="59455050"/>
                <a:ext cx="1555716" cy="207645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sp macro="" textlink="">
          <xdr:nvSpPr>
            <xdr:cNvPr id="41" name="TextBox 40"/>
            <xdr:cNvSpPr txBox="1"/>
          </xdr:nvSpPr>
          <xdr:spPr>
            <a:xfrm>
              <a:off x="267034" y="54644902"/>
              <a:ext cx="571487" cy="26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IN" sz="1200" b="1" cap="none" spc="0">
                  <a:ln w="0"/>
                  <a:solidFill>
                    <a:sysClr val="windowText" lastClr="000000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</a:rPr>
                <a:t>A Wing</a:t>
              </a:r>
            </a:p>
          </xdr:txBody>
        </xdr:sp>
        <xdr:sp macro="" textlink="">
          <xdr:nvSpPr>
            <xdr:cNvPr id="42" name="TextBox 41"/>
            <xdr:cNvSpPr txBox="1"/>
          </xdr:nvSpPr>
          <xdr:spPr>
            <a:xfrm>
              <a:off x="3324226" y="54597300"/>
              <a:ext cx="571487" cy="26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IN" sz="1200" b="1" cap="none" spc="0">
                  <a:ln w="0"/>
                  <a:solidFill>
                    <a:sysClr val="windowText" lastClr="000000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</a:rPr>
                <a:t>A Wing</a:t>
              </a:r>
            </a:p>
          </xdr:txBody>
        </xdr:sp>
        <xdr:sp macro="" textlink="">
          <xdr:nvSpPr>
            <xdr:cNvPr id="43" name="TextBox 42"/>
            <xdr:cNvSpPr txBox="1"/>
          </xdr:nvSpPr>
          <xdr:spPr>
            <a:xfrm>
              <a:off x="4391026" y="54587775"/>
              <a:ext cx="571487" cy="26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IN" sz="1200" b="1" cap="none" spc="0">
                  <a:ln w="0"/>
                  <a:solidFill>
                    <a:sysClr val="windowText" lastClr="000000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</a:rPr>
                <a:t>B Wing</a:t>
              </a:r>
            </a:p>
          </xdr:txBody>
        </xdr:sp>
      </xdr:grpSp>
      <xdr:sp macro="" textlink="">
        <xdr:nvSpPr>
          <xdr:cNvPr id="44" name="TextBox 43"/>
          <xdr:cNvSpPr txBox="1"/>
        </xdr:nvSpPr>
        <xdr:spPr>
          <a:xfrm>
            <a:off x="752476" y="57340500"/>
            <a:ext cx="571487" cy="2687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</xdr:grpSp>
    <xdr:clientData/>
  </xdr:twoCellAnchor>
  <xdr:twoCellAnchor>
    <xdr:from>
      <xdr:col>0</xdr:col>
      <xdr:colOff>70757</xdr:colOff>
      <xdr:row>256</xdr:row>
      <xdr:rowOff>52920</xdr:rowOff>
    </xdr:from>
    <xdr:to>
      <xdr:col>7</xdr:col>
      <xdr:colOff>598714</xdr:colOff>
      <xdr:row>291</xdr:row>
      <xdr:rowOff>13604</xdr:rowOff>
    </xdr:to>
    <xdr:grpSp>
      <xdr:nvGrpSpPr>
        <xdr:cNvPr id="8" name="Group 7"/>
        <xdr:cNvGrpSpPr/>
      </xdr:nvGrpSpPr>
      <xdr:grpSpPr>
        <a:xfrm>
          <a:off x="70757" y="51621270"/>
          <a:ext cx="6081032" cy="6952034"/>
          <a:chOff x="152400" y="51373787"/>
          <a:chExt cx="5931274" cy="6678307"/>
        </a:xfrm>
      </xdr:grpSpPr>
      <xdr:grpSp>
        <xdr:nvGrpSpPr>
          <xdr:cNvPr id="45" name="Group 44"/>
          <xdr:cNvGrpSpPr/>
        </xdr:nvGrpSpPr>
        <xdr:grpSpPr>
          <a:xfrm>
            <a:off x="152400" y="51373787"/>
            <a:ext cx="5931274" cy="6678301"/>
            <a:chOff x="-160687" y="1670551"/>
            <a:chExt cx="6682309" cy="7166474"/>
          </a:xfrm>
        </xdr:grpSpPr>
        <xdr:pic>
          <xdr:nvPicPr>
            <xdr:cNvPr id="46" name="Picture 45" descr="https://vsjcllp.vsjadon.com/upload/insp-246804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295955" y="6677025"/>
              <a:ext cx="162506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7" name="Picture 46" descr="https://vsjcllp.vsjadon.com/upload/insp-246804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0012" y="4950827"/>
              <a:ext cx="2169446" cy="16346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8" name="Picture 47" descr="https://vsjcllp.vsjadon.com/upload/insp-246804-84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698009" y="4947151"/>
              <a:ext cx="2169446" cy="16346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9" name="Picture 48" descr="https://vsjcllp.vsjadon.com/upload/insp-246804-844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538945" y="6677025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0" name="Picture 49" descr="https://vsjcllp.vsjadon.com/upload/insp-246804-849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66006" y="4947150"/>
              <a:ext cx="1229800" cy="16346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" name="Picture 50" descr="https://vsjcllp.vsjadon.com/upload/insp-246804-87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157257" y="1670551"/>
              <a:ext cx="2364365" cy="3142663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" name="Picture 51" descr="https://vsjcllp.vsjadon.com/upload/insp-246804-94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-160687" y="1679120"/>
              <a:ext cx="4170889" cy="3142663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54" name="Picture 53" descr="https://vsjcllp.vsjadon.com/upload/insp-246804-925.jp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342" r="1" b="4254"/>
          <a:stretch/>
        </xdr:blipFill>
        <xdr:spPr bwMode="auto">
          <a:xfrm>
            <a:off x="775065" y="56029411"/>
            <a:ext cx="1679022" cy="2022683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cxnFrzuYMFxXArqx5" TargetMode="Externa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299"/>
  <sheetViews>
    <sheetView tabSelected="1" view="pageBreakPreview" topLeftCell="B44" zoomScaleNormal="100" zoomScaleSheetLayoutView="100" zoomScalePageLayoutView="85" workbookViewId="0">
      <selection activeCell="I55" sqref="I55"/>
    </sheetView>
  </sheetViews>
  <sheetFormatPr defaultColWidth="9.140625" defaultRowHeight="15.75" x14ac:dyDescent="0.25"/>
  <cols>
    <col min="1" max="1" width="11.42578125" style="58" customWidth="1"/>
    <col min="2" max="2" width="11.140625" style="58" customWidth="1"/>
    <col min="3" max="3" width="12.7109375" style="58" customWidth="1"/>
    <col min="4" max="4" width="12.85546875" style="58" customWidth="1"/>
    <col min="5" max="7" width="11.7109375" style="58" customWidth="1"/>
    <col min="8" max="8" width="12.42578125" style="58" customWidth="1"/>
    <col min="9" max="9" width="20.42578125" style="31" customWidth="1"/>
    <col min="10" max="10" width="9.85546875" style="31" bestFit="1" customWidth="1"/>
    <col min="11" max="11" width="10.5703125" style="31" bestFit="1" customWidth="1"/>
    <col min="12" max="18" width="9.140625" style="31"/>
    <col min="19" max="19" width="11.140625" style="31" hidden="1" customWidth="1"/>
    <col min="20" max="21" width="0" style="31" hidden="1" customWidth="1"/>
    <col min="22" max="22" width="10.7109375" style="31" hidden="1" customWidth="1"/>
    <col min="23" max="23" width="13.42578125" style="31" hidden="1" customWidth="1"/>
    <col min="24" max="254" width="9.140625" style="31"/>
    <col min="255" max="255" width="8.7109375" style="31" customWidth="1"/>
    <col min="256" max="256" width="9.85546875" style="31" customWidth="1"/>
    <col min="257" max="257" width="14.42578125" style="31" customWidth="1"/>
    <col min="258" max="258" width="7.28515625" style="31" customWidth="1"/>
    <col min="259" max="259" width="5.5703125" style="31" customWidth="1"/>
    <col min="260" max="260" width="9" style="31" customWidth="1"/>
    <col min="261" max="262" width="9.85546875" style="31" customWidth="1"/>
    <col min="263" max="263" width="11.140625" style="31" customWidth="1"/>
    <col min="264" max="264" width="2.85546875" style="31" customWidth="1"/>
    <col min="265" max="265" width="3.5703125" style="31" customWidth="1"/>
    <col min="266" max="510" width="9.140625" style="31"/>
    <col min="511" max="511" width="8.7109375" style="31" customWidth="1"/>
    <col min="512" max="512" width="9.85546875" style="31" customWidth="1"/>
    <col min="513" max="513" width="14.42578125" style="31" customWidth="1"/>
    <col min="514" max="514" width="7.28515625" style="31" customWidth="1"/>
    <col min="515" max="515" width="5.5703125" style="31" customWidth="1"/>
    <col min="516" max="516" width="9" style="31" customWidth="1"/>
    <col min="517" max="518" width="9.85546875" style="31" customWidth="1"/>
    <col min="519" max="519" width="11.140625" style="31" customWidth="1"/>
    <col min="520" max="520" width="2.85546875" style="31" customWidth="1"/>
    <col min="521" max="521" width="3.5703125" style="31" customWidth="1"/>
    <col min="522" max="766" width="9.140625" style="31"/>
    <col min="767" max="767" width="8.7109375" style="31" customWidth="1"/>
    <col min="768" max="768" width="9.85546875" style="31" customWidth="1"/>
    <col min="769" max="769" width="14.42578125" style="31" customWidth="1"/>
    <col min="770" max="770" width="7.28515625" style="31" customWidth="1"/>
    <col min="771" max="771" width="5.5703125" style="31" customWidth="1"/>
    <col min="772" max="772" width="9" style="31" customWidth="1"/>
    <col min="773" max="774" width="9.85546875" style="31" customWidth="1"/>
    <col min="775" max="775" width="11.140625" style="31" customWidth="1"/>
    <col min="776" max="776" width="2.85546875" style="31" customWidth="1"/>
    <col min="777" max="777" width="3.5703125" style="31" customWidth="1"/>
    <col min="778" max="1022" width="9.140625" style="31"/>
    <col min="1023" max="1023" width="8.7109375" style="31" customWidth="1"/>
    <col min="1024" max="1024" width="9.85546875" style="31" customWidth="1"/>
    <col min="1025" max="1025" width="14.42578125" style="31" customWidth="1"/>
    <col min="1026" max="1026" width="7.28515625" style="31" customWidth="1"/>
    <col min="1027" max="1027" width="5.5703125" style="31" customWidth="1"/>
    <col min="1028" max="1028" width="9" style="31" customWidth="1"/>
    <col min="1029" max="1030" width="9.85546875" style="31" customWidth="1"/>
    <col min="1031" max="1031" width="11.140625" style="31" customWidth="1"/>
    <col min="1032" max="1032" width="2.85546875" style="31" customWidth="1"/>
    <col min="1033" max="1033" width="3.5703125" style="31" customWidth="1"/>
    <col min="1034" max="1278" width="9.140625" style="31"/>
    <col min="1279" max="1279" width="8.7109375" style="31" customWidth="1"/>
    <col min="1280" max="1280" width="9.85546875" style="31" customWidth="1"/>
    <col min="1281" max="1281" width="14.42578125" style="31" customWidth="1"/>
    <col min="1282" max="1282" width="7.28515625" style="31" customWidth="1"/>
    <col min="1283" max="1283" width="5.5703125" style="31" customWidth="1"/>
    <col min="1284" max="1284" width="9" style="31" customWidth="1"/>
    <col min="1285" max="1286" width="9.85546875" style="31" customWidth="1"/>
    <col min="1287" max="1287" width="11.140625" style="31" customWidth="1"/>
    <col min="1288" max="1288" width="2.85546875" style="31" customWidth="1"/>
    <col min="1289" max="1289" width="3.5703125" style="31" customWidth="1"/>
    <col min="1290" max="1534" width="9.140625" style="31"/>
    <col min="1535" max="1535" width="8.7109375" style="31" customWidth="1"/>
    <col min="1536" max="1536" width="9.85546875" style="31" customWidth="1"/>
    <col min="1537" max="1537" width="14.42578125" style="31" customWidth="1"/>
    <col min="1538" max="1538" width="7.28515625" style="31" customWidth="1"/>
    <col min="1539" max="1539" width="5.5703125" style="31" customWidth="1"/>
    <col min="1540" max="1540" width="9" style="31" customWidth="1"/>
    <col min="1541" max="1542" width="9.85546875" style="31" customWidth="1"/>
    <col min="1543" max="1543" width="11.140625" style="31" customWidth="1"/>
    <col min="1544" max="1544" width="2.85546875" style="31" customWidth="1"/>
    <col min="1545" max="1545" width="3.5703125" style="31" customWidth="1"/>
    <col min="1546" max="1790" width="9.140625" style="31"/>
    <col min="1791" max="1791" width="8.7109375" style="31" customWidth="1"/>
    <col min="1792" max="1792" width="9.85546875" style="31" customWidth="1"/>
    <col min="1793" max="1793" width="14.42578125" style="31" customWidth="1"/>
    <col min="1794" max="1794" width="7.28515625" style="31" customWidth="1"/>
    <col min="1795" max="1795" width="5.5703125" style="31" customWidth="1"/>
    <col min="1796" max="1796" width="9" style="31" customWidth="1"/>
    <col min="1797" max="1798" width="9.85546875" style="31" customWidth="1"/>
    <col min="1799" max="1799" width="11.140625" style="31" customWidth="1"/>
    <col min="1800" max="1800" width="2.85546875" style="31" customWidth="1"/>
    <col min="1801" max="1801" width="3.5703125" style="31" customWidth="1"/>
    <col min="1802" max="2046" width="9.140625" style="31"/>
    <col min="2047" max="2047" width="8.7109375" style="31" customWidth="1"/>
    <col min="2048" max="2048" width="9.85546875" style="31" customWidth="1"/>
    <col min="2049" max="2049" width="14.42578125" style="31" customWidth="1"/>
    <col min="2050" max="2050" width="7.28515625" style="31" customWidth="1"/>
    <col min="2051" max="2051" width="5.5703125" style="31" customWidth="1"/>
    <col min="2052" max="2052" width="9" style="31" customWidth="1"/>
    <col min="2053" max="2054" width="9.85546875" style="31" customWidth="1"/>
    <col min="2055" max="2055" width="11.140625" style="31" customWidth="1"/>
    <col min="2056" max="2056" width="2.85546875" style="31" customWidth="1"/>
    <col min="2057" max="2057" width="3.5703125" style="31" customWidth="1"/>
    <col min="2058" max="2302" width="9.140625" style="31"/>
    <col min="2303" max="2303" width="8.7109375" style="31" customWidth="1"/>
    <col min="2304" max="2304" width="9.85546875" style="31" customWidth="1"/>
    <col min="2305" max="2305" width="14.42578125" style="31" customWidth="1"/>
    <col min="2306" max="2306" width="7.28515625" style="31" customWidth="1"/>
    <col min="2307" max="2307" width="5.5703125" style="31" customWidth="1"/>
    <col min="2308" max="2308" width="9" style="31" customWidth="1"/>
    <col min="2309" max="2310" width="9.85546875" style="31" customWidth="1"/>
    <col min="2311" max="2311" width="11.140625" style="31" customWidth="1"/>
    <col min="2312" max="2312" width="2.85546875" style="31" customWidth="1"/>
    <col min="2313" max="2313" width="3.5703125" style="31" customWidth="1"/>
    <col min="2314" max="2558" width="9.140625" style="31"/>
    <col min="2559" max="2559" width="8.7109375" style="31" customWidth="1"/>
    <col min="2560" max="2560" width="9.85546875" style="31" customWidth="1"/>
    <col min="2561" max="2561" width="14.42578125" style="31" customWidth="1"/>
    <col min="2562" max="2562" width="7.28515625" style="31" customWidth="1"/>
    <col min="2563" max="2563" width="5.5703125" style="31" customWidth="1"/>
    <col min="2564" max="2564" width="9" style="31" customWidth="1"/>
    <col min="2565" max="2566" width="9.85546875" style="31" customWidth="1"/>
    <col min="2567" max="2567" width="11.140625" style="31" customWidth="1"/>
    <col min="2568" max="2568" width="2.85546875" style="31" customWidth="1"/>
    <col min="2569" max="2569" width="3.5703125" style="31" customWidth="1"/>
    <col min="2570" max="2814" width="9.140625" style="31"/>
    <col min="2815" max="2815" width="8.7109375" style="31" customWidth="1"/>
    <col min="2816" max="2816" width="9.85546875" style="31" customWidth="1"/>
    <col min="2817" max="2817" width="14.42578125" style="31" customWidth="1"/>
    <col min="2818" max="2818" width="7.28515625" style="31" customWidth="1"/>
    <col min="2819" max="2819" width="5.5703125" style="31" customWidth="1"/>
    <col min="2820" max="2820" width="9" style="31" customWidth="1"/>
    <col min="2821" max="2822" width="9.85546875" style="31" customWidth="1"/>
    <col min="2823" max="2823" width="11.140625" style="31" customWidth="1"/>
    <col min="2824" max="2824" width="2.85546875" style="31" customWidth="1"/>
    <col min="2825" max="2825" width="3.5703125" style="31" customWidth="1"/>
    <col min="2826" max="3070" width="9.140625" style="31"/>
    <col min="3071" max="3071" width="8.7109375" style="31" customWidth="1"/>
    <col min="3072" max="3072" width="9.85546875" style="31" customWidth="1"/>
    <col min="3073" max="3073" width="14.42578125" style="31" customWidth="1"/>
    <col min="3074" max="3074" width="7.28515625" style="31" customWidth="1"/>
    <col min="3075" max="3075" width="5.5703125" style="31" customWidth="1"/>
    <col min="3076" max="3076" width="9" style="31" customWidth="1"/>
    <col min="3077" max="3078" width="9.85546875" style="31" customWidth="1"/>
    <col min="3079" max="3079" width="11.140625" style="31" customWidth="1"/>
    <col min="3080" max="3080" width="2.85546875" style="31" customWidth="1"/>
    <col min="3081" max="3081" width="3.5703125" style="31" customWidth="1"/>
    <col min="3082" max="3326" width="9.140625" style="31"/>
    <col min="3327" max="3327" width="8.7109375" style="31" customWidth="1"/>
    <col min="3328" max="3328" width="9.85546875" style="31" customWidth="1"/>
    <col min="3329" max="3329" width="14.42578125" style="31" customWidth="1"/>
    <col min="3330" max="3330" width="7.28515625" style="31" customWidth="1"/>
    <col min="3331" max="3331" width="5.5703125" style="31" customWidth="1"/>
    <col min="3332" max="3332" width="9" style="31" customWidth="1"/>
    <col min="3333" max="3334" width="9.85546875" style="31" customWidth="1"/>
    <col min="3335" max="3335" width="11.140625" style="31" customWidth="1"/>
    <col min="3336" max="3336" width="2.85546875" style="31" customWidth="1"/>
    <col min="3337" max="3337" width="3.5703125" style="31" customWidth="1"/>
    <col min="3338" max="3582" width="9.140625" style="31"/>
    <col min="3583" max="3583" width="8.7109375" style="31" customWidth="1"/>
    <col min="3584" max="3584" width="9.85546875" style="31" customWidth="1"/>
    <col min="3585" max="3585" width="14.42578125" style="31" customWidth="1"/>
    <col min="3586" max="3586" width="7.28515625" style="31" customWidth="1"/>
    <col min="3587" max="3587" width="5.5703125" style="31" customWidth="1"/>
    <col min="3588" max="3588" width="9" style="31" customWidth="1"/>
    <col min="3589" max="3590" width="9.85546875" style="31" customWidth="1"/>
    <col min="3591" max="3591" width="11.140625" style="31" customWidth="1"/>
    <col min="3592" max="3592" width="2.85546875" style="31" customWidth="1"/>
    <col min="3593" max="3593" width="3.5703125" style="31" customWidth="1"/>
    <col min="3594" max="3838" width="9.140625" style="31"/>
    <col min="3839" max="3839" width="8.7109375" style="31" customWidth="1"/>
    <col min="3840" max="3840" width="9.85546875" style="31" customWidth="1"/>
    <col min="3841" max="3841" width="14.42578125" style="31" customWidth="1"/>
    <col min="3842" max="3842" width="7.28515625" style="31" customWidth="1"/>
    <col min="3843" max="3843" width="5.5703125" style="31" customWidth="1"/>
    <col min="3844" max="3844" width="9" style="31" customWidth="1"/>
    <col min="3845" max="3846" width="9.85546875" style="31" customWidth="1"/>
    <col min="3847" max="3847" width="11.140625" style="31" customWidth="1"/>
    <col min="3848" max="3848" width="2.85546875" style="31" customWidth="1"/>
    <col min="3849" max="3849" width="3.5703125" style="31" customWidth="1"/>
    <col min="3850" max="4094" width="9.140625" style="31"/>
    <col min="4095" max="4095" width="8.7109375" style="31" customWidth="1"/>
    <col min="4096" max="4096" width="9.85546875" style="31" customWidth="1"/>
    <col min="4097" max="4097" width="14.42578125" style="31" customWidth="1"/>
    <col min="4098" max="4098" width="7.28515625" style="31" customWidth="1"/>
    <col min="4099" max="4099" width="5.5703125" style="31" customWidth="1"/>
    <col min="4100" max="4100" width="9" style="31" customWidth="1"/>
    <col min="4101" max="4102" width="9.85546875" style="31" customWidth="1"/>
    <col min="4103" max="4103" width="11.140625" style="31" customWidth="1"/>
    <col min="4104" max="4104" width="2.85546875" style="31" customWidth="1"/>
    <col min="4105" max="4105" width="3.5703125" style="31" customWidth="1"/>
    <col min="4106" max="4350" width="9.140625" style="31"/>
    <col min="4351" max="4351" width="8.7109375" style="31" customWidth="1"/>
    <col min="4352" max="4352" width="9.85546875" style="31" customWidth="1"/>
    <col min="4353" max="4353" width="14.42578125" style="31" customWidth="1"/>
    <col min="4354" max="4354" width="7.28515625" style="31" customWidth="1"/>
    <col min="4355" max="4355" width="5.5703125" style="31" customWidth="1"/>
    <col min="4356" max="4356" width="9" style="31" customWidth="1"/>
    <col min="4357" max="4358" width="9.85546875" style="31" customWidth="1"/>
    <col min="4359" max="4359" width="11.140625" style="31" customWidth="1"/>
    <col min="4360" max="4360" width="2.85546875" style="31" customWidth="1"/>
    <col min="4361" max="4361" width="3.5703125" style="31" customWidth="1"/>
    <col min="4362" max="4606" width="9.140625" style="31"/>
    <col min="4607" max="4607" width="8.7109375" style="31" customWidth="1"/>
    <col min="4608" max="4608" width="9.85546875" style="31" customWidth="1"/>
    <col min="4609" max="4609" width="14.42578125" style="31" customWidth="1"/>
    <col min="4610" max="4610" width="7.28515625" style="31" customWidth="1"/>
    <col min="4611" max="4611" width="5.5703125" style="31" customWidth="1"/>
    <col min="4612" max="4612" width="9" style="31" customWidth="1"/>
    <col min="4613" max="4614" width="9.85546875" style="31" customWidth="1"/>
    <col min="4615" max="4615" width="11.140625" style="31" customWidth="1"/>
    <col min="4616" max="4616" width="2.85546875" style="31" customWidth="1"/>
    <col min="4617" max="4617" width="3.5703125" style="31" customWidth="1"/>
    <col min="4618" max="4862" width="9.140625" style="31"/>
    <col min="4863" max="4863" width="8.7109375" style="31" customWidth="1"/>
    <col min="4864" max="4864" width="9.85546875" style="31" customWidth="1"/>
    <col min="4865" max="4865" width="14.42578125" style="31" customWidth="1"/>
    <col min="4866" max="4866" width="7.28515625" style="31" customWidth="1"/>
    <col min="4867" max="4867" width="5.5703125" style="31" customWidth="1"/>
    <col min="4868" max="4868" width="9" style="31" customWidth="1"/>
    <col min="4869" max="4870" width="9.85546875" style="31" customWidth="1"/>
    <col min="4871" max="4871" width="11.140625" style="31" customWidth="1"/>
    <col min="4872" max="4872" width="2.85546875" style="31" customWidth="1"/>
    <col min="4873" max="4873" width="3.5703125" style="31" customWidth="1"/>
    <col min="4874" max="5118" width="9.140625" style="31"/>
    <col min="5119" max="5119" width="8.7109375" style="31" customWidth="1"/>
    <col min="5120" max="5120" width="9.85546875" style="31" customWidth="1"/>
    <col min="5121" max="5121" width="14.42578125" style="31" customWidth="1"/>
    <col min="5122" max="5122" width="7.28515625" style="31" customWidth="1"/>
    <col min="5123" max="5123" width="5.5703125" style="31" customWidth="1"/>
    <col min="5124" max="5124" width="9" style="31" customWidth="1"/>
    <col min="5125" max="5126" width="9.85546875" style="31" customWidth="1"/>
    <col min="5127" max="5127" width="11.140625" style="31" customWidth="1"/>
    <col min="5128" max="5128" width="2.85546875" style="31" customWidth="1"/>
    <col min="5129" max="5129" width="3.5703125" style="31" customWidth="1"/>
    <col min="5130" max="5374" width="9.140625" style="31"/>
    <col min="5375" max="5375" width="8.7109375" style="31" customWidth="1"/>
    <col min="5376" max="5376" width="9.85546875" style="31" customWidth="1"/>
    <col min="5377" max="5377" width="14.42578125" style="31" customWidth="1"/>
    <col min="5378" max="5378" width="7.28515625" style="31" customWidth="1"/>
    <col min="5379" max="5379" width="5.5703125" style="31" customWidth="1"/>
    <col min="5380" max="5380" width="9" style="31" customWidth="1"/>
    <col min="5381" max="5382" width="9.85546875" style="31" customWidth="1"/>
    <col min="5383" max="5383" width="11.140625" style="31" customWidth="1"/>
    <col min="5384" max="5384" width="2.85546875" style="31" customWidth="1"/>
    <col min="5385" max="5385" width="3.5703125" style="31" customWidth="1"/>
    <col min="5386" max="5630" width="9.140625" style="31"/>
    <col min="5631" max="5631" width="8.7109375" style="31" customWidth="1"/>
    <col min="5632" max="5632" width="9.85546875" style="31" customWidth="1"/>
    <col min="5633" max="5633" width="14.42578125" style="31" customWidth="1"/>
    <col min="5634" max="5634" width="7.28515625" style="31" customWidth="1"/>
    <col min="5635" max="5635" width="5.5703125" style="31" customWidth="1"/>
    <col min="5636" max="5636" width="9" style="31" customWidth="1"/>
    <col min="5637" max="5638" width="9.85546875" style="31" customWidth="1"/>
    <col min="5639" max="5639" width="11.140625" style="31" customWidth="1"/>
    <col min="5640" max="5640" width="2.85546875" style="31" customWidth="1"/>
    <col min="5641" max="5641" width="3.5703125" style="31" customWidth="1"/>
    <col min="5642" max="5886" width="9.140625" style="31"/>
    <col min="5887" max="5887" width="8.7109375" style="31" customWidth="1"/>
    <col min="5888" max="5888" width="9.85546875" style="31" customWidth="1"/>
    <col min="5889" max="5889" width="14.42578125" style="31" customWidth="1"/>
    <col min="5890" max="5890" width="7.28515625" style="31" customWidth="1"/>
    <col min="5891" max="5891" width="5.5703125" style="31" customWidth="1"/>
    <col min="5892" max="5892" width="9" style="31" customWidth="1"/>
    <col min="5893" max="5894" width="9.85546875" style="31" customWidth="1"/>
    <col min="5895" max="5895" width="11.140625" style="31" customWidth="1"/>
    <col min="5896" max="5896" width="2.85546875" style="31" customWidth="1"/>
    <col min="5897" max="5897" width="3.5703125" style="31" customWidth="1"/>
    <col min="5898" max="6142" width="9.140625" style="31"/>
    <col min="6143" max="6143" width="8.7109375" style="31" customWidth="1"/>
    <col min="6144" max="6144" width="9.85546875" style="31" customWidth="1"/>
    <col min="6145" max="6145" width="14.42578125" style="31" customWidth="1"/>
    <col min="6146" max="6146" width="7.28515625" style="31" customWidth="1"/>
    <col min="6147" max="6147" width="5.5703125" style="31" customWidth="1"/>
    <col min="6148" max="6148" width="9" style="31" customWidth="1"/>
    <col min="6149" max="6150" width="9.85546875" style="31" customWidth="1"/>
    <col min="6151" max="6151" width="11.140625" style="31" customWidth="1"/>
    <col min="6152" max="6152" width="2.85546875" style="31" customWidth="1"/>
    <col min="6153" max="6153" width="3.5703125" style="31" customWidth="1"/>
    <col min="6154" max="6398" width="9.140625" style="31"/>
    <col min="6399" max="6399" width="8.7109375" style="31" customWidth="1"/>
    <col min="6400" max="6400" width="9.85546875" style="31" customWidth="1"/>
    <col min="6401" max="6401" width="14.42578125" style="31" customWidth="1"/>
    <col min="6402" max="6402" width="7.28515625" style="31" customWidth="1"/>
    <col min="6403" max="6403" width="5.5703125" style="31" customWidth="1"/>
    <col min="6404" max="6404" width="9" style="31" customWidth="1"/>
    <col min="6405" max="6406" width="9.85546875" style="31" customWidth="1"/>
    <col min="6407" max="6407" width="11.140625" style="31" customWidth="1"/>
    <col min="6408" max="6408" width="2.85546875" style="31" customWidth="1"/>
    <col min="6409" max="6409" width="3.5703125" style="31" customWidth="1"/>
    <col min="6410" max="6654" width="9.140625" style="31"/>
    <col min="6655" max="6655" width="8.7109375" style="31" customWidth="1"/>
    <col min="6656" max="6656" width="9.85546875" style="31" customWidth="1"/>
    <col min="6657" max="6657" width="14.42578125" style="31" customWidth="1"/>
    <col min="6658" max="6658" width="7.28515625" style="31" customWidth="1"/>
    <col min="6659" max="6659" width="5.5703125" style="31" customWidth="1"/>
    <col min="6660" max="6660" width="9" style="31" customWidth="1"/>
    <col min="6661" max="6662" width="9.85546875" style="31" customWidth="1"/>
    <col min="6663" max="6663" width="11.140625" style="31" customWidth="1"/>
    <col min="6664" max="6664" width="2.85546875" style="31" customWidth="1"/>
    <col min="6665" max="6665" width="3.5703125" style="31" customWidth="1"/>
    <col min="6666" max="6910" width="9.140625" style="31"/>
    <col min="6911" max="6911" width="8.7109375" style="31" customWidth="1"/>
    <col min="6912" max="6912" width="9.85546875" style="31" customWidth="1"/>
    <col min="6913" max="6913" width="14.42578125" style="31" customWidth="1"/>
    <col min="6914" max="6914" width="7.28515625" style="31" customWidth="1"/>
    <col min="6915" max="6915" width="5.5703125" style="31" customWidth="1"/>
    <col min="6916" max="6916" width="9" style="31" customWidth="1"/>
    <col min="6917" max="6918" width="9.85546875" style="31" customWidth="1"/>
    <col min="6919" max="6919" width="11.140625" style="31" customWidth="1"/>
    <col min="6920" max="6920" width="2.85546875" style="31" customWidth="1"/>
    <col min="6921" max="6921" width="3.5703125" style="31" customWidth="1"/>
    <col min="6922" max="7166" width="9.140625" style="31"/>
    <col min="7167" max="7167" width="8.7109375" style="31" customWidth="1"/>
    <col min="7168" max="7168" width="9.85546875" style="31" customWidth="1"/>
    <col min="7169" max="7169" width="14.42578125" style="31" customWidth="1"/>
    <col min="7170" max="7170" width="7.28515625" style="31" customWidth="1"/>
    <col min="7171" max="7171" width="5.5703125" style="31" customWidth="1"/>
    <col min="7172" max="7172" width="9" style="31" customWidth="1"/>
    <col min="7173" max="7174" width="9.85546875" style="31" customWidth="1"/>
    <col min="7175" max="7175" width="11.140625" style="31" customWidth="1"/>
    <col min="7176" max="7176" width="2.85546875" style="31" customWidth="1"/>
    <col min="7177" max="7177" width="3.5703125" style="31" customWidth="1"/>
    <col min="7178" max="7422" width="9.140625" style="31"/>
    <col min="7423" max="7423" width="8.7109375" style="31" customWidth="1"/>
    <col min="7424" max="7424" width="9.85546875" style="31" customWidth="1"/>
    <col min="7425" max="7425" width="14.42578125" style="31" customWidth="1"/>
    <col min="7426" max="7426" width="7.28515625" style="31" customWidth="1"/>
    <col min="7427" max="7427" width="5.5703125" style="31" customWidth="1"/>
    <col min="7428" max="7428" width="9" style="31" customWidth="1"/>
    <col min="7429" max="7430" width="9.85546875" style="31" customWidth="1"/>
    <col min="7431" max="7431" width="11.140625" style="31" customWidth="1"/>
    <col min="7432" max="7432" width="2.85546875" style="31" customWidth="1"/>
    <col min="7433" max="7433" width="3.5703125" style="31" customWidth="1"/>
    <col min="7434" max="7678" width="9.140625" style="31"/>
    <col min="7679" max="7679" width="8.7109375" style="31" customWidth="1"/>
    <col min="7680" max="7680" width="9.85546875" style="31" customWidth="1"/>
    <col min="7681" max="7681" width="14.42578125" style="31" customWidth="1"/>
    <col min="7682" max="7682" width="7.28515625" style="31" customWidth="1"/>
    <col min="7683" max="7683" width="5.5703125" style="31" customWidth="1"/>
    <col min="7684" max="7684" width="9" style="31" customWidth="1"/>
    <col min="7685" max="7686" width="9.85546875" style="31" customWidth="1"/>
    <col min="7687" max="7687" width="11.140625" style="31" customWidth="1"/>
    <col min="7688" max="7688" width="2.85546875" style="31" customWidth="1"/>
    <col min="7689" max="7689" width="3.5703125" style="31" customWidth="1"/>
    <col min="7690" max="7934" width="9.140625" style="31"/>
    <col min="7935" max="7935" width="8.7109375" style="31" customWidth="1"/>
    <col min="7936" max="7936" width="9.85546875" style="31" customWidth="1"/>
    <col min="7937" max="7937" width="14.42578125" style="31" customWidth="1"/>
    <col min="7938" max="7938" width="7.28515625" style="31" customWidth="1"/>
    <col min="7939" max="7939" width="5.5703125" style="31" customWidth="1"/>
    <col min="7940" max="7940" width="9" style="31" customWidth="1"/>
    <col min="7941" max="7942" width="9.85546875" style="31" customWidth="1"/>
    <col min="7943" max="7943" width="11.140625" style="31" customWidth="1"/>
    <col min="7944" max="7944" width="2.85546875" style="31" customWidth="1"/>
    <col min="7945" max="7945" width="3.5703125" style="31" customWidth="1"/>
    <col min="7946" max="8190" width="9.140625" style="31"/>
    <col min="8191" max="8191" width="8.7109375" style="31" customWidth="1"/>
    <col min="8192" max="8192" width="9.85546875" style="31" customWidth="1"/>
    <col min="8193" max="8193" width="14.42578125" style="31" customWidth="1"/>
    <col min="8194" max="8194" width="7.28515625" style="31" customWidth="1"/>
    <col min="8195" max="8195" width="5.5703125" style="31" customWidth="1"/>
    <col min="8196" max="8196" width="9" style="31" customWidth="1"/>
    <col min="8197" max="8198" width="9.85546875" style="31" customWidth="1"/>
    <col min="8199" max="8199" width="11.140625" style="31" customWidth="1"/>
    <col min="8200" max="8200" width="2.85546875" style="31" customWidth="1"/>
    <col min="8201" max="8201" width="3.5703125" style="31" customWidth="1"/>
    <col min="8202" max="8446" width="9.140625" style="31"/>
    <col min="8447" max="8447" width="8.7109375" style="31" customWidth="1"/>
    <col min="8448" max="8448" width="9.85546875" style="31" customWidth="1"/>
    <col min="8449" max="8449" width="14.42578125" style="31" customWidth="1"/>
    <col min="8450" max="8450" width="7.28515625" style="31" customWidth="1"/>
    <col min="8451" max="8451" width="5.5703125" style="31" customWidth="1"/>
    <col min="8452" max="8452" width="9" style="31" customWidth="1"/>
    <col min="8453" max="8454" width="9.85546875" style="31" customWidth="1"/>
    <col min="8455" max="8455" width="11.140625" style="31" customWidth="1"/>
    <col min="8456" max="8456" width="2.85546875" style="31" customWidth="1"/>
    <col min="8457" max="8457" width="3.5703125" style="31" customWidth="1"/>
    <col min="8458" max="8702" width="9.140625" style="31"/>
    <col min="8703" max="8703" width="8.7109375" style="31" customWidth="1"/>
    <col min="8704" max="8704" width="9.85546875" style="31" customWidth="1"/>
    <col min="8705" max="8705" width="14.42578125" style="31" customWidth="1"/>
    <col min="8706" max="8706" width="7.28515625" style="31" customWidth="1"/>
    <col min="8707" max="8707" width="5.5703125" style="31" customWidth="1"/>
    <col min="8708" max="8708" width="9" style="31" customWidth="1"/>
    <col min="8709" max="8710" width="9.85546875" style="31" customWidth="1"/>
    <col min="8711" max="8711" width="11.140625" style="31" customWidth="1"/>
    <col min="8712" max="8712" width="2.85546875" style="31" customWidth="1"/>
    <col min="8713" max="8713" width="3.5703125" style="31" customWidth="1"/>
    <col min="8714" max="8958" width="9.140625" style="31"/>
    <col min="8959" max="8959" width="8.7109375" style="31" customWidth="1"/>
    <col min="8960" max="8960" width="9.85546875" style="31" customWidth="1"/>
    <col min="8961" max="8961" width="14.42578125" style="31" customWidth="1"/>
    <col min="8962" max="8962" width="7.28515625" style="31" customWidth="1"/>
    <col min="8963" max="8963" width="5.5703125" style="31" customWidth="1"/>
    <col min="8964" max="8964" width="9" style="31" customWidth="1"/>
    <col min="8965" max="8966" width="9.85546875" style="31" customWidth="1"/>
    <col min="8967" max="8967" width="11.140625" style="31" customWidth="1"/>
    <col min="8968" max="8968" width="2.85546875" style="31" customWidth="1"/>
    <col min="8969" max="8969" width="3.5703125" style="31" customWidth="1"/>
    <col min="8970" max="9214" width="9.140625" style="31"/>
    <col min="9215" max="9215" width="8.7109375" style="31" customWidth="1"/>
    <col min="9216" max="9216" width="9.85546875" style="31" customWidth="1"/>
    <col min="9217" max="9217" width="14.42578125" style="31" customWidth="1"/>
    <col min="9218" max="9218" width="7.28515625" style="31" customWidth="1"/>
    <col min="9219" max="9219" width="5.5703125" style="31" customWidth="1"/>
    <col min="9220" max="9220" width="9" style="31" customWidth="1"/>
    <col min="9221" max="9222" width="9.85546875" style="31" customWidth="1"/>
    <col min="9223" max="9223" width="11.140625" style="31" customWidth="1"/>
    <col min="9224" max="9224" width="2.85546875" style="31" customWidth="1"/>
    <col min="9225" max="9225" width="3.5703125" style="31" customWidth="1"/>
    <col min="9226" max="9470" width="9.140625" style="31"/>
    <col min="9471" max="9471" width="8.7109375" style="31" customWidth="1"/>
    <col min="9472" max="9472" width="9.85546875" style="31" customWidth="1"/>
    <col min="9473" max="9473" width="14.42578125" style="31" customWidth="1"/>
    <col min="9474" max="9474" width="7.28515625" style="31" customWidth="1"/>
    <col min="9475" max="9475" width="5.5703125" style="31" customWidth="1"/>
    <col min="9476" max="9476" width="9" style="31" customWidth="1"/>
    <col min="9477" max="9478" width="9.85546875" style="31" customWidth="1"/>
    <col min="9479" max="9479" width="11.140625" style="31" customWidth="1"/>
    <col min="9480" max="9480" width="2.85546875" style="31" customWidth="1"/>
    <col min="9481" max="9481" width="3.5703125" style="31" customWidth="1"/>
    <col min="9482" max="9726" width="9.140625" style="31"/>
    <col min="9727" max="9727" width="8.7109375" style="31" customWidth="1"/>
    <col min="9728" max="9728" width="9.85546875" style="31" customWidth="1"/>
    <col min="9729" max="9729" width="14.42578125" style="31" customWidth="1"/>
    <col min="9730" max="9730" width="7.28515625" style="31" customWidth="1"/>
    <col min="9731" max="9731" width="5.5703125" style="31" customWidth="1"/>
    <col min="9732" max="9732" width="9" style="31" customWidth="1"/>
    <col min="9733" max="9734" width="9.85546875" style="31" customWidth="1"/>
    <col min="9735" max="9735" width="11.140625" style="31" customWidth="1"/>
    <col min="9736" max="9736" width="2.85546875" style="31" customWidth="1"/>
    <col min="9737" max="9737" width="3.5703125" style="31" customWidth="1"/>
    <col min="9738" max="9982" width="9.140625" style="31"/>
    <col min="9983" max="9983" width="8.7109375" style="31" customWidth="1"/>
    <col min="9984" max="9984" width="9.85546875" style="31" customWidth="1"/>
    <col min="9985" max="9985" width="14.42578125" style="31" customWidth="1"/>
    <col min="9986" max="9986" width="7.28515625" style="31" customWidth="1"/>
    <col min="9987" max="9987" width="5.5703125" style="31" customWidth="1"/>
    <col min="9988" max="9988" width="9" style="31" customWidth="1"/>
    <col min="9989" max="9990" width="9.85546875" style="31" customWidth="1"/>
    <col min="9991" max="9991" width="11.140625" style="31" customWidth="1"/>
    <col min="9992" max="9992" width="2.85546875" style="31" customWidth="1"/>
    <col min="9993" max="9993" width="3.5703125" style="31" customWidth="1"/>
    <col min="9994" max="10238" width="9.140625" style="31"/>
    <col min="10239" max="10239" width="8.7109375" style="31" customWidth="1"/>
    <col min="10240" max="10240" width="9.85546875" style="31" customWidth="1"/>
    <col min="10241" max="10241" width="14.42578125" style="31" customWidth="1"/>
    <col min="10242" max="10242" width="7.28515625" style="31" customWidth="1"/>
    <col min="10243" max="10243" width="5.5703125" style="31" customWidth="1"/>
    <col min="10244" max="10244" width="9" style="31" customWidth="1"/>
    <col min="10245" max="10246" width="9.85546875" style="31" customWidth="1"/>
    <col min="10247" max="10247" width="11.140625" style="31" customWidth="1"/>
    <col min="10248" max="10248" width="2.85546875" style="31" customWidth="1"/>
    <col min="10249" max="10249" width="3.5703125" style="31" customWidth="1"/>
    <col min="10250" max="10494" width="9.140625" style="31"/>
    <col min="10495" max="10495" width="8.7109375" style="31" customWidth="1"/>
    <col min="10496" max="10496" width="9.85546875" style="31" customWidth="1"/>
    <col min="10497" max="10497" width="14.42578125" style="31" customWidth="1"/>
    <col min="10498" max="10498" width="7.28515625" style="31" customWidth="1"/>
    <col min="10499" max="10499" width="5.5703125" style="31" customWidth="1"/>
    <col min="10500" max="10500" width="9" style="31" customWidth="1"/>
    <col min="10501" max="10502" width="9.85546875" style="31" customWidth="1"/>
    <col min="10503" max="10503" width="11.140625" style="31" customWidth="1"/>
    <col min="10504" max="10504" width="2.85546875" style="31" customWidth="1"/>
    <col min="10505" max="10505" width="3.5703125" style="31" customWidth="1"/>
    <col min="10506" max="10750" width="9.140625" style="31"/>
    <col min="10751" max="10751" width="8.7109375" style="31" customWidth="1"/>
    <col min="10752" max="10752" width="9.85546875" style="31" customWidth="1"/>
    <col min="10753" max="10753" width="14.42578125" style="31" customWidth="1"/>
    <col min="10754" max="10754" width="7.28515625" style="31" customWidth="1"/>
    <col min="10755" max="10755" width="5.5703125" style="31" customWidth="1"/>
    <col min="10756" max="10756" width="9" style="31" customWidth="1"/>
    <col min="10757" max="10758" width="9.85546875" style="31" customWidth="1"/>
    <col min="10759" max="10759" width="11.140625" style="31" customWidth="1"/>
    <col min="10760" max="10760" width="2.85546875" style="31" customWidth="1"/>
    <col min="10761" max="10761" width="3.5703125" style="31" customWidth="1"/>
    <col min="10762" max="11006" width="9.140625" style="31"/>
    <col min="11007" max="11007" width="8.7109375" style="31" customWidth="1"/>
    <col min="11008" max="11008" width="9.85546875" style="31" customWidth="1"/>
    <col min="11009" max="11009" width="14.42578125" style="31" customWidth="1"/>
    <col min="11010" max="11010" width="7.28515625" style="31" customWidth="1"/>
    <col min="11011" max="11011" width="5.5703125" style="31" customWidth="1"/>
    <col min="11012" max="11012" width="9" style="31" customWidth="1"/>
    <col min="11013" max="11014" width="9.85546875" style="31" customWidth="1"/>
    <col min="11015" max="11015" width="11.140625" style="31" customWidth="1"/>
    <col min="11016" max="11016" width="2.85546875" style="31" customWidth="1"/>
    <col min="11017" max="11017" width="3.5703125" style="31" customWidth="1"/>
    <col min="11018" max="11262" width="9.140625" style="31"/>
    <col min="11263" max="11263" width="8.7109375" style="31" customWidth="1"/>
    <col min="11264" max="11264" width="9.85546875" style="31" customWidth="1"/>
    <col min="11265" max="11265" width="14.42578125" style="31" customWidth="1"/>
    <col min="11266" max="11266" width="7.28515625" style="31" customWidth="1"/>
    <col min="11267" max="11267" width="5.5703125" style="31" customWidth="1"/>
    <col min="11268" max="11268" width="9" style="31" customWidth="1"/>
    <col min="11269" max="11270" width="9.85546875" style="31" customWidth="1"/>
    <col min="11271" max="11271" width="11.140625" style="31" customWidth="1"/>
    <col min="11272" max="11272" width="2.85546875" style="31" customWidth="1"/>
    <col min="11273" max="11273" width="3.5703125" style="31" customWidth="1"/>
    <col min="11274" max="11518" width="9.140625" style="31"/>
    <col min="11519" max="11519" width="8.7109375" style="31" customWidth="1"/>
    <col min="11520" max="11520" width="9.85546875" style="31" customWidth="1"/>
    <col min="11521" max="11521" width="14.42578125" style="31" customWidth="1"/>
    <col min="11522" max="11522" width="7.28515625" style="31" customWidth="1"/>
    <col min="11523" max="11523" width="5.5703125" style="31" customWidth="1"/>
    <col min="11524" max="11524" width="9" style="31" customWidth="1"/>
    <col min="11525" max="11526" width="9.85546875" style="31" customWidth="1"/>
    <col min="11527" max="11527" width="11.140625" style="31" customWidth="1"/>
    <col min="11528" max="11528" width="2.85546875" style="31" customWidth="1"/>
    <col min="11529" max="11529" width="3.5703125" style="31" customWidth="1"/>
    <col min="11530" max="11774" width="9.140625" style="31"/>
    <col min="11775" max="11775" width="8.7109375" style="31" customWidth="1"/>
    <col min="11776" max="11776" width="9.85546875" style="31" customWidth="1"/>
    <col min="11777" max="11777" width="14.42578125" style="31" customWidth="1"/>
    <col min="11778" max="11778" width="7.28515625" style="31" customWidth="1"/>
    <col min="11779" max="11779" width="5.5703125" style="31" customWidth="1"/>
    <col min="11780" max="11780" width="9" style="31" customWidth="1"/>
    <col min="11781" max="11782" width="9.85546875" style="31" customWidth="1"/>
    <col min="11783" max="11783" width="11.140625" style="31" customWidth="1"/>
    <col min="11784" max="11784" width="2.85546875" style="31" customWidth="1"/>
    <col min="11785" max="11785" width="3.5703125" style="31" customWidth="1"/>
    <col min="11786" max="12030" width="9.140625" style="31"/>
    <col min="12031" max="12031" width="8.7109375" style="31" customWidth="1"/>
    <col min="12032" max="12032" width="9.85546875" style="31" customWidth="1"/>
    <col min="12033" max="12033" width="14.42578125" style="31" customWidth="1"/>
    <col min="12034" max="12034" width="7.28515625" style="31" customWidth="1"/>
    <col min="12035" max="12035" width="5.5703125" style="31" customWidth="1"/>
    <col min="12036" max="12036" width="9" style="31" customWidth="1"/>
    <col min="12037" max="12038" width="9.85546875" style="31" customWidth="1"/>
    <col min="12039" max="12039" width="11.140625" style="31" customWidth="1"/>
    <col min="12040" max="12040" width="2.85546875" style="31" customWidth="1"/>
    <col min="12041" max="12041" width="3.5703125" style="31" customWidth="1"/>
    <col min="12042" max="12286" width="9.140625" style="31"/>
    <col min="12287" max="12287" width="8.7109375" style="31" customWidth="1"/>
    <col min="12288" max="12288" width="9.85546875" style="31" customWidth="1"/>
    <col min="12289" max="12289" width="14.42578125" style="31" customWidth="1"/>
    <col min="12290" max="12290" width="7.28515625" style="31" customWidth="1"/>
    <col min="12291" max="12291" width="5.5703125" style="31" customWidth="1"/>
    <col min="12292" max="12292" width="9" style="31" customWidth="1"/>
    <col min="12293" max="12294" width="9.85546875" style="31" customWidth="1"/>
    <col min="12295" max="12295" width="11.140625" style="31" customWidth="1"/>
    <col min="12296" max="12296" width="2.85546875" style="31" customWidth="1"/>
    <col min="12297" max="12297" width="3.5703125" style="31" customWidth="1"/>
    <col min="12298" max="12542" width="9.140625" style="31"/>
    <col min="12543" max="12543" width="8.7109375" style="31" customWidth="1"/>
    <col min="12544" max="12544" width="9.85546875" style="31" customWidth="1"/>
    <col min="12545" max="12545" width="14.42578125" style="31" customWidth="1"/>
    <col min="12546" max="12546" width="7.28515625" style="31" customWidth="1"/>
    <col min="12547" max="12547" width="5.5703125" style="31" customWidth="1"/>
    <col min="12548" max="12548" width="9" style="31" customWidth="1"/>
    <col min="12549" max="12550" width="9.85546875" style="31" customWidth="1"/>
    <col min="12551" max="12551" width="11.140625" style="31" customWidth="1"/>
    <col min="12552" max="12552" width="2.85546875" style="31" customWidth="1"/>
    <col min="12553" max="12553" width="3.5703125" style="31" customWidth="1"/>
    <col min="12554" max="12798" width="9.140625" style="31"/>
    <col min="12799" max="12799" width="8.7109375" style="31" customWidth="1"/>
    <col min="12800" max="12800" width="9.85546875" style="31" customWidth="1"/>
    <col min="12801" max="12801" width="14.42578125" style="31" customWidth="1"/>
    <col min="12802" max="12802" width="7.28515625" style="31" customWidth="1"/>
    <col min="12803" max="12803" width="5.5703125" style="31" customWidth="1"/>
    <col min="12804" max="12804" width="9" style="31" customWidth="1"/>
    <col min="12805" max="12806" width="9.85546875" style="31" customWidth="1"/>
    <col min="12807" max="12807" width="11.140625" style="31" customWidth="1"/>
    <col min="12808" max="12808" width="2.85546875" style="31" customWidth="1"/>
    <col min="12809" max="12809" width="3.5703125" style="31" customWidth="1"/>
    <col min="12810" max="13054" width="9.140625" style="31"/>
    <col min="13055" max="13055" width="8.7109375" style="31" customWidth="1"/>
    <col min="13056" max="13056" width="9.85546875" style="31" customWidth="1"/>
    <col min="13057" max="13057" width="14.42578125" style="31" customWidth="1"/>
    <col min="13058" max="13058" width="7.28515625" style="31" customWidth="1"/>
    <col min="13059" max="13059" width="5.5703125" style="31" customWidth="1"/>
    <col min="13060" max="13060" width="9" style="31" customWidth="1"/>
    <col min="13061" max="13062" width="9.85546875" style="31" customWidth="1"/>
    <col min="13063" max="13063" width="11.140625" style="31" customWidth="1"/>
    <col min="13064" max="13064" width="2.85546875" style="31" customWidth="1"/>
    <col min="13065" max="13065" width="3.5703125" style="31" customWidth="1"/>
    <col min="13066" max="13310" width="9.140625" style="31"/>
    <col min="13311" max="13311" width="8.7109375" style="31" customWidth="1"/>
    <col min="13312" max="13312" width="9.85546875" style="31" customWidth="1"/>
    <col min="13313" max="13313" width="14.42578125" style="31" customWidth="1"/>
    <col min="13314" max="13314" width="7.28515625" style="31" customWidth="1"/>
    <col min="13315" max="13315" width="5.5703125" style="31" customWidth="1"/>
    <col min="13316" max="13316" width="9" style="31" customWidth="1"/>
    <col min="13317" max="13318" width="9.85546875" style="31" customWidth="1"/>
    <col min="13319" max="13319" width="11.140625" style="31" customWidth="1"/>
    <col min="13320" max="13320" width="2.85546875" style="31" customWidth="1"/>
    <col min="13321" max="13321" width="3.5703125" style="31" customWidth="1"/>
    <col min="13322" max="13566" width="9.140625" style="31"/>
    <col min="13567" max="13567" width="8.7109375" style="31" customWidth="1"/>
    <col min="13568" max="13568" width="9.85546875" style="31" customWidth="1"/>
    <col min="13569" max="13569" width="14.42578125" style="31" customWidth="1"/>
    <col min="13570" max="13570" width="7.28515625" style="31" customWidth="1"/>
    <col min="13571" max="13571" width="5.5703125" style="31" customWidth="1"/>
    <col min="13572" max="13572" width="9" style="31" customWidth="1"/>
    <col min="13573" max="13574" width="9.85546875" style="31" customWidth="1"/>
    <col min="13575" max="13575" width="11.140625" style="31" customWidth="1"/>
    <col min="13576" max="13576" width="2.85546875" style="31" customWidth="1"/>
    <col min="13577" max="13577" width="3.5703125" style="31" customWidth="1"/>
    <col min="13578" max="13822" width="9.140625" style="31"/>
    <col min="13823" max="13823" width="8.7109375" style="31" customWidth="1"/>
    <col min="13824" max="13824" width="9.85546875" style="31" customWidth="1"/>
    <col min="13825" max="13825" width="14.42578125" style="31" customWidth="1"/>
    <col min="13826" max="13826" width="7.28515625" style="31" customWidth="1"/>
    <col min="13827" max="13827" width="5.5703125" style="31" customWidth="1"/>
    <col min="13828" max="13828" width="9" style="31" customWidth="1"/>
    <col min="13829" max="13830" width="9.85546875" style="31" customWidth="1"/>
    <col min="13831" max="13831" width="11.140625" style="31" customWidth="1"/>
    <col min="13832" max="13832" width="2.85546875" style="31" customWidth="1"/>
    <col min="13833" max="13833" width="3.5703125" style="31" customWidth="1"/>
    <col min="13834" max="14078" width="9.140625" style="31"/>
    <col min="14079" max="14079" width="8.7109375" style="31" customWidth="1"/>
    <col min="14080" max="14080" width="9.85546875" style="31" customWidth="1"/>
    <col min="14081" max="14081" width="14.42578125" style="31" customWidth="1"/>
    <col min="14082" max="14082" width="7.28515625" style="31" customWidth="1"/>
    <col min="14083" max="14083" width="5.5703125" style="31" customWidth="1"/>
    <col min="14084" max="14084" width="9" style="31" customWidth="1"/>
    <col min="14085" max="14086" width="9.85546875" style="31" customWidth="1"/>
    <col min="14087" max="14087" width="11.140625" style="31" customWidth="1"/>
    <col min="14088" max="14088" width="2.85546875" style="31" customWidth="1"/>
    <col min="14089" max="14089" width="3.5703125" style="31" customWidth="1"/>
    <col min="14090" max="14334" width="9.140625" style="31"/>
    <col min="14335" max="14335" width="8.7109375" style="31" customWidth="1"/>
    <col min="14336" max="14336" width="9.85546875" style="31" customWidth="1"/>
    <col min="14337" max="14337" width="14.42578125" style="31" customWidth="1"/>
    <col min="14338" max="14338" width="7.28515625" style="31" customWidth="1"/>
    <col min="14339" max="14339" width="5.5703125" style="31" customWidth="1"/>
    <col min="14340" max="14340" width="9" style="31" customWidth="1"/>
    <col min="14341" max="14342" width="9.85546875" style="31" customWidth="1"/>
    <col min="14343" max="14343" width="11.140625" style="31" customWidth="1"/>
    <col min="14344" max="14344" width="2.85546875" style="31" customWidth="1"/>
    <col min="14345" max="14345" width="3.5703125" style="31" customWidth="1"/>
    <col min="14346" max="14590" width="9.140625" style="31"/>
    <col min="14591" max="14591" width="8.7109375" style="31" customWidth="1"/>
    <col min="14592" max="14592" width="9.85546875" style="31" customWidth="1"/>
    <col min="14593" max="14593" width="14.42578125" style="31" customWidth="1"/>
    <col min="14594" max="14594" width="7.28515625" style="31" customWidth="1"/>
    <col min="14595" max="14595" width="5.5703125" style="31" customWidth="1"/>
    <col min="14596" max="14596" width="9" style="31" customWidth="1"/>
    <col min="14597" max="14598" width="9.85546875" style="31" customWidth="1"/>
    <col min="14599" max="14599" width="11.140625" style="31" customWidth="1"/>
    <col min="14600" max="14600" width="2.85546875" style="31" customWidth="1"/>
    <col min="14601" max="14601" width="3.5703125" style="31" customWidth="1"/>
    <col min="14602" max="14846" width="9.140625" style="31"/>
    <col min="14847" max="14847" width="8.7109375" style="31" customWidth="1"/>
    <col min="14848" max="14848" width="9.85546875" style="31" customWidth="1"/>
    <col min="14849" max="14849" width="14.42578125" style="31" customWidth="1"/>
    <col min="14850" max="14850" width="7.28515625" style="31" customWidth="1"/>
    <col min="14851" max="14851" width="5.5703125" style="31" customWidth="1"/>
    <col min="14852" max="14852" width="9" style="31" customWidth="1"/>
    <col min="14853" max="14854" width="9.85546875" style="31" customWidth="1"/>
    <col min="14855" max="14855" width="11.140625" style="31" customWidth="1"/>
    <col min="14856" max="14856" width="2.85546875" style="31" customWidth="1"/>
    <col min="14857" max="14857" width="3.5703125" style="31" customWidth="1"/>
    <col min="14858" max="15102" width="9.140625" style="31"/>
    <col min="15103" max="15103" width="8.7109375" style="31" customWidth="1"/>
    <col min="15104" max="15104" width="9.85546875" style="31" customWidth="1"/>
    <col min="15105" max="15105" width="14.42578125" style="31" customWidth="1"/>
    <col min="15106" max="15106" width="7.28515625" style="31" customWidth="1"/>
    <col min="15107" max="15107" width="5.5703125" style="31" customWidth="1"/>
    <col min="15108" max="15108" width="9" style="31" customWidth="1"/>
    <col min="15109" max="15110" width="9.85546875" style="31" customWidth="1"/>
    <col min="15111" max="15111" width="11.140625" style="31" customWidth="1"/>
    <col min="15112" max="15112" width="2.85546875" style="31" customWidth="1"/>
    <col min="15113" max="15113" width="3.5703125" style="31" customWidth="1"/>
    <col min="15114" max="15358" width="9.140625" style="31"/>
    <col min="15359" max="15359" width="8.7109375" style="31" customWidth="1"/>
    <col min="15360" max="15360" width="9.85546875" style="31" customWidth="1"/>
    <col min="15361" max="15361" width="14.42578125" style="31" customWidth="1"/>
    <col min="15362" max="15362" width="7.28515625" style="31" customWidth="1"/>
    <col min="15363" max="15363" width="5.5703125" style="31" customWidth="1"/>
    <col min="15364" max="15364" width="9" style="31" customWidth="1"/>
    <col min="15365" max="15366" width="9.85546875" style="31" customWidth="1"/>
    <col min="15367" max="15367" width="11.140625" style="31" customWidth="1"/>
    <col min="15368" max="15368" width="2.85546875" style="31" customWidth="1"/>
    <col min="15369" max="15369" width="3.5703125" style="31" customWidth="1"/>
    <col min="15370" max="15614" width="9.140625" style="31"/>
    <col min="15615" max="15615" width="8.7109375" style="31" customWidth="1"/>
    <col min="15616" max="15616" width="9.85546875" style="31" customWidth="1"/>
    <col min="15617" max="15617" width="14.42578125" style="31" customWidth="1"/>
    <col min="15618" max="15618" width="7.28515625" style="31" customWidth="1"/>
    <col min="15619" max="15619" width="5.5703125" style="31" customWidth="1"/>
    <col min="15620" max="15620" width="9" style="31" customWidth="1"/>
    <col min="15621" max="15622" width="9.85546875" style="31" customWidth="1"/>
    <col min="15623" max="15623" width="11.140625" style="31" customWidth="1"/>
    <col min="15624" max="15624" width="2.85546875" style="31" customWidth="1"/>
    <col min="15625" max="15625" width="3.5703125" style="31" customWidth="1"/>
    <col min="15626" max="15870" width="9.140625" style="31"/>
    <col min="15871" max="15871" width="8.7109375" style="31" customWidth="1"/>
    <col min="15872" max="15872" width="9.85546875" style="31" customWidth="1"/>
    <col min="15873" max="15873" width="14.42578125" style="31" customWidth="1"/>
    <col min="15874" max="15874" width="7.28515625" style="31" customWidth="1"/>
    <col min="15875" max="15875" width="5.5703125" style="31" customWidth="1"/>
    <col min="15876" max="15876" width="9" style="31" customWidth="1"/>
    <col min="15877" max="15878" width="9.85546875" style="31" customWidth="1"/>
    <col min="15879" max="15879" width="11.140625" style="31" customWidth="1"/>
    <col min="15880" max="15880" width="2.85546875" style="31" customWidth="1"/>
    <col min="15881" max="15881" width="3.5703125" style="31" customWidth="1"/>
    <col min="15882" max="16126" width="9.140625" style="31"/>
    <col min="16127" max="16127" width="8.7109375" style="31" customWidth="1"/>
    <col min="16128" max="16128" width="9.85546875" style="31" customWidth="1"/>
    <col min="16129" max="16129" width="14.42578125" style="31" customWidth="1"/>
    <col min="16130" max="16130" width="7.28515625" style="31" customWidth="1"/>
    <col min="16131" max="16131" width="5.5703125" style="31" customWidth="1"/>
    <col min="16132" max="16132" width="9" style="31" customWidth="1"/>
    <col min="16133" max="16134" width="9.85546875" style="31" customWidth="1"/>
    <col min="16135" max="16135" width="11.140625" style="31" customWidth="1"/>
    <col min="16136" max="16136" width="2.85546875" style="31" customWidth="1"/>
    <col min="16137" max="16137" width="3.5703125" style="31" customWidth="1"/>
    <col min="16138" max="16384" width="9.140625" style="31"/>
  </cols>
  <sheetData>
    <row r="1" spans="1:8" ht="46.5" customHeight="1" x14ac:dyDescent="0.25">
      <c r="A1" s="130" t="s">
        <v>232</v>
      </c>
      <c r="B1" s="130"/>
      <c r="C1" s="130"/>
      <c r="D1" s="130"/>
      <c r="E1" s="130"/>
      <c r="F1" s="130"/>
      <c r="G1" s="130"/>
      <c r="H1" s="130"/>
    </row>
    <row r="2" spans="1:8" ht="16.5" customHeight="1" x14ac:dyDescent="0.25">
      <c r="A2" s="131" t="s">
        <v>0</v>
      </c>
      <c r="B2" s="131"/>
      <c r="C2" s="131"/>
      <c r="D2" s="131"/>
      <c r="E2" s="131"/>
      <c r="F2" s="131"/>
      <c r="G2" s="131"/>
      <c r="H2" s="131"/>
    </row>
    <row r="3" spans="1:8" x14ac:dyDescent="0.25">
      <c r="A3" s="104" t="s">
        <v>1</v>
      </c>
      <c r="B3" s="104"/>
      <c r="C3" s="104"/>
      <c r="D3" s="104"/>
      <c r="E3" s="129" t="str">
        <f ca="1">TEXT(TODAY(),"DD/MM/YYYY")</f>
        <v>20/09/2025</v>
      </c>
      <c r="F3" s="129"/>
      <c r="G3" s="129"/>
      <c r="H3" s="129"/>
    </row>
    <row r="4" spans="1:8" ht="15" customHeight="1" x14ac:dyDescent="0.25">
      <c r="A4" s="104" t="s">
        <v>2</v>
      </c>
      <c r="B4" s="104"/>
      <c r="C4" s="104"/>
      <c r="D4" s="104"/>
      <c r="E4" s="125" t="s">
        <v>162</v>
      </c>
      <c r="F4" s="125"/>
      <c r="G4" s="125"/>
      <c r="H4" s="125"/>
    </row>
    <row r="5" spans="1:8" x14ac:dyDescent="0.25">
      <c r="A5" s="104" t="s">
        <v>3</v>
      </c>
      <c r="B5" s="104"/>
      <c r="C5" s="104"/>
      <c r="D5" s="104"/>
      <c r="E5" s="129">
        <v>45911</v>
      </c>
      <c r="F5" s="129"/>
      <c r="G5" s="129"/>
      <c r="H5" s="129"/>
    </row>
    <row r="6" spans="1:8" ht="16.5" customHeight="1" x14ac:dyDescent="0.25">
      <c r="A6" s="104" t="s">
        <v>4</v>
      </c>
      <c r="B6" s="104"/>
      <c r="C6" s="104"/>
      <c r="D6" s="104"/>
      <c r="E6" s="123" t="s">
        <v>163</v>
      </c>
      <c r="F6" s="123"/>
      <c r="G6" s="123"/>
      <c r="H6" s="123"/>
    </row>
    <row r="7" spans="1:8" ht="15" customHeight="1" x14ac:dyDescent="0.25">
      <c r="A7" s="104" t="s">
        <v>5</v>
      </c>
      <c r="B7" s="104"/>
      <c r="C7" s="104"/>
      <c r="D7" s="104"/>
      <c r="E7" s="123" t="s">
        <v>163</v>
      </c>
      <c r="F7" s="123"/>
      <c r="G7" s="123"/>
      <c r="H7" s="123"/>
    </row>
    <row r="8" spans="1:8" x14ac:dyDescent="0.25">
      <c r="A8" s="104" t="s">
        <v>6</v>
      </c>
      <c r="B8" s="104"/>
      <c r="C8" s="104"/>
      <c r="D8" s="104"/>
      <c r="E8" s="132" t="s">
        <v>166</v>
      </c>
      <c r="F8" s="119"/>
      <c r="G8" s="119"/>
      <c r="H8" s="119"/>
    </row>
    <row r="9" spans="1:8" x14ac:dyDescent="0.25">
      <c r="A9" s="99" t="s">
        <v>164</v>
      </c>
      <c r="B9" s="99"/>
      <c r="C9" s="99"/>
      <c r="D9" s="99"/>
      <c r="E9" s="99">
        <v>9820453807</v>
      </c>
      <c r="F9" s="99"/>
      <c r="G9" s="99"/>
      <c r="H9" s="99"/>
    </row>
    <row r="10" spans="1:8" x14ac:dyDescent="0.25">
      <c r="A10" s="99" t="s">
        <v>231</v>
      </c>
      <c r="B10" s="99"/>
      <c r="C10" s="99"/>
      <c r="D10" s="99"/>
      <c r="E10" s="99" t="s">
        <v>235</v>
      </c>
      <c r="F10" s="99"/>
      <c r="G10" s="99"/>
      <c r="H10" s="99"/>
    </row>
    <row r="11" spans="1:8" x14ac:dyDescent="0.25">
      <c r="A11" s="99" t="s">
        <v>7</v>
      </c>
      <c r="B11" s="99"/>
      <c r="C11" s="99"/>
      <c r="D11" s="99"/>
      <c r="E11" s="99" t="s">
        <v>228</v>
      </c>
      <c r="F11" s="99"/>
      <c r="G11" s="99"/>
      <c r="H11" s="99"/>
    </row>
    <row r="12" spans="1:8" x14ac:dyDescent="0.25">
      <c r="A12" s="99" t="s">
        <v>8</v>
      </c>
      <c r="B12" s="99"/>
      <c r="C12" s="99"/>
      <c r="D12" s="99"/>
      <c r="E12" s="101" t="s">
        <v>242</v>
      </c>
      <c r="F12" s="101"/>
      <c r="G12" s="101"/>
      <c r="H12" s="101"/>
    </row>
    <row r="13" spans="1:8" x14ac:dyDescent="0.25">
      <c r="A13" s="99" t="s">
        <v>9</v>
      </c>
      <c r="B13" s="99"/>
      <c r="C13" s="99"/>
      <c r="D13" s="99"/>
      <c r="E13" s="99" t="s">
        <v>165</v>
      </c>
      <c r="F13" s="99"/>
      <c r="G13" s="99"/>
      <c r="H13" s="99"/>
    </row>
    <row r="14" spans="1:8" ht="34.5" customHeight="1" x14ac:dyDescent="0.25">
      <c r="A14" s="101" t="s">
        <v>10</v>
      </c>
      <c r="B14" s="101"/>
      <c r="C14" s="101" t="str">
        <f>CONCATENATE((IF(OR(E8="",E8="NA"),"",E8)),", ",(IF(OR(A15="",A15="NA"),"",A15)),".",(IF(OR(C15="",C15="NA"),"",C15)),", ",(IF(OR(C16="",C16="NA"),"",C16)),", ",(IF(OR(G16="",G16="NA"),"",G16)),", ",(IF(OR(C17="",C17="NA"),"",C17)),", ",(IF(OR(C18="",C18="NA"),"",C18)),", ",(IF(OR(G17="",G17="NA"),"",G17)),".")</f>
        <v>Aarohi Complex, Plot No.156, Phase-II, Navade Road, Navade, Taloja, Panvel, Raigad.</v>
      </c>
      <c r="D14" s="101"/>
      <c r="E14" s="101"/>
      <c r="F14" s="101"/>
      <c r="G14" s="101"/>
      <c r="H14" s="101"/>
    </row>
    <row r="15" spans="1:8" ht="15.75" customHeight="1" x14ac:dyDescent="0.25">
      <c r="A15" s="101" t="s">
        <v>193</v>
      </c>
      <c r="B15" s="101"/>
      <c r="C15" s="101" t="s">
        <v>168</v>
      </c>
      <c r="D15" s="101"/>
      <c r="E15" s="101"/>
      <c r="F15" s="101"/>
      <c r="G15" s="101"/>
      <c r="H15" s="101"/>
    </row>
    <row r="16" spans="1:8" ht="15.75" customHeight="1" x14ac:dyDescent="0.25">
      <c r="A16" s="101" t="s">
        <v>11</v>
      </c>
      <c r="B16" s="101"/>
      <c r="C16" s="99" t="s">
        <v>176</v>
      </c>
      <c r="D16" s="99"/>
      <c r="E16" s="101" t="s">
        <v>104</v>
      </c>
      <c r="F16" s="101"/>
      <c r="G16" s="101" t="s">
        <v>173</v>
      </c>
      <c r="H16" s="101"/>
    </row>
    <row r="17" spans="1:8" x14ac:dyDescent="0.25">
      <c r="A17" s="99" t="s">
        <v>13</v>
      </c>
      <c r="B17" s="99"/>
      <c r="C17" s="101" t="s">
        <v>177</v>
      </c>
      <c r="D17" s="101"/>
      <c r="E17" s="101" t="s">
        <v>12</v>
      </c>
      <c r="F17" s="101"/>
      <c r="G17" s="133" t="s">
        <v>174</v>
      </c>
      <c r="H17" s="133"/>
    </row>
    <row r="18" spans="1:8" x14ac:dyDescent="0.25">
      <c r="A18" s="99" t="s">
        <v>105</v>
      </c>
      <c r="B18" s="99"/>
      <c r="C18" s="101" t="s">
        <v>175</v>
      </c>
      <c r="D18" s="101"/>
      <c r="E18" s="101" t="s">
        <v>14</v>
      </c>
      <c r="F18" s="101"/>
      <c r="G18" s="101">
        <v>410208</v>
      </c>
      <c r="H18" s="101"/>
    </row>
    <row r="19" spans="1:8" ht="32.25" customHeight="1" x14ac:dyDescent="0.25">
      <c r="A19" s="99" t="s">
        <v>15</v>
      </c>
      <c r="B19" s="99"/>
      <c r="C19" s="101" t="s">
        <v>178</v>
      </c>
      <c r="D19" s="101"/>
      <c r="E19" s="101" t="s">
        <v>16</v>
      </c>
      <c r="F19" s="101"/>
      <c r="G19" s="101" t="s">
        <v>192</v>
      </c>
      <c r="H19" s="101"/>
    </row>
    <row r="20" spans="1:8" ht="15" customHeight="1" x14ac:dyDescent="0.25">
      <c r="A20" s="101" t="s">
        <v>110</v>
      </c>
      <c r="B20" s="101"/>
      <c r="C20" s="101"/>
      <c r="D20" s="101"/>
      <c r="E20" s="99" t="s">
        <v>17</v>
      </c>
      <c r="F20" s="99"/>
      <c r="G20" s="99"/>
      <c r="H20" s="99"/>
    </row>
    <row r="21" spans="1:8" ht="18.75" customHeight="1" x14ac:dyDescent="0.25">
      <c r="A21" s="101"/>
      <c r="B21" s="101"/>
      <c r="C21" s="101"/>
      <c r="D21" s="101"/>
      <c r="E21" s="99"/>
      <c r="F21" s="99"/>
      <c r="G21" s="99"/>
      <c r="H21" s="99"/>
    </row>
    <row r="22" spans="1:8" ht="15" customHeight="1" x14ac:dyDescent="0.25">
      <c r="A22" s="123" t="s">
        <v>18</v>
      </c>
      <c r="B22" s="123"/>
      <c r="C22" s="123"/>
      <c r="D22" s="123"/>
      <c r="E22" s="101" t="s">
        <v>19</v>
      </c>
      <c r="F22" s="101"/>
      <c r="G22" s="101"/>
      <c r="H22" s="101"/>
    </row>
    <row r="23" spans="1:8" ht="15" customHeight="1" x14ac:dyDescent="0.25">
      <c r="A23" s="104" t="s">
        <v>20</v>
      </c>
      <c r="B23" s="104"/>
      <c r="C23" s="104"/>
      <c r="D23" s="104"/>
      <c r="E23" s="101" t="str">
        <f>IF(AND(G17="Mumbai"),"Upper Class","Middle Class")</f>
        <v>Middle Class</v>
      </c>
      <c r="F23" s="101"/>
      <c r="G23" s="101"/>
      <c r="H23" s="101"/>
    </row>
    <row r="24" spans="1:8" x14ac:dyDescent="0.25">
      <c r="A24" s="104" t="s">
        <v>21</v>
      </c>
      <c r="B24" s="104"/>
      <c r="C24" s="104"/>
      <c r="D24" s="104"/>
      <c r="E24" s="101" t="s">
        <v>22</v>
      </c>
      <c r="F24" s="101"/>
      <c r="G24" s="101"/>
      <c r="H24" s="101"/>
    </row>
    <row r="25" spans="1:8" ht="15.75" customHeight="1" x14ac:dyDescent="0.25">
      <c r="A25" s="104" t="s">
        <v>23</v>
      </c>
      <c r="B25" s="104"/>
      <c r="C25" s="104"/>
      <c r="D25" s="104"/>
      <c r="E25" s="101" t="str">
        <f>IF(AND(G17="Mumbai"),"Developed","Developing")</f>
        <v>Developing</v>
      </c>
      <c r="F25" s="101"/>
      <c r="G25" s="101"/>
      <c r="H25" s="101"/>
    </row>
    <row r="26" spans="1:8" x14ac:dyDescent="0.25">
      <c r="A26" s="104" t="s">
        <v>24</v>
      </c>
      <c r="B26" s="104"/>
      <c r="C26" s="104"/>
      <c r="D26" s="104"/>
      <c r="E26" s="101" t="s">
        <v>25</v>
      </c>
      <c r="F26" s="101"/>
      <c r="G26" s="101"/>
      <c r="H26" s="101"/>
    </row>
    <row r="27" spans="1:8" x14ac:dyDescent="0.25">
      <c r="A27" s="104" t="s">
        <v>117</v>
      </c>
      <c r="B27" s="104"/>
      <c r="C27" s="104"/>
      <c r="D27" s="104"/>
      <c r="E27" s="101" t="s">
        <v>118</v>
      </c>
      <c r="F27" s="101"/>
      <c r="G27" s="101"/>
      <c r="H27" s="101"/>
    </row>
    <row r="28" spans="1:8" ht="15" customHeight="1" x14ac:dyDescent="0.25">
      <c r="A28" s="123" t="s">
        <v>34</v>
      </c>
      <c r="B28" s="123"/>
      <c r="C28" s="123"/>
      <c r="D28" s="123"/>
      <c r="E28" s="125" t="s">
        <v>114</v>
      </c>
      <c r="F28" s="125"/>
      <c r="G28" s="125"/>
      <c r="H28" s="125"/>
    </row>
    <row r="29" spans="1:8" x14ac:dyDescent="0.25">
      <c r="A29" s="123" t="s">
        <v>130</v>
      </c>
      <c r="B29" s="123"/>
      <c r="C29" s="123"/>
      <c r="D29" s="123"/>
      <c r="E29" s="123" t="s">
        <v>35</v>
      </c>
      <c r="F29" s="123"/>
      <c r="G29" s="123"/>
      <c r="H29" s="123"/>
    </row>
    <row r="30" spans="1:8" s="32" customFormat="1" x14ac:dyDescent="0.25">
      <c r="A30" s="100" t="s">
        <v>131</v>
      </c>
      <c r="B30" s="100"/>
      <c r="C30" s="128" t="s">
        <v>30</v>
      </c>
      <c r="D30" s="128"/>
      <c r="E30" s="128"/>
      <c r="F30" s="128" t="s">
        <v>32</v>
      </c>
      <c r="G30" s="128"/>
      <c r="H30" s="128"/>
    </row>
    <row r="31" spans="1:8" s="32" customFormat="1" x14ac:dyDescent="0.25">
      <c r="A31" s="126" t="s">
        <v>26</v>
      </c>
      <c r="B31" s="126" t="s">
        <v>31</v>
      </c>
      <c r="C31" s="93" t="s">
        <v>31</v>
      </c>
      <c r="D31" s="93"/>
      <c r="E31" s="93"/>
      <c r="F31" s="93" t="s">
        <v>169</v>
      </c>
      <c r="G31" s="93"/>
      <c r="H31" s="93"/>
    </row>
    <row r="32" spans="1:8" x14ac:dyDescent="0.25">
      <c r="A32" s="126" t="s">
        <v>27</v>
      </c>
      <c r="B32" s="126" t="s">
        <v>31</v>
      </c>
      <c r="C32" s="93" t="s">
        <v>31</v>
      </c>
      <c r="D32" s="93"/>
      <c r="E32" s="93"/>
      <c r="F32" s="93" t="s">
        <v>170</v>
      </c>
      <c r="G32" s="93"/>
      <c r="H32" s="93"/>
    </row>
    <row r="33" spans="1:8" s="32" customFormat="1" x14ac:dyDescent="0.25">
      <c r="A33" s="126" t="s">
        <v>29</v>
      </c>
      <c r="B33" s="126" t="s">
        <v>31</v>
      </c>
      <c r="C33" s="93" t="s">
        <v>31</v>
      </c>
      <c r="D33" s="93"/>
      <c r="E33" s="93"/>
      <c r="F33" s="93" t="s">
        <v>171</v>
      </c>
      <c r="G33" s="93"/>
      <c r="H33" s="93"/>
    </row>
    <row r="34" spans="1:8" x14ac:dyDescent="0.25">
      <c r="A34" s="126" t="s">
        <v>28</v>
      </c>
      <c r="B34" s="126" t="s">
        <v>31</v>
      </c>
      <c r="C34" s="93" t="s">
        <v>31</v>
      </c>
      <c r="D34" s="93"/>
      <c r="E34" s="93"/>
      <c r="F34" s="93" t="s">
        <v>172</v>
      </c>
      <c r="G34" s="93"/>
      <c r="H34" s="93"/>
    </row>
    <row r="35" spans="1:8" x14ac:dyDescent="0.25">
      <c r="A35" s="104" t="s">
        <v>33</v>
      </c>
      <c r="B35" s="104"/>
      <c r="C35" s="104"/>
      <c r="D35" s="104"/>
      <c r="E35" s="104"/>
      <c r="F35" s="104"/>
      <c r="G35" s="104"/>
      <c r="H35" s="104"/>
    </row>
    <row r="36" spans="1:8" ht="15.75" customHeight="1" x14ac:dyDescent="0.25">
      <c r="A36" s="104" t="s">
        <v>233</v>
      </c>
      <c r="B36" s="104"/>
      <c r="C36" s="115" t="s">
        <v>234</v>
      </c>
      <c r="D36" s="115"/>
      <c r="E36" s="115"/>
      <c r="F36" s="115"/>
      <c r="G36" s="115"/>
      <c r="H36" s="115"/>
    </row>
    <row r="37" spans="1:8" ht="15.75" customHeight="1" x14ac:dyDescent="0.25">
      <c r="A37" s="104" t="s">
        <v>229</v>
      </c>
      <c r="B37" s="104"/>
      <c r="C37" s="113" t="s">
        <v>230</v>
      </c>
      <c r="D37" s="114"/>
      <c r="E37" s="114"/>
      <c r="F37" s="114"/>
      <c r="G37" s="114"/>
      <c r="H37" s="114"/>
    </row>
    <row r="38" spans="1:8" x14ac:dyDescent="0.25">
      <c r="A38" s="119" t="s">
        <v>36</v>
      </c>
      <c r="B38" s="119"/>
      <c r="C38" s="119"/>
      <c r="D38" s="119"/>
      <c r="E38" s="119"/>
      <c r="F38" s="119"/>
      <c r="G38" s="119"/>
      <c r="H38" s="119"/>
    </row>
    <row r="39" spans="1:8" x14ac:dyDescent="0.25">
      <c r="A39" s="104" t="s">
        <v>37</v>
      </c>
      <c r="B39" s="104"/>
      <c r="C39" s="104"/>
      <c r="D39" s="104"/>
      <c r="E39" s="127">
        <v>2448.09</v>
      </c>
      <c r="F39" s="127"/>
      <c r="G39" s="127"/>
      <c r="H39" s="127"/>
    </row>
    <row r="40" spans="1:8" x14ac:dyDescent="0.25">
      <c r="A40" s="104" t="s">
        <v>38</v>
      </c>
      <c r="B40" s="104"/>
      <c r="C40" s="104"/>
      <c r="D40" s="104"/>
      <c r="E40" s="108">
        <v>1.5</v>
      </c>
      <c r="F40" s="108"/>
      <c r="G40" s="108"/>
      <c r="H40" s="108"/>
    </row>
    <row r="41" spans="1:8" x14ac:dyDescent="0.25">
      <c r="A41" s="104" t="s">
        <v>39</v>
      </c>
      <c r="B41" s="104"/>
      <c r="C41" s="104"/>
      <c r="D41" s="104"/>
      <c r="E41" s="108">
        <f>E43/E39-E40</f>
        <v>2.0424085713788287E-6</v>
      </c>
      <c r="F41" s="108"/>
      <c r="G41" s="108"/>
      <c r="H41" s="108"/>
    </row>
    <row r="42" spans="1:8" x14ac:dyDescent="0.25">
      <c r="A42" s="104" t="s">
        <v>40</v>
      </c>
      <c r="B42" s="104"/>
      <c r="C42" s="104"/>
      <c r="D42" s="104"/>
      <c r="E42" s="108">
        <f>E40+E41</f>
        <v>1.5000020424085714</v>
      </c>
      <c r="F42" s="108"/>
      <c r="G42" s="108"/>
      <c r="H42" s="108"/>
    </row>
    <row r="43" spans="1:8" x14ac:dyDescent="0.25">
      <c r="A43" s="104" t="s">
        <v>129</v>
      </c>
      <c r="B43" s="104"/>
      <c r="C43" s="104"/>
      <c r="D43" s="104"/>
      <c r="E43" s="109">
        <v>3672.14</v>
      </c>
      <c r="F43" s="109"/>
      <c r="G43" s="109"/>
      <c r="H43" s="109"/>
    </row>
    <row r="44" spans="1:8" x14ac:dyDescent="0.25">
      <c r="A44" s="99" t="s">
        <v>41</v>
      </c>
      <c r="B44" s="99"/>
      <c r="C44" s="99"/>
      <c r="D44" s="99"/>
      <c r="E44" s="99" t="s">
        <v>199</v>
      </c>
      <c r="F44" s="99"/>
      <c r="G44" s="99"/>
      <c r="H44" s="99"/>
    </row>
    <row r="45" spans="1:8" x14ac:dyDescent="0.25">
      <c r="A45" s="82" t="s">
        <v>42</v>
      </c>
      <c r="B45" s="82"/>
      <c r="C45" s="82"/>
      <c r="D45" s="82"/>
      <c r="E45" s="82"/>
      <c r="F45" s="82"/>
      <c r="G45" s="82"/>
      <c r="H45" s="82"/>
    </row>
    <row r="46" spans="1:8" ht="30.75" customHeight="1" x14ac:dyDescent="0.25">
      <c r="A46" s="101" t="s">
        <v>43</v>
      </c>
      <c r="B46" s="101"/>
      <c r="C46" s="101" t="s">
        <v>167</v>
      </c>
      <c r="D46" s="101"/>
      <c r="E46" s="101"/>
      <c r="F46" s="30" t="s">
        <v>44</v>
      </c>
      <c r="G46" s="105">
        <v>42910</v>
      </c>
      <c r="H46" s="105"/>
    </row>
    <row r="47" spans="1:8" ht="31.5" customHeight="1" x14ac:dyDescent="0.25">
      <c r="A47" s="101" t="s">
        <v>45</v>
      </c>
      <c r="B47" s="101"/>
      <c r="C47" s="101" t="str">
        <f>C46</f>
        <v>CIDCO/BP-15322/TPO(NM &amp; K)/2016/1778</v>
      </c>
      <c r="D47" s="101"/>
      <c r="E47" s="101"/>
      <c r="F47" s="30" t="s">
        <v>44</v>
      </c>
      <c r="G47" s="105">
        <f>G46</f>
        <v>42910</v>
      </c>
      <c r="H47" s="105"/>
    </row>
    <row r="48" spans="1:8" s="34" customFormat="1" ht="32.25" customHeight="1" x14ac:dyDescent="0.25">
      <c r="A48" s="101" t="s">
        <v>46</v>
      </c>
      <c r="B48" s="101"/>
      <c r="C48" s="101" t="s">
        <v>167</v>
      </c>
      <c r="D48" s="99"/>
      <c r="E48" s="99"/>
      <c r="F48" s="33" t="s">
        <v>44</v>
      </c>
      <c r="G48" s="105">
        <v>42910</v>
      </c>
      <c r="H48" s="105"/>
    </row>
    <row r="49" spans="1:13" s="34" customFormat="1" x14ac:dyDescent="0.25">
      <c r="A49" s="101"/>
      <c r="B49" s="101"/>
      <c r="C49" s="110" t="s">
        <v>226</v>
      </c>
      <c r="D49" s="111"/>
      <c r="E49" s="111"/>
      <c r="F49" s="111"/>
      <c r="G49" s="111"/>
      <c r="H49" s="112"/>
    </row>
    <row r="50" spans="1:13" ht="33" customHeight="1" x14ac:dyDescent="0.25">
      <c r="A50" s="151" t="s">
        <v>243</v>
      </c>
      <c r="B50" s="152"/>
      <c r="C50" s="83" t="s">
        <v>244</v>
      </c>
      <c r="D50" s="82"/>
      <c r="E50" s="82"/>
      <c r="F50" s="24" t="s">
        <v>44</v>
      </c>
      <c r="G50" s="106">
        <v>45848</v>
      </c>
      <c r="H50" s="106"/>
    </row>
    <row r="51" spans="1:13" ht="32.25" customHeight="1" x14ac:dyDescent="0.25">
      <c r="A51" s="153"/>
      <c r="B51" s="154"/>
      <c r="C51" s="155" t="s">
        <v>246</v>
      </c>
      <c r="D51" s="156"/>
      <c r="E51" s="156"/>
      <c r="F51" s="156"/>
      <c r="G51" s="156"/>
      <c r="H51" s="157"/>
      <c r="I51" s="31">
        <f>133+14</f>
        <v>147</v>
      </c>
    </row>
    <row r="52" spans="1:13" x14ac:dyDescent="0.25">
      <c r="A52" s="107" t="s">
        <v>48</v>
      </c>
      <c r="B52" s="107"/>
      <c r="C52" s="107"/>
      <c r="D52" s="107"/>
      <c r="E52" s="107"/>
      <c r="F52" s="107"/>
      <c r="G52" s="107"/>
      <c r="H52" s="107"/>
    </row>
    <row r="53" spans="1:13" x14ac:dyDescent="0.25">
      <c r="A53" s="101" t="s">
        <v>128</v>
      </c>
      <c r="B53" s="101"/>
      <c r="C53" s="101"/>
      <c r="D53" s="99">
        <f>E43</f>
        <v>3672.14</v>
      </c>
      <c r="E53" s="99"/>
      <c r="F53" s="99"/>
      <c r="G53" s="99"/>
      <c r="H53" s="99"/>
    </row>
    <row r="54" spans="1:13" x14ac:dyDescent="0.25">
      <c r="A54" s="101" t="s">
        <v>49</v>
      </c>
      <c r="B54" s="99"/>
      <c r="C54" s="99"/>
      <c r="D54" s="99" t="s">
        <v>191</v>
      </c>
      <c r="E54" s="99"/>
      <c r="F54" s="99"/>
      <c r="G54" s="99"/>
      <c r="H54" s="99"/>
    </row>
    <row r="55" spans="1:13" x14ac:dyDescent="0.25">
      <c r="A55" s="101" t="s">
        <v>50</v>
      </c>
      <c r="B55" s="99"/>
      <c r="C55" s="99"/>
      <c r="D55" s="99" t="s">
        <v>206</v>
      </c>
      <c r="E55" s="99"/>
      <c r="F55" s="99"/>
      <c r="G55" s="99"/>
      <c r="H55" s="99"/>
    </row>
    <row r="56" spans="1:13" x14ac:dyDescent="0.25">
      <c r="A56" s="101" t="s">
        <v>126</v>
      </c>
      <c r="B56" s="99"/>
      <c r="C56" s="99"/>
      <c r="D56" s="99" t="s">
        <v>206</v>
      </c>
      <c r="E56" s="99"/>
      <c r="F56" s="99"/>
      <c r="G56" s="99"/>
      <c r="H56" s="99"/>
    </row>
    <row r="57" spans="1:13" ht="15.75" customHeight="1" x14ac:dyDescent="0.25">
      <c r="A57" s="104" t="s">
        <v>47</v>
      </c>
      <c r="B57" s="104"/>
      <c r="C57" s="104"/>
      <c r="D57" s="147" t="s">
        <v>240</v>
      </c>
      <c r="E57" s="147"/>
      <c r="F57" s="147"/>
      <c r="G57" s="147"/>
      <c r="H57" s="147"/>
      <c r="I57" s="146" t="s">
        <v>236</v>
      </c>
      <c r="J57" s="146"/>
      <c r="K57" s="146"/>
      <c r="L57" s="146"/>
      <c r="M57" s="146"/>
    </row>
    <row r="58" spans="1:13" ht="15.75" customHeight="1" x14ac:dyDescent="0.25">
      <c r="A58" s="104" t="s">
        <v>123</v>
      </c>
      <c r="B58" s="104"/>
      <c r="C58" s="104"/>
      <c r="D58" s="101" t="s">
        <v>241</v>
      </c>
      <c r="E58" s="101"/>
      <c r="F58" s="101"/>
      <c r="G58" s="101"/>
      <c r="H58" s="101"/>
      <c r="I58" s="101" t="s">
        <v>124</v>
      </c>
      <c r="J58" s="101"/>
      <c r="K58" s="101"/>
      <c r="L58" s="101"/>
      <c r="M58" s="101"/>
    </row>
    <row r="59" spans="1:13" ht="15.75" customHeight="1" x14ac:dyDescent="0.25">
      <c r="A59" s="104" t="s">
        <v>125</v>
      </c>
      <c r="B59" s="104"/>
      <c r="C59" s="104"/>
      <c r="D59" s="101" t="s">
        <v>25</v>
      </c>
      <c r="E59" s="101"/>
      <c r="F59" s="101"/>
      <c r="G59" s="101"/>
      <c r="H59" s="101"/>
      <c r="J59" s="21"/>
      <c r="K59" s="21"/>
    </row>
    <row r="60" spans="1:13" ht="15.75" customHeight="1" thickBot="1" x14ac:dyDescent="0.3">
      <c r="A60" s="102" t="s">
        <v>122</v>
      </c>
      <c r="B60" s="102"/>
      <c r="C60" s="102"/>
      <c r="D60" s="103" t="str">
        <f ca="1">(IF(E65&gt;95%,"Nothing",IF(E65&gt;0%,"Cement, Aggregate, Steel, etc",IF(E65=0%,"Work not yet Started"))))</f>
        <v>Nothing</v>
      </c>
      <c r="E60" s="103"/>
      <c r="F60" s="103"/>
      <c r="G60" s="103"/>
      <c r="H60" s="103"/>
      <c r="J60" s="21"/>
      <c r="K60" s="21"/>
    </row>
    <row r="61" spans="1:13" ht="15.75" customHeight="1" x14ac:dyDescent="0.25">
      <c r="A61" s="76" t="s">
        <v>207</v>
      </c>
      <c r="B61" s="77"/>
      <c r="C61" s="78" t="s">
        <v>237</v>
      </c>
      <c r="D61" s="79"/>
      <c r="E61" s="79"/>
      <c r="F61" s="79"/>
      <c r="G61" s="79"/>
      <c r="H61" s="80"/>
      <c r="I61" s="20" t="str">
        <f ca="1">(IF(E65&gt;99%,"All work completed. Please provide OC.",IF(E65&gt;89.8%,"Plinth, RCC, Brick, Plaster, Flooring, Painting work Completed. Finishing work is in process.",IF(E65&lt;94%,(IF(C65=0,"Work not yet Started.",IF(D65=25%,"Piling work in process",IF(D65=50%,"Excavation work in process",IF(D65=100%,"Excavation work Completed. ","0")))&amp;(IF(C66=0%,"",IF(C66=J67,"Footing work is process",IF(C66=J68,"Footing work Completed",IF(C66=J69,"1st Basement Completed",IF(C66=J70,"1st &amp; 2nd Basement Completed",IF(C66=J71,"1st to 3rd Basement Completed",IF(C66=J72,"1st to 4th Basement Completed",IF(C66=J73,"Plinth work is process",IF(C66=J74,"Plinth work completed","0")))))))))))&amp;(IF(C67=(D62+F62+H62),", RCC Slab",IF(C67&gt;0,", RCC upto "&amp;C67&amp;" Slab",""))&amp;(IF(C68=H62,", Brickwork",IF(C68&gt;0,", Brickwork upto "&amp;C68&amp;" Floor",""))&amp;(IF(C69=H62,", Internal Plaster",IF(C69&gt;0,", Internal Plaster upto "&amp;C69&amp;" Floor",""))&amp;(IF(C70=H62,", External Plaster",IF(C70&gt;0,", External Plaster upto "&amp;C70&amp;" Floor",""))&amp;(IF(C71=H62,", Flooring",IF(C71&gt;0,", Flooring upto "&amp;C71&amp;" Floor",""))&amp;(IF(C72=H62,", Painting",IF(C72&gt;0,", Painting upto "&amp;C72&amp;" Floor",""))&amp;(IF(C73&gt;0,", Finishing upto "&amp;C73&amp;" Floor","")&amp;(IF(C67&gt;0.5," Completed",""))))))))))))))</f>
        <v>All work completed. Please provide OC.</v>
      </c>
      <c r="J61" s="35"/>
      <c r="K61" s="21"/>
    </row>
    <row r="62" spans="1:13" ht="15.75" customHeight="1" x14ac:dyDescent="0.25">
      <c r="A62" s="26" t="s">
        <v>101</v>
      </c>
      <c r="B62" s="27">
        <v>0</v>
      </c>
      <c r="C62" s="27" t="s">
        <v>103</v>
      </c>
      <c r="D62" s="27">
        <v>1</v>
      </c>
      <c r="E62" s="27" t="s">
        <v>102</v>
      </c>
      <c r="F62" s="27">
        <v>0</v>
      </c>
      <c r="G62" s="27" t="s">
        <v>116</v>
      </c>
      <c r="H62" s="19">
        <f ca="1">--TRIM(RIGHT(SUBSTITUTE(LEFT(C61,_xlfn.AGGREGATE(16,6,FIND({0,1,2,3,4,5,6,7,8,9},C61,ROW(INDIRECT("1:"&amp;LEN(C61)))),1))," ",REPT(" ",LEN(C61))),LEN(C61)))</f>
        <v>7</v>
      </c>
      <c r="I62" s="21"/>
      <c r="J62" s="36"/>
      <c r="K62" s="21"/>
    </row>
    <row r="63" spans="1:13" x14ac:dyDescent="0.25">
      <c r="A63" s="81" t="s">
        <v>127</v>
      </c>
      <c r="B63" s="82"/>
      <c r="C63" s="83" t="str">
        <f>I63</f>
        <v>All work Completed. OC Received.</v>
      </c>
      <c r="D63" s="83"/>
      <c r="E63" s="83"/>
      <c r="F63" s="83"/>
      <c r="G63" s="83"/>
      <c r="H63" s="84"/>
      <c r="I63" s="21" t="s">
        <v>144</v>
      </c>
      <c r="J63" s="36"/>
      <c r="K63" s="21"/>
    </row>
    <row r="64" spans="1:13" ht="15.75" customHeight="1" x14ac:dyDescent="0.25">
      <c r="A64" s="85" t="s">
        <v>51</v>
      </c>
      <c r="B64" s="86"/>
      <c r="C64" s="25" t="s">
        <v>208</v>
      </c>
      <c r="D64" s="25" t="s">
        <v>119</v>
      </c>
      <c r="E64" s="86" t="s">
        <v>121</v>
      </c>
      <c r="F64" s="86"/>
      <c r="G64" s="86" t="s">
        <v>120</v>
      </c>
      <c r="H64" s="87"/>
      <c r="I64" s="22" t="s">
        <v>209</v>
      </c>
      <c r="J64" s="37">
        <f ca="1">H62*25%</f>
        <v>1.75</v>
      </c>
      <c r="K64" s="21"/>
    </row>
    <row r="65" spans="1:11" ht="15.75" customHeight="1" x14ac:dyDescent="0.25">
      <c r="A65" s="85" t="s">
        <v>210</v>
      </c>
      <c r="B65" s="86"/>
      <c r="C65" s="38">
        <f ca="1">J66</f>
        <v>7</v>
      </c>
      <c r="D65" s="39">
        <f ca="1">((100/H62)*C65)/100</f>
        <v>1</v>
      </c>
      <c r="E65" s="88">
        <f ca="1">(((C66/H62*10)+(40/(D62+F62+H62)*C67)+(7.5/(H62)*C68)+(7.5/(H62)*C69)+(10/H62*C70)+(10/H62*C71)+(5/H62*C72)+(5/H62*C73)+(5/H62*C74))/100)</f>
        <v>1</v>
      </c>
      <c r="F65" s="88"/>
      <c r="G65" s="88">
        <f ca="1">((((C65/H62)*20)+((C66/H62)*25)+(30/(H62+F62+D62)*C67)+(5/H62*C68)+(5/H62*C69)+(5/H62*C70)+(5/H62*C71)+(0/H62*C72)+(0/H62*C73)+(5/H62*C74))/100)</f>
        <v>1</v>
      </c>
      <c r="H65" s="90"/>
      <c r="I65" s="22" t="s">
        <v>138</v>
      </c>
      <c r="J65" s="40">
        <f ca="1">H62*50%</f>
        <v>3.5</v>
      </c>
      <c r="K65" s="21"/>
    </row>
    <row r="66" spans="1:11" ht="15.75" customHeight="1" x14ac:dyDescent="0.25">
      <c r="A66" s="85" t="s">
        <v>52</v>
      </c>
      <c r="B66" s="86"/>
      <c r="C66" s="41">
        <f ca="1">J74</f>
        <v>7</v>
      </c>
      <c r="D66" s="39">
        <f ca="1">((100/H62)*C66)/100</f>
        <v>1</v>
      </c>
      <c r="E66" s="88"/>
      <c r="F66" s="88"/>
      <c r="G66" s="88"/>
      <c r="H66" s="90"/>
      <c r="I66" s="22" t="s">
        <v>139</v>
      </c>
      <c r="J66" s="40">
        <f ca="1">H62</f>
        <v>7</v>
      </c>
      <c r="K66" s="21"/>
    </row>
    <row r="67" spans="1:11" ht="15.75" customHeight="1" x14ac:dyDescent="0.25">
      <c r="A67" s="92" t="s">
        <v>227</v>
      </c>
      <c r="B67" s="93"/>
      <c r="C67" s="41">
        <v>8</v>
      </c>
      <c r="D67" s="39">
        <f ca="1">((100/(D62+F62+H62))*C67)/100</f>
        <v>1</v>
      </c>
      <c r="E67" s="88"/>
      <c r="F67" s="88"/>
      <c r="G67" s="88"/>
      <c r="H67" s="90"/>
      <c r="I67" s="22" t="s">
        <v>140</v>
      </c>
      <c r="J67" s="42">
        <f ca="1">(IF(B62&gt;1,(H62/(B62+2)),H62/4))</f>
        <v>1.75</v>
      </c>
      <c r="K67" s="21"/>
    </row>
    <row r="68" spans="1:11" ht="15.75" customHeight="1" x14ac:dyDescent="0.25">
      <c r="A68" s="85" t="s">
        <v>212</v>
      </c>
      <c r="B68" s="86" t="s">
        <v>213</v>
      </c>
      <c r="C68" s="38">
        <v>7</v>
      </c>
      <c r="D68" s="39">
        <f ca="1">((100/H62)*C68)/100</f>
        <v>1</v>
      </c>
      <c r="E68" s="88"/>
      <c r="F68" s="88"/>
      <c r="G68" s="88"/>
      <c r="H68" s="90"/>
      <c r="I68" s="22" t="s">
        <v>141</v>
      </c>
      <c r="J68" s="42">
        <f ca="1">(IF(B62&gt;1,(H62/(B62+2)+J67),H62/4+J67))</f>
        <v>3.5</v>
      </c>
      <c r="K68" s="21"/>
    </row>
    <row r="69" spans="1:11" ht="15.75" customHeight="1" x14ac:dyDescent="0.25">
      <c r="A69" s="85" t="s">
        <v>214</v>
      </c>
      <c r="B69" s="86" t="s">
        <v>213</v>
      </c>
      <c r="C69" s="38">
        <v>7</v>
      </c>
      <c r="D69" s="39">
        <f ca="1">((100/H62)*C69)/100</f>
        <v>1</v>
      </c>
      <c r="E69" s="88"/>
      <c r="F69" s="88"/>
      <c r="G69" s="88"/>
      <c r="H69" s="90"/>
      <c r="I69" s="22" t="s">
        <v>215</v>
      </c>
      <c r="J69" s="42">
        <f>(IF(B62&gt;1,(H62/(B62+2)+J68),0))</f>
        <v>0</v>
      </c>
      <c r="K69" s="21"/>
    </row>
    <row r="70" spans="1:11" ht="15.75" customHeight="1" x14ac:dyDescent="0.25">
      <c r="A70" s="85" t="s">
        <v>216</v>
      </c>
      <c r="B70" s="86" t="s">
        <v>217</v>
      </c>
      <c r="C70" s="38">
        <v>7</v>
      </c>
      <c r="D70" s="39">
        <f ca="1">((100/(H62))*C70)/100</f>
        <v>1</v>
      </c>
      <c r="E70" s="88"/>
      <c r="F70" s="88"/>
      <c r="G70" s="88"/>
      <c r="H70" s="90"/>
      <c r="I70" s="22" t="s">
        <v>218</v>
      </c>
      <c r="J70" s="42">
        <f>(IF(B62&gt;2,(H62/(B62+2)+J69),0))</f>
        <v>0</v>
      </c>
      <c r="K70" s="21"/>
    </row>
    <row r="71" spans="1:11" ht="15.75" customHeight="1" x14ac:dyDescent="0.25">
      <c r="A71" s="85" t="s">
        <v>219</v>
      </c>
      <c r="B71" s="86" t="s">
        <v>219</v>
      </c>
      <c r="C71" s="38">
        <v>7</v>
      </c>
      <c r="D71" s="39">
        <f ca="1">((100/H62)*C71)/100</f>
        <v>1</v>
      </c>
      <c r="E71" s="88"/>
      <c r="F71" s="88"/>
      <c r="G71" s="88"/>
      <c r="H71" s="90"/>
      <c r="I71" s="22" t="s">
        <v>220</v>
      </c>
      <c r="J71" s="43">
        <f>(IF(B62&gt;3,(H62/(B62+2)+J70),0))</f>
        <v>0</v>
      </c>
      <c r="K71" s="21"/>
    </row>
    <row r="72" spans="1:11" ht="15.75" customHeight="1" x14ac:dyDescent="0.25">
      <c r="A72" s="85" t="s">
        <v>221</v>
      </c>
      <c r="B72" s="86"/>
      <c r="C72" s="38">
        <v>7</v>
      </c>
      <c r="D72" s="39">
        <f ca="1">((100/H62)*C72)/100</f>
        <v>1</v>
      </c>
      <c r="E72" s="88"/>
      <c r="F72" s="88"/>
      <c r="G72" s="88"/>
      <c r="H72" s="90"/>
      <c r="I72" s="22" t="s">
        <v>222</v>
      </c>
      <c r="J72" s="42">
        <f>(IF(B62&gt;4,(H62/(B62+2)+J71),0))</f>
        <v>0</v>
      </c>
      <c r="K72" s="21"/>
    </row>
    <row r="73" spans="1:11" ht="15.75" customHeight="1" x14ac:dyDescent="0.25">
      <c r="A73" s="85" t="s">
        <v>223</v>
      </c>
      <c r="B73" s="86" t="s">
        <v>223</v>
      </c>
      <c r="C73" s="38">
        <v>7</v>
      </c>
      <c r="D73" s="39">
        <f ca="1">((100/(H62))*C73)/100</f>
        <v>1</v>
      </c>
      <c r="E73" s="88"/>
      <c r="F73" s="88"/>
      <c r="G73" s="88"/>
      <c r="H73" s="90"/>
      <c r="I73" s="22" t="s">
        <v>142</v>
      </c>
      <c r="J73" s="42">
        <f ca="1">(IF(B62=1,(H62/(B62+3)+J68),IF(B62=0,(H62/4+J68),IF(B62&gt;1,0))))</f>
        <v>5.25</v>
      </c>
      <c r="K73" s="21"/>
    </row>
    <row r="74" spans="1:11" ht="15.75" customHeight="1" thickBot="1" x14ac:dyDescent="0.3">
      <c r="A74" s="94" t="s">
        <v>224</v>
      </c>
      <c r="B74" s="95"/>
      <c r="C74" s="44">
        <v>7</v>
      </c>
      <c r="D74" s="45">
        <f ca="1">((100/(H62))*C74)/100</f>
        <v>1</v>
      </c>
      <c r="E74" s="89"/>
      <c r="F74" s="89"/>
      <c r="G74" s="89"/>
      <c r="H74" s="91"/>
      <c r="I74" s="23" t="s">
        <v>143</v>
      </c>
      <c r="J74" s="46">
        <f ca="1">(IF(B62&gt;1.5,(H62/(B62+2)+J68+MAX(0,J69-J68)+MAX(0,J70-J69)+MAX(0,J71-J70)+MAX(0,J72-J71)+MAX(0,J73-J72)),IF(B62=1,(H62/(B62+3)+J73),IF(B62=0,H62/4+J73))))</f>
        <v>7</v>
      </c>
      <c r="K74" s="21"/>
    </row>
    <row r="75" spans="1:11" ht="15.75" hidden="1" customHeight="1" x14ac:dyDescent="0.25">
      <c r="A75" s="76" t="s">
        <v>207</v>
      </c>
      <c r="B75" s="77"/>
      <c r="C75" s="78" t="s">
        <v>225</v>
      </c>
      <c r="D75" s="79"/>
      <c r="E75" s="79"/>
      <c r="F75" s="79"/>
      <c r="G75" s="79"/>
      <c r="H75" s="80"/>
      <c r="I75" s="20" t="str">
        <f ca="1">(IF(E79&gt;99%,"All work completed. Please provide OC.",IF(E79&gt;89.8%,"Plinth, RCC, Brick, Plaster, Flooring, Painting work Completed. Finishing work is in process.",IF(E79&lt;94%,(IF(C79=0,"Work not yet Started.",IF(D79=25%,"Piling work in process",IF(D79=50%,"Excavation work in process",IF(D79=100%,"Excavation work Completed. ","0")))&amp;(IF(C80=0%,"",IF(C80=J81,"Footing work is process",IF(C80=J82,"Footing work Completed",IF(C80=J83,"1st Basement Completed",IF(C80=J84,"1st &amp; 2nd Basement Completed",IF(C80=J85,"1st to 3rd Basement Completed",IF(C80=J86,"1st to 4th Basement Completed",IF(C80=J87,"Plinth work is process",IF(C80=J88,"Plinth work completed","0")))))))))))&amp;(IF(C81=(D76+F76+H76),", RCC Slab",IF(C81&gt;0,", RCC upto "&amp;C81&amp;" Slab",""))&amp;(IF(C82=H76,", Brickwork",IF(C82&gt;0,", Brickwork upto "&amp;C82&amp;" Floor",""))&amp;(IF(C83=H76,", Internal Plaster",IF(C83&gt;0,", Internal Plaster upto "&amp;C83&amp;" Floor",""))&amp;(IF(C84=H76,", External Plaster",IF(C84&gt;0,", External Plaster upto "&amp;C84&amp;" Floor",""))&amp;(IF(C85=H76,", Flooring",IF(C85&gt;0,", Flooring upto "&amp;C85&amp;" Floor",""))&amp;(IF(C86=H76,", Painting",IF(C86&gt;0,", Painting upto "&amp;C86&amp;" Floor",""))&amp;(IF(C87&gt;0,", Finishing upto "&amp;C87&amp;" Floor","")&amp;(IF(C81&gt;0.5," Completed",""))))))))))))))</f>
        <v>Plinth, RCC, Brick, Plaster, Flooring, Painting work Completed. Finishing work is in process.</v>
      </c>
      <c r="J75" s="35"/>
      <c r="K75" s="21"/>
    </row>
    <row r="76" spans="1:11" ht="15.75" hidden="1" customHeight="1" x14ac:dyDescent="0.25">
      <c r="A76" s="26" t="s">
        <v>101</v>
      </c>
      <c r="B76" s="27">
        <v>0</v>
      </c>
      <c r="C76" s="27" t="s">
        <v>103</v>
      </c>
      <c r="D76" s="27">
        <v>1</v>
      </c>
      <c r="E76" s="27" t="s">
        <v>102</v>
      </c>
      <c r="F76" s="27">
        <v>0</v>
      </c>
      <c r="G76" s="27" t="s">
        <v>116</v>
      </c>
      <c r="H76" s="19">
        <f ca="1">--TRIM(RIGHT(SUBSTITUTE(LEFT(C75,_xlfn.AGGREGATE(16,6,FIND({0,1,2,3,4,5,6,7,8,9},C75,ROW(INDIRECT("1:"&amp;LEN(C75)))),1))," ",REPT(" ",LEN(C75))),LEN(C75)))</f>
        <v>7</v>
      </c>
      <c r="I76" s="21"/>
      <c r="J76" s="36"/>
      <c r="K76" s="21"/>
    </row>
    <row r="77" spans="1:11" ht="32.25" hidden="1" customHeight="1" x14ac:dyDescent="0.25">
      <c r="A77" s="81" t="s">
        <v>127</v>
      </c>
      <c r="B77" s="82"/>
      <c r="C77" s="83" t="str">
        <f ca="1">I75</f>
        <v>Plinth, RCC, Brick, Plaster, Flooring, Painting work Completed. Finishing work is in process.</v>
      </c>
      <c r="D77" s="83"/>
      <c r="E77" s="83"/>
      <c r="F77" s="83"/>
      <c r="G77" s="83"/>
      <c r="H77" s="84"/>
      <c r="I77" s="21" t="s">
        <v>144</v>
      </c>
      <c r="J77" s="36"/>
      <c r="K77" s="21"/>
    </row>
    <row r="78" spans="1:11" ht="15.75" hidden="1" customHeight="1" x14ac:dyDescent="0.25">
      <c r="A78" s="85" t="s">
        <v>51</v>
      </c>
      <c r="B78" s="86"/>
      <c r="C78" s="25" t="s">
        <v>208</v>
      </c>
      <c r="D78" s="25" t="s">
        <v>119</v>
      </c>
      <c r="E78" s="86" t="s">
        <v>121</v>
      </c>
      <c r="F78" s="86"/>
      <c r="G78" s="86" t="s">
        <v>120</v>
      </c>
      <c r="H78" s="87"/>
      <c r="I78" s="22" t="s">
        <v>209</v>
      </c>
      <c r="J78" s="37">
        <f ca="1">H76*25%</f>
        <v>1.75</v>
      </c>
      <c r="K78" s="21"/>
    </row>
    <row r="79" spans="1:11" ht="15.75" hidden="1" customHeight="1" x14ac:dyDescent="0.25">
      <c r="A79" s="85" t="s">
        <v>210</v>
      </c>
      <c r="B79" s="86"/>
      <c r="C79" s="38">
        <f ca="1">J80</f>
        <v>7</v>
      </c>
      <c r="D79" s="39">
        <f ca="1">((100/H76)*C79)/100</f>
        <v>1</v>
      </c>
      <c r="E79" s="88">
        <f ca="1">(((C80/H76*10)+(40/(D76+F76+H76)*C81)+(7.5/(H76)*C82)+(7.5/(H76)*C83)+(10/H76*C84)+(10/H76*C85)+(5/H76*C86)+(5/H76*C87)+(5/H76*C88))/100)</f>
        <v>0.90714285714285725</v>
      </c>
      <c r="F79" s="88"/>
      <c r="G79" s="88">
        <f ca="1">((((C79/H76)*20)+((C80/H76)*25)+(30/(H76+F76+D76)*C81)+(5/H76*C82)+(5/H76*C83)+(5/H76*C84)+(5/H76*C85)+(0/H76*C86)+(0/H76*C87)+(5/H76*C88))/100)</f>
        <v>0.94285714285714295</v>
      </c>
      <c r="H79" s="90"/>
      <c r="I79" s="22" t="s">
        <v>138</v>
      </c>
      <c r="J79" s="40">
        <f ca="1">H76*50%</f>
        <v>3.5</v>
      </c>
      <c r="K79" s="21"/>
    </row>
    <row r="80" spans="1:11" ht="15.75" hidden="1" customHeight="1" x14ac:dyDescent="0.25">
      <c r="A80" s="85" t="s">
        <v>52</v>
      </c>
      <c r="B80" s="86"/>
      <c r="C80" s="41">
        <f ca="1">J88</f>
        <v>7</v>
      </c>
      <c r="D80" s="39">
        <f ca="1">((100/H76)*C80)/100</f>
        <v>1</v>
      </c>
      <c r="E80" s="88"/>
      <c r="F80" s="88"/>
      <c r="G80" s="88"/>
      <c r="H80" s="90"/>
      <c r="I80" s="22" t="s">
        <v>139</v>
      </c>
      <c r="J80" s="40">
        <f ca="1">H76</f>
        <v>7</v>
      </c>
      <c r="K80" s="21"/>
    </row>
    <row r="81" spans="1:11" ht="15.75" hidden="1" customHeight="1" x14ac:dyDescent="0.25">
      <c r="A81" s="92" t="s">
        <v>211</v>
      </c>
      <c r="B81" s="93"/>
      <c r="C81" s="41">
        <v>8</v>
      </c>
      <c r="D81" s="39">
        <f ca="1">((100/(D76+F76+H76))*C81)/100</f>
        <v>1</v>
      </c>
      <c r="E81" s="88"/>
      <c r="F81" s="88"/>
      <c r="G81" s="88"/>
      <c r="H81" s="90"/>
      <c r="I81" s="22" t="s">
        <v>140</v>
      </c>
      <c r="J81" s="42">
        <f ca="1">(IF(B76&gt;1,(H76/(B76+2)),H76/4))</f>
        <v>1.75</v>
      </c>
      <c r="K81" s="21"/>
    </row>
    <row r="82" spans="1:11" ht="15.75" hidden="1" customHeight="1" x14ac:dyDescent="0.25">
      <c r="A82" s="85" t="s">
        <v>212</v>
      </c>
      <c r="B82" s="86" t="s">
        <v>213</v>
      </c>
      <c r="C82" s="38">
        <v>7</v>
      </c>
      <c r="D82" s="39">
        <f ca="1">((100/H76)*C82)/100</f>
        <v>1</v>
      </c>
      <c r="E82" s="88"/>
      <c r="F82" s="88"/>
      <c r="G82" s="88"/>
      <c r="H82" s="90"/>
      <c r="I82" s="22" t="s">
        <v>141</v>
      </c>
      <c r="J82" s="42">
        <f ca="1">(IF(B76&gt;1,(H76/(B76+2)+J81),H76/4+J81))</f>
        <v>3.5</v>
      </c>
      <c r="K82" s="21"/>
    </row>
    <row r="83" spans="1:11" ht="15.75" hidden="1" customHeight="1" x14ac:dyDescent="0.25">
      <c r="A83" s="85" t="s">
        <v>214</v>
      </c>
      <c r="B83" s="86" t="s">
        <v>213</v>
      </c>
      <c r="C83" s="38">
        <v>7</v>
      </c>
      <c r="D83" s="39">
        <f ca="1">((100/H76)*C83)/100</f>
        <v>1</v>
      </c>
      <c r="E83" s="88"/>
      <c r="F83" s="88"/>
      <c r="G83" s="88"/>
      <c r="H83" s="90"/>
      <c r="I83" s="22" t="s">
        <v>215</v>
      </c>
      <c r="J83" s="42">
        <f>(IF(B76&gt;1,(H76/(B76+2)+J82),0))</f>
        <v>0</v>
      </c>
      <c r="K83" s="21"/>
    </row>
    <row r="84" spans="1:11" ht="15.75" hidden="1" customHeight="1" x14ac:dyDescent="0.25">
      <c r="A84" s="85" t="s">
        <v>216</v>
      </c>
      <c r="B84" s="86" t="s">
        <v>217</v>
      </c>
      <c r="C84" s="38">
        <v>7</v>
      </c>
      <c r="D84" s="39">
        <f ca="1">((100/(H76))*C84)/100</f>
        <v>1</v>
      </c>
      <c r="E84" s="88"/>
      <c r="F84" s="88"/>
      <c r="G84" s="88"/>
      <c r="H84" s="90"/>
      <c r="I84" s="22" t="s">
        <v>218</v>
      </c>
      <c r="J84" s="42">
        <f>(IF(B76&gt;2,(H76/(B76+2)+J83),0))</f>
        <v>0</v>
      </c>
      <c r="K84" s="21"/>
    </row>
    <row r="85" spans="1:11" ht="15.75" hidden="1" customHeight="1" x14ac:dyDescent="0.25">
      <c r="A85" s="85" t="s">
        <v>219</v>
      </c>
      <c r="B85" s="86" t="s">
        <v>219</v>
      </c>
      <c r="C85" s="38">
        <v>6</v>
      </c>
      <c r="D85" s="39">
        <f ca="1">((100/H76)*C85)/100</f>
        <v>0.85714285714285721</v>
      </c>
      <c r="E85" s="88"/>
      <c r="F85" s="88"/>
      <c r="G85" s="88"/>
      <c r="H85" s="90"/>
      <c r="I85" s="22" t="s">
        <v>220</v>
      </c>
      <c r="J85" s="43">
        <f>(IF(B76&gt;3,(H76/(B76+2)+J84),0))</f>
        <v>0</v>
      </c>
      <c r="K85" s="21"/>
    </row>
    <row r="86" spans="1:11" ht="15.75" hidden="1" customHeight="1" x14ac:dyDescent="0.25">
      <c r="A86" s="85" t="s">
        <v>221</v>
      </c>
      <c r="B86" s="86"/>
      <c r="C86" s="38">
        <v>6</v>
      </c>
      <c r="D86" s="39">
        <f ca="1">((100/H76)*C86)/100</f>
        <v>0.85714285714285721</v>
      </c>
      <c r="E86" s="88"/>
      <c r="F86" s="88"/>
      <c r="G86" s="88"/>
      <c r="H86" s="90"/>
      <c r="I86" s="22" t="s">
        <v>222</v>
      </c>
      <c r="J86" s="42">
        <f>(IF(B76&gt;4,(H76/(B76+2)+J85),0))</f>
        <v>0</v>
      </c>
      <c r="K86" s="21"/>
    </row>
    <row r="87" spans="1:11" ht="15.75" hidden="1" customHeight="1" x14ac:dyDescent="0.25">
      <c r="A87" s="85" t="s">
        <v>223</v>
      </c>
      <c r="B87" s="86" t="s">
        <v>223</v>
      </c>
      <c r="C87" s="38">
        <v>4</v>
      </c>
      <c r="D87" s="39">
        <f ca="1">((100/(H76))*C87)/100</f>
        <v>0.57142857142857151</v>
      </c>
      <c r="E87" s="88"/>
      <c r="F87" s="88"/>
      <c r="G87" s="88"/>
      <c r="H87" s="90"/>
      <c r="I87" s="22" t="s">
        <v>142</v>
      </c>
      <c r="J87" s="42">
        <f ca="1">(IF(B76=1,(H76/(B76+3)+J82),IF(B76=0,(H76/4+J82),IF(B76&gt;1,0))))</f>
        <v>5.25</v>
      </c>
      <c r="K87" s="21"/>
    </row>
    <row r="88" spans="1:11" ht="15.75" hidden="1" customHeight="1" thickBot="1" x14ac:dyDescent="0.3">
      <c r="A88" s="94" t="s">
        <v>224</v>
      </c>
      <c r="B88" s="95"/>
      <c r="C88" s="44">
        <v>0</v>
      </c>
      <c r="D88" s="45">
        <f ca="1">((100/(H76))*C88)/100</f>
        <v>0</v>
      </c>
      <c r="E88" s="89"/>
      <c r="F88" s="89"/>
      <c r="G88" s="89"/>
      <c r="H88" s="91"/>
      <c r="I88" s="23" t="s">
        <v>143</v>
      </c>
      <c r="J88" s="46">
        <f ca="1">(IF(B76&gt;1.5,(H76/(B76+2)+J82+MAX(0,J83-J82)+MAX(0,J84-J83)+MAX(0,J85-J84)+MAX(0,J86-J85)+MAX(0,J87-J86)),IF(B76=1,(H76/(B76+3)+J87),IF(B76=0,H76/4+J87))))</f>
        <v>7</v>
      </c>
      <c r="K88" s="21"/>
    </row>
    <row r="89" spans="1:11" x14ac:dyDescent="0.25">
      <c r="A89" s="96" t="s">
        <v>158</v>
      </c>
      <c r="B89" s="97"/>
      <c r="C89" s="97"/>
      <c r="D89" s="97"/>
      <c r="E89" s="98"/>
      <c r="F89" s="96" t="s">
        <v>19</v>
      </c>
      <c r="G89" s="97"/>
      <c r="H89" s="98"/>
    </row>
    <row r="90" spans="1:11" x14ac:dyDescent="0.25">
      <c r="A90" s="99" t="s">
        <v>53</v>
      </c>
      <c r="B90" s="99"/>
      <c r="C90" s="99"/>
      <c r="D90" s="99"/>
      <c r="E90" s="99"/>
      <c r="F90" s="99"/>
      <c r="G90" s="99"/>
      <c r="H90" s="99"/>
    </row>
    <row r="91" spans="1:11" ht="15" customHeight="1" x14ac:dyDescent="0.25">
      <c r="A91" s="82" t="s">
        <v>106</v>
      </c>
      <c r="B91" s="82"/>
      <c r="C91" s="83" t="s">
        <v>107</v>
      </c>
      <c r="D91" s="83"/>
      <c r="E91" s="83"/>
      <c r="F91" s="83"/>
      <c r="G91" s="83"/>
      <c r="H91" s="83"/>
    </row>
    <row r="92" spans="1:11" x14ac:dyDescent="0.25">
      <c r="A92" s="82" t="s">
        <v>54</v>
      </c>
      <c r="B92" s="82"/>
      <c r="C92" s="82"/>
      <c r="D92" s="82"/>
      <c r="E92" s="82"/>
      <c r="F92" s="82"/>
      <c r="G92" s="82"/>
      <c r="H92" s="82"/>
    </row>
    <row r="93" spans="1:11" x14ac:dyDescent="0.25">
      <c r="A93" s="99" t="s">
        <v>108</v>
      </c>
      <c r="B93" s="99"/>
      <c r="C93" s="99"/>
      <c r="D93" s="99"/>
      <c r="E93" s="99"/>
      <c r="F93" s="82">
        <v>4800</v>
      </c>
      <c r="G93" s="82"/>
      <c r="H93" s="82"/>
    </row>
    <row r="94" spans="1:11" x14ac:dyDescent="0.25">
      <c r="A94" s="99" t="s">
        <v>115</v>
      </c>
      <c r="B94" s="99"/>
      <c r="C94" s="99"/>
      <c r="D94" s="99"/>
      <c r="E94" s="99"/>
      <c r="F94" s="99" t="s">
        <v>200</v>
      </c>
      <c r="G94" s="99"/>
      <c r="H94" s="99"/>
    </row>
    <row r="95" spans="1:11" s="47" customFormat="1" hidden="1" x14ac:dyDescent="0.25">
      <c r="A95" s="99" t="s">
        <v>132</v>
      </c>
      <c r="B95" s="99"/>
      <c r="C95" s="99"/>
      <c r="D95" s="99"/>
      <c r="E95" s="99"/>
      <c r="F95" s="99" t="s">
        <v>31</v>
      </c>
      <c r="G95" s="99"/>
      <c r="H95" s="99"/>
    </row>
    <row r="96" spans="1:11" s="47" customFormat="1" hidden="1" x14ac:dyDescent="0.25">
      <c r="A96" s="99" t="s">
        <v>133</v>
      </c>
      <c r="B96" s="99"/>
      <c r="C96" s="99"/>
      <c r="D96" s="99"/>
      <c r="E96" s="99"/>
      <c r="F96" s="99" t="s">
        <v>31</v>
      </c>
      <c r="G96" s="99"/>
      <c r="H96" s="99"/>
    </row>
    <row r="97" spans="1:8" s="47" customFormat="1" hidden="1" x14ac:dyDescent="0.25">
      <c r="A97" s="104" t="s">
        <v>134</v>
      </c>
      <c r="B97" s="104"/>
      <c r="C97" s="104"/>
      <c r="D97" s="104"/>
      <c r="E97" s="104"/>
      <c r="F97" s="99" t="s">
        <v>31</v>
      </c>
      <c r="G97" s="99"/>
      <c r="H97" s="99"/>
    </row>
    <row r="98" spans="1:8" s="47" customFormat="1" hidden="1" x14ac:dyDescent="0.25">
      <c r="A98" s="104" t="s">
        <v>135</v>
      </c>
      <c r="B98" s="104"/>
      <c r="C98" s="104"/>
      <c r="D98" s="104"/>
      <c r="E98" s="104"/>
      <c r="F98" s="99" t="s">
        <v>31</v>
      </c>
      <c r="G98" s="99"/>
      <c r="H98" s="99"/>
    </row>
    <row r="99" spans="1:8" s="47" customFormat="1" hidden="1" x14ac:dyDescent="0.25">
      <c r="A99" s="104" t="s">
        <v>136</v>
      </c>
      <c r="B99" s="104"/>
      <c r="C99" s="104"/>
      <c r="D99" s="104"/>
      <c r="E99" s="104"/>
      <c r="F99" s="99" t="s">
        <v>31</v>
      </c>
      <c r="G99" s="99"/>
      <c r="H99" s="99"/>
    </row>
    <row r="100" spans="1:8" s="47" customFormat="1" x14ac:dyDescent="0.25">
      <c r="A100" s="104" t="s">
        <v>204</v>
      </c>
      <c r="B100" s="104"/>
      <c r="C100" s="104"/>
      <c r="D100" s="104"/>
      <c r="E100" s="104"/>
      <c r="F100" s="99" t="s">
        <v>205</v>
      </c>
      <c r="G100" s="99"/>
      <c r="H100" s="99"/>
    </row>
    <row r="101" spans="1:8" s="47" customFormat="1" x14ac:dyDescent="0.25">
      <c r="A101" s="104" t="s">
        <v>202</v>
      </c>
      <c r="B101" s="104"/>
      <c r="C101" s="104"/>
      <c r="D101" s="104"/>
      <c r="E101" s="104"/>
      <c r="F101" s="99" t="s">
        <v>201</v>
      </c>
      <c r="G101" s="99"/>
      <c r="H101" s="99"/>
    </row>
    <row r="102" spans="1:8" s="47" customFormat="1" hidden="1" x14ac:dyDescent="0.25">
      <c r="A102" s="104" t="s">
        <v>137</v>
      </c>
      <c r="B102" s="104"/>
      <c r="C102" s="104"/>
      <c r="D102" s="104"/>
      <c r="E102" s="104"/>
      <c r="F102" s="99" t="s">
        <v>31</v>
      </c>
      <c r="G102" s="99"/>
      <c r="H102" s="99"/>
    </row>
    <row r="103" spans="1:8" x14ac:dyDescent="0.25">
      <c r="A103" s="104" t="s">
        <v>55</v>
      </c>
      <c r="B103" s="104"/>
      <c r="C103" s="104"/>
      <c r="D103" s="104"/>
      <c r="E103" s="104"/>
      <c r="F103" s="101" t="s">
        <v>203</v>
      </c>
      <c r="G103" s="101"/>
      <c r="H103" s="101"/>
    </row>
    <row r="104" spans="1:8" s="48" customFormat="1" x14ac:dyDescent="0.25">
      <c r="A104" s="119" t="s">
        <v>56</v>
      </c>
      <c r="B104" s="119"/>
      <c r="C104" s="119"/>
      <c r="D104" s="119"/>
      <c r="E104" s="119"/>
      <c r="F104" s="99">
        <f>F93*0.8</f>
        <v>3840</v>
      </c>
      <c r="G104" s="99"/>
      <c r="H104" s="99"/>
    </row>
    <row r="105" spans="1:8" s="49" customFormat="1" ht="15.75" customHeight="1" x14ac:dyDescent="0.25">
      <c r="A105" s="118" t="s">
        <v>109</v>
      </c>
      <c r="B105" s="118"/>
      <c r="C105" s="118"/>
      <c r="D105" s="118"/>
      <c r="E105" s="118"/>
      <c r="F105" s="118"/>
      <c r="G105" s="118"/>
      <c r="H105" s="118"/>
    </row>
    <row r="106" spans="1:8" s="49" customFormat="1" ht="15.75" customHeight="1" x14ac:dyDescent="0.25">
      <c r="A106" s="122" t="s">
        <v>57</v>
      </c>
      <c r="B106" s="122"/>
      <c r="C106" s="50" t="s">
        <v>112</v>
      </c>
      <c r="D106" s="121" t="s">
        <v>58</v>
      </c>
      <c r="E106" s="121"/>
      <c r="F106" s="122" t="s">
        <v>59</v>
      </c>
      <c r="G106" s="122"/>
      <c r="H106" s="122"/>
    </row>
    <row r="107" spans="1:8" s="49" customFormat="1" x14ac:dyDescent="0.25">
      <c r="A107" s="67" t="s">
        <v>180</v>
      </c>
      <c r="B107" s="67"/>
      <c r="C107" s="51">
        <f>COUNT(D119:D132)</f>
        <v>14</v>
      </c>
      <c r="D107" s="68">
        <f>SUM(D119:D132)</f>
        <v>1915.6690799999999</v>
      </c>
      <c r="E107" s="68"/>
      <c r="F107" s="69">
        <f>SUM(F119:F132)</f>
        <v>25631.496542639517</v>
      </c>
      <c r="G107" s="70"/>
      <c r="H107" s="71"/>
    </row>
    <row r="108" spans="1:8" s="49" customFormat="1" x14ac:dyDescent="0.25">
      <c r="A108" s="118" t="s">
        <v>100</v>
      </c>
      <c r="B108" s="118"/>
      <c r="C108" s="118"/>
      <c r="D108" s="118"/>
      <c r="E108" s="118"/>
      <c r="F108" s="118"/>
      <c r="G108" s="118"/>
      <c r="H108" s="118"/>
    </row>
    <row r="109" spans="1:8" s="49" customFormat="1" x14ac:dyDescent="0.25">
      <c r="A109" s="122" t="s">
        <v>57</v>
      </c>
      <c r="B109" s="122"/>
      <c r="C109" s="50" t="s">
        <v>112</v>
      </c>
      <c r="D109" s="121" t="s">
        <v>58</v>
      </c>
      <c r="E109" s="121"/>
      <c r="F109" s="122" t="s">
        <v>59</v>
      </c>
      <c r="G109" s="122"/>
      <c r="H109" s="122"/>
    </row>
    <row r="110" spans="1:8" s="49" customFormat="1" x14ac:dyDescent="0.25">
      <c r="A110" s="67" t="s">
        <v>179</v>
      </c>
      <c r="B110" s="67"/>
      <c r="C110" s="51">
        <f>COUNT(D137:D142)+COUNT(D144:D149)*2+COUNT(D151:D156)*2+COUNT(D158:D163)+COUNT(D165:D170)</f>
        <v>42</v>
      </c>
      <c r="D110" s="68">
        <f>SUM(D137:D142)+SUM(D144:D149)*2+SUM(D151:D156)*2+SUM(D158:D163)+SUM(D165:D170)</f>
        <v>16565.203979999998</v>
      </c>
      <c r="E110" s="68"/>
      <c r="F110" s="69">
        <f>SUM(F137:F142)+SUM(F144:F149)*2+SUM(F151:F156)*2+SUM(F158:F163)+SUM(F165:F170)</f>
        <v>25378.148249999995</v>
      </c>
      <c r="G110" s="70"/>
      <c r="H110" s="71"/>
    </row>
    <row r="111" spans="1:8" s="49" customFormat="1" x14ac:dyDescent="0.25">
      <c r="A111" s="67" t="s">
        <v>185</v>
      </c>
      <c r="B111" s="67"/>
      <c r="C111" s="51">
        <f>COUNT(D173:D185)+COUNT(D187:D199)*2+COUNT(D201:D213)*2+COUNT(D215:D227)+COUNT(D229:D241)</f>
        <v>91</v>
      </c>
      <c r="D111" s="68">
        <f>SUM(D173:D185)+SUM(D187:D199)*2+SUM(D201:D213)*2+SUM(D215:D227)+SUM(D229:D241)</f>
        <v>34648.454879999998</v>
      </c>
      <c r="E111" s="68"/>
      <c r="F111" s="69">
        <f>SUM(F173:F185)+SUM(F187:F199)*2+SUM(F201:F213)*2+SUM(F215:F227)+SUM(F229:F241)</f>
        <v>52984.283039999995</v>
      </c>
      <c r="G111" s="70"/>
      <c r="H111" s="71"/>
    </row>
    <row r="112" spans="1:8" s="49" customFormat="1" x14ac:dyDescent="0.25">
      <c r="A112" s="122" t="s">
        <v>61</v>
      </c>
      <c r="B112" s="122"/>
      <c r="C112" s="52">
        <f>SUM(C110:C111)</f>
        <v>133</v>
      </c>
      <c r="D112" s="120">
        <f>SUM(D110:E111)</f>
        <v>51213.658859999996</v>
      </c>
      <c r="E112" s="121"/>
      <c r="F112" s="122">
        <f>SUM(F110:H111)</f>
        <v>78362.431289999993</v>
      </c>
      <c r="G112" s="122"/>
      <c r="H112" s="122"/>
    </row>
    <row r="113" spans="1:23" s="48" customFormat="1" x14ac:dyDescent="0.25">
      <c r="A113" s="131" t="s">
        <v>62</v>
      </c>
      <c r="B113" s="131"/>
      <c r="C113" s="131"/>
      <c r="D113" s="131"/>
      <c r="E113" s="131"/>
      <c r="F113" s="131"/>
      <c r="G113" s="131"/>
      <c r="H113" s="131"/>
    </row>
    <row r="114" spans="1:23" x14ac:dyDescent="0.25">
      <c r="A114" s="131" t="s">
        <v>63</v>
      </c>
      <c r="B114" s="131"/>
      <c r="C114" s="131"/>
      <c r="D114" s="131"/>
      <c r="E114" s="131"/>
      <c r="F114" s="131"/>
      <c r="G114" s="131"/>
      <c r="H114" s="131"/>
    </row>
    <row r="115" spans="1:23" ht="47.25" customHeight="1" x14ac:dyDescent="0.25">
      <c r="A115" s="138" t="s">
        <v>194</v>
      </c>
      <c r="B115" s="138"/>
      <c r="C115" s="138" t="s">
        <v>64</v>
      </c>
      <c r="D115" s="138" t="s">
        <v>65</v>
      </c>
      <c r="E115" s="139" t="s">
        <v>66</v>
      </c>
      <c r="F115" s="61" t="s">
        <v>159</v>
      </c>
      <c r="G115" s="138" t="s">
        <v>67</v>
      </c>
      <c r="H115" s="138"/>
    </row>
    <row r="116" spans="1:23" s="53" customFormat="1" x14ac:dyDescent="0.25">
      <c r="A116" s="138"/>
      <c r="B116" s="138"/>
      <c r="C116" s="138"/>
      <c r="D116" s="138"/>
      <c r="E116" s="139"/>
      <c r="F116" s="62">
        <v>0.55000000000000004</v>
      </c>
      <c r="G116" s="138"/>
      <c r="H116" s="138"/>
    </row>
    <row r="117" spans="1:23" s="53" customFormat="1" x14ac:dyDescent="0.25">
      <c r="A117" s="72" t="s">
        <v>196</v>
      </c>
      <c r="B117" s="72"/>
      <c r="C117" s="72"/>
      <c r="D117" s="72"/>
      <c r="E117" s="72"/>
      <c r="F117" s="72"/>
      <c r="G117" s="72"/>
      <c r="H117" s="72"/>
    </row>
    <row r="118" spans="1:23" s="53" customFormat="1" x14ac:dyDescent="0.25">
      <c r="A118" s="72" t="s">
        <v>181</v>
      </c>
      <c r="B118" s="72"/>
      <c r="C118" s="72"/>
      <c r="D118" s="72"/>
      <c r="E118" s="72"/>
      <c r="F118" s="72"/>
      <c r="G118" s="72"/>
      <c r="H118" s="72"/>
      <c r="V118" s="66" t="s">
        <v>160</v>
      </c>
      <c r="W118" s="66"/>
    </row>
    <row r="119" spans="1:23" s="53" customFormat="1" ht="15.75" customHeight="1" x14ac:dyDescent="0.25">
      <c r="A119" s="60" t="s">
        <v>198</v>
      </c>
      <c r="B119" s="60">
        <v>1</v>
      </c>
      <c r="C119" s="60" t="s">
        <v>180</v>
      </c>
      <c r="D119" s="60">
        <f>12.01*10.764</f>
        <v>129.27563999999998</v>
      </c>
      <c r="E119" s="60">
        <v>0</v>
      </c>
      <c r="F119" s="60">
        <f>D119*(($F$116)+1)+E119</f>
        <v>200.37724199999997</v>
      </c>
      <c r="G119" s="65" t="str">
        <f>A118</f>
        <v>Ground Floor for Commercial &amp; Parking</v>
      </c>
      <c r="H119" s="65"/>
      <c r="S119" s="66"/>
      <c r="T119" s="66"/>
      <c r="U119" s="54"/>
    </row>
    <row r="120" spans="1:23" s="53" customFormat="1" x14ac:dyDescent="0.25">
      <c r="A120" s="60" t="s">
        <v>198</v>
      </c>
      <c r="B120" s="60">
        <f>B119+1</f>
        <v>2</v>
      </c>
      <c r="C120" s="60" t="s">
        <v>180</v>
      </c>
      <c r="D120" s="60">
        <f>12.01*10.764</f>
        <v>129.27563999999998</v>
      </c>
      <c r="E120" s="60">
        <v>0</v>
      </c>
      <c r="F120" s="60">
        <f t="shared" ref="F120:F121" si="0">D120*(($F$116)+1)+E120</f>
        <v>200.37724199999997</v>
      </c>
      <c r="G120" s="65"/>
      <c r="H120" s="65"/>
      <c r="S120" s="66"/>
      <c r="T120" s="66"/>
      <c r="U120" s="54"/>
    </row>
    <row r="121" spans="1:23" s="53" customFormat="1" x14ac:dyDescent="0.25">
      <c r="A121" s="60" t="s">
        <v>198</v>
      </c>
      <c r="B121" s="60">
        <f t="shared" ref="B121:B123" si="1">B120+1</f>
        <v>3</v>
      </c>
      <c r="C121" s="60" t="s">
        <v>180</v>
      </c>
      <c r="D121" s="60">
        <f>10.53*10.764</f>
        <v>113.34491999999999</v>
      </c>
      <c r="E121" s="60">
        <v>0</v>
      </c>
      <c r="F121" s="60">
        <f t="shared" si="0"/>
        <v>175.68462599999998</v>
      </c>
      <c r="G121" s="65"/>
      <c r="H121" s="65"/>
      <c r="S121" s="66"/>
      <c r="T121" s="66"/>
      <c r="U121" s="54"/>
    </row>
    <row r="122" spans="1:23" s="53" customFormat="1" x14ac:dyDescent="0.25">
      <c r="A122" s="60" t="s">
        <v>198</v>
      </c>
      <c r="B122" s="60">
        <f t="shared" si="1"/>
        <v>4</v>
      </c>
      <c r="C122" s="60" t="s">
        <v>180</v>
      </c>
      <c r="D122" s="60">
        <f>19.6*10.764</f>
        <v>210.9744</v>
      </c>
      <c r="E122" s="60">
        <v>0</v>
      </c>
      <c r="F122" s="60">
        <f t="shared" ref="F122:F123" si="2">D122*(($F$116)+1)+E122</f>
        <v>327.01032000000004</v>
      </c>
      <c r="G122" s="65"/>
      <c r="H122" s="65"/>
      <c r="S122" s="66"/>
      <c r="T122" s="66"/>
      <c r="U122" s="54"/>
    </row>
    <row r="123" spans="1:23" s="53" customFormat="1" x14ac:dyDescent="0.25">
      <c r="A123" s="60" t="s">
        <v>198</v>
      </c>
      <c r="B123" s="60">
        <f t="shared" si="1"/>
        <v>5</v>
      </c>
      <c r="C123" s="60" t="s">
        <v>180</v>
      </c>
      <c r="D123" s="60">
        <f>10.54*10.764</f>
        <v>113.45255999999998</v>
      </c>
      <c r="E123" s="60">
        <v>0</v>
      </c>
      <c r="F123" s="60">
        <f t="shared" si="2"/>
        <v>175.85146799999998</v>
      </c>
      <c r="G123" s="65"/>
      <c r="H123" s="65"/>
      <c r="S123" s="66"/>
      <c r="T123" s="66"/>
      <c r="U123" s="54"/>
    </row>
    <row r="124" spans="1:23" s="53" customFormat="1" x14ac:dyDescent="0.25">
      <c r="A124" s="60" t="s">
        <v>198</v>
      </c>
      <c r="B124" s="60">
        <f t="shared" ref="B124:B125" si="3">B123+1</f>
        <v>6</v>
      </c>
      <c r="C124" s="60" t="s">
        <v>180</v>
      </c>
      <c r="D124" s="60">
        <f>13.48*10.764</f>
        <v>145.09871999999999</v>
      </c>
      <c r="E124" s="60">
        <v>0</v>
      </c>
      <c r="F124" s="60">
        <f t="shared" ref="F124:F129" si="4">D124*(($F$116)+1)+E124</f>
        <v>224.90301599999998</v>
      </c>
      <c r="G124" s="65"/>
      <c r="H124" s="65"/>
      <c r="S124" s="66"/>
      <c r="T124" s="66"/>
      <c r="U124" s="54"/>
    </row>
    <row r="125" spans="1:23" s="53" customFormat="1" x14ac:dyDescent="0.25">
      <c r="A125" s="60" t="s">
        <v>198</v>
      </c>
      <c r="B125" s="60">
        <f t="shared" si="3"/>
        <v>7</v>
      </c>
      <c r="C125" s="60" t="s">
        <v>180</v>
      </c>
      <c r="D125" s="60">
        <f>12.82*10.764</f>
        <v>137.99447999999998</v>
      </c>
      <c r="E125" s="60">
        <v>0</v>
      </c>
      <c r="F125" s="60">
        <f t="shared" si="4"/>
        <v>213.89144399999998</v>
      </c>
      <c r="G125" s="65"/>
      <c r="H125" s="65"/>
      <c r="S125" s="66"/>
      <c r="T125" s="66"/>
      <c r="U125" s="54"/>
    </row>
    <row r="126" spans="1:23" s="53" customFormat="1" x14ac:dyDescent="0.25">
      <c r="A126" s="60" t="s">
        <v>197</v>
      </c>
      <c r="B126" s="60">
        <f>B125+1</f>
        <v>8</v>
      </c>
      <c r="C126" s="60" t="s">
        <v>180</v>
      </c>
      <c r="D126" s="60">
        <f>12.82*10.764</f>
        <v>137.99447999999998</v>
      </c>
      <c r="E126" s="60">
        <v>0</v>
      </c>
      <c r="F126" s="60">
        <f t="shared" si="4"/>
        <v>213.89144399999998</v>
      </c>
      <c r="G126" s="65"/>
      <c r="H126" s="65"/>
      <c r="S126" s="66"/>
      <c r="T126" s="66"/>
      <c r="U126" s="54"/>
    </row>
    <row r="127" spans="1:23" s="53" customFormat="1" x14ac:dyDescent="0.25">
      <c r="A127" s="60" t="s">
        <v>197</v>
      </c>
      <c r="B127" s="60">
        <f t="shared" ref="B127:B132" si="5">B126+1</f>
        <v>9</v>
      </c>
      <c r="C127" s="60" t="s">
        <v>180</v>
      </c>
      <c r="D127" s="60">
        <f>13.47*10.764</f>
        <v>144.99108000000001</v>
      </c>
      <c r="E127" s="60">
        <v>0</v>
      </c>
      <c r="F127" s="60">
        <f t="shared" si="4"/>
        <v>224.73617400000003</v>
      </c>
      <c r="G127" s="65"/>
      <c r="H127" s="65"/>
      <c r="S127" s="66"/>
      <c r="T127" s="66"/>
      <c r="U127" s="54"/>
    </row>
    <row r="128" spans="1:23" s="53" customFormat="1" x14ac:dyDescent="0.25">
      <c r="A128" s="60" t="s">
        <v>197</v>
      </c>
      <c r="B128" s="60">
        <f t="shared" si="5"/>
        <v>10</v>
      </c>
      <c r="C128" s="60" t="s">
        <v>180</v>
      </c>
      <c r="D128" s="60">
        <f>10.54*10.764</f>
        <v>113.45255999999998</v>
      </c>
      <c r="E128" s="60">
        <v>0</v>
      </c>
      <c r="F128" s="60">
        <f t="shared" si="4"/>
        <v>175.85146799999998</v>
      </c>
      <c r="G128" s="65"/>
      <c r="H128" s="65"/>
      <c r="S128" s="66"/>
      <c r="T128" s="66"/>
      <c r="U128" s="54"/>
    </row>
    <row r="129" spans="1:23" s="53" customFormat="1" x14ac:dyDescent="0.25">
      <c r="A129" s="60" t="s">
        <v>197</v>
      </c>
      <c r="B129" s="60">
        <f t="shared" si="5"/>
        <v>11</v>
      </c>
      <c r="C129" s="60" t="s">
        <v>180</v>
      </c>
      <c r="D129" s="60">
        <f>15.6*10.764</f>
        <v>167.91839999999999</v>
      </c>
      <c r="E129" s="60">
        <v>0</v>
      </c>
      <c r="F129" s="60">
        <f t="shared" si="4"/>
        <v>260.27352000000002</v>
      </c>
      <c r="G129" s="65"/>
      <c r="H129" s="65"/>
      <c r="S129" s="66"/>
      <c r="T129" s="66"/>
      <c r="U129" s="54"/>
    </row>
    <row r="130" spans="1:23" s="53" customFormat="1" x14ac:dyDescent="0.25">
      <c r="A130" s="60" t="s">
        <v>197</v>
      </c>
      <c r="B130" s="60">
        <f t="shared" si="5"/>
        <v>12</v>
      </c>
      <c r="C130" s="60" t="s">
        <v>180</v>
      </c>
      <c r="D130" s="60">
        <f>10.53*10.764</f>
        <v>113.34491999999999</v>
      </c>
      <c r="E130" s="60">
        <v>0</v>
      </c>
      <c r="F130" s="60">
        <f t="shared" ref="F130:F131" si="6">D130*(($F$116)+1)+E130</f>
        <v>175.68462599999998</v>
      </c>
      <c r="G130" s="65"/>
      <c r="H130" s="65"/>
      <c r="S130" s="66"/>
      <c r="T130" s="66"/>
      <c r="U130" s="54"/>
    </row>
    <row r="131" spans="1:23" s="53" customFormat="1" x14ac:dyDescent="0.25">
      <c r="A131" s="60" t="s">
        <v>197</v>
      </c>
      <c r="B131" s="60">
        <f t="shared" si="5"/>
        <v>13</v>
      </c>
      <c r="C131" s="60" t="s">
        <v>180</v>
      </c>
      <c r="D131" s="60">
        <f>12.01*10.764</f>
        <v>129.27563999999998</v>
      </c>
      <c r="E131" s="60">
        <v>0</v>
      </c>
      <c r="F131" s="60">
        <f t="shared" si="6"/>
        <v>200.37724199999997</v>
      </c>
      <c r="G131" s="65"/>
      <c r="H131" s="65"/>
      <c r="S131" s="66"/>
      <c r="T131" s="66"/>
      <c r="U131" s="54"/>
    </row>
    <row r="132" spans="1:23" s="53" customFormat="1" x14ac:dyDescent="0.25">
      <c r="A132" s="60" t="s">
        <v>197</v>
      </c>
      <c r="B132" s="60">
        <f t="shared" si="5"/>
        <v>14</v>
      </c>
      <c r="C132" s="60" t="s">
        <v>180</v>
      </c>
      <c r="D132" s="60">
        <f>12.01*10.764</f>
        <v>129.27563999999998</v>
      </c>
      <c r="E132" s="60">
        <v>0</v>
      </c>
      <c r="F132" s="60">
        <f t="shared" ref="F132" si="7">D132*(($F$128)+1)+E132</f>
        <v>22862.586710639516</v>
      </c>
      <c r="G132" s="65"/>
      <c r="H132" s="65"/>
      <c r="S132" s="66">
        <f t="shared" ref="S132" si="8">V132</f>
        <v>1</v>
      </c>
      <c r="T132" s="66"/>
      <c r="U132" s="54">
        <f>U131+1</f>
        <v>1</v>
      </c>
      <c r="V132" s="53">
        <f>V131+1</f>
        <v>1</v>
      </c>
    </row>
    <row r="133" spans="1:23" ht="47.25" customHeight="1" x14ac:dyDescent="0.25">
      <c r="A133" s="140" t="s">
        <v>195</v>
      </c>
      <c r="B133" s="141"/>
      <c r="C133" s="136" t="s">
        <v>64</v>
      </c>
      <c r="D133" s="136" t="s">
        <v>65</v>
      </c>
      <c r="E133" s="144" t="s">
        <v>66</v>
      </c>
      <c r="F133" s="29" t="s">
        <v>159</v>
      </c>
      <c r="G133" s="140" t="s">
        <v>67</v>
      </c>
      <c r="H133" s="141"/>
    </row>
    <row r="134" spans="1:23" s="53" customFormat="1" x14ac:dyDescent="0.25">
      <c r="A134" s="142"/>
      <c r="B134" s="143"/>
      <c r="C134" s="137"/>
      <c r="D134" s="137"/>
      <c r="E134" s="145"/>
      <c r="F134" s="18">
        <v>0.5</v>
      </c>
      <c r="G134" s="142"/>
      <c r="H134" s="143"/>
    </row>
    <row r="135" spans="1:23" s="53" customFormat="1" x14ac:dyDescent="0.25">
      <c r="A135" s="72" t="s">
        <v>179</v>
      </c>
      <c r="B135" s="72"/>
      <c r="C135" s="72"/>
      <c r="D135" s="72"/>
      <c r="E135" s="72"/>
      <c r="F135" s="72"/>
      <c r="G135" s="72"/>
      <c r="H135" s="72"/>
      <c r="U135" s="54"/>
    </row>
    <row r="136" spans="1:23" s="53" customFormat="1" x14ac:dyDescent="0.25">
      <c r="A136" s="72" t="s">
        <v>182</v>
      </c>
      <c r="B136" s="72"/>
      <c r="C136" s="72"/>
      <c r="D136" s="72"/>
      <c r="E136" s="72"/>
      <c r="F136" s="72"/>
      <c r="G136" s="72"/>
      <c r="H136" s="72"/>
      <c r="S136" s="66"/>
      <c r="T136" s="66"/>
      <c r="V136" s="53" t="str">
        <f>LEFT(A136,SUM(LEN(A136)-LEN(SUBSTITUTE(A136,{"0","1","2","3","4","5","6","7","8","9"},""))))</f>
        <v>1</v>
      </c>
    </row>
    <row r="137" spans="1:23" s="53" customFormat="1" x14ac:dyDescent="0.25">
      <c r="A137" s="63">
        <f t="shared" ref="A137:A142" ca="1" si="9">S137</f>
        <v>101</v>
      </c>
      <c r="B137" s="64"/>
      <c r="C137" s="28" t="s">
        <v>183</v>
      </c>
      <c r="D137" s="28">
        <f>(26.84+2.75*0.7+2.2*0.45+1.5*1.7+1.5*2.45)*10.764</f>
        <v>387.28871999999996</v>
      </c>
      <c r="E137" s="28">
        <v>0</v>
      </c>
      <c r="F137" s="28">
        <f>D137*(($F$134)+1)+E137</f>
        <v>580.9330799999999</v>
      </c>
      <c r="G137" s="65" t="str">
        <f>A136</f>
        <v>1st Floor for Residential</v>
      </c>
      <c r="H137" s="65"/>
      <c r="I137" s="53">
        <f>2.9*4.3+1.75*2.2+2.75*2.9+0.9*1.2+1.2*1.45</f>
        <v>27.114999999999998</v>
      </c>
      <c r="S137" s="66">
        <f t="shared" ref="S137:S142" ca="1" si="10">V137</f>
        <v>101</v>
      </c>
      <c r="T137" s="66"/>
      <c r="U137" s="54">
        <v>1</v>
      </c>
      <c r="V137" s="53">
        <f ca="1">(SUMPRODUCT(MID(0&amp;V136, LARGE(INDEX(ISNUMBER(--MID(V136, ROW(INDIRECT("1:"&amp;LEN(V136))), 1)) * ROW(INDIRECT("1:"&amp;LEN(V136))), 0), ROW(INDIRECT("1:"&amp;LEN(V136))))+1, 1) * 10^ROW(INDIRECT("1:"&amp;LEN(V136)))/10))*U137*100+1</f>
        <v>101</v>
      </c>
    </row>
    <row r="138" spans="1:23" s="53" customFormat="1" x14ac:dyDescent="0.25">
      <c r="A138" s="63">
        <f t="shared" ca="1" si="9"/>
        <v>102</v>
      </c>
      <c r="B138" s="64"/>
      <c r="C138" s="28" t="s">
        <v>183</v>
      </c>
      <c r="D138" s="28">
        <f>(27.09+2.75*0.7+(2.2+2.1)*0.45+1.5*1.7+1.5*2.45)*10.764</f>
        <v>400.15169999999995</v>
      </c>
      <c r="E138" s="28">
        <v>0</v>
      </c>
      <c r="F138" s="28">
        <f>D138*(($F$134)+1)+E138</f>
        <v>600.22754999999995</v>
      </c>
      <c r="G138" s="65" t="str">
        <f>G137</f>
        <v>1st Floor for Residential</v>
      </c>
      <c r="H138" s="65"/>
      <c r="I138" s="53">
        <f>2.9*4.25+1.75*2.2+2.75*2.75+0.9*1.69+1.26*2.47</f>
        <v>28.370700000000003</v>
      </c>
      <c r="S138" s="66">
        <f t="shared" ca="1" si="10"/>
        <v>102</v>
      </c>
      <c r="T138" s="66"/>
      <c r="U138" s="54">
        <f>U137+1</f>
        <v>2</v>
      </c>
      <c r="V138" s="53">
        <f ca="1">V137+1</f>
        <v>102</v>
      </c>
    </row>
    <row r="139" spans="1:23" s="53" customFormat="1" x14ac:dyDescent="0.25">
      <c r="A139" s="63">
        <f t="shared" ca="1" si="9"/>
        <v>103</v>
      </c>
      <c r="B139" s="64"/>
      <c r="C139" s="28" t="s">
        <v>183</v>
      </c>
      <c r="D139" s="28">
        <f>(25.68+2.75*0.7+2.2*0.45+1.5*1.7+1.5*2.45)*10.764</f>
        <v>374.80248</v>
      </c>
      <c r="E139" s="28">
        <v>0</v>
      </c>
      <c r="F139" s="28">
        <f>D139*(($F$134)+1)+E139</f>
        <v>562.20371999999998</v>
      </c>
      <c r="G139" s="65" t="str">
        <f>G138</f>
        <v>1st Floor for Residential</v>
      </c>
      <c r="H139" s="65"/>
      <c r="S139" s="66">
        <f t="shared" ca="1" si="10"/>
        <v>103</v>
      </c>
      <c r="T139" s="66"/>
      <c r="U139" s="54">
        <f>U138+1</f>
        <v>3</v>
      </c>
      <c r="V139" s="53">
        <f ca="1">V138+1</f>
        <v>103</v>
      </c>
    </row>
    <row r="140" spans="1:23" s="53" customFormat="1" x14ac:dyDescent="0.25">
      <c r="A140" s="63">
        <f t="shared" ca="1" si="9"/>
        <v>104</v>
      </c>
      <c r="B140" s="64"/>
      <c r="C140" s="28" t="s">
        <v>183</v>
      </c>
      <c r="D140" s="28">
        <f>(27.75+2.8*0.7+(2.7+2.2)*0.45+1.5*1.7+1.5*2.45)*10.764</f>
        <v>410.53895999999992</v>
      </c>
      <c r="E140" s="28">
        <v>0</v>
      </c>
      <c r="F140" s="28">
        <f>D140*(($F$134)+1)+E140</f>
        <v>615.80843999999991</v>
      </c>
      <c r="G140" s="65" t="str">
        <f>G139</f>
        <v>1st Floor for Residential</v>
      </c>
      <c r="H140" s="65"/>
      <c r="S140" s="66">
        <f t="shared" ca="1" si="10"/>
        <v>104</v>
      </c>
      <c r="T140" s="66"/>
      <c r="U140" s="54">
        <f t="shared" ref="U140:U142" si="11">U139+1</f>
        <v>4</v>
      </c>
      <c r="V140" s="53">
        <f ca="1">V139+1</f>
        <v>104</v>
      </c>
    </row>
    <row r="141" spans="1:23" s="53" customFormat="1" x14ac:dyDescent="0.25">
      <c r="A141" s="63">
        <f t="shared" ca="1" si="9"/>
        <v>105</v>
      </c>
      <c r="B141" s="64"/>
      <c r="C141" s="28" t="s">
        <v>184</v>
      </c>
      <c r="D141" s="28">
        <f>(37.68+(2+2.1+2.5)*0.7+(3+2.45)*0.45+3.15*1.5)*10.764</f>
        <v>532.57580999999993</v>
      </c>
      <c r="E141" s="28">
        <f>(1.5*1.9+0.5*2.1+2.1*1)*10.764</f>
        <v>64.584000000000003</v>
      </c>
      <c r="F141" s="28">
        <f>D141*(($F$134)+1)+E141</f>
        <v>863.44771500000002</v>
      </c>
      <c r="G141" s="65" t="str">
        <f>G140</f>
        <v>1st Floor for Residential</v>
      </c>
      <c r="H141" s="65"/>
      <c r="S141" s="66">
        <f t="shared" ca="1" si="10"/>
        <v>105</v>
      </c>
      <c r="T141" s="66"/>
      <c r="U141" s="54">
        <f t="shared" si="11"/>
        <v>5</v>
      </c>
      <c r="V141" s="53">
        <f ca="1">V140+1</f>
        <v>105</v>
      </c>
    </row>
    <row r="142" spans="1:23" s="53" customFormat="1" x14ac:dyDescent="0.25">
      <c r="A142" s="63">
        <f t="shared" ca="1" si="9"/>
        <v>106</v>
      </c>
      <c r="B142" s="64"/>
      <c r="C142" s="28" t="s">
        <v>183</v>
      </c>
      <c r="D142" s="28">
        <f>(26.1+(1.6+2.3+2.9)*0.7+(3.15+2.2)*0.45)*10.764</f>
        <v>358.09136999999998</v>
      </c>
      <c r="E142" s="28">
        <f>(2.1*1+2.6*4.9+1.2*1.2)*10.764</f>
        <v>175.23792</v>
      </c>
      <c r="F142" s="28">
        <f>D142*(($F$134)+1)+E142/2</f>
        <v>624.75601499999993</v>
      </c>
      <c r="G142" s="65" t="str">
        <f>G141</f>
        <v>1st Floor for Residential</v>
      </c>
      <c r="H142" s="65"/>
      <c r="S142" s="66">
        <f t="shared" ca="1" si="10"/>
        <v>106</v>
      </c>
      <c r="T142" s="66"/>
      <c r="U142" s="54">
        <f t="shared" si="11"/>
        <v>6</v>
      </c>
      <c r="V142" s="53">
        <f ca="1">V141+1</f>
        <v>106</v>
      </c>
    </row>
    <row r="143" spans="1:23" s="53" customFormat="1" x14ac:dyDescent="0.25">
      <c r="A143" s="73" t="s">
        <v>186</v>
      </c>
      <c r="B143" s="74"/>
      <c r="C143" s="74"/>
      <c r="D143" s="74"/>
      <c r="E143" s="74"/>
      <c r="F143" s="74"/>
      <c r="G143" s="74"/>
      <c r="H143" s="75"/>
      <c r="S143" s="66"/>
      <c r="T143" s="66"/>
      <c r="V143" s="53" t="str">
        <f>LEFT(A143,SUM(LEN(A143)-LEN(SUBSTITUTE(A143,{"0","1","2","3","4","5","6","7","8","9"},""))))</f>
        <v>2n</v>
      </c>
      <c r="W143" s="53">
        <f ca="1">--TRIM(RIGHT(SUBSTITUTE(LEFT(A143,_xlfn.AGGREGATE(14,6,FIND({0,1,2,3,4,5,6,7,8,9},A143,ROW(INDIRECT("1:"&amp;LEN(A143)))),1))," ",REPT(" ",LEN(A143))),LEN(A143)))</f>
        <v>4</v>
      </c>
    </row>
    <row r="144" spans="1:23" s="53" customFormat="1" x14ac:dyDescent="0.25">
      <c r="A144" s="63" t="str">
        <f t="shared" ref="A144:A149" ca="1" si="12">S144</f>
        <v>201,..,401</v>
      </c>
      <c r="B144" s="64"/>
      <c r="C144" s="28" t="s">
        <v>183</v>
      </c>
      <c r="D144" s="28">
        <f>(26.84+2.2*0.45+(2.75+1.5)*0.7+1.5*2.9)*10.764</f>
        <v>378.40841999999998</v>
      </c>
      <c r="E144" s="28">
        <v>0</v>
      </c>
      <c r="F144" s="28">
        <f>D144*(($F$134)+1)+E144</f>
        <v>567.61262999999997</v>
      </c>
      <c r="G144" s="63" t="str">
        <f>A143</f>
        <v>2nd &amp; 4th Floor</v>
      </c>
      <c r="H144" s="64"/>
      <c r="S144" s="66" t="str">
        <f t="shared" ref="S144:S149" ca="1" si="13">V144&amp;""&amp;$V$118&amp;""&amp;W144</f>
        <v>201,..,401</v>
      </c>
      <c r="T144" s="66"/>
      <c r="U144" s="54">
        <v>1</v>
      </c>
      <c r="V144" s="53">
        <f ca="1">(SUMPRODUCT(MID(0&amp;V143, LARGE(INDEX(ISNUMBER(--MID(V143, ROW(INDIRECT("1:"&amp;LEN(V143))), 1)) * ROW(INDIRECT("1:"&amp;LEN(V143))), 0), ROW(INDIRECT("1:"&amp;LEN(V143))))+1, 1) * 10^ROW(INDIRECT("1:"&amp;LEN(V143)))/10))*U144*100+1</f>
        <v>201</v>
      </c>
      <c r="W144" s="53">
        <f ca="1">(SUMPRODUCT(MID(0&amp;W143, LARGE(INDEX(ISNUMBER(--MID(W143, ROW(INDIRECT("1:"&amp;LEN(W143))), 1)) * ROW(INDIRECT("1:"&amp;LEN(W143))), 0), ROW(INDIRECT("1:"&amp;LEN(W143))))+1, 1) * 10^ROW(INDIRECT("1:"&amp;LEN(W143)))/10))*U144*100+1</f>
        <v>401</v>
      </c>
    </row>
    <row r="145" spans="1:23" s="53" customFormat="1" x14ac:dyDescent="0.25">
      <c r="A145" s="63" t="str">
        <f t="shared" ca="1" si="12"/>
        <v>202,..,402</v>
      </c>
      <c r="B145" s="64"/>
      <c r="C145" s="28" t="s">
        <v>183</v>
      </c>
      <c r="D145" s="28">
        <f>(27.09+2.75*0.7+(2.2+2.1)*0.45+1.5*3.5)*10.764</f>
        <v>389.65680000000003</v>
      </c>
      <c r="E145" s="28">
        <v>0</v>
      </c>
      <c r="F145" s="28">
        <f>D145*(($F$134)+1)+E145</f>
        <v>584.48520000000008</v>
      </c>
      <c r="G145" s="63" t="str">
        <f>G144</f>
        <v>2nd &amp; 4th Floor</v>
      </c>
      <c r="H145" s="64"/>
      <c r="S145" s="66" t="str">
        <f t="shared" ca="1" si="13"/>
        <v>202,..,402</v>
      </c>
      <c r="T145" s="66"/>
      <c r="U145" s="54">
        <f t="shared" ref="U145:W149" si="14">U144+1</f>
        <v>2</v>
      </c>
      <c r="V145" s="53">
        <f t="shared" ca="1" si="14"/>
        <v>202</v>
      </c>
      <c r="W145" s="53">
        <f t="shared" ca="1" si="14"/>
        <v>402</v>
      </c>
    </row>
    <row r="146" spans="1:23" s="53" customFormat="1" x14ac:dyDescent="0.25">
      <c r="A146" s="63" t="str">
        <f t="shared" ca="1" si="12"/>
        <v>203,..,403</v>
      </c>
      <c r="B146" s="64"/>
      <c r="C146" s="28" t="s">
        <v>183</v>
      </c>
      <c r="D146" s="28">
        <f>(25.68+(2.75+1.5)*0.7+2.2*0.45+1.5*3)*10.764</f>
        <v>367.53677999999991</v>
      </c>
      <c r="E146" s="28">
        <v>0</v>
      </c>
      <c r="F146" s="28">
        <f>D146*(($F$134)+1)+E146</f>
        <v>551.30516999999986</v>
      </c>
      <c r="G146" s="63" t="str">
        <f>G145</f>
        <v>2nd &amp; 4th Floor</v>
      </c>
      <c r="H146" s="64"/>
      <c r="S146" s="66" t="str">
        <f t="shared" ca="1" si="13"/>
        <v>203,..,403</v>
      </c>
      <c r="T146" s="66"/>
      <c r="U146" s="54">
        <f t="shared" si="14"/>
        <v>3</v>
      </c>
      <c r="V146" s="53">
        <f t="shared" ca="1" si="14"/>
        <v>203</v>
      </c>
      <c r="W146" s="53">
        <f t="shared" ca="1" si="14"/>
        <v>403</v>
      </c>
    </row>
    <row r="147" spans="1:23" s="53" customFormat="1" x14ac:dyDescent="0.25">
      <c r="A147" s="63" t="str">
        <f t="shared" ca="1" si="12"/>
        <v>204,..,404</v>
      </c>
      <c r="B147" s="64"/>
      <c r="C147" s="28" t="s">
        <v>183</v>
      </c>
      <c r="D147" s="28">
        <f>(27.75+(2.8+1.5)*0.7+(2.7+2.2)*0.45+1.5*3.05)*10.764</f>
        <v>404.08055999999988</v>
      </c>
      <c r="E147" s="28">
        <v>0</v>
      </c>
      <c r="F147" s="28">
        <f>D147*(($F$134)+1)+E147</f>
        <v>606.12083999999982</v>
      </c>
      <c r="G147" s="63" t="str">
        <f>G146</f>
        <v>2nd &amp; 4th Floor</v>
      </c>
      <c r="H147" s="64"/>
      <c r="S147" s="66" t="str">
        <f t="shared" ca="1" si="13"/>
        <v>204,..,404</v>
      </c>
      <c r="T147" s="66"/>
      <c r="U147" s="54">
        <f t="shared" si="14"/>
        <v>4</v>
      </c>
      <c r="V147" s="53">
        <f t="shared" ca="1" si="14"/>
        <v>204</v>
      </c>
      <c r="W147" s="53">
        <f t="shared" ca="1" si="14"/>
        <v>404</v>
      </c>
    </row>
    <row r="148" spans="1:23" s="53" customFormat="1" x14ac:dyDescent="0.25">
      <c r="A148" s="63" t="str">
        <f t="shared" ca="1" si="12"/>
        <v>205,..,405</v>
      </c>
      <c r="B148" s="64"/>
      <c r="C148" s="28" t="s">
        <v>184</v>
      </c>
      <c r="D148" s="28">
        <f>(37.68+(2+2.5)*0.7+(3+2.45)*0.45+4.95*1.5)*10.764</f>
        <v>545.81552999999997</v>
      </c>
      <c r="E148" s="28">
        <v>0</v>
      </c>
      <c r="F148" s="28">
        <f>D148*(($F$134)+1)+E148</f>
        <v>818.72329500000001</v>
      </c>
      <c r="G148" s="63" t="str">
        <f>G147</f>
        <v>2nd &amp; 4th Floor</v>
      </c>
      <c r="H148" s="64"/>
      <c r="S148" s="66" t="str">
        <f t="shared" ca="1" si="13"/>
        <v>205,..,405</v>
      </c>
      <c r="T148" s="66"/>
      <c r="U148" s="54">
        <f t="shared" si="14"/>
        <v>5</v>
      </c>
      <c r="V148" s="53">
        <f t="shared" ca="1" si="14"/>
        <v>205</v>
      </c>
      <c r="W148" s="53">
        <f t="shared" ca="1" si="14"/>
        <v>405</v>
      </c>
    </row>
    <row r="149" spans="1:23" s="53" customFormat="1" x14ac:dyDescent="0.25">
      <c r="A149" s="63" t="str">
        <f t="shared" ca="1" si="12"/>
        <v>206,..,406</v>
      </c>
      <c r="B149" s="64"/>
      <c r="C149" s="28" t="s">
        <v>183</v>
      </c>
      <c r="D149" s="28">
        <f>(26.1+(1.6+2.3)*0.7+(3.15+2.2)*0.45+3*1)*10.764</f>
        <v>368.53244999999993</v>
      </c>
      <c r="E149" s="28">
        <v>0</v>
      </c>
      <c r="F149" s="28">
        <f t="shared" ref="F149" si="15">D149*(($F$134)+1)+E149</f>
        <v>552.79867499999989</v>
      </c>
      <c r="G149" s="63" t="str">
        <f>G148</f>
        <v>2nd &amp; 4th Floor</v>
      </c>
      <c r="H149" s="64"/>
      <c r="S149" s="66" t="str">
        <f t="shared" ca="1" si="13"/>
        <v>206,..,406</v>
      </c>
      <c r="T149" s="66"/>
      <c r="U149" s="54">
        <f t="shared" si="14"/>
        <v>6</v>
      </c>
      <c r="V149" s="53">
        <f t="shared" ca="1" si="14"/>
        <v>206</v>
      </c>
      <c r="W149" s="53">
        <f t="shared" ca="1" si="14"/>
        <v>406</v>
      </c>
    </row>
    <row r="150" spans="1:23" s="53" customFormat="1" x14ac:dyDescent="0.25">
      <c r="A150" s="73" t="s">
        <v>187</v>
      </c>
      <c r="B150" s="74"/>
      <c r="C150" s="74"/>
      <c r="D150" s="74"/>
      <c r="E150" s="74"/>
      <c r="F150" s="74"/>
      <c r="G150" s="74"/>
      <c r="H150" s="75"/>
      <c r="V150" s="53" t="str">
        <f>LEFT(A150,SUM(LEN(A150)-LEN(SUBSTITUTE(A150,{"0","1","2","3","4","5","6","7","8","9"},""))))</f>
        <v>3r</v>
      </c>
      <c r="W150" s="53">
        <f ca="1">--TRIM(RIGHT(SUBSTITUTE(LEFT(A150,_xlfn.AGGREGATE(14,6,FIND({0,1,2,3,4,5,6,7,8,9},A150,ROW(INDIRECT("1:"&amp;LEN(A150)))),1))," ",REPT(" ",LEN(A150))),LEN(A150)))</f>
        <v>5</v>
      </c>
    </row>
    <row r="151" spans="1:23" s="53" customFormat="1" x14ac:dyDescent="0.25">
      <c r="A151" s="63" t="str">
        <f t="shared" ref="A151:A156" ca="1" si="16">S151</f>
        <v>301,..,501</v>
      </c>
      <c r="B151" s="64"/>
      <c r="C151" s="28" t="s">
        <v>183</v>
      </c>
      <c r="D151" s="28">
        <f>(26.84+2.75*0.7+2.2*0.45+1.5*1.7+1.5*2.45)*10.764</f>
        <v>387.28871999999996</v>
      </c>
      <c r="E151" s="28">
        <v>0</v>
      </c>
      <c r="F151" s="28">
        <f>D151*(($F$134)+1)+E151</f>
        <v>580.9330799999999</v>
      </c>
      <c r="G151" s="63" t="str">
        <f>A150</f>
        <v>3rd &amp; 5th Floor</v>
      </c>
      <c r="H151" s="64"/>
      <c r="S151" s="66" t="str">
        <f t="shared" ref="S151:S156" ca="1" si="17">V151&amp;""&amp;$V$118&amp;""&amp;W151</f>
        <v>301,..,501</v>
      </c>
      <c r="T151" s="66"/>
      <c r="U151" s="54">
        <v>1</v>
      </c>
      <c r="V151" s="53">
        <f ca="1">(SUMPRODUCT(MID(0&amp;V150, LARGE(INDEX(ISNUMBER(--MID(V150, ROW(INDIRECT("1:"&amp;LEN(V150))), 1)) * ROW(INDIRECT("1:"&amp;LEN(V150))), 0), ROW(INDIRECT("1:"&amp;LEN(V150))))+1, 1) * 10^ROW(INDIRECT("1:"&amp;LEN(V150)))/10))*U151*100+1</f>
        <v>301</v>
      </c>
      <c r="W151" s="53">
        <f ca="1">(SUMPRODUCT(MID(0&amp;W150, LARGE(INDEX(ISNUMBER(--MID(W150, ROW(INDIRECT("1:"&amp;LEN(W150))), 1)) * ROW(INDIRECT("1:"&amp;LEN(W150))), 0), ROW(INDIRECT("1:"&amp;LEN(W150))))+1, 1) * 10^ROW(INDIRECT("1:"&amp;LEN(W150)))/10))*U151*100+1</f>
        <v>501</v>
      </c>
    </row>
    <row r="152" spans="1:23" s="53" customFormat="1" x14ac:dyDescent="0.25">
      <c r="A152" s="63" t="str">
        <f t="shared" ca="1" si="16"/>
        <v>302,..,502</v>
      </c>
      <c r="B152" s="64"/>
      <c r="C152" s="28" t="s">
        <v>183</v>
      </c>
      <c r="D152" s="28">
        <f>(27.09+2.75*0.7+(2.2+2.1)*0.45+1.5*1.7+1.5*2.45)*10.764</f>
        <v>400.15169999999995</v>
      </c>
      <c r="E152" s="28">
        <v>0</v>
      </c>
      <c r="F152" s="28">
        <f t="shared" ref="F152:F156" si="18">D152*(($F$134)+1)+E152</f>
        <v>600.22754999999995</v>
      </c>
      <c r="G152" s="63" t="str">
        <f>G151</f>
        <v>3rd &amp; 5th Floor</v>
      </c>
      <c r="H152" s="64"/>
      <c r="S152" s="66" t="str">
        <f t="shared" ca="1" si="17"/>
        <v>302,..,502</v>
      </c>
      <c r="T152" s="66"/>
      <c r="U152" s="54">
        <f t="shared" ref="U152:W156" si="19">U151+1</f>
        <v>2</v>
      </c>
      <c r="V152" s="53">
        <f t="shared" ca="1" si="19"/>
        <v>302</v>
      </c>
      <c r="W152" s="53">
        <f t="shared" ca="1" si="19"/>
        <v>502</v>
      </c>
    </row>
    <row r="153" spans="1:23" s="53" customFormat="1" x14ac:dyDescent="0.25">
      <c r="A153" s="63" t="str">
        <f t="shared" ca="1" si="16"/>
        <v>303,..,503</v>
      </c>
      <c r="B153" s="64"/>
      <c r="C153" s="28" t="s">
        <v>183</v>
      </c>
      <c r="D153" s="28">
        <f>(25.68+2.75*0.7+2.2*0.45+1.5*1.7+1.5*2.45)*10.764</f>
        <v>374.80248</v>
      </c>
      <c r="E153" s="28">
        <v>0</v>
      </c>
      <c r="F153" s="28">
        <f t="shared" si="18"/>
        <v>562.20371999999998</v>
      </c>
      <c r="G153" s="63" t="str">
        <f>G152</f>
        <v>3rd &amp; 5th Floor</v>
      </c>
      <c r="H153" s="64"/>
      <c r="S153" s="66" t="str">
        <f t="shared" ca="1" si="17"/>
        <v>303,..,503</v>
      </c>
      <c r="T153" s="66"/>
      <c r="U153" s="54">
        <f t="shared" si="19"/>
        <v>3</v>
      </c>
      <c r="V153" s="53">
        <f t="shared" ca="1" si="19"/>
        <v>303</v>
      </c>
      <c r="W153" s="53">
        <f t="shared" ca="1" si="19"/>
        <v>503</v>
      </c>
    </row>
    <row r="154" spans="1:23" s="53" customFormat="1" x14ac:dyDescent="0.25">
      <c r="A154" s="63" t="str">
        <f t="shared" ca="1" si="16"/>
        <v>304,..,504</v>
      </c>
      <c r="B154" s="64"/>
      <c r="C154" s="28" t="s">
        <v>183</v>
      </c>
      <c r="D154" s="28">
        <f>(27.75+2.8*0.7+(2.7+2.2)*0.45+1.5*1.7+1.5*2.45)*10.764</f>
        <v>410.53895999999992</v>
      </c>
      <c r="E154" s="28">
        <v>0</v>
      </c>
      <c r="F154" s="28">
        <f t="shared" si="18"/>
        <v>615.80843999999991</v>
      </c>
      <c r="G154" s="63" t="str">
        <f>G153</f>
        <v>3rd &amp; 5th Floor</v>
      </c>
      <c r="H154" s="64"/>
      <c r="S154" s="66" t="str">
        <f t="shared" ca="1" si="17"/>
        <v>304,..,504</v>
      </c>
      <c r="T154" s="66"/>
      <c r="U154" s="54">
        <f t="shared" si="19"/>
        <v>4</v>
      </c>
      <c r="V154" s="53">
        <f t="shared" ca="1" si="19"/>
        <v>304</v>
      </c>
      <c r="W154" s="53">
        <f t="shared" ca="1" si="19"/>
        <v>504</v>
      </c>
    </row>
    <row r="155" spans="1:23" s="53" customFormat="1" x14ac:dyDescent="0.25">
      <c r="A155" s="63" t="str">
        <f t="shared" ca="1" si="16"/>
        <v>305,..,505</v>
      </c>
      <c r="B155" s="64"/>
      <c r="C155" s="28" t="s">
        <v>184</v>
      </c>
      <c r="D155" s="28">
        <f>(37.68+(2+2.1+2.5)*0.7+(3+2.45)*0.45+3.15*1.5)*10.764</f>
        <v>532.57580999999993</v>
      </c>
      <c r="E155" s="28">
        <v>0</v>
      </c>
      <c r="F155" s="28">
        <f t="shared" si="18"/>
        <v>798.86371499999996</v>
      </c>
      <c r="G155" s="63" t="str">
        <f>G154</f>
        <v>3rd &amp; 5th Floor</v>
      </c>
      <c r="H155" s="64"/>
      <c r="S155" s="66" t="str">
        <f t="shared" ca="1" si="17"/>
        <v>305,..,505</v>
      </c>
      <c r="T155" s="66"/>
      <c r="U155" s="54">
        <f t="shared" si="19"/>
        <v>5</v>
      </c>
      <c r="V155" s="53">
        <f t="shared" ca="1" si="19"/>
        <v>305</v>
      </c>
      <c r="W155" s="53">
        <f t="shared" ca="1" si="19"/>
        <v>505</v>
      </c>
    </row>
    <row r="156" spans="1:23" s="53" customFormat="1" x14ac:dyDescent="0.25">
      <c r="A156" s="63" t="str">
        <f t="shared" ca="1" si="16"/>
        <v>306,..,506</v>
      </c>
      <c r="B156" s="64"/>
      <c r="C156" s="28" t="s">
        <v>183</v>
      </c>
      <c r="D156" s="28">
        <f>(26.1+(1.6+2.3+2.9)*0.7+(3.15+2.2)*0.45)*10.764</f>
        <v>358.09136999999998</v>
      </c>
      <c r="E156" s="28">
        <v>0</v>
      </c>
      <c r="F156" s="28">
        <f t="shared" si="18"/>
        <v>537.13705499999992</v>
      </c>
      <c r="G156" s="63" t="str">
        <f>G155</f>
        <v>3rd &amp; 5th Floor</v>
      </c>
      <c r="H156" s="64"/>
      <c r="S156" s="66" t="str">
        <f t="shared" ca="1" si="17"/>
        <v>306,..,506</v>
      </c>
      <c r="T156" s="66"/>
      <c r="U156" s="54">
        <f t="shared" si="19"/>
        <v>6</v>
      </c>
      <c r="V156" s="53">
        <f t="shared" ca="1" si="19"/>
        <v>306</v>
      </c>
      <c r="W156" s="53">
        <f t="shared" ca="1" si="19"/>
        <v>506</v>
      </c>
    </row>
    <row r="157" spans="1:23" s="53" customFormat="1" x14ac:dyDescent="0.25">
      <c r="A157" s="72" t="s">
        <v>188</v>
      </c>
      <c r="B157" s="72"/>
      <c r="C157" s="72"/>
      <c r="D157" s="72"/>
      <c r="E157" s="72"/>
      <c r="F157" s="72"/>
      <c r="G157" s="72"/>
      <c r="H157" s="72"/>
      <c r="S157" s="66"/>
      <c r="T157" s="66"/>
      <c r="V157" s="53" t="str">
        <f>LEFT(A157,SUM(LEN(A157)-LEN(SUBSTITUTE(A157,{"0","1","2","3","4","5","6","7","8","9"},""))))</f>
        <v>6</v>
      </c>
    </row>
    <row r="158" spans="1:23" s="53" customFormat="1" x14ac:dyDescent="0.25">
      <c r="A158" s="65">
        <f t="shared" ref="A158:A163" ca="1" si="20">S158</f>
        <v>601</v>
      </c>
      <c r="B158" s="65"/>
      <c r="C158" s="60" t="s">
        <v>183</v>
      </c>
      <c r="D158" s="60">
        <f>(26.84+2.2*0.45+1.5*0.7+(2.3+2.8)*0.6)*10.764</f>
        <v>343.80215999999996</v>
      </c>
      <c r="E158" s="60">
        <v>0</v>
      </c>
      <c r="F158" s="60">
        <f>D158*(($F$134)+1)+E158</f>
        <v>515.70323999999994</v>
      </c>
      <c r="G158" s="65" t="str">
        <f>A157</f>
        <v>6th Floor</v>
      </c>
      <c r="H158" s="65"/>
      <c r="S158" s="66">
        <f t="shared" ref="S158:S163" ca="1" si="21">V158</f>
        <v>601</v>
      </c>
      <c r="T158" s="66"/>
      <c r="U158" s="54">
        <v>1</v>
      </c>
      <c r="V158" s="53">
        <f ca="1">(SUMPRODUCT(MID(0&amp;V157, LARGE(INDEX(ISNUMBER(--MID(V157, ROW(INDIRECT("1:"&amp;LEN(V157))), 1)) * ROW(INDIRECT("1:"&amp;LEN(V157))), 0), ROW(INDIRECT("1:"&amp;LEN(V157))))+1, 1) * 10^ROW(INDIRECT("1:"&amp;LEN(V157)))/10))*U158*100+1</f>
        <v>601</v>
      </c>
    </row>
    <row r="159" spans="1:23" s="53" customFormat="1" x14ac:dyDescent="0.25">
      <c r="A159" s="65">
        <f t="shared" ca="1" si="20"/>
        <v>602</v>
      </c>
      <c r="B159" s="65"/>
      <c r="C159" s="60" t="s">
        <v>183</v>
      </c>
      <c r="D159" s="60">
        <f>(27.09+2.2*0.45+1.5*0.7+(2.8+2.3)*0.6)*10.764</f>
        <v>346.49315999999993</v>
      </c>
      <c r="E159" s="60">
        <v>0</v>
      </c>
      <c r="F159" s="60">
        <f t="shared" ref="F159:F162" si="22">D159*(($F$134)+1)+E159</f>
        <v>519.73973999999987</v>
      </c>
      <c r="G159" s="65" t="str">
        <f>G158</f>
        <v>6th Floor</v>
      </c>
      <c r="H159" s="65"/>
      <c r="S159" s="66">
        <f t="shared" ca="1" si="21"/>
        <v>602</v>
      </c>
      <c r="T159" s="66"/>
      <c r="U159" s="54">
        <f>U158+1</f>
        <v>2</v>
      </c>
      <c r="V159" s="53">
        <f ca="1">V158+1</f>
        <v>602</v>
      </c>
    </row>
    <row r="160" spans="1:23" s="53" customFormat="1" x14ac:dyDescent="0.25">
      <c r="A160" s="65">
        <f t="shared" ca="1" si="20"/>
        <v>603</v>
      </c>
      <c r="B160" s="65"/>
      <c r="C160" s="60" t="s">
        <v>183</v>
      </c>
      <c r="D160" s="60">
        <f>(25.68+1.5*0.7+2.2*0.45+(2.3+2.8)*0.6)*10.764</f>
        <v>331.31591999999995</v>
      </c>
      <c r="E160" s="60">
        <v>0</v>
      </c>
      <c r="F160" s="60">
        <f t="shared" si="22"/>
        <v>496.97387999999989</v>
      </c>
      <c r="G160" s="65" t="str">
        <f>G159</f>
        <v>6th Floor</v>
      </c>
      <c r="H160" s="65"/>
      <c r="S160" s="66">
        <f t="shared" ca="1" si="21"/>
        <v>603</v>
      </c>
      <c r="T160" s="66"/>
      <c r="U160" s="54">
        <f>U159+1</f>
        <v>3</v>
      </c>
      <c r="V160" s="53">
        <f ca="1">V159+1</f>
        <v>603</v>
      </c>
    </row>
    <row r="161" spans="1:22" s="53" customFormat="1" x14ac:dyDescent="0.25">
      <c r="A161" s="65">
        <f t="shared" ca="1" si="20"/>
        <v>604</v>
      </c>
      <c r="B161" s="65"/>
      <c r="C161" s="60" t="s">
        <v>183</v>
      </c>
      <c r="D161" s="60">
        <f>(27.75+1.5*0.7+(2.7+2.2)*0.45+(2.3+3)*0.6)*10.764</f>
        <v>367.96733999999998</v>
      </c>
      <c r="E161" s="60">
        <v>0</v>
      </c>
      <c r="F161" s="60">
        <f t="shared" si="22"/>
        <v>551.95101</v>
      </c>
      <c r="G161" s="65" t="str">
        <f>G160</f>
        <v>6th Floor</v>
      </c>
      <c r="H161" s="65"/>
      <c r="S161" s="66">
        <f t="shared" ca="1" si="21"/>
        <v>604</v>
      </c>
      <c r="T161" s="66"/>
      <c r="U161" s="54">
        <f t="shared" ref="U161:U163" si="23">U160+1</f>
        <v>4</v>
      </c>
      <c r="V161" s="53">
        <f ca="1">V160+1</f>
        <v>604</v>
      </c>
    </row>
    <row r="162" spans="1:22" s="53" customFormat="1" x14ac:dyDescent="0.25">
      <c r="A162" s="65">
        <f t="shared" ca="1" si="20"/>
        <v>605</v>
      </c>
      <c r="B162" s="65"/>
      <c r="C162" s="60" t="s">
        <v>184</v>
      </c>
      <c r="D162" s="60">
        <f>(37.68+(2+2.5)*0.7+(3+2.45)*0.45+4.95*1.5)*10.764</f>
        <v>545.81552999999997</v>
      </c>
      <c r="E162" s="60">
        <v>0</v>
      </c>
      <c r="F162" s="60">
        <f t="shared" si="22"/>
        <v>818.72329500000001</v>
      </c>
      <c r="G162" s="65" t="str">
        <f>G161</f>
        <v>6th Floor</v>
      </c>
      <c r="H162" s="65"/>
      <c r="S162" s="66">
        <f t="shared" ca="1" si="21"/>
        <v>605</v>
      </c>
      <c r="T162" s="66"/>
      <c r="U162" s="54">
        <f t="shared" si="23"/>
        <v>5</v>
      </c>
      <c r="V162" s="53">
        <f ca="1">V161+1</f>
        <v>605</v>
      </c>
    </row>
    <row r="163" spans="1:22" s="53" customFormat="1" x14ac:dyDescent="0.25">
      <c r="A163" s="63">
        <f t="shared" ca="1" si="20"/>
        <v>606</v>
      </c>
      <c r="B163" s="64"/>
      <c r="C163" s="28" t="s">
        <v>183</v>
      </c>
      <c r="D163" s="28">
        <f>(26.1+(1.6+2.3)*0.7+(3.15+2.2)*0.45+3*1.5)*10.764</f>
        <v>384.67844999999994</v>
      </c>
      <c r="E163" s="28">
        <v>0</v>
      </c>
      <c r="F163" s="28">
        <f>D163*(($F$134)+1)+E163</f>
        <v>577.01767499999994</v>
      </c>
      <c r="G163" s="65" t="str">
        <f>G162</f>
        <v>6th Floor</v>
      </c>
      <c r="H163" s="65"/>
      <c r="S163" s="66">
        <f t="shared" ca="1" si="21"/>
        <v>606</v>
      </c>
      <c r="T163" s="66"/>
      <c r="U163" s="54">
        <f t="shared" si="23"/>
        <v>6</v>
      </c>
      <c r="V163" s="53">
        <f ca="1">V162+1</f>
        <v>606</v>
      </c>
    </row>
    <row r="164" spans="1:22" s="53" customFormat="1" x14ac:dyDescent="0.25">
      <c r="A164" s="72" t="s">
        <v>189</v>
      </c>
      <c r="B164" s="72"/>
      <c r="C164" s="72"/>
      <c r="D164" s="72"/>
      <c r="E164" s="72"/>
      <c r="F164" s="72"/>
      <c r="G164" s="72"/>
      <c r="H164" s="72"/>
      <c r="S164" s="66"/>
      <c r="T164" s="66"/>
      <c r="V164" s="53" t="str">
        <f>LEFT(A164,SUM(LEN(A164)-LEN(SUBSTITUTE(A164,{"0","1","2","3","4","5","6","7","8","9"},""))))</f>
        <v>7</v>
      </c>
    </row>
    <row r="165" spans="1:22" s="53" customFormat="1" x14ac:dyDescent="0.25">
      <c r="A165" s="63">
        <f t="shared" ref="A165:A170" ca="1" si="24">S165</f>
        <v>701</v>
      </c>
      <c r="B165" s="64"/>
      <c r="C165" s="28" t="s">
        <v>190</v>
      </c>
      <c r="D165" s="28">
        <f>(19.02+2.2*0.45+2.3*0.7+1.5*1.7)*10.764</f>
        <v>260.16587999999996</v>
      </c>
      <c r="E165" s="28">
        <f>2.75*3*10.764</f>
        <v>88.802999999999997</v>
      </c>
      <c r="F165" s="28">
        <f>D165*(($F$134)+1)+E165</f>
        <v>479.05181999999991</v>
      </c>
      <c r="G165" s="65" t="str">
        <f>A164</f>
        <v>7th Floor</v>
      </c>
      <c r="H165" s="65"/>
      <c r="S165" s="66">
        <f t="shared" ref="S165:S170" ca="1" si="25">V165</f>
        <v>701</v>
      </c>
      <c r="T165" s="66"/>
      <c r="U165" s="54">
        <v>1</v>
      </c>
      <c r="V165" s="53">
        <f ca="1">(SUMPRODUCT(MID(0&amp;V164, LARGE(INDEX(ISNUMBER(--MID(V164, ROW(INDIRECT("1:"&amp;LEN(V164))), 1)) * ROW(INDIRECT("1:"&amp;LEN(V164))), 0), ROW(INDIRECT("1:"&amp;LEN(V164))))+1, 1) * 10^ROW(INDIRECT("1:"&amp;LEN(V164)))/10))*U165*100+1</f>
        <v>701</v>
      </c>
    </row>
    <row r="166" spans="1:22" s="53" customFormat="1" x14ac:dyDescent="0.25">
      <c r="A166" s="63">
        <f t="shared" ca="1" si="24"/>
        <v>702</v>
      </c>
      <c r="B166" s="64"/>
      <c r="C166" s="28" t="s">
        <v>190</v>
      </c>
      <c r="D166" s="28">
        <f>(19.58+2.2*0.45+2.3*0.45+2.3*0.7+1.5*1.7)*10.764</f>
        <v>277.33445999999998</v>
      </c>
      <c r="E166" s="28">
        <f>2.85*3.3*10.764</f>
        <v>101.23541999999999</v>
      </c>
      <c r="F166" s="28">
        <f t="shared" ref="F166:F170" si="26">D166*(($F$134)+1)+E166</f>
        <v>517.23710999999992</v>
      </c>
      <c r="G166" s="65" t="str">
        <f>G165</f>
        <v>7th Floor</v>
      </c>
      <c r="H166" s="65"/>
      <c r="S166" s="66">
        <f t="shared" ca="1" si="25"/>
        <v>702</v>
      </c>
      <c r="T166" s="66"/>
      <c r="U166" s="54">
        <f>U165+1</f>
        <v>2</v>
      </c>
      <c r="V166" s="53">
        <f ca="1">V165+1</f>
        <v>702</v>
      </c>
    </row>
    <row r="167" spans="1:22" s="53" customFormat="1" x14ac:dyDescent="0.25">
      <c r="A167" s="63">
        <f t="shared" ca="1" si="24"/>
        <v>703</v>
      </c>
      <c r="B167" s="64"/>
      <c r="C167" s="28" t="s">
        <v>190</v>
      </c>
      <c r="D167" s="28">
        <f>(18.15+2.2*0.45+2.3*0.7+1.5*1.7)*10.764</f>
        <v>250.80119999999997</v>
      </c>
      <c r="E167" s="28">
        <f>3.05*2.7*10.764</f>
        <v>88.641539999999992</v>
      </c>
      <c r="F167" s="28">
        <f t="shared" si="26"/>
        <v>464.8433399999999</v>
      </c>
      <c r="G167" s="65" t="str">
        <f>G166</f>
        <v>7th Floor</v>
      </c>
      <c r="H167" s="65"/>
      <c r="S167" s="66">
        <f t="shared" ca="1" si="25"/>
        <v>703</v>
      </c>
      <c r="T167" s="66"/>
      <c r="U167" s="54">
        <f>U166+1</f>
        <v>3</v>
      </c>
      <c r="V167" s="53">
        <f ca="1">V166+1</f>
        <v>703</v>
      </c>
    </row>
    <row r="168" spans="1:22" s="53" customFormat="1" x14ac:dyDescent="0.25">
      <c r="A168" s="63">
        <f t="shared" ca="1" si="24"/>
        <v>704</v>
      </c>
      <c r="B168" s="64"/>
      <c r="C168" s="28" t="s">
        <v>190</v>
      </c>
      <c r="D168" s="28">
        <f>(20.09+2.2*0.45+2.3*0.7+1.5*1.7)*10.764</f>
        <v>271.68335999999999</v>
      </c>
      <c r="E168" s="28">
        <f>3.3*2.8*10.764</f>
        <v>99.459359999999975</v>
      </c>
      <c r="F168" s="28">
        <f t="shared" si="26"/>
        <v>506.98439999999994</v>
      </c>
      <c r="G168" s="65" t="str">
        <f>G167</f>
        <v>7th Floor</v>
      </c>
      <c r="H168" s="65"/>
      <c r="S168" s="66">
        <f t="shared" ca="1" si="25"/>
        <v>704</v>
      </c>
      <c r="T168" s="66"/>
      <c r="U168" s="54">
        <f t="shared" ref="U168:U170" si="27">U167+1</f>
        <v>4</v>
      </c>
      <c r="V168" s="53">
        <f ca="1">V167+1</f>
        <v>704</v>
      </c>
    </row>
    <row r="169" spans="1:22" s="53" customFormat="1" x14ac:dyDescent="0.25">
      <c r="A169" s="63">
        <f t="shared" ca="1" si="24"/>
        <v>705</v>
      </c>
      <c r="B169" s="64"/>
      <c r="C169" s="28" t="s">
        <v>184</v>
      </c>
      <c r="D169" s="28">
        <f>(37.55+(2.45+3)*0.45+(2.3+2.7+3.3)*0.7+2.2*1.5)*10.764</f>
        <v>528.64694999999995</v>
      </c>
      <c r="E169" s="28">
        <v>0</v>
      </c>
      <c r="F169" s="28">
        <f t="shared" si="26"/>
        <v>792.97042499999998</v>
      </c>
      <c r="G169" s="65" t="str">
        <f>G168</f>
        <v>7th Floor</v>
      </c>
      <c r="H169" s="65"/>
      <c r="S169" s="66">
        <f t="shared" ca="1" si="25"/>
        <v>705</v>
      </c>
      <c r="T169" s="66"/>
      <c r="U169" s="54">
        <f t="shared" si="27"/>
        <v>5</v>
      </c>
      <c r="V169" s="53">
        <f ca="1">V168+1</f>
        <v>705</v>
      </c>
    </row>
    <row r="170" spans="1:22" s="53" customFormat="1" x14ac:dyDescent="0.25">
      <c r="A170" s="63">
        <f t="shared" ca="1" si="24"/>
        <v>706</v>
      </c>
      <c r="B170" s="64"/>
      <c r="C170" s="28" t="s">
        <v>183</v>
      </c>
      <c r="D170" s="28">
        <f>(26.1+(1.6+2.3+2.9)*0.7+(3.15+2.2)*0.45)*10.764</f>
        <v>358.09136999999998</v>
      </c>
      <c r="E170" s="28">
        <v>0</v>
      </c>
      <c r="F170" s="28">
        <f t="shared" si="26"/>
        <v>537.13705499999992</v>
      </c>
      <c r="G170" s="65" t="str">
        <f>G169</f>
        <v>7th Floor</v>
      </c>
      <c r="H170" s="65"/>
      <c r="S170" s="66">
        <f t="shared" ca="1" si="25"/>
        <v>706</v>
      </c>
      <c r="T170" s="66"/>
      <c r="U170" s="54">
        <f t="shared" si="27"/>
        <v>6</v>
      </c>
      <c r="V170" s="53">
        <f ca="1">V169+1</f>
        <v>706</v>
      </c>
    </row>
    <row r="171" spans="1:22" s="53" customFormat="1" x14ac:dyDescent="0.25">
      <c r="A171" s="72" t="s">
        <v>185</v>
      </c>
      <c r="B171" s="72"/>
      <c r="C171" s="72"/>
      <c r="D171" s="72"/>
      <c r="E171" s="72"/>
      <c r="F171" s="72"/>
      <c r="G171" s="72"/>
      <c r="H171" s="72"/>
      <c r="U171" s="54"/>
    </row>
    <row r="172" spans="1:22" s="53" customFormat="1" x14ac:dyDescent="0.25">
      <c r="A172" s="72" t="s">
        <v>161</v>
      </c>
      <c r="B172" s="72"/>
      <c r="C172" s="72"/>
      <c r="D172" s="72"/>
      <c r="E172" s="72"/>
      <c r="F172" s="72"/>
      <c r="G172" s="72"/>
      <c r="H172" s="72"/>
      <c r="S172" s="66"/>
      <c r="T172" s="66"/>
      <c r="V172" s="53" t="str">
        <f>LEFT(A172,SUM(LEN(A172)-LEN(SUBSTITUTE(A172,{"0","1","2","3","4","5","6","7","8","9"},""))))</f>
        <v>1</v>
      </c>
    </row>
    <row r="173" spans="1:22" s="53" customFormat="1" x14ac:dyDescent="0.25">
      <c r="A173" s="63">
        <f t="shared" ref="A173:A181" ca="1" si="28">S173</f>
        <v>101</v>
      </c>
      <c r="B173" s="64"/>
      <c r="C173" s="28" t="s">
        <v>183</v>
      </c>
      <c r="D173" s="28">
        <f>(27.44+(3.15+2.2)*0.45+(1.5+2.3+2.9)*0.7)*10.764</f>
        <v>371.76164999999997</v>
      </c>
      <c r="E173" s="28">
        <f>(2.1*1+2.6*4.9+1.2*1.2)*10.764</f>
        <v>175.23792</v>
      </c>
      <c r="F173" s="28">
        <f>D173*(($F$134)+1)+E173/2</f>
        <v>645.26143500000001</v>
      </c>
      <c r="G173" s="65" t="str">
        <f>A172</f>
        <v>1st Floor</v>
      </c>
      <c r="H173" s="65"/>
      <c r="S173" s="66">
        <f t="shared" ref="S173:S185" ca="1" si="29">V173</f>
        <v>101</v>
      </c>
      <c r="T173" s="66"/>
      <c r="U173" s="54">
        <v>1</v>
      </c>
      <c r="V173" s="53">
        <f ca="1">(SUMPRODUCT(MID(0&amp;V172, LARGE(INDEX(ISNUMBER(--MID(V172, ROW(INDIRECT("1:"&amp;LEN(V172))), 1)) * ROW(INDIRECT("1:"&amp;LEN(V172))), 0), ROW(INDIRECT("1:"&amp;LEN(V172))))+1, 1) * 10^ROW(INDIRECT("1:"&amp;LEN(V172)))/10))*U173*100+1</f>
        <v>101</v>
      </c>
    </row>
    <row r="174" spans="1:22" s="53" customFormat="1" x14ac:dyDescent="0.25">
      <c r="A174" s="63">
        <f t="shared" ca="1" si="28"/>
        <v>102</v>
      </c>
      <c r="B174" s="64"/>
      <c r="C174" s="28" t="s">
        <v>184</v>
      </c>
      <c r="D174" s="28">
        <f>(37.57+(3+2.45)*0.45+(2+2.2+2.7)*0.7+3.15*1.5)*10.764</f>
        <v>533.65220999999997</v>
      </c>
      <c r="E174" s="28">
        <f>(2*1.1+1.4+2+2.2*0.5)*10.764</f>
        <v>72.118799999999993</v>
      </c>
      <c r="F174" s="28">
        <f t="shared" ref="F174:F185" si="30">D174*(($F$134)+1)+E174</f>
        <v>872.59711499999992</v>
      </c>
      <c r="G174" s="65" t="str">
        <f t="shared" ref="G174:G185" si="31">G173</f>
        <v>1st Floor</v>
      </c>
      <c r="H174" s="65"/>
      <c r="S174" s="66">
        <f t="shared" ca="1" si="29"/>
        <v>102</v>
      </c>
      <c r="T174" s="66"/>
      <c r="U174" s="54">
        <f>U173+1</f>
        <v>2</v>
      </c>
      <c r="V174" s="53">
        <f ca="1">V173+1</f>
        <v>102</v>
      </c>
    </row>
    <row r="175" spans="1:22" s="53" customFormat="1" x14ac:dyDescent="0.25">
      <c r="A175" s="63">
        <f t="shared" ca="1" si="28"/>
        <v>103</v>
      </c>
      <c r="B175" s="64"/>
      <c r="C175" s="28" t="s">
        <v>183</v>
      </c>
      <c r="D175" s="28">
        <f>(27.75+(2.1+2.4)*0.45+2.8*0.7+1.5*2.5+1.5*2)*10.764</f>
        <v>414.25253999999995</v>
      </c>
      <c r="E175" s="28">
        <v>0</v>
      </c>
      <c r="F175" s="28">
        <f t="shared" si="30"/>
        <v>621.37880999999993</v>
      </c>
      <c r="G175" s="65" t="str">
        <f t="shared" si="31"/>
        <v>1st Floor</v>
      </c>
      <c r="H175" s="65"/>
      <c r="S175" s="66">
        <f t="shared" ca="1" si="29"/>
        <v>103</v>
      </c>
      <c r="T175" s="66"/>
      <c r="U175" s="54">
        <f>U174+1</f>
        <v>3</v>
      </c>
      <c r="V175" s="53">
        <f ca="1">V174+1</f>
        <v>103</v>
      </c>
    </row>
    <row r="176" spans="1:22" s="53" customFormat="1" x14ac:dyDescent="0.25">
      <c r="A176" s="63">
        <f t="shared" ca="1" si="28"/>
        <v>104</v>
      </c>
      <c r="B176" s="64"/>
      <c r="C176" s="28" t="s">
        <v>183</v>
      </c>
      <c r="D176" s="28">
        <f>(27.75+(2.1+2.4)*0.45+2.8*0.7+1.5*2.5+1.5*2)*10.764</f>
        <v>414.25253999999995</v>
      </c>
      <c r="E176" s="28">
        <v>0</v>
      </c>
      <c r="F176" s="28">
        <f t="shared" si="30"/>
        <v>621.37880999999993</v>
      </c>
      <c r="G176" s="65" t="str">
        <f t="shared" si="31"/>
        <v>1st Floor</v>
      </c>
      <c r="H176" s="65"/>
      <c r="S176" s="66">
        <f t="shared" ca="1" si="29"/>
        <v>104</v>
      </c>
      <c r="T176" s="66"/>
      <c r="U176" s="54">
        <f t="shared" ref="U176:U177" si="32">U175+1</f>
        <v>4</v>
      </c>
      <c r="V176" s="53">
        <f t="shared" ref="V176:V185" ca="1" si="33">V175+1</f>
        <v>104</v>
      </c>
    </row>
    <row r="177" spans="1:23" s="53" customFormat="1" x14ac:dyDescent="0.25">
      <c r="A177" s="63">
        <f t="shared" ca="1" si="28"/>
        <v>105</v>
      </c>
      <c r="B177" s="64"/>
      <c r="C177" s="28" t="s">
        <v>183</v>
      </c>
      <c r="D177" s="28">
        <f>(26.74+2.2*0.45+3.3*0.7+1.5*2+1.5*2.45)*10.764</f>
        <v>395.20025999999984</v>
      </c>
      <c r="E177" s="28">
        <v>0</v>
      </c>
      <c r="F177" s="28">
        <f t="shared" si="30"/>
        <v>592.80038999999977</v>
      </c>
      <c r="G177" s="65" t="str">
        <f t="shared" si="31"/>
        <v>1st Floor</v>
      </c>
      <c r="H177" s="65"/>
      <c r="S177" s="66">
        <f t="shared" ca="1" si="29"/>
        <v>105</v>
      </c>
      <c r="T177" s="66"/>
      <c r="U177" s="54">
        <f t="shared" si="32"/>
        <v>5</v>
      </c>
      <c r="V177" s="53">
        <f t="shared" ca="1" si="33"/>
        <v>105</v>
      </c>
    </row>
    <row r="178" spans="1:23" s="53" customFormat="1" x14ac:dyDescent="0.25">
      <c r="A178" s="63">
        <f t="shared" ca="1" si="28"/>
        <v>106</v>
      </c>
      <c r="B178" s="64"/>
      <c r="C178" s="28" t="s">
        <v>183</v>
      </c>
      <c r="D178" s="28">
        <f>(26.74+2.2*0.45+3.3*0.7+1.5*2+1.5*2.45)*10.764</f>
        <v>395.20025999999984</v>
      </c>
      <c r="E178" s="28">
        <v>0</v>
      </c>
      <c r="F178" s="28">
        <f>D178*(($F$134)+1)+E178</f>
        <v>592.80038999999977</v>
      </c>
      <c r="G178" s="65" t="str">
        <f t="shared" si="31"/>
        <v>1st Floor</v>
      </c>
      <c r="H178" s="65"/>
      <c r="S178" s="66">
        <f t="shared" ca="1" si="29"/>
        <v>106</v>
      </c>
      <c r="T178" s="66"/>
      <c r="U178" s="54">
        <f>U177+1</f>
        <v>6</v>
      </c>
      <c r="V178" s="53">
        <f t="shared" ca="1" si="33"/>
        <v>106</v>
      </c>
    </row>
    <row r="179" spans="1:23" s="53" customFormat="1" x14ac:dyDescent="0.25">
      <c r="A179" s="63">
        <f t="shared" ca="1" si="28"/>
        <v>107</v>
      </c>
      <c r="B179" s="64"/>
      <c r="C179" s="28" t="s">
        <v>183</v>
      </c>
      <c r="D179" s="28">
        <f>(26.76+2.2*0.45+(2.75+2.2)*0.7+1.5*2.03)*10.764</f>
        <v>368.77463999999998</v>
      </c>
      <c r="E179" s="28">
        <v>0</v>
      </c>
      <c r="F179" s="28">
        <f>D179*(($F$134)+1)+E179</f>
        <v>553.16195999999991</v>
      </c>
      <c r="G179" s="65" t="str">
        <f t="shared" si="31"/>
        <v>1st Floor</v>
      </c>
      <c r="H179" s="65"/>
      <c r="S179" s="66">
        <f t="shared" ca="1" si="29"/>
        <v>107</v>
      </c>
      <c r="T179" s="66"/>
      <c r="U179" s="54">
        <f>U178+1</f>
        <v>7</v>
      </c>
      <c r="V179" s="53">
        <f t="shared" ca="1" si="33"/>
        <v>107</v>
      </c>
    </row>
    <row r="180" spans="1:23" s="53" customFormat="1" x14ac:dyDescent="0.25">
      <c r="A180" s="63">
        <f t="shared" ca="1" si="28"/>
        <v>108</v>
      </c>
      <c r="B180" s="64"/>
      <c r="C180" s="28" t="s">
        <v>183</v>
      </c>
      <c r="D180" s="28">
        <f>(27.31+(2.2+2.75)*0.45+(2.2+2.75)*0.7+1.5*2.03)*10.764</f>
        <v>388.01528999999999</v>
      </c>
      <c r="E180" s="28">
        <v>0</v>
      </c>
      <c r="F180" s="28">
        <f>D180*(($F$134)+1)+E180</f>
        <v>582.02293499999996</v>
      </c>
      <c r="G180" s="65" t="str">
        <f t="shared" si="31"/>
        <v>1st Floor</v>
      </c>
      <c r="H180" s="65"/>
      <c r="S180" s="66">
        <f t="shared" ca="1" si="29"/>
        <v>108</v>
      </c>
      <c r="T180" s="66"/>
      <c r="U180" s="54">
        <f t="shared" ref="U180:U185" si="34">U179+1</f>
        <v>8</v>
      </c>
      <c r="V180" s="53">
        <f t="shared" ca="1" si="33"/>
        <v>108</v>
      </c>
    </row>
    <row r="181" spans="1:23" s="53" customFormat="1" x14ac:dyDescent="0.25">
      <c r="A181" s="63">
        <f t="shared" ca="1" si="28"/>
        <v>109</v>
      </c>
      <c r="B181" s="64"/>
      <c r="C181" s="28" t="s">
        <v>183</v>
      </c>
      <c r="D181" s="28">
        <f>(26.44+2.2*0.45+(2.5+3)*0.7+1.5*1.7)*10.764</f>
        <v>364.14611999999994</v>
      </c>
      <c r="E181" s="28">
        <v>0</v>
      </c>
      <c r="F181" s="28">
        <f t="shared" si="30"/>
        <v>546.21917999999994</v>
      </c>
      <c r="G181" s="65" t="str">
        <f t="shared" si="31"/>
        <v>1st Floor</v>
      </c>
      <c r="H181" s="65"/>
      <c r="S181" s="66">
        <f t="shared" ca="1" si="29"/>
        <v>109</v>
      </c>
      <c r="T181" s="66"/>
      <c r="U181" s="54">
        <f t="shared" si="34"/>
        <v>9</v>
      </c>
      <c r="V181" s="53">
        <f t="shared" ca="1" si="33"/>
        <v>109</v>
      </c>
    </row>
    <row r="182" spans="1:23" s="53" customFormat="1" x14ac:dyDescent="0.25">
      <c r="A182" s="63">
        <f t="shared" ref="A182:A183" ca="1" si="35">S182</f>
        <v>110</v>
      </c>
      <c r="B182" s="64"/>
      <c r="C182" s="28" t="s">
        <v>183</v>
      </c>
      <c r="D182" s="28">
        <f>(26.85+2.2*0.45+3*0.7+1.5*1.7+1.5*2.45)*10.764</f>
        <v>389.28005999999988</v>
      </c>
      <c r="E182" s="28">
        <v>0</v>
      </c>
      <c r="F182" s="28">
        <f t="shared" si="30"/>
        <v>583.92008999999985</v>
      </c>
      <c r="G182" s="65" t="str">
        <f t="shared" si="31"/>
        <v>1st Floor</v>
      </c>
      <c r="H182" s="65"/>
      <c r="S182" s="66">
        <f t="shared" ca="1" si="29"/>
        <v>110</v>
      </c>
      <c r="T182" s="66"/>
      <c r="U182" s="54">
        <f>U181+1</f>
        <v>10</v>
      </c>
      <c r="V182" s="53">
        <f t="shared" ca="1" si="33"/>
        <v>110</v>
      </c>
    </row>
    <row r="183" spans="1:23" s="53" customFormat="1" x14ac:dyDescent="0.25">
      <c r="A183" s="63">
        <f t="shared" ca="1" si="35"/>
        <v>111</v>
      </c>
      <c r="B183" s="64"/>
      <c r="C183" s="28" t="s">
        <v>183</v>
      </c>
      <c r="D183" s="28">
        <f>(27.45+(2.2+3.15)*0.45+(1.65+2.3+3)*0.7)*10.764</f>
        <v>373.75298999999995</v>
      </c>
      <c r="E183" s="28">
        <v>0</v>
      </c>
      <c r="F183" s="28">
        <f t="shared" si="30"/>
        <v>560.62948499999993</v>
      </c>
      <c r="G183" s="65" t="str">
        <f t="shared" si="31"/>
        <v>1st Floor</v>
      </c>
      <c r="H183" s="65"/>
      <c r="S183" s="66">
        <f t="shared" ca="1" si="29"/>
        <v>111</v>
      </c>
      <c r="T183" s="66"/>
      <c r="U183" s="54">
        <f t="shared" si="34"/>
        <v>11</v>
      </c>
      <c r="V183" s="53">
        <f t="shared" ca="1" si="33"/>
        <v>111</v>
      </c>
    </row>
    <row r="184" spans="1:23" s="53" customFormat="1" x14ac:dyDescent="0.25">
      <c r="A184" s="63">
        <f ca="1">S184</f>
        <v>112</v>
      </c>
      <c r="B184" s="64"/>
      <c r="C184" s="28" t="s">
        <v>183</v>
      </c>
      <c r="D184" s="28">
        <f>(26.14+(2.2+2.9)*0.45+(1.7+2.3+2.5)*0.7)*10.764</f>
        <v>355.05053999999996</v>
      </c>
      <c r="E184" s="28">
        <v>0</v>
      </c>
      <c r="F184" s="28">
        <f t="shared" si="30"/>
        <v>532.57580999999993</v>
      </c>
      <c r="G184" s="65" t="str">
        <f t="shared" si="31"/>
        <v>1st Floor</v>
      </c>
      <c r="H184" s="65"/>
      <c r="S184" s="66">
        <f t="shared" ca="1" si="29"/>
        <v>112</v>
      </c>
      <c r="T184" s="66"/>
      <c r="U184" s="54">
        <f t="shared" si="34"/>
        <v>12</v>
      </c>
      <c r="V184" s="53">
        <f t="shared" ca="1" si="33"/>
        <v>112</v>
      </c>
    </row>
    <row r="185" spans="1:23" s="53" customFormat="1" x14ac:dyDescent="0.25">
      <c r="A185" s="63">
        <f ca="1">S185</f>
        <v>113</v>
      </c>
      <c r="B185" s="64"/>
      <c r="C185" s="28" t="s">
        <v>183</v>
      </c>
      <c r="D185" s="28">
        <f>(27.46+(2.2+3)*0.45+(2.9+2.2+1.5)*0.7)*10.764</f>
        <v>370.49687999999998</v>
      </c>
      <c r="E185" s="28">
        <v>0</v>
      </c>
      <c r="F185" s="28">
        <f t="shared" si="30"/>
        <v>555.74531999999999</v>
      </c>
      <c r="G185" s="65" t="str">
        <f t="shared" si="31"/>
        <v>1st Floor</v>
      </c>
      <c r="H185" s="65"/>
      <c r="S185" s="66">
        <f t="shared" ca="1" si="29"/>
        <v>113</v>
      </c>
      <c r="T185" s="66"/>
      <c r="U185" s="54">
        <f t="shared" si="34"/>
        <v>13</v>
      </c>
      <c r="V185" s="53">
        <f t="shared" ca="1" si="33"/>
        <v>113</v>
      </c>
    </row>
    <row r="186" spans="1:23" s="53" customFormat="1" x14ac:dyDescent="0.25">
      <c r="A186" s="73" t="s">
        <v>186</v>
      </c>
      <c r="B186" s="74"/>
      <c r="C186" s="74"/>
      <c r="D186" s="74"/>
      <c r="E186" s="74"/>
      <c r="F186" s="74"/>
      <c r="G186" s="74"/>
      <c r="H186" s="75"/>
      <c r="V186" s="53" t="str">
        <f>LEFT(A186,SUM(LEN(A186)-LEN(SUBSTITUTE(A186,{"0","1","2","3","4","5","6","7","8","9"},""))))</f>
        <v>2n</v>
      </c>
      <c r="W186" s="53">
        <f ca="1">--TRIM(RIGHT(SUBSTITUTE(LEFT(A186,_xlfn.AGGREGATE(14,6,FIND({0,1,2,3,4,5,6,7,8,9},A186,ROW(INDIRECT("1:"&amp;LEN(A186)))),1))," ",REPT(" ",LEN(A186))),LEN(A186)))</f>
        <v>4</v>
      </c>
    </row>
    <row r="187" spans="1:23" s="53" customFormat="1" x14ac:dyDescent="0.25">
      <c r="A187" s="63" t="str">
        <f t="shared" ref="A187:A199" ca="1" si="36">S187</f>
        <v>201,..,401</v>
      </c>
      <c r="B187" s="64"/>
      <c r="C187" s="28" t="s">
        <v>183</v>
      </c>
      <c r="D187" s="28">
        <f>(27.44+(3.15+2.2)*0.45+(1.5+2.3)*0.7+3*1.5)*10.764</f>
        <v>398.34872999999999</v>
      </c>
      <c r="E187" s="28">
        <v>0</v>
      </c>
      <c r="F187" s="28">
        <f>D187*(($F$134)+1)+E187</f>
        <v>597.52309500000001</v>
      </c>
      <c r="G187" s="63" t="str">
        <f>A186</f>
        <v>2nd &amp; 4th Floor</v>
      </c>
      <c r="H187" s="64"/>
      <c r="S187" s="66" t="str">
        <f t="shared" ref="S187:S199" ca="1" si="37">V187&amp;""&amp;$V$118&amp;""&amp;W187</f>
        <v>201,..,401</v>
      </c>
      <c r="T187" s="66"/>
      <c r="U187" s="54">
        <v>1</v>
      </c>
      <c r="V187" s="53">
        <f ca="1">(SUMPRODUCT(MID(0&amp;V186, LARGE(INDEX(ISNUMBER(--MID(V186, ROW(INDIRECT("1:"&amp;LEN(V186))), 1)) * ROW(INDIRECT("1:"&amp;LEN(V186))), 0), ROW(INDIRECT("1:"&amp;LEN(V186))))+1, 1) * 10^ROW(INDIRECT("1:"&amp;LEN(V186)))/10))*U187*100+1</f>
        <v>201</v>
      </c>
      <c r="W187" s="53">
        <f ca="1">(SUMPRODUCT(MID(0&amp;W186, LARGE(INDEX(ISNUMBER(--MID(W186, ROW(INDIRECT("1:"&amp;LEN(W186))), 1)) * ROW(INDIRECT("1:"&amp;LEN(W186))), 0), ROW(INDIRECT("1:"&amp;LEN(W186))))+1, 1) * 10^ROW(INDIRECT("1:"&amp;LEN(W186)))/10))*U187*100+1</f>
        <v>401</v>
      </c>
    </row>
    <row r="188" spans="1:23" s="53" customFormat="1" x14ac:dyDescent="0.25">
      <c r="A188" s="63" t="str">
        <f t="shared" ca="1" si="36"/>
        <v>202,..,402</v>
      </c>
      <c r="B188" s="64"/>
      <c r="C188" s="28" t="s">
        <v>184</v>
      </c>
      <c r="D188" s="28">
        <f>(37.57+(3+2.45)*0.45+(2+3)*0.7+4.95*1.5)*10.764</f>
        <v>548.39889000000005</v>
      </c>
      <c r="E188" s="28">
        <v>0</v>
      </c>
      <c r="F188" s="28">
        <f t="shared" ref="F188:F199" si="38">D188*(($F$134)+1)+E188</f>
        <v>822.59833500000013</v>
      </c>
      <c r="G188" s="63" t="str">
        <f t="shared" ref="G188:G199" si="39">G187</f>
        <v>2nd &amp; 4th Floor</v>
      </c>
      <c r="H188" s="64"/>
      <c r="S188" s="66" t="str">
        <f t="shared" ca="1" si="37"/>
        <v>202,..,402</v>
      </c>
      <c r="T188" s="66"/>
      <c r="U188" s="54">
        <f>U187+1</f>
        <v>2</v>
      </c>
      <c r="V188" s="53">
        <f ca="1">V187+1</f>
        <v>202</v>
      </c>
      <c r="W188" s="53">
        <f ca="1">W187+1</f>
        <v>402</v>
      </c>
    </row>
    <row r="189" spans="1:23" s="53" customFormat="1" x14ac:dyDescent="0.25">
      <c r="A189" s="63" t="str">
        <f t="shared" ca="1" si="36"/>
        <v>203,..,403</v>
      </c>
      <c r="B189" s="64"/>
      <c r="C189" s="28" t="s">
        <v>183</v>
      </c>
      <c r="D189" s="28">
        <f>(27.75+(2.1+2.4)*0.45+(2.4+1.5)*0.7+1.5*3.05)*10.764</f>
        <v>399.12911999999994</v>
      </c>
      <c r="E189" s="28">
        <v>0</v>
      </c>
      <c r="F189" s="28">
        <f t="shared" si="38"/>
        <v>598.69367999999986</v>
      </c>
      <c r="G189" s="63" t="str">
        <f t="shared" si="39"/>
        <v>2nd &amp; 4th Floor</v>
      </c>
      <c r="H189" s="64"/>
      <c r="S189" s="66" t="str">
        <f t="shared" ca="1" si="37"/>
        <v>203,..,403</v>
      </c>
      <c r="T189" s="66"/>
      <c r="U189" s="54">
        <f t="shared" ref="U189:W189" si="40">U188+1</f>
        <v>3</v>
      </c>
      <c r="V189" s="53">
        <f t="shared" ca="1" si="40"/>
        <v>203</v>
      </c>
      <c r="W189" s="53">
        <f t="shared" ca="1" si="40"/>
        <v>403</v>
      </c>
    </row>
    <row r="190" spans="1:23" s="53" customFormat="1" x14ac:dyDescent="0.25">
      <c r="A190" s="63" t="str">
        <f t="shared" ca="1" si="36"/>
        <v>204,..,404</v>
      </c>
      <c r="B190" s="64"/>
      <c r="C190" s="28" t="s">
        <v>183</v>
      </c>
      <c r="D190" s="28">
        <f>(27.02+(2.1+2.4)*0.45+(1.9+2.3)*0.7+1.5*2.9)*10.764</f>
        <v>391.10993999999999</v>
      </c>
      <c r="E190" s="28">
        <v>0</v>
      </c>
      <c r="F190" s="28">
        <f t="shared" si="38"/>
        <v>586.66490999999996</v>
      </c>
      <c r="G190" s="63" t="str">
        <f t="shared" si="39"/>
        <v>2nd &amp; 4th Floor</v>
      </c>
      <c r="H190" s="64"/>
      <c r="S190" s="66" t="str">
        <f t="shared" ca="1" si="37"/>
        <v>204,..,404</v>
      </c>
      <c r="T190" s="66"/>
      <c r="U190" s="54">
        <f t="shared" ref="U190:W190" si="41">U189+1</f>
        <v>4</v>
      </c>
      <c r="V190" s="53">
        <f t="shared" ca="1" si="41"/>
        <v>204</v>
      </c>
      <c r="W190" s="53">
        <f t="shared" ca="1" si="41"/>
        <v>404</v>
      </c>
    </row>
    <row r="191" spans="1:23" s="53" customFormat="1" x14ac:dyDescent="0.25">
      <c r="A191" s="63" t="str">
        <f t="shared" ca="1" si="36"/>
        <v>205,..,405</v>
      </c>
      <c r="B191" s="64"/>
      <c r="C191" s="28" t="s">
        <v>183</v>
      </c>
      <c r="D191" s="28">
        <f>(27.02+2.2*0.45+(1.5+2.2)*0.7+1.5*2.9)*10.764</f>
        <v>376.20179999999993</v>
      </c>
      <c r="E191" s="28">
        <v>0</v>
      </c>
      <c r="F191" s="28">
        <f t="shared" si="38"/>
        <v>564.30269999999996</v>
      </c>
      <c r="G191" s="63" t="str">
        <f t="shared" si="39"/>
        <v>2nd &amp; 4th Floor</v>
      </c>
      <c r="H191" s="64"/>
      <c r="S191" s="66" t="str">
        <f t="shared" ca="1" si="37"/>
        <v>205,..,405</v>
      </c>
      <c r="T191" s="66"/>
      <c r="U191" s="54">
        <f t="shared" ref="U191:W191" si="42">U190+1</f>
        <v>5</v>
      </c>
      <c r="V191" s="53">
        <f t="shared" ca="1" si="42"/>
        <v>205</v>
      </c>
      <c r="W191" s="53">
        <f t="shared" ca="1" si="42"/>
        <v>405</v>
      </c>
    </row>
    <row r="192" spans="1:23" s="53" customFormat="1" x14ac:dyDescent="0.25">
      <c r="A192" s="63" t="str">
        <f t="shared" ca="1" si="36"/>
        <v>206,..,406</v>
      </c>
      <c r="B192" s="64"/>
      <c r="C192" s="28" t="s">
        <v>183</v>
      </c>
      <c r="D192" s="28">
        <f>(27.02+2.2*0.45+(1.5+2.2)*0.7+1.5*2.9)*10.764</f>
        <v>376.20179999999993</v>
      </c>
      <c r="E192" s="28">
        <v>0</v>
      </c>
      <c r="F192" s="28">
        <f t="shared" si="38"/>
        <v>564.30269999999996</v>
      </c>
      <c r="G192" s="63" t="str">
        <f t="shared" si="39"/>
        <v>2nd &amp; 4th Floor</v>
      </c>
      <c r="H192" s="64"/>
      <c r="S192" s="66" t="str">
        <f t="shared" ca="1" si="37"/>
        <v>206,..,406</v>
      </c>
      <c r="T192" s="66"/>
      <c r="U192" s="54">
        <f>U191+1</f>
        <v>6</v>
      </c>
      <c r="V192" s="53">
        <f ca="1">V191+1</f>
        <v>206</v>
      </c>
      <c r="W192" s="53">
        <f ca="1">W191+1</f>
        <v>406</v>
      </c>
    </row>
    <row r="193" spans="1:23" s="53" customFormat="1" x14ac:dyDescent="0.25">
      <c r="A193" s="63" t="str">
        <f t="shared" ca="1" si="36"/>
        <v>207,..,407</v>
      </c>
      <c r="B193" s="64"/>
      <c r="C193" s="28" t="s">
        <v>183</v>
      </c>
      <c r="D193" s="28">
        <f>(26.7+2.2*0.45+(2.2+1.8)*0.7+1.5*3)*10.764</f>
        <v>376.63235999999995</v>
      </c>
      <c r="E193" s="28">
        <v>0</v>
      </c>
      <c r="F193" s="28">
        <f t="shared" si="38"/>
        <v>564.94853999999987</v>
      </c>
      <c r="G193" s="63" t="str">
        <f t="shared" si="39"/>
        <v>2nd &amp; 4th Floor</v>
      </c>
      <c r="H193" s="64"/>
      <c r="S193" s="66" t="str">
        <f t="shared" ca="1" si="37"/>
        <v>207,..,407</v>
      </c>
      <c r="T193" s="66"/>
      <c r="U193" s="54">
        <f t="shared" ref="U193:W193" si="43">U192+1</f>
        <v>7</v>
      </c>
      <c r="V193" s="53">
        <f t="shared" ca="1" si="43"/>
        <v>207</v>
      </c>
      <c r="W193" s="53">
        <f t="shared" ca="1" si="43"/>
        <v>407</v>
      </c>
    </row>
    <row r="194" spans="1:23" s="53" customFormat="1" x14ac:dyDescent="0.25">
      <c r="A194" s="63" t="str">
        <f t="shared" ca="1" si="36"/>
        <v>208,..,408</v>
      </c>
      <c r="B194" s="64"/>
      <c r="C194" s="28" t="s">
        <v>183</v>
      </c>
      <c r="D194" s="28">
        <f>(26.7+2.2*0.45+(2.2+1.8)*0.7+1.5*3.45)*10.764</f>
        <v>383.89805999999999</v>
      </c>
      <c r="E194" s="28">
        <v>0</v>
      </c>
      <c r="F194" s="28">
        <f t="shared" si="38"/>
        <v>575.84708999999998</v>
      </c>
      <c r="G194" s="63" t="str">
        <f t="shared" si="39"/>
        <v>2nd &amp; 4th Floor</v>
      </c>
      <c r="H194" s="64"/>
      <c r="S194" s="66" t="str">
        <f t="shared" ca="1" si="37"/>
        <v>208,..,408</v>
      </c>
      <c r="T194" s="66"/>
      <c r="U194" s="54">
        <f t="shared" ref="U194:W194" si="44">U193+1</f>
        <v>8</v>
      </c>
      <c r="V194" s="53">
        <f t="shared" ca="1" si="44"/>
        <v>208</v>
      </c>
      <c r="W194" s="53">
        <f t="shared" ca="1" si="44"/>
        <v>408</v>
      </c>
    </row>
    <row r="195" spans="1:23" s="53" customFormat="1" x14ac:dyDescent="0.25">
      <c r="A195" s="63" t="str">
        <f t="shared" ca="1" si="36"/>
        <v>209,..,409</v>
      </c>
      <c r="B195" s="64"/>
      <c r="C195" s="28" t="s">
        <v>183</v>
      </c>
      <c r="D195" s="28">
        <f>(26.44+2.2*0.45+(2.5+1.5)*0.7+1.5*3)*10.764</f>
        <v>373.83372000000003</v>
      </c>
      <c r="E195" s="28">
        <v>0</v>
      </c>
      <c r="F195" s="28">
        <f t="shared" si="38"/>
        <v>560.75058000000001</v>
      </c>
      <c r="G195" s="63" t="str">
        <f t="shared" si="39"/>
        <v>2nd &amp; 4th Floor</v>
      </c>
      <c r="H195" s="64"/>
      <c r="S195" s="66" t="str">
        <f t="shared" ca="1" si="37"/>
        <v>209,..,409</v>
      </c>
      <c r="T195" s="66"/>
      <c r="U195" s="54">
        <f t="shared" ref="U195:W195" si="45">U194+1</f>
        <v>9</v>
      </c>
      <c r="V195" s="53">
        <f t="shared" ca="1" si="45"/>
        <v>209</v>
      </c>
      <c r="W195" s="53">
        <f t="shared" ca="1" si="45"/>
        <v>409</v>
      </c>
    </row>
    <row r="196" spans="1:23" s="53" customFormat="1" x14ac:dyDescent="0.25">
      <c r="A196" s="63" t="str">
        <f t="shared" ca="1" si="36"/>
        <v>210,..,410</v>
      </c>
      <c r="B196" s="64"/>
      <c r="C196" s="28" t="s">
        <v>183</v>
      </c>
      <c r="D196" s="28">
        <f>(27.45+2.2*0.45+(2.5+1.5)*0.7+1.5*3)*10.764</f>
        <v>384.70535999999993</v>
      </c>
      <c r="E196" s="28">
        <v>0</v>
      </c>
      <c r="F196" s="28">
        <f t="shared" si="38"/>
        <v>577.05803999999989</v>
      </c>
      <c r="G196" s="63" t="str">
        <f t="shared" si="39"/>
        <v>2nd &amp; 4th Floor</v>
      </c>
      <c r="H196" s="64"/>
      <c r="S196" s="66" t="str">
        <f t="shared" ca="1" si="37"/>
        <v>210,..,410</v>
      </c>
      <c r="T196" s="66"/>
      <c r="U196" s="54">
        <f>U195+1</f>
        <v>10</v>
      </c>
      <c r="V196" s="53">
        <f ca="1">V195+1</f>
        <v>210</v>
      </c>
      <c r="W196" s="53">
        <f ca="1">W195+1</f>
        <v>410</v>
      </c>
    </row>
    <row r="197" spans="1:23" s="53" customFormat="1" x14ac:dyDescent="0.25">
      <c r="A197" s="63" t="str">
        <f t="shared" ca="1" si="36"/>
        <v>211,..,411</v>
      </c>
      <c r="B197" s="64"/>
      <c r="C197" s="28" t="s">
        <v>183</v>
      </c>
      <c r="D197" s="28">
        <f>(27.45+(2.2+3.15)*0.45+(1.65+2.3+3)*0.7)*10.764</f>
        <v>373.75298999999995</v>
      </c>
      <c r="E197" s="28">
        <v>0</v>
      </c>
      <c r="F197" s="28">
        <f t="shared" si="38"/>
        <v>560.62948499999993</v>
      </c>
      <c r="G197" s="63" t="str">
        <f t="shared" si="39"/>
        <v>2nd &amp; 4th Floor</v>
      </c>
      <c r="H197" s="64"/>
      <c r="S197" s="66" t="str">
        <f t="shared" ca="1" si="37"/>
        <v>211,..,411</v>
      </c>
      <c r="T197" s="66"/>
      <c r="U197" s="54">
        <f t="shared" ref="U197:W197" si="46">U196+1</f>
        <v>11</v>
      </c>
      <c r="V197" s="53">
        <f t="shared" ca="1" si="46"/>
        <v>211</v>
      </c>
      <c r="W197" s="53">
        <f t="shared" ca="1" si="46"/>
        <v>411</v>
      </c>
    </row>
    <row r="198" spans="1:23" s="53" customFormat="1" x14ac:dyDescent="0.25">
      <c r="A198" s="63" t="str">
        <f t="shared" ca="1" si="36"/>
        <v>212,..,412</v>
      </c>
      <c r="B198" s="64"/>
      <c r="C198" s="28" t="s">
        <v>183</v>
      </c>
      <c r="D198" s="28">
        <f>(26.15+(2.2+2.9)*0.45+(1.7+2.3)*0.7+1.5*3)*10.764</f>
        <v>384.75918000000001</v>
      </c>
      <c r="E198" s="28">
        <v>0</v>
      </c>
      <c r="F198" s="28">
        <f t="shared" si="38"/>
        <v>577.13877000000002</v>
      </c>
      <c r="G198" s="63" t="str">
        <f t="shared" si="39"/>
        <v>2nd &amp; 4th Floor</v>
      </c>
      <c r="H198" s="64"/>
      <c r="S198" s="66" t="str">
        <f t="shared" ca="1" si="37"/>
        <v>212,..,412</v>
      </c>
      <c r="T198" s="66"/>
      <c r="U198" s="54">
        <f t="shared" ref="U198:W198" si="47">U197+1</f>
        <v>12</v>
      </c>
      <c r="V198" s="53">
        <f t="shared" ca="1" si="47"/>
        <v>212</v>
      </c>
      <c r="W198" s="53">
        <f t="shared" ca="1" si="47"/>
        <v>412</v>
      </c>
    </row>
    <row r="199" spans="1:23" s="53" customFormat="1" x14ac:dyDescent="0.25">
      <c r="A199" s="63" t="str">
        <f t="shared" ca="1" si="36"/>
        <v>213,..,413</v>
      </c>
      <c r="B199" s="64"/>
      <c r="C199" s="28" t="s">
        <v>183</v>
      </c>
      <c r="D199" s="28">
        <f>(27.46+(2.2+3)*0.45+(2.2+1.5)*0.7+1.5*3)*10.764</f>
        <v>397.08395999999999</v>
      </c>
      <c r="E199" s="28">
        <v>0</v>
      </c>
      <c r="F199" s="28">
        <f t="shared" si="38"/>
        <v>595.62594000000001</v>
      </c>
      <c r="G199" s="63" t="str">
        <f t="shared" si="39"/>
        <v>2nd &amp; 4th Floor</v>
      </c>
      <c r="H199" s="64"/>
      <c r="S199" s="66" t="str">
        <f t="shared" ca="1" si="37"/>
        <v>213,..,413</v>
      </c>
      <c r="T199" s="66"/>
      <c r="U199" s="54">
        <f t="shared" ref="U199:W199" si="48">U198+1</f>
        <v>13</v>
      </c>
      <c r="V199" s="53">
        <f t="shared" ca="1" si="48"/>
        <v>213</v>
      </c>
      <c r="W199" s="53">
        <f t="shared" ca="1" si="48"/>
        <v>413</v>
      </c>
    </row>
    <row r="200" spans="1:23" s="53" customFormat="1" x14ac:dyDescent="0.25">
      <c r="A200" s="72" t="s">
        <v>187</v>
      </c>
      <c r="B200" s="72"/>
      <c r="C200" s="72"/>
      <c r="D200" s="72"/>
      <c r="E200" s="72"/>
      <c r="F200" s="72"/>
      <c r="G200" s="72"/>
      <c r="H200" s="72"/>
      <c r="V200" s="53" t="str">
        <f>LEFT(A200,SUM(LEN(A200)-LEN(SUBSTITUTE(A200,{"0","1","2","3","4","5","6","7","8","9"},""))))</f>
        <v>3r</v>
      </c>
      <c r="W200" s="53">
        <f ca="1">--TRIM(RIGHT(SUBSTITUTE(LEFT(A200,_xlfn.AGGREGATE(14,6,FIND({0,1,2,3,4,5,6,7,8,9},A200,ROW(INDIRECT("1:"&amp;LEN(A200)))),1))," ",REPT(" ",LEN(A200))),LEN(A200)))</f>
        <v>5</v>
      </c>
    </row>
    <row r="201" spans="1:23" s="53" customFormat="1" x14ac:dyDescent="0.25">
      <c r="A201" s="65" t="str">
        <f t="shared" ref="A201:A213" ca="1" si="49">S201</f>
        <v>301,..,501</v>
      </c>
      <c r="B201" s="65"/>
      <c r="C201" s="60" t="s">
        <v>183</v>
      </c>
      <c r="D201" s="60">
        <f>(27.44+(3.15+2.2)*0.45+2.9*0.7+1.7*1.5+2.4*1.5)*10.764</f>
        <v>409.32801000000001</v>
      </c>
      <c r="E201" s="60">
        <v>0</v>
      </c>
      <c r="F201" s="60">
        <f>D201*(($F$134)+1)+E201</f>
        <v>613.99201500000004</v>
      </c>
      <c r="G201" s="65" t="str">
        <f>A200</f>
        <v>3rd &amp; 5th Floor</v>
      </c>
      <c r="H201" s="65"/>
      <c r="S201" s="66" t="str">
        <f t="shared" ref="S201:S213" ca="1" si="50">V201&amp;""&amp;$V$118&amp;""&amp;W201</f>
        <v>301,..,501</v>
      </c>
      <c r="T201" s="66"/>
      <c r="U201" s="54">
        <v>1</v>
      </c>
      <c r="V201" s="53">
        <f ca="1">(SUMPRODUCT(MID(0&amp;V200, LARGE(INDEX(ISNUMBER(--MID(V200, ROW(INDIRECT("1:"&amp;LEN(V200))), 1)) * ROW(INDIRECT("1:"&amp;LEN(V200))), 0), ROW(INDIRECT("1:"&amp;LEN(V200))))+1, 1) * 10^ROW(INDIRECT("1:"&amp;LEN(V200)))/10))*U201*100+1</f>
        <v>301</v>
      </c>
      <c r="W201" s="53">
        <f ca="1">(SUMPRODUCT(MID(0&amp;W200, LARGE(INDEX(ISNUMBER(--MID(W200, ROW(INDIRECT("1:"&amp;LEN(W200))), 1)) * ROW(INDIRECT("1:"&amp;LEN(W200))), 0), ROW(INDIRECT("1:"&amp;LEN(W200))))+1, 1) * 10^ROW(INDIRECT("1:"&amp;LEN(W200)))/10))*U201*100+1</f>
        <v>501</v>
      </c>
    </row>
    <row r="202" spans="1:23" s="53" customFormat="1" x14ac:dyDescent="0.25">
      <c r="A202" s="65" t="str">
        <f t="shared" ca="1" si="49"/>
        <v>302,..,502</v>
      </c>
      <c r="B202" s="65"/>
      <c r="C202" s="60" t="s">
        <v>184</v>
      </c>
      <c r="D202" s="60">
        <f>(37.57+(3+2.5)*0.45+(2.3+2.6)*0.7+3.15*1.5)*10.764</f>
        <v>518.82479999999998</v>
      </c>
      <c r="E202" s="60">
        <v>0</v>
      </c>
      <c r="F202" s="60">
        <f t="shared" ref="F202:F227" si="51">D202*(($F$134)+1)+E202</f>
        <v>778.23720000000003</v>
      </c>
      <c r="G202" s="65" t="str">
        <f t="shared" ref="G202:G213" si="52">G201</f>
        <v>3rd &amp; 5th Floor</v>
      </c>
      <c r="H202" s="65"/>
      <c r="S202" s="66" t="str">
        <f t="shared" ca="1" si="50"/>
        <v>302,..,502</v>
      </c>
      <c r="T202" s="66"/>
      <c r="U202" s="54">
        <f>U201+1</f>
        <v>2</v>
      </c>
      <c r="V202" s="53">
        <f ca="1">V201+1</f>
        <v>302</v>
      </c>
      <c r="W202" s="53">
        <f ca="1">W201+1</f>
        <v>502</v>
      </c>
    </row>
    <row r="203" spans="1:23" s="53" customFormat="1" x14ac:dyDescent="0.25">
      <c r="A203" s="65" t="str">
        <f t="shared" ca="1" si="49"/>
        <v>303,..,503</v>
      </c>
      <c r="B203" s="65"/>
      <c r="C203" s="60" t="s">
        <v>183</v>
      </c>
      <c r="D203" s="60">
        <f>(27.75+(2.1+2.4)*0.45+2.8*0.7+1.5*2.5+1.5*1.7)*10.764</f>
        <v>409.40873999999997</v>
      </c>
      <c r="E203" s="60">
        <v>0</v>
      </c>
      <c r="F203" s="60">
        <f t="shared" si="51"/>
        <v>614.11311000000001</v>
      </c>
      <c r="G203" s="65" t="str">
        <f t="shared" si="52"/>
        <v>3rd &amp; 5th Floor</v>
      </c>
      <c r="H203" s="65"/>
      <c r="S203" s="66" t="str">
        <f t="shared" ca="1" si="50"/>
        <v>303,..,503</v>
      </c>
      <c r="T203" s="66"/>
      <c r="U203" s="54">
        <f t="shared" ref="U203:W203" si="53">U202+1</f>
        <v>3</v>
      </c>
      <c r="V203" s="53">
        <f t="shared" ca="1" si="53"/>
        <v>303</v>
      </c>
      <c r="W203" s="53">
        <f t="shared" ca="1" si="53"/>
        <v>503</v>
      </c>
    </row>
    <row r="204" spans="1:23" s="53" customFormat="1" x14ac:dyDescent="0.25">
      <c r="A204" s="65" t="str">
        <f t="shared" ca="1" si="49"/>
        <v>304,..,504</v>
      </c>
      <c r="B204" s="65"/>
      <c r="C204" s="60" t="s">
        <v>183</v>
      </c>
      <c r="D204" s="60">
        <f>(27.02+(2.1+2.4)*0.45+2.8*0.7+1.5*2.5+1.5*1.7)*10.764</f>
        <v>401.55101999999988</v>
      </c>
      <c r="E204" s="60">
        <v>0</v>
      </c>
      <c r="F204" s="60">
        <f t="shared" si="51"/>
        <v>602.32652999999982</v>
      </c>
      <c r="G204" s="65" t="str">
        <f t="shared" si="52"/>
        <v>3rd &amp; 5th Floor</v>
      </c>
      <c r="H204" s="65"/>
      <c r="S204" s="66" t="str">
        <f t="shared" ca="1" si="50"/>
        <v>304,..,504</v>
      </c>
      <c r="T204" s="66"/>
      <c r="U204" s="54">
        <f t="shared" ref="U204:W204" si="54">U203+1</f>
        <v>4</v>
      </c>
      <c r="V204" s="53">
        <f t="shared" ca="1" si="54"/>
        <v>304</v>
      </c>
      <c r="W204" s="53">
        <f t="shared" ca="1" si="54"/>
        <v>504</v>
      </c>
    </row>
    <row r="205" spans="1:23" s="53" customFormat="1" x14ac:dyDescent="0.25">
      <c r="A205" s="65" t="str">
        <f t="shared" ca="1" si="49"/>
        <v>305,..,505</v>
      </c>
      <c r="B205" s="65"/>
      <c r="C205" s="60" t="s">
        <v>183</v>
      </c>
      <c r="D205" s="60">
        <f>(27.02+2.2*0.45+2.75*0.7+1.5*2+1.5*2.45)*10.764</f>
        <v>394.07003999999995</v>
      </c>
      <c r="E205" s="60">
        <v>0</v>
      </c>
      <c r="F205" s="60">
        <f t="shared" si="51"/>
        <v>591.10505999999987</v>
      </c>
      <c r="G205" s="65" t="str">
        <f t="shared" si="52"/>
        <v>3rd &amp; 5th Floor</v>
      </c>
      <c r="H205" s="65"/>
      <c r="S205" s="66" t="str">
        <f t="shared" ca="1" si="50"/>
        <v>305,..,505</v>
      </c>
      <c r="T205" s="66"/>
      <c r="U205" s="54">
        <f t="shared" ref="U205:W205" si="55">U204+1</f>
        <v>5</v>
      </c>
      <c r="V205" s="53">
        <f t="shared" ca="1" si="55"/>
        <v>305</v>
      </c>
      <c r="W205" s="53">
        <f t="shared" ca="1" si="55"/>
        <v>505</v>
      </c>
    </row>
    <row r="206" spans="1:23" s="53" customFormat="1" x14ac:dyDescent="0.25">
      <c r="A206" s="65" t="str">
        <f t="shared" ca="1" si="49"/>
        <v>306,..,506</v>
      </c>
      <c r="B206" s="65"/>
      <c r="C206" s="60" t="s">
        <v>183</v>
      </c>
      <c r="D206" s="60">
        <f>(27.02+2.2*0.45+2.75*0.7+1.5*2+1.5*2.45)*10.764</f>
        <v>394.07003999999995</v>
      </c>
      <c r="E206" s="60">
        <v>0</v>
      </c>
      <c r="F206" s="60">
        <f t="shared" si="51"/>
        <v>591.10505999999987</v>
      </c>
      <c r="G206" s="65" t="str">
        <f t="shared" si="52"/>
        <v>3rd &amp; 5th Floor</v>
      </c>
      <c r="H206" s="65"/>
      <c r="S206" s="66" t="str">
        <f t="shared" ca="1" si="50"/>
        <v>306,..,506</v>
      </c>
      <c r="T206" s="66"/>
      <c r="U206" s="54">
        <f>U205+1</f>
        <v>6</v>
      </c>
      <c r="V206" s="53">
        <f ca="1">V205+1</f>
        <v>306</v>
      </c>
      <c r="W206" s="53">
        <f ca="1">W205+1</f>
        <v>506</v>
      </c>
    </row>
    <row r="207" spans="1:23" s="53" customFormat="1" x14ac:dyDescent="0.25">
      <c r="A207" s="65" t="str">
        <f t="shared" ca="1" si="49"/>
        <v>307,..,507</v>
      </c>
      <c r="B207" s="65"/>
      <c r="C207" s="60" t="s">
        <v>183</v>
      </c>
      <c r="D207" s="60">
        <f>(26.7+2.2*0.45+(2.75+2.2)*0.7+1.5*2.03)*10.764</f>
        <v>368.12879999999996</v>
      </c>
      <c r="E207" s="60">
        <v>0</v>
      </c>
      <c r="F207" s="60">
        <f t="shared" si="51"/>
        <v>552.19319999999993</v>
      </c>
      <c r="G207" s="65" t="str">
        <f t="shared" si="52"/>
        <v>3rd &amp; 5th Floor</v>
      </c>
      <c r="H207" s="65"/>
      <c r="S207" s="66" t="str">
        <f t="shared" ca="1" si="50"/>
        <v>307,..,507</v>
      </c>
      <c r="T207" s="66"/>
      <c r="U207" s="54">
        <f t="shared" ref="U207:W207" si="56">U206+1</f>
        <v>7</v>
      </c>
      <c r="V207" s="53">
        <f t="shared" ca="1" si="56"/>
        <v>307</v>
      </c>
      <c r="W207" s="53">
        <f t="shared" ca="1" si="56"/>
        <v>507</v>
      </c>
    </row>
    <row r="208" spans="1:23" s="53" customFormat="1" x14ac:dyDescent="0.25">
      <c r="A208" s="63" t="str">
        <f t="shared" ca="1" si="49"/>
        <v>308,..,508</v>
      </c>
      <c r="B208" s="64"/>
      <c r="C208" s="28" t="s">
        <v>183</v>
      </c>
      <c r="D208" s="28">
        <f>(27.31+(2.2+2.75)*0.45+(2.2+2.75)*0.7+1.5*2.03)*10.764</f>
        <v>388.01528999999999</v>
      </c>
      <c r="E208" s="28">
        <v>0</v>
      </c>
      <c r="F208" s="28">
        <f t="shared" si="51"/>
        <v>582.02293499999996</v>
      </c>
      <c r="G208" s="63" t="str">
        <f t="shared" si="52"/>
        <v>3rd &amp; 5th Floor</v>
      </c>
      <c r="H208" s="64"/>
      <c r="S208" s="66" t="str">
        <f t="shared" ca="1" si="50"/>
        <v>308,..,508</v>
      </c>
      <c r="T208" s="66"/>
      <c r="U208" s="54">
        <f t="shared" ref="U208:W208" si="57">U207+1</f>
        <v>8</v>
      </c>
      <c r="V208" s="53">
        <f t="shared" ca="1" si="57"/>
        <v>308</v>
      </c>
      <c r="W208" s="53">
        <f t="shared" ca="1" si="57"/>
        <v>508</v>
      </c>
    </row>
    <row r="209" spans="1:23" s="53" customFormat="1" x14ac:dyDescent="0.25">
      <c r="A209" s="63" t="str">
        <f t="shared" ca="1" si="49"/>
        <v>309,..,509</v>
      </c>
      <c r="B209" s="64"/>
      <c r="C209" s="28" t="s">
        <v>183</v>
      </c>
      <c r="D209" s="28">
        <f>(26.44+2.2*0.45+(2.5+3)*0.7+1.5*1.7)*10.764</f>
        <v>364.14611999999994</v>
      </c>
      <c r="E209" s="28">
        <v>0</v>
      </c>
      <c r="F209" s="28">
        <f t="shared" si="51"/>
        <v>546.21917999999994</v>
      </c>
      <c r="G209" s="63" t="str">
        <f t="shared" si="52"/>
        <v>3rd &amp; 5th Floor</v>
      </c>
      <c r="H209" s="64"/>
      <c r="S209" s="66" t="str">
        <f t="shared" ca="1" si="50"/>
        <v>309,..,509</v>
      </c>
      <c r="T209" s="66"/>
      <c r="U209" s="54">
        <f t="shared" ref="U209:W209" si="58">U208+1</f>
        <v>9</v>
      </c>
      <c r="V209" s="53">
        <f t="shared" ca="1" si="58"/>
        <v>309</v>
      </c>
      <c r="W209" s="53">
        <f t="shared" ca="1" si="58"/>
        <v>509</v>
      </c>
    </row>
    <row r="210" spans="1:23" s="53" customFormat="1" x14ac:dyDescent="0.25">
      <c r="A210" s="63" t="str">
        <f t="shared" ca="1" si="49"/>
        <v>310,..,510</v>
      </c>
      <c r="B210" s="64"/>
      <c r="C210" s="28" t="s">
        <v>183</v>
      </c>
      <c r="D210" s="28">
        <f>(26.85+2.2*0.45+2.8*0.7+1.5*1.7+1.5*2.45)*10.764</f>
        <v>387.77309999999994</v>
      </c>
      <c r="E210" s="28">
        <v>0</v>
      </c>
      <c r="F210" s="28">
        <f t="shared" si="51"/>
        <v>581.65964999999994</v>
      </c>
      <c r="G210" s="63" t="str">
        <f t="shared" si="52"/>
        <v>3rd &amp; 5th Floor</v>
      </c>
      <c r="H210" s="64"/>
      <c r="S210" s="66" t="str">
        <f t="shared" ca="1" si="50"/>
        <v>310,..,510</v>
      </c>
      <c r="T210" s="66"/>
      <c r="U210" s="54">
        <f>U209+1</f>
        <v>10</v>
      </c>
      <c r="V210" s="53">
        <f ca="1">V209+1</f>
        <v>310</v>
      </c>
      <c r="W210" s="53">
        <f ca="1">W209+1</f>
        <v>510</v>
      </c>
    </row>
    <row r="211" spans="1:23" s="53" customFormat="1" x14ac:dyDescent="0.25">
      <c r="A211" s="63" t="str">
        <f t="shared" ca="1" si="49"/>
        <v>311,..,511</v>
      </c>
      <c r="B211" s="64"/>
      <c r="C211" s="28" t="s">
        <v>183</v>
      </c>
      <c r="D211" s="28">
        <f>(27.45+(2.2+3.15)*0.45+(1.65+2.3+3)*0.7)*10.764</f>
        <v>373.75298999999995</v>
      </c>
      <c r="E211" s="28">
        <v>0</v>
      </c>
      <c r="F211" s="28">
        <f t="shared" si="51"/>
        <v>560.62948499999993</v>
      </c>
      <c r="G211" s="63" t="str">
        <f t="shared" si="52"/>
        <v>3rd &amp; 5th Floor</v>
      </c>
      <c r="H211" s="64"/>
      <c r="S211" s="66" t="str">
        <f t="shared" ca="1" si="50"/>
        <v>311,..,511</v>
      </c>
      <c r="T211" s="66"/>
      <c r="U211" s="54">
        <f t="shared" ref="U211:W211" si="59">U210+1</f>
        <v>11</v>
      </c>
      <c r="V211" s="53">
        <f t="shared" ca="1" si="59"/>
        <v>311</v>
      </c>
      <c r="W211" s="53">
        <f t="shared" ca="1" si="59"/>
        <v>511</v>
      </c>
    </row>
    <row r="212" spans="1:23" s="53" customFormat="1" x14ac:dyDescent="0.25">
      <c r="A212" s="63" t="str">
        <f t="shared" ca="1" si="49"/>
        <v>312,..,512</v>
      </c>
      <c r="B212" s="64"/>
      <c r="C212" s="28" t="s">
        <v>183</v>
      </c>
      <c r="D212" s="28">
        <f>(26.15+(2.2+2.9)*0.45+(1.7+2.3+2.5)*0.7)*10.764</f>
        <v>355.15817999999996</v>
      </c>
      <c r="E212" s="28">
        <v>0</v>
      </c>
      <c r="F212" s="28">
        <f t="shared" si="51"/>
        <v>532.73726999999997</v>
      </c>
      <c r="G212" s="63" t="str">
        <f t="shared" si="52"/>
        <v>3rd &amp; 5th Floor</v>
      </c>
      <c r="H212" s="64"/>
      <c r="S212" s="66" t="str">
        <f t="shared" ca="1" si="50"/>
        <v>312,..,512</v>
      </c>
      <c r="T212" s="66"/>
      <c r="U212" s="54">
        <f t="shared" ref="U212:W212" si="60">U211+1</f>
        <v>12</v>
      </c>
      <c r="V212" s="53">
        <f t="shared" ca="1" si="60"/>
        <v>312</v>
      </c>
      <c r="W212" s="53">
        <f t="shared" ca="1" si="60"/>
        <v>512</v>
      </c>
    </row>
    <row r="213" spans="1:23" s="53" customFormat="1" x14ac:dyDescent="0.25">
      <c r="A213" s="63" t="str">
        <f t="shared" ca="1" si="49"/>
        <v>313,..,513</v>
      </c>
      <c r="B213" s="64"/>
      <c r="C213" s="28" t="s">
        <v>183</v>
      </c>
      <c r="D213" s="28">
        <f>(27.46+(2.2+3)*0.45+(2.9+2.2+1.5)*0.7)*10.764</f>
        <v>370.49687999999998</v>
      </c>
      <c r="E213" s="28">
        <v>0</v>
      </c>
      <c r="F213" s="28">
        <f t="shared" si="51"/>
        <v>555.74531999999999</v>
      </c>
      <c r="G213" s="63" t="str">
        <f t="shared" si="52"/>
        <v>3rd &amp; 5th Floor</v>
      </c>
      <c r="H213" s="64"/>
      <c r="S213" s="66" t="str">
        <f t="shared" ca="1" si="50"/>
        <v>313,..,513</v>
      </c>
      <c r="T213" s="66"/>
      <c r="U213" s="54">
        <f t="shared" ref="U213:W213" si="61">U212+1</f>
        <v>13</v>
      </c>
      <c r="V213" s="53">
        <f t="shared" ca="1" si="61"/>
        <v>313</v>
      </c>
      <c r="W213" s="53">
        <f t="shared" ca="1" si="61"/>
        <v>513</v>
      </c>
    </row>
    <row r="214" spans="1:23" s="53" customFormat="1" x14ac:dyDescent="0.25">
      <c r="A214" s="72" t="s">
        <v>188</v>
      </c>
      <c r="B214" s="72"/>
      <c r="C214" s="72"/>
      <c r="D214" s="72"/>
      <c r="E214" s="72"/>
      <c r="F214" s="72"/>
      <c r="G214" s="72"/>
      <c r="H214" s="72"/>
      <c r="S214" s="66"/>
      <c r="T214" s="66"/>
      <c r="V214" s="53" t="str">
        <f>LEFT(A214,SUM(LEN(A214)-LEN(SUBSTITUTE(A214,{"0","1","2","3","4","5","6","7","8","9"},""))))</f>
        <v>6</v>
      </c>
    </row>
    <row r="215" spans="1:23" s="53" customFormat="1" x14ac:dyDescent="0.25">
      <c r="A215" s="63">
        <f t="shared" ref="A215:A227" ca="1" si="62">S215</f>
        <v>601</v>
      </c>
      <c r="B215" s="64"/>
      <c r="C215" s="28" t="s">
        <v>183</v>
      </c>
      <c r="D215" s="28">
        <f>(27.44+(3.15+2.2)*0.45+(1.5+2.3)*0.7+3*1.5)*10.764</f>
        <v>398.34872999999999</v>
      </c>
      <c r="E215" s="28">
        <v>0</v>
      </c>
      <c r="F215" s="28">
        <f t="shared" si="51"/>
        <v>597.52309500000001</v>
      </c>
      <c r="G215" s="65" t="str">
        <f>A214</f>
        <v>6th Floor</v>
      </c>
      <c r="H215" s="65"/>
      <c r="S215" s="66">
        <f t="shared" ref="S215:S227" ca="1" si="63">V215</f>
        <v>601</v>
      </c>
      <c r="T215" s="66"/>
      <c r="U215" s="54">
        <v>1</v>
      </c>
      <c r="V215" s="53">
        <f ca="1">(SUMPRODUCT(MID(0&amp;V214, LARGE(INDEX(ISNUMBER(--MID(V214, ROW(INDIRECT("1:"&amp;LEN(V214))), 1)) * ROW(INDIRECT("1:"&amp;LEN(V214))), 0), ROW(INDIRECT("1:"&amp;LEN(V214))))+1, 1) * 10^ROW(INDIRECT("1:"&amp;LEN(V214)))/10))*U215*100+1</f>
        <v>601</v>
      </c>
    </row>
    <row r="216" spans="1:23" s="53" customFormat="1" x14ac:dyDescent="0.25">
      <c r="A216" s="63">
        <f t="shared" ca="1" si="62"/>
        <v>602</v>
      </c>
      <c r="B216" s="64"/>
      <c r="C216" s="28" t="s">
        <v>184</v>
      </c>
      <c r="D216" s="28">
        <f>(37.57+(3+2.45)*0.45+(2+3)*0.7+4.95*1.5)*10.764</f>
        <v>548.39889000000005</v>
      </c>
      <c r="E216" s="28">
        <v>0</v>
      </c>
      <c r="F216" s="28">
        <f t="shared" si="51"/>
        <v>822.59833500000013</v>
      </c>
      <c r="G216" s="65" t="str">
        <f t="shared" ref="G216:G227" si="64">G215</f>
        <v>6th Floor</v>
      </c>
      <c r="H216" s="65"/>
      <c r="S216" s="66">
        <f t="shared" ca="1" si="63"/>
        <v>602</v>
      </c>
      <c r="T216" s="66"/>
      <c r="U216" s="54">
        <f>U215+1</f>
        <v>2</v>
      </c>
      <c r="V216" s="53">
        <f ca="1">V215+1</f>
        <v>602</v>
      </c>
    </row>
    <row r="217" spans="1:23" s="53" customFormat="1" x14ac:dyDescent="0.25">
      <c r="A217" s="63">
        <f t="shared" ca="1" si="62"/>
        <v>603</v>
      </c>
      <c r="B217" s="64"/>
      <c r="C217" s="28" t="s">
        <v>183</v>
      </c>
      <c r="D217" s="28">
        <f>(27.75+(2.1+2.4)*0.45+(2.4+1.5)*0.7+1.5*3.05)*10.764</f>
        <v>399.12911999999994</v>
      </c>
      <c r="E217" s="28">
        <v>0</v>
      </c>
      <c r="F217" s="28">
        <f t="shared" si="51"/>
        <v>598.69367999999986</v>
      </c>
      <c r="G217" s="65" t="str">
        <f t="shared" si="64"/>
        <v>6th Floor</v>
      </c>
      <c r="H217" s="65"/>
      <c r="S217" s="66">
        <f t="shared" ca="1" si="63"/>
        <v>603</v>
      </c>
      <c r="T217" s="66"/>
      <c r="U217" s="54">
        <f>U216+1</f>
        <v>3</v>
      </c>
      <c r="V217" s="53">
        <f ca="1">V216+1</f>
        <v>603</v>
      </c>
    </row>
    <row r="218" spans="1:23" s="53" customFormat="1" x14ac:dyDescent="0.25">
      <c r="A218" s="63">
        <f t="shared" ca="1" si="62"/>
        <v>604</v>
      </c>
      <c r="B218" s="64"/>
      <c r="C218" s="28" t="s">
        <v>183</v>
      </c>
      <c r="D218" s="28">
        <f>(27.02+(2.1+2.4)*0.45+1.8*0.7+(2.3+2.9)*0.6)*10.764</f>
        <v>359.78669999999994</v>
      </c>
      <c r="E218" s="28">
        <v>0</v>
      </c>
      <c r="F218" s="28">
        <f t="shared" si="51"/>
        <v>539.68004999999994</v>
      </c>
      <c r="G218" s="65" t="str">
        <f t="shared" si="64"/>
        <v>6th Floor</v>
      </c>
      <c r="H218" s="65"/>
      <c r="S218" s="66">
        <f t="shared" ca="1" si="63"/>
        <v>604</v>
      </c>
      <c r="T218" s="66"/>
      <c r="U218" s="54">
        <f t="shared" ref="U218:U220" si="65">U217+1</f>
        <v>4</v>
      </c>
      <c r="V218" s="53">
        <f t="shared" ref="V218:V227" ca="1" si="66">V217+1</f>
        <v>604</v>
      </c>
    </row>
    <row r="219" spans="1:23" s="53" customFormat="1" x14ac:dyDescent="0.25">
      <c r="A219" s="63">
        <f t="shared" ca="1" si="62"/>
        <v>605</v>
      </c>
      <c r="B219" s="64"/>
      <c r="C219" s="28" t="s">
        <v>183</v>
      </c>
      <c r="D219" s="28">
        <f>(27.02+(2.1+2.4)*0.45+1.8*0.7+(2.3+2.9)*0.6)*10.764</f>
        <v>359.78669999999994</v>
      </c>
      <c r="E219" s="28">
        <v>0</v>
      </c>
      <c r="F219" s="28">
        <f t="shared" si="51"/>
        <v>539.68004999999994</v>
      </c>
      <c r="G219" s="65" t="str">
        <f t="shared" si="64"/>
        <v>6th Floor</v>
      </c>
      <c r="H219" s="65"/>
      <c r="S219" s="66">
        <f t="shared" ca="1" si="63"/>
        <v>605</v>
      </c>
      <c r="T219" s="66"/>
      <c r="U219" s="54">
        <f t="shared" si="65"/>
        <v>5</v>
      </c>
      <c r="V219" s="53">
        <f t="shared" ca="1" si="66"/>
        <v>605</v>
      </c>
    </row>
    <row r="220" spans="1:23" s="53" customFormat="1" x14ac:dyDescent="0.25">
      <c r="A220" s="63">
        <f t="shared" ca="1" si="62"/>
        <v>606</v>
      </c>
      <c r="B220" s="64"/>
      <c r="C220" s="28" t="s">
        <v>183</v>
      </c>
      <c r="D220" s="28">
        <f>(27.31+2.2*0.45+1.8*0.7+(2.3+3.4)*0.6)*10.764</f>
        <v>354.99671999999993</v>
      </c>
      <c r="E220" s="28">
        <v>0</v>
      </c>
      <c r="F220" s="28">
        <f t="shared" si="51"/>
        <v>532.49507999999992</v>
      </c>
      <c r="G220" s="65" t="str">
        <f t="shared" si="64"/>
        <v>6th Floor</v>
      </c>
      <c r="H220" s="65"/>
      <c r="S220" s="66">
        <f t="shared" ca="1" si="63"/>
        <v>606</v>
      </c>
      <c r="T220" s="66"/>
      <c r="U220" s="54">
        <f t="shared" si="65"/>
        <v>6</v>
      </c>
      <c r="V220" s="53">
        <f t="shared" ca="1" si="66"/>
        <v>606</v>
      </c>
    </row>
    <row r="221" spans="1:23" s="53" customFormat="1" x14ac:dyDescent="0.25">
      <c r="A221" s="63">
        <f t="shared" ca="1" si="62"/>
        <v>607</v>
      </c>
      <c r="B221" s="64"/>
      <c r="C221" s="28" t="s">
        <v>183</v>
      </c>
      <c r="D221" s="28">
        <f>(26.7+2.2*0.45+(2.3+3)*0.6+2*0.7)*10.764</f>
        <v>347.35427999999996</v>
      </c>
      <c r="E221" s="28">
        <v>0</v>
      </c>
      <c r="F221" s="28">
        <f t="shared" si="51"/>
        <v>521.03141999999991</v>
      </c>
      <c r="G221" s="65" t="str">
        <f t="shared" si="64"/>
        <v>6th Floor</v>
      </c>
      <c r="H221" s="65"/>
      <c r="S221" s="66">
        <f t="shared" ca="1" si="63"/>
        <v>607</v>
      </c>
      <c r="T221" s="66"/>
      <c r="U221" s="54">
        <f>U220+1</f>
        <v>7</v>
      </c>
      <c r="V221" s="53">
        <f t="shared" ca="1" si="66"/>
        <v>607</v>
      </c>
    </row>
    <row r="222" spans="1:23" s="53" customFormat="1" x14ac:dyDescent="0.25">
      <c r="A222" s="63">
        <f t="shared" ca="1" si="62"/>
        <v>608</v>
      </c>
      <c r="B222" s="64"/>
      <c r="C222" s="28" t="s">
        <v>183</v>
      </c>
      <c r="D222" s="28">
        <f>(26.7+2.2*0.45+(2.3+3.4)*0.6+2*0.7)*10.764</f>
        <v>349.93763999999993</v>
      </c>
      <c r="E222" s="28">
        <v>0</v>
      </c>
      <c r="F222" s="28">
        <f t="shared" si="51"/>
        <v>524.90645999999992</v>
      </c>
      <c r="G222" s="65" t="str">
        <f t="shared" si="64"/>
        <v>6th Floor</v>
      </c>
      <c r="H222" s="65"/>
      <c r="S222" s="66">
        <f t="shared" ca="1" si="63"/>
        <v>608</v>
      </c>
      <c r="T222" s="66"/>
      <c r="U222" s="54">
        <f>U221+1</f>
        <v>8</v>
      </c>
      <c r="V222" s="53">
        <f t="shared" ca="1" si="66"/>
        <v>608</v>
      </c>
    </row>
    <row r="223" spans="1:23" s="53" customFormat="1" x14ac:dyDescent="0.25">
      <c r="A223" s="63">
        <f t="shared" ca="1" si="62"/>
        <v>609</v>
      </c>
      <c r="B223" s="64"/>
      <c r="C223" s="28" t="s">
        <v>183</v>
      </c>
      <c r="D223" s="28">
        <f>(26.44+2.2*0.45+(2.3+3)*0.6+1.6*0.7)*10.764</f>
        <v>341.54172</v>
      </c>
      <c r="E223" s="28">
        <v>0</v>
      </c>
      <c r="F223" s="28">
        <f t="shared" si="51"/>
        <v>512.31258000000003</v>
      </c>
      <c r="G223" s="65" t="str">
        <f t="shared" si="64"/>
        <v>6th Floor</v>
      </c>
      <c r="H223" s="65"/>
      <c r="S223" s="66">
        <f t="shared" ca="1" si="63"/>
        <v>609</v>
      </c>
      <c r="T223" s="66"/>
      <c r="U223" s="54">
        <f t="shared" ref="U223:U225" si="67">U222+1</f>
        <v>9</v>
      </c>
      <c r="V223" s="53">
        <f t="shared" ca="1" si="66"/>
        <v>609</v>
      </c>
    </row>
    <row r="224" spans="1:23" s="53" customFormat="1" x14ac:dyDescent="0.25">
      <c r="A224" s="63">
        <f t="shared" ca="1" si="62"/>
        <v>610</v>
      </c>
      <c r="B224" s="64"/>
      <c r="C224" s="28" t="s">
        <v>183</v>
      </c>
      <c r="D224" s="28">
        <f>(26.85+2.2*0.45+(2.3+3)*0.6+1.6*0.7)*10.764</f>
        <v>345.95495999999997</v>
      </c>
      <c r="E224" s="28">
        <v>0</v>
      </c>
      <c r="F224" s="28">
        <f t="shared" si="51"/>
        <v>518.93243999999993</v>
      </c>
      <c r="G224" s="65" t="str">
        <f t="shared" si="64"/>
        <v>6th Floor</v>
      </c>
      <c r="H224" s="65"/>
      <c r="S224" s="66">
        <f t="shared" ca="1" si="63"/>
        <v>610</v>
      </c>
      <c r="T224" s="66"/>
      <c r="U224" s="54">
        <f t="shared" si="67"/>
        <v>10</v>
      </c>
      <c r="V224" s="53">
        <f t="shared" ca="1" si="66"/>
        <v>610</v>
      </c>
    </row>
    <row r="225" spans="1:22" s="53" customFormat="1" x14ac:dyDescent="0.25">
      <c r="A225" s="63">
        <f t="shared" ca="1" si="62"/>
        <v>611</v>
      </c>
      <c r="B225" s="64"/>
      <c r="C225" s="28" t="s">
        <v>183</v>
      </c>
      <c r="D225" s="28">
        <f>(27.45+(2.2+3.15)*0.45+1.8*0.6+2.3*0.7+3*1.5)*10.764</f>
        <v>398.77928999999995</v>
      </c>
      <c r="E225" s="28">
        <v>0</v>
      </c>
      <c r="F225" s="28">
        <f t="shared" si="51"/>
        <v>598.16893499999992</v>
      </c>
      <c r="G225" s="65" t="str">
        <f t="shared" si="64"/>
        <v>6th Floor</v>
      </c>
      <c r="H225" s="65"/>
      <c r="S225" s="66">
        <f t="shared" ca="1" si="63"/>
        <v>611</v>
      </c>
      <c r="T225" s="66"/>
      <c r="U225" s="54">
        <f t="shared" si="67"/>
        <v>11</v>
      </c>
      <c r="V225" s="53">
        <f t="shared" ca="1" si="66"/>
        <v>611</v>
      </c>
    </row>
    <row r="226" spans="1:22" s="53" customFormat="1" x14ac:dyDescent="0.25">
      <c r="A226" s="63">
        <f t="shared" ca="1" si="62"/>
        <v>612</v>
      </c>
      <c r="B226" s="64"/>
      <c r="C226" s="28" t="s">
        <v>183</v>
      </c>
      <c r="D226" s="28">
        <f>(26.15+(2.2+2.9)*0.45+(1.7+2.3)*0.7+1.5*3)*10.764</f>
        <v>384.75918000000001</v>
      </c>
      <c r="E226" s="28">
        <v>0</v>
      </c>
      <c r="F226" s="28">
        <f t="shared" si="51"/>
        <v>577.13877000000002</v>
      </c>
      <c r="G226" s="65" t="str">
        <f t="shared" si="64"/>
        <v>6th Floor</v>
      </c>
      <c r="H226" s="65"/>
      <c r="S226" s="66">
        <f t="shared" ca="1" si="63"/>
        <v>612</v>
      </c>
      <c r="T226" s="66"/>
      <c r="U226" s="54">
        <f>U225+1</f>
        <v>12</v>
      </c>
      <c r="V226" s="53">
        <f t="shared" ca="1" si="66"/>
        <v>612</v>
      </c>
    </row>
    <row r="227" spans="1:22" s="53" customFormat="1" x14ac:dyDescent="0.25">
      <c r="A227" s="63">
        <f t="shared" ca="1" si="62"/>
        <v>613</v>
      </c>
      <c r="B227" s="64"/>
      <c r="C227" s="28" t="s">
        <v>183</v>
      </c>
      <c r="D227" s="28">
        <f>(27.46+(2.2+3)*0.45+(2.2+1.5)*0.7+1.5*3)*10.764</f>
        <v>397.08395999999999</v>
      </c>
      <c r="E227" s="28">
        <v>0</v>
      </c>
      <c r="F227" s="28">
        <f t="shared" si="51"/>
        <v>595.62594000000001</v>
      </c>
      <c r="G227" s="65" t="str">
        <f t="shared" si="64"/>
        <v>6th Floor</v>
      </c>
      <c r="H227" s="65"/>
      <c r="S227" s="66">
        <f t="shared" ca="1" si="63"/>
        <v>613</v>
      </c>
      <c r="T227" s="66"/>
      <c r="U227" s="54">
        <f>U226+1</f>
        <v>13</v>
      </c>
      <c r="V227" s="53">
        <f t="shared" ca="1" si="66"/>
        <v>613</v>
      </c>
    </row>
    <row r="228" spans="1:22" s="53" customFormat="1" x14ac:dyDescent="0.25">
      <c r="A228" s="72" t="s">
        <v>189</v>
      </c>
      <c r="B228" s="72"/>
      <c r="C228" s="72"/>
      <c r="D228" s="72"/>
      <c r="E228" s="72"/>
      <c r="F228" s="72"/>
      <c r="G228" s="72"/>
      <c r="H228" s="72"/>
      <c r="S228" s="66"/>
      <c r="T228" s="66"/>
      <c r="V228" s="53" t="str">
        <f>LEFT(A228,SUM(LEN(A228)-LEN(SUBSTITUTE(A228,{"0","1","2","3","4","5","6","7","8","9"},""))))</f>
        <v>7</v>
      </c>
    </row>
    <row r="229" spans="1:22" s="53" customFormat="1" x14ac:dyDescent="0.25">
      <c r="A229" s="63">
        <f t="shared" ref="A229:A241" ca="1" si="68">S229</f>
        <v>701</v>
      </c>
      <c r="B229" s="64"/>
      <c r="C229" s="28" t="s">
        <v>183</v>
      </c>
      <c r="D229" s="28">
        <f>(27.44+(3.15+2.2)*0.45+(2.3+3)*0.7+1.7*1.5)*10.764</f>
        <v>388.6611299999999</v>
      </c>
      <c r="E229" s="28">
        <v>0</v>
      </c>
      <c r="F229" s="28">
        <f>D229*(($F$134)+1)+E229</f>
        <v>582.99169499999982</v>
      </c>
      <c r="G229" s="65" t="str">
        <f>A228</f>
        <v>7th Floor</v>
      </c>
      <c r="H229" s="65"/>
      <c r="S229" s="66">
        <f t="shared" ref="S229:S241" ca="1" si="69">V229</f>
        <v>701</v>
      </c>
      <c r="T229" s="66"/>
      <c r="U229" s="54">
        <v>1</v>
      </c>
      <c r="V229" s="53">
        <f ca="1">(SUMPRODUCT(MID(0&amp;V228, LARGE(INDEX(ISNUMBER(--MID(V228, ROW(INDIRECT("1:"&amp;LEN(V228))), 1)) * ROW(INDIRECT("1:"&amp;LEN(V228))), 0), ROW(INDIRECT("1:"&amp;LEN(V228))))+1, 1) * 10^ROW(INDIRECT("1:"&amp;LEN(V228)))/10))*U229*100+1</f>
        <v>701</v>
      </c>
    </row>
    <row r="230" spans="1:22" s="53" customFormat="1" x14ac:dyDescent="0.25">
      <c r="A230" s="63">
        <f t="shared" ca="1" si="68"/>
        <v>702</v>
      </c>
      <c r="B230" s="64"/>
      <c r="C230" s="28" t="s">
        <v>184</v>
      </c>
      <c r="D230" s="28">
        <f>(37.57+(3+2.5)*0.45+(2.3+2.6+3)*0.7)*10.764</f>
        <v>490.5693</v>
      </c>
      <c r="E230" s="28">
        <v>0</v>
      </c>
      <c r="F230" s="28">
        <f t="shared" ref="F230:F241" si="70">D230*(($F$134)+1)+E230</f>
        <v>735.85394999999994</v>
      </c>
      <c r="G230" s="65" t="str">
        <f t="shared" ref="G230:G241" si="71">G229</f>
        <v>7th Floor</v>
      </c>
      <c r="H230" s="65"/>
      <c r="S230" s="66">
        <f t="shared" ca="1" si="69"/>
        <v>702</v>
      </c>
      <c r="T230" s="66"/>
      <c r="U230" s="54">
        <f>U229+1</f>
        <v>2</v>
      </c>
      <c r="V230" s="53">
        <f ca="1">V229+1</f>
        <v>702</v>
      </c>
    </row>
    <row r="231" spans="1:22" s="53" customFormat="1" x14ac:dyDescent="0.25">
      <c r="A231" s="63">
        <f t="shared" ca="1" si="68"/>
        <v>703</v>
      </c>
      <c r="B231" s="64"/>
      <c r="C231" s="28" t="s">
        <v>190</v>
      </c>
      <c r="D231" s="28">
        <f>(20.22+2.1*0.45+2.6*0.7+1.5*1.7)*10.764</f>
        <v>274.85874000000001</v>
      </c>
      <c r="E231" s="28">
        <f>3.3*2.9*10.764</f>
        <v>103.01147999999998</v>
      </c>
      <c r="F231" s="28">
        <f t="shared" si="70"/>
        <v>515.29958999999997</v>
      </c>
      <c r="G231" s="65" t="str">
        <f t="shared" si="71"/>
        <v>7th Floor</v>
      </c>
      <c r="H231" s="65"/>
      <c r="S231" s="66">
        <f t="shared" ca="1" si="69"/>
        <v>703</v>
      </c>
      <c r="T231" s="66"/>
      <c r="U231" s="54">
        <f>U230+1</f>
        <v>3</v>
      </c>
      <c r="V231" s="53">
        <f ca="1">V230+1</f>
        <v>703</v>
      </c>
    </row>
    <row r="232" spans="1:22" s="53" customFormat="1" x14ac:dyDescent="0.25">
      <c r="A232" s="63">
        <f t="shared" ca="1" si="68"/>
        <v>704</v>
      </c>
      <c r="B232" s="64"/>
      <c r="C232" s="28" t="s">
        <v>190</v>
      </c>
      <c r="D232" s="28">
        <f>(19.52+2.1*0.45+2.4*0.7+1.5*1.7)*10.764</f>
        <v>265.81698</v>
      </c>
      <c r="E232" s="28">
        <f>2.85*2.75*10.764</f>
        <v>84.362849999999995</v>
      </c>
      <c r="F232" s="28">
        <f t="shared" si="70"/>
        <v>483.08831999999995</v>
      </c>
      <c r="G232" s="65" t="str">
        <f t="shared" si="71"/>
        <v>7th Floor</v>
      </c>
      <c r="H232" s="65"/>
      <c r="S232" s="66">
        <f t="shared" ca="1" si="69"/>
        <v>704</v>
      </c>
      <c r="T232" s="66"/>
      <c r="U232" s="54">
        <f t="shared" ref="U232:U234" si="72">U231+1</f>
        <v>4</v>
      </c>
      <c r="V232" s="53">
        <f t="shared" ref="V232:V241" ca="1" si="73">V231+1</f>
        <v>704</v>
      </c>
    </row>
    <row r="233" spans="1:22" s="53" customFormat="1" x14ac:dyDescent="0.25">
      <c r="A233" s="63">
        <f t="shared" ca="1" si="68"/>
        <v>705</v>
      </c>
      <c r="B233" s="64"/>
      <c r="C233" s="28" t="s">
        <v>190</v>
      </c>
      <c r="D233" s="28">
        <f>(19.52+2.1*0.45+2.4*0.7+1.5*1.7)*10.764</f>
        <v>265.81698</v>
      </c>
      <c r="E233" s="28">
        <f>2.85*2.75*10.764</f>
        <v>84.362849999999995</v>
      </c>
      <c r="F233" s="28">
        <f t="shared" si="70"/>
        <v>483.08831999999995</v>
      </c>
      <c r="G233" s="65" t="str">
        <f t="shared" si="71"/>
        <v>7th Floor</v>
      </c>
      <c r="H233" s="65"/>
      <c r="S233" s="66">
        <f t="shared" ca="1" si="69"/>
        <v>705</v>
      </c>
      <c r="T233" s="66"/>
      <c r="U233" s="54">
        <f t="shared" si="72"/>
        <v>5</v>
      </c>
      <c r="V233" s="53">
        <f t="shared" ca="1" si="73"/>
        <v>705</v>
      </c>
    </row>
    <row r="234" spans="1:22" s="53" customFormat="1" x14ac:dyDescent="0.25">
      <c r="A234" s="63">
        <f t="shared" ca="1" si="68"/>
        <v>706</v>
      </c>
      <c r="B234" s="64"/>
      <c r="C234" s="28" t="s">
        <v>190</v>
      </c>
      <c r="D234" s="28">
        <f>(19.02+2.1*0.45+2.4*0.7+1.5*2)*10.764</f>
        <v>265.27877999999998</v>
      </c>
      <c r="E234" s="28">
        <f>2.85*2.75*10.764</f>
        <v>84.362849999999995</v>
      </c>
      <c r="F234" s="28">
        <f t="shared" si="70"/>
        <v>482.28101999999996</v>
      </c>
      <c r="G234" s="65" t="str">
        <f t="shared" si="71"/>
        <v>7th Floor</v>
      </c>
      <c r="H234" s="65"/>
      <c r="S234" s="66">
        <f t="shared" ca="1" si="69"/>
        <v>706</v>
      </c>
      <c r="T234" s="66"/>
      <c r="U234" s="54">
        <f t="shared" si="72"/>
        <v>6</v>
      </c>
      <c r="V234" s="53">
        <f t="shared" ca="1" si="73"/>
        <v>706</v>
      </c>
    </row>
    <row r="235" spans="1:22" s="53" customFormat="1" x14ac:dyDescent="0.25">
      <c r="A235" s="63">
        <f t="shared" ca="1" si="68"/>
        <v>707</v>
      </c>
      <c r="B235" s="64"/>
      <c r="C235" s="28" t="s">
        <v>190</v>
      </c>
      <c r="D235" s="28">
        <f>(19.16+2.2*0.45+2.3*0.7+1.5*2.03)*10.764</f>
        <v>267.00101999999998</v>
      </c>
      <c r="E235" s="28">
        <f>1.5*2.03*10.764</f>
        <v>32.776379999999996</v>
      </c>
      <c r="F235" s="28">
        <f t="shared" si="70"/>
        <v>433.27791000000002</v>
      </c>
      <c r="G235" s="65" t="str">
        <f t="shared" si="71"/>
        <v>7th Floor</v>
      </c>
      <c r="H235" s="65"/>
      <c r="S235" s="66">
        <f t="shared" ca="1" si="69"/>
        <v>707</v>
      </c>
      <c r="T235" s="66"/>
      <c r="U235" s="54">
        <f>U234+1</f>
        <v>7</v>
      </c>
      <c r="V235" s="53">
        <f t="shared" ca="1" si="73"/>
        <v>707</v>
      </c>
    </row>
    <row r="236" spans="1:22" s="53" customFormat="1" x14ac:dyDescent="0.25">
      <c r="A236" s="63">
        <f t="shared" ca="1" si="68"/>
        <v>708</v>
      </c>
      <c r="B236" s="64"/>
      <c r="C236" s="28" t="s">
        <v>190</v>
      </c>
      <c r="D236" s="28">
        <f>(19.81+2.2*0.45+2.3*0.7+1.5*2.03)*10.764</f>
        <v>273.99761999999998</v>
      </c>
      <c r="E236" s="28">
        <f>2.85*3.3*10.764</f>
        <v>101.23541999999999</v>
      </c>
      <c r="F236" s="28">
        <f t="shared" si="70"/>
        <v>512.23185000000001</v>
      </c>
      <c r="G236" s="65" t="str">
        <f t="shared" si="71"/>
        <v>7th Floor</v>
      </c>
      <c r="H236" s="65"/>
      <c r="S236" s="66">
        <f t="shared" ca="1" si="69"/>
        <v>708</v>
      </c>
      <c r="T236" s="66"/>
      <c r="U236" s="54">
        <f>U235+1</f>
        <v>8</v>
      </c>
      <c r="V236" s="53">
        <f t="shared" ca="1" si="73"/>
        <v>708</v>
      </c>
    </row>
    <row r="237" spans="1:22" s="53" customFormat="1" x14ac:dyDescent="0.25">
      <c r="A237" s="63">
        <f t="shared" ca="1" si="68"/>
        <v>709</v>
      </c>
      <c r="B237" s="64"/>
      <c r="C237" s="28" t="s">
        <v>183</v>
      </c>
      <c r="D237" s="28">
        <f>(26.44+2.2*0.45+(2.3+3)*0.6+1.6*0.7)*10.764</f>
        <v>341.54172</v>
      </c>
      <c r="E237" s="28">
        <v>0</v>
      </c>
      <c r="F237" s="28">
        <f t="shared" si="70"/>
        <v>512.31258000000003</v>
      </c>
      <c r="G237" s="65" t="str">
        <f t="shared" si="71"/>
        <v>7th Floor</v>
      </c>
      <c r="H237" s="65"/>
      <c r="S237" s="66">
        <f t="shared" ca="1" si="69"/>
        <v>709</v>
      </c>
      <c r="T237" s="66"/>
      <c r="U237" s="54">
        <f t="shared" ref="U237:U239" si="74">U236+1</f>
        <v>9</v>
      </c>
      <c r="V237" s="53">
        <f t="shared" ca="1" si="73"/>
        <v>709</v>
      </c>
    </row>
    <row r="238" spans="1:22" s="53" customFormat="1" x14ac:dyDescent="0.25">
      <c r="A238" s="63">
        <f t="shared" ca="1" si="68"/>
        <v>710</v>
      </c>
      <c r="B238" s="64"/>
      <c r="C238" s="28" t="s">
        <v>190</v>
      </c>
      <c r="D238" s="28">
        <f>(18.94+2.2*0.45+2.3*0.7+1.5*1.7)*10.764</f>
        <v>259.30475999999999</v>
      </c>
      <c r="E238" s="28">
        <f>2.75*3*10.764</f>
        <v>88.802999999999997</v>
      </c>
      <c r="F238" s="28">
        <f t="shared" si="70"/>
        <v>477.76013999999998</v>
      </c>
      <c r="G238" s="65" t="str">
        <f t="shared" si="71"/>
        <v>7th Floor</v>
      </c>
      <c r="H238" s="65"/>
      <c r="S238" s="66">
        <f t="shared" ca="1" si="69"/>
        <v>710</v>
      </c>
      <c r="T238" s="66"/>
      <c r="U238" s="54">
        <f t="shared" si="74"/>
        <v>10</v>
      </c>
      <c r="V238" s="53">
        <f t="shared" ca="1" si="73"/>
        <v>710</v>
      </c>
    </row>
    <row r="239" spans="1:22" s="53" customFormat="1" x14ac:dyDescent="0.25">
      <c r="A239" s="63">
        <f t="shared" ca="1" si="68"/>
        <v>711</v>
      </c>
      <c r="B239" s="64"/>
      <c r="C239" s="28" t="s">
        <v>183</v>
      </c>
      <c r="D239" s="28">
        <f>(20.02+2.2*0.45+1.8*0.7+2.4*1.5)*10.764</f>
        <v>278.46467999999993</v>
      </c>
      <c r="E239" s="28">
        <f>2.85*3.15*10.764</f>
        <v>96.633809999999983</v>
      </c>
      <c r="F239" s="28">
        <f t="shared" si="70"/>
        <v>514.33082999999988</v>
      </c>
      <c r="G239" s="65" t="str">
        <f t="shared" si="71"/>
        <v>7th Floor</v>
      </c>
      <c r="H239" s="65"/>
      <c r="S239" s="66">
        <f t="shared" ca="1" si="69"/>
        <v>711</v>
      </c>
      <c r="T239" s="66"/>
      <c r="U239" s="54">
        <f t="shared" si="74"/>
        <v>11</v>
      </c>
      <c r="V239" s="53">
        <f t="shared" ca="1" si="73"/>
        <v>711</v>
      </c>
    </row>
    <row r="240" spans="1:22" s="53" customFormat="1" x14ac:dyDescent="0.25">
      <c r="A240" s="63">
        <f t="shared" ca="1" si="68"/>
        <v>712</v>
      </c>
      <c r="B240" s="64"/>
      <c r="C240" s="28" t="s">
        <v>183</v>
      </c>
      <c r="D240" s="28">
        <f>(18.71+(2.9+2.2)*0.45+2.2*0.7+1.5*2.4)*10.764</f>
        <v>281.42478</v>
      </c>
      <c r="E240" s="28">
        <f>3.15*2.85*10.764</f>
        <v>96.633809999999983</v>
      </c>
      <c r="F240" s="28">
        <f t="shared" si="70"/>
        <v>518.77098000000001</v>
      </c>
      <c r="G240" s="65" t="str">
        <f t="shared" si="71"/>
        <v>7th Floor</v>
      </c>
      <c r="H240" s="65"/>
      <c r="S240" s="66">
        <f t="shared" ca="1" si="69"/>
        <v>712</v>
      </c>
      <c r="T240" s="66"/>
      <c r="U240" s="54">
        <f>U239+1</f>
        <v>12</v>
      </c>
      <c r="V240" s="53">
        <f t="shared" ca="1" si="73"/>
        <v>712</v>
      </c>
    </row>
    <row r="241" spans="1:22" s="53" customFormat="1" x14ac:dyDescent="0.25">
      <c r="A241" s="63">
        <f t="shared" ca="1" si="68"/>
        <v>713</v>
      </c>
      <c r="B241" s="64"/>
      <c r="C241" s="28" t="s">
        <v>183</v>
      </c>
      <c r="D241" s="28">
        <f>(20.02+2.2*0.45+1.8*0.7+1.5*2.4)*10.764</f>
        <v>278.46467999999993</v>
      </c>
      <c r="E241" s="28">
        <f>3.15*2.35*10.764</f>
        <v>79.680509999999998</v>
      </c>
      <c r="F241" s="28">
        <f t="shared" si="70"/>
        <v>497.37752999999987</v>
      </c>
      <c r="G241" s="65" t="str">
        <f t="shared" si="71"/>
        <v>7th Floor</v>
      </c>
      <c r="H241" s="65"/>
      <c r="S241" s="66">
        <f t="shared" ca="1" si="69"/>
        <v>713</v>
      </c>
      <c r="T241" s="66"/>
      <c r="U241" s="54">
        <f>U240+1</f>
        <v>13</v>
      </c>
      <c r="V241" s="53">
        <f t="shared" ca="1" si="73"/>
        <v>713</v>
      </c>
    </row>
    <row r="242" spans="1:22" s="49" customFormat="1" x14ac:dyDescent="0.25">
      <c r="A242" s="135" t="s">
        <v>77</v>
      </c>
      <c r="B242" s="135"/>
      <c r="C242" s="135"/>
      <c r="D242" s="135"/>
      <c r="E242" s="135"/>
      <c r="F242" s="135"/>
      <c r="G242" s="135"/>
      <c r="H242" s="135"/>
    </row>
    <row r="243" spans="1:22" s="55" customFormat="1" ht="129.75" customHeight="1" x14ac:dyDescent="0.25">
      <c r="A243" s="134" t="s">
        <v>245</v>
      </c>
      <c r="B243" s="134"/>
      <c r="C243" s="134"/>
      <c r="D243" s="134"/>
      <c r="E243" s="134"/>
      <c r="F243" s="134"/>
      <c r="G243" s="134"/>
      <c r="H243" s="134"/>
    </row>
    <row r="244" spans="1:22" x14ac:dyDescent="0.25">
      <c r="A244" s="124" t="s">
        <v>68</v>
      </c>
      <c r="B244" s="124"/>
      <c r="C244" s="124"/>
      <c r="D244" s="124"/>
      <c r="E244" s="124"/>
      <c r="F244" s="124"/>
      <c r="G244" s="124"/>
      <c r="H244" s="124"/>
    </row>
    <row r="245" spans="1:22" x14ac:dyDescent="0.25">
      <c r="A245" s="104" t="s">
        <v>69</v>
      </c>
      <c r="B245" s="104"/>
      <c r="C245" s="104"/>
      <c r="D245" s="104"/>
      <c r="E245" s="104"/>
      <c r="F245" s="104"/>
      <c r="G245" s="104"/>
      <c r="H245" s="104"/>
    </row>
    <row r="246" spans="1:22" ht="15.75" customHeight="1" x14ac:dyDescent="0.25">
      <c r="A246" s="124" t="s">
        <v>70</v>
      </c>
      <c r="B246" s="124"/>
      <c r="C246" s="124"/>
      <c r="D246" s="124"/>
      <c r="E246" s="124"/>
      <c r="F246" s="124"/>
      <c r="G246" s="124"/>
      <c r="H246" s="124"/>
    </row>
    <row r="247" spans="1:22" ht="16.5" customHeight="1" x14ac:dyDescent="0.25">
      <c r="A247" s="104" t="s">
        <v>71</v>
      </c>
      <c r="B247" s="104"/>
      <c r="C247" s="104"/>
      <c r="D247" s="104"/>
      <c r="E247" s="104"/>
      <c r="F247" s="104"/>
      <c r="G247" s="104"/>
      <c r="H247" s="104"/>
    </row>
    <row r="248" spans="1:22" x14ac:dyDescent="0.25">
      <c r="A248" s="104" t="s">
        <v>72</v>
      </c>
      <c r="B248" s="104"/>
      <c r="C248" s="104"/>
      <c r="D248" s="104"/>
      <c r="E248" s="104"/>
      <c r="F248" s="104"/>
      <c r="G248" s="104"/>
      <c r="H248" s="104"/>
    </row>
    <row r="249" spans="1:22" x14ac:dyDescent="0.25">
      <c r="A249" s="104" t="s">
        <v>73</v>
      </c>
      <c r="B249" s="104"/>
      <c r="C249" s="104"/>
      <c r="D249" s="104"/>
      <c r="E249" s="104"/>
      <c r="F249" s="104"/>
      <c r="G249" s="104"/>
      <c r="H249" s="104"/>
    </row>
    <row r="250" spans="1:22" ht="35.25" customHeight="1" x14ac:dyDescent="0.25">
      <c r="A250" s="123" t="s">
        <v>74</v>
      </c>
      <c r="B250" s="123"/>
      <c r="C250" s="123"/>
      <c r="D250" s="123"/>
      <c r="E250" s="123"/>
      <c r="F250" s="123"/>
      <c r="G250" s="123"/>
      <c r="H250" s="123"/>
    </row>
    <row r="251" spans="1:22" x14ac:dyDescent="0.25">
      <c r="A251" s="117" t="s">
        <v>111</v>
      </c>
      <c r="B251" s="117"/>
      <c r="C251" s="117" t="s">
        <v>239</v>
      </c>
      <c r="D251" s="117"/>
      <c r="E251" s="117" t="s">
        <v>145</v>
      </c>
      <c r="F251" s="117"/>
      <c r="G251" s="117" t="s">
        <v>238</v>
      </c>
      <c r="H251" s="117"/>
    </row>
    <row r="252" spans="1:22" x14ac:dyDescent="0.25">
      <c r="A252" s="116" t="s">
        <v>113</v>
      </c>
      <c r="B252" s="116"/>
      <c r="C252" s="116"/>
      <c r="D252" s="116"/>
      <c r="E252" s="116"/>
      <c r="F252" s="116"/>
      <c r="G252" s="116"/>
      <c r="H252" s="116"/>
    </row>
    <row r="253" spans="1:22" x14ac:dyDescent="0.25">
      <c r="A253" s="116"/>
      <c r="B253" s="116"/>
      <c r="C253" s="116"/>
      <c r="D253" s="116"/>
      <c r="E253" s="116"/>
      <c r="F253" s="116"/>
      <c r="G253" s="116"/>
      <c r="H253" s="116"/>
    </row>
    <row r="254" spans="1:22" x14ac:dyDescent="0.25">
      <c r="A254" s="116"/>
      <c r="B254" s="116"/>
      <c r="C254" s="116"/>
      <c r="D254" s="116"/>
      <c r="E254" s="116"/>
      <c r="F254" s="116"/>
      <c r="G254" s="116"/>
      <c r="H254" s="116"/>
    </row>
    <row r="255" spans="1:22" x14ac:dyDescent="0.25">
      <c r="A255" s="116"/>
      <c r="B255" s="116"/>
      <c r="C255" s="116"/>
      <c r="D255" s="116"/>
      <c r="E255" s="116"/>
      <c r="F255" s="116"/>
      <c r="G255" s="116"/>
      <c r="H255" s="116"/>
    </row>
    <row r="256" spans="1:22" x14ac:dyDescent="0.25">
      <c r="A256" s="56" t="s">
        <v>75</v>
      </c>
      <c r="B256" s="57"/>
      <c r="C256" s="57"/>
      <c r="D256" s="56" t="str">
        <f>E8</f>
        <v>Aarohi Complex</v>
      </c>
      <c r="F256" s="57"/>
      <c r="G256" s="57"/>
      <c r="H256" s="57"/>
    </row>
    <row r="257" spans="1:9" x14ac:dyDescent="0.25">
      <c r="A257" s="57"/>
      <c r="B257" s="57"/>
      <c r="C257" s="57"/>
      <c r="D257" s="57"/>
      <c r="E257" s="57"/>
      <c r="F257" s="57"/>
      <c r="G257" s="57"/>
      <c r="H257" s="57"/>
    </row>
    <row r="258" spans="1:9" x14ac:dyDescent="0.25">
      <c r="A258" s="57"/>
      <c r="B258" s="57"/>
      <c r="C258" s="57"/>
      <c r="D258" s="57"/>
      <c r="E258" s="57"/>
      <c r="F258" s="57"/>
      <c r="G258" s="57"/>
      <c r="H258" s="57"/>
    </row>
    <row r="259" spans="1:9" ht="15" customHeight="1" x14ac:dyDescent="0.25"/>
    <row r="268" spans="1:9" x14ac:dyDescent="0.25">
      <c r="I268"/>
    </row>
    <row r="299" spans="1:1" x14ac:dyDescent="0.25">
      <c r="A299" s="59" t="s">
        <v>76</v>
      </c>
    </row>
  </sheetData>
  <mergeCells count="565">
    <mergeCell ref="A50:B51"/>
    <mergeCell ref="C51:H51"/>
    <mergeCell ref="I57:M57"/>
    <mergeCell ref="D58:H58"/>
    <mergeCell ref="D57:H57"/>
    <mergeCell ref="A59:C59"/>
    <mergeCell ref="D59:H59"/>
    <mergeCell ref="A61:B61"/>
    <mergeCell ref="C61:H61"/>
    <mergeCell ref="A63:B63"/>
    <mergeCell ref="C63:H63"/>
    <mergeCell ref="I58:M58"/>
    <mergeCell ref="A64:B64"/>
    <mergeCell ref="E64:F64"/>
    <mergeCell ref="G64:H64"/>
    <mergeCell ref="G65:H74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65:B65"/>
    <mergeCell ref="E65:F74"/>
    <mergeCell ref="S183:T183"/>
    <mergeCell ref="S124:T124"/>
    <mergeCell ref="S125:T125"/>
    <mergeCell ref="S175:T175"/>
    <mergeCell ref="S169:T169"/>
    <mergeCell ref="A169:B169"/>
    <mergeCell ref="S176:T176"/>
    <mergeCell ref="S177:T177"/>
    <mergeCell ref="S178:T178"/>
    <mergeCell ref="S179:T179"/>
    <mergeCell ref="S180:T180"/>
    <mergeCell ref="S181:T181"/>
    <mergeCell ref="S182:T182"/>
    <mergeCell ref="A172:H172"/>
    <mergeCell ref="S172:T172"/>
    <mergeCell ref="S173:T173"/>
    <mergeCell ref="S174:T174"/>
    <mergeCell ref="G181:H181"/>
    <mergeCell ref="G182:H182"/>
    <mergeCell ref="A180:B180"/>
    <mergeCell ref="A148:B148"/>
    <mergeCell ref="S164:T164"/>
    <mergeCell ref="S166:T166"/>
    <mergeCell ref="S167:T167"/>
    <mergeCell ref="S155:T155"/>
    <mergeCell ref="A155:B155"/>
    <mergeCell ref="G151:H151"/>
    <mergeCell ref="G153:H153"/>
    <mergeCell ref="G154:H154"/>
    <mergeCell ref="G155:H155"/>
    <mergeCell ref="S165:T165"/>
    <mergeCell ref="A152:B152"/>
    <mergeCell ref="A168:B168"/>
    <mergeCell ref="G168:H168"/>
    <mergeCell ref="S168:T168"/>
    <mergeCell ref="A165:B165"/>
    <mergeCell ref="A166:B166"/>
    <mergeCell ref="A167:B167"/>
    <mergeCell ref="G165:H165"/>
    <mergeCell ref="G166:H166"/>
    <mergeCell ref="G167:H167"/>
    <mergeCell ref="G152:H152"/>
    <mergeCell ref="S152:T152"/>
    <mergeCell ref="A151:B151"/>
    <mergeCell ref="A153:B153"/>
    <mergeCell ref="A154:B154"/>
    <mergeCell ref="V118:W118"/>
    <mergeCell ref="S136:T136"/>
    <mergeCell ref="S137:T137"/>
    <mergeCell ref="S138:T138"/>
    <mergeCell ref="S139:T139"/>
    <mergeCell ref="S130:T130"/>
    <mergeCell ref="S131:T131"/>
    <mergeCell ref="S132:T132"/>
    <mergeCell ref="A118:H118"/>
    <mergeCell ref="S126:T126"/>
    <mergeCell ref="S127:T127"/>
    <mergeCell ref="S128:T128"/>
    <mergeCell ref="A133:B134"/>
    <mergeCell ref="S129:T129"/>
    <mergeCell ref="G138:H138"/>
    <mergeCell ref="G139:H139"/>
    <mergeCell ref="G119:H132"/>
    <mergeCell ref="D133:D134"/>
    <mergeCell ref="E133:E134"/>
    <mergeCell ref="G133:H134"/>
    <mergeCell ref="S142:T142"/>
    <mergeCell ref="A137:B137"/>
    <mergeCell ref="G115:H116"/>
    <mergeCell ref="S119:T119"/>
    <mergeCell ref="S120:T120"/>
    <mergeCell ref="S121:T121"/>
    <mergeCell ref="S122:T122"/>
    <mergeCell ref="S123:T123"/>
    <mergeCell ref="A115:B116"/>
    <mergeCell ref="E115:E116"/>
    <mergeCell ref="D115:D116"/>
    <mergeCell ref="C115:C116"/>
    <mergeCell ref="G137:H137"/>
    <mergeCell ref="A242:H242"/>
    <mergeCell ref="A100:E100"/>
    <mergeCell ref="F100:H100"/>
    <mergeCell ref="A101:E101"/>
    <mergeCell ref="A106:B106"/>
    <mergeCell ref="A94:E94"/>
    <mergeCell ref="F101:H101"/>
    <mergeCell ref="A97:E97"/>
    <mergeCell ref="F97:H97"/>
    <mergeCell ref="A98:E98"/>
    <mergeCell ref="F98:H98"/>
    <mergeCell ref="A99:E99"/>
    <mergeCell ref="F99:H99"/>
    <mergeCell ref="A95:E95"/>
    <mergeCell ref="F95:H95"/>
    <mergeCell ref="A96:E96"/>
    <mergeCell ref="A141:B141"/>
    <mergeCell ref="G141:H141"/>
    <mergeCell ref="C133:C134"/>
    <mergeCell ref="F96:H96"/>
    <mergeCell ref="A102:E102"/>
    <mergeCell ref="F102:H102"/>
    <mergeCell ref="A108:H108"/>
    <mergeCell ref="A171:H171"/>
    <mergeCell ref="A243:H243"/>
    <mergeCell ref="A244:H244"/>
    <mergeCell ref="A245:H245"/>
    <mergeCell ref="A114:H114"/>
    <mergeCell ref="A182:B182"/>
    <mergeCell ref="A183:B183"/>
    <mergeCell ref="A177:B177"/>
    <mergeCell ref="A179:B179"/>
    <mergeCell ref="A109:B109"/>
    <mergeCell ref="D109:E109"/>
    <mergeCell ref="A113:H113"/>
    <mergeCell ref="F109:H109"/>
    <mergeCell ref="A144:B144"/>
    <mergeCell ref="A145:B145"/>
    <mergeCell ref="G191:H191"/>
    <mergeCell ref="A192:B192"/>
    <mergeCell ref="G192:H192"/>
    <mergeCell ref="A196:B196"/>
    <mergeCell ref="G196:H196"/>
    <mergeCell ref="A117:H117"/>
    <mergeCell ref="A135:H135"/>
    <mergeCell ref="A142:B142"/>
    <mergeCell ref="G142:H142"/>
    <mergeCell ref="A136:H136"/>
    <mergeCell ref="G177:H177"/>
    <mergeCell ref="A212:B212"/>
    <mergeCell ref="G212:H212"/>
    <mergeCell ref="A186:H186"/>
    <mergeCell ref="A187:B187"/>
    <mergeCell ref="G187:H187"/>
    <mergeCell ref="A191:B191"/>
    <mergeCell ref="A178:B178"/>
    <mergeCell ref="G178:H178"/>
    <mergeCell ref="A184:B184"/>
    <mergeCell ref="G184:H184"/>
    <mergeCell ref="A185:B185"/>
    <mergeCell ref="G185:H185"/>
    <mergeCell ref="A200:H200"/>
    <mergeCell ref="A201:B201"/>
    <mergeCell ref="G201:H201"/>
    <mergeCell ref="A26:D26"/>
    <mergeCell ref="E26:H26"/>
    <mergeCell ref="A23:D23"/>
    <mergeCell ref="E23:H23"/>
    <mergeCell ref="A18:B18"/>
    <mergeCell ref="C18:D18"/>
    <mergeCell ref="E18:F18"/>
    <mergeCell ref="G18:H18"/>
    <mergeCell ref="A19:B19"/>
    <mergeCell ref="C19:D19"/>
    <mergeCell ref="E19:F19"/>
    <mergeCell ref="G19:H19"/>
    <mergeCell ref="A20:D21"/>
    <mergeCell ref="E20:H21"/>
    <mergeCell ref="A22:D22"/>
    <mergeCell ref="E22:H22"/>
    <mergeCell ref="A24:D24"/>
    <mergeCell ref="A17:B17"/>
    <mergeCell ref="C17:D17"/>
    <mergeCell ref="E17:F17"/>
    <mergeCell ref="G17:H17"/>
    <mergeCell ref="A16:B16"/>
    <mergeCell ref="C16:D16"/>
    <mergeCell ref="A25:D25"/>
    <mergeCell ref="E25:H25"/>
    <mergeCell ref="E24:H2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C31:E31"/>
    <mergeCell ref="A32:B32"/>
    <mergeCell ref="C32:E32"/>
    <mergeCell ref="A33:B33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E13:H13"/>
    <mergeCell ref="A14:B14"/>
    <mergeCell ref="C14:H14"/>
    <mergeCell ref="C15:H15"/>
    <mergeCell ref="A10:D10"/>
    <mergeCell ref="E10:H10"/>
    <mergeCell ref="E16:F16"/>
    <mergeCell ref="G16:H16"/>
    <mergeCell ref="A248:H248"/>
    <mergeCell ref="A249:H249"/>
    <mergeCell ref="A250:H250"/>
    <mergeCell ref="A246:H246"/>
    <mergeCell ref="A27:D27"/>
    <mergeCell ref="E27:H27"/>
    <mergeCell ref="A40:D40"/>
    <mergeCell ref="E40:H40"/>
    <mergeCell ref="A28:D28"/>
    <mergeCell ref="E28:H28"/>
    <mergeCell ref="A35:H35"/>
    <mergeCell ref="A34:B34"/>
    <mergeCell ref="A29:D29"/>
    <mergeCell ref="E29:H29"/>
    <mergeCell ref="A38:H38"/>
    <mergeCell ref="A39:D39"/>
    <mergeCell ref="E39:H39"/>
    <mergeCell ref="F31:H31"/>
    <mergeCell ref="F32:H32"/>
    <mergeCell ref="C30:E30"/>
    <mergeCell ref="F33:H33"/>
    <mergeCell ref="F34:H34"/>
    <mergeCell ref="F30:H30"/>
    <mergeCell ref="A31:B31"/>
    <mergeCell ref="C49:H49"/>
    <mergeCell ref="A37:B37"/>
    <mergeCell ref="C37:H37"/>
    <mergeCell ref="C36:H36"/>
    <mergeCell ref="A252:H255"/>
    <mergeCell ref="A251:B251"/>
    <mergeCell ref="E251:F251"/>
    <mergeCell ref="C251:D251"/>
    <mergeCell ref="G251:H251"/>
    <mergeCell ref="A105:H105"/>
    <mergeCell ref="A103:E103"/>
    <mergeCell ref="F103:H103"/>
    <mergeCell ref="A104:E104"/>
    <mergeCell ref="F104:H104"/>
    <mergeCell ref="D112:E112"/>
    <mergeCell ref="F112:H112"/>
    <mergeCell ref="A112:B112"/>
    <mergeCell ref="D106:E106"/>
    <mergeCell ref="F106:H106"/>
    <mergeCell ref="A107:B107"/>
    <mergeCell ref="D107:E107"/>
    <mergeCell ref="F107:H107"/>
    <mergeCell ref="A247:H247"/>
    <mergeCell ref="G180:H180"/>
    <mergeCell ref="C48:E48"/>
    <mergeCell ref="A46:B46"/>
    <mergeCell ref="C46:E46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G46:H46"/>
    <mergeCell ref="G47:H47"/>
    <mergeCell ref="A30:B30"/>
    <mergeCell ref="D56:H56"/>
    <mergeCell ref="A54:C54"/>
    <mergeCell ref="D54:H54"/>
    <mergeCell ref="D53:H53"/>
    <mergeCell ref="A60:C60"/>
    <mergeCell ref="D60:H60"/>
    <mergeCell ref="A57:C57"/>
    <mergeCell ref="A58:C58"/>
    <mergeCell ref="A36:B36"/>
    <mergeCell ref="A48:B49"/>
    <mergeCell ref="G48:H48"/>
    <mergeCell ref="D55:H55"/>
    <mergeCell ref="A55:C55"/>
    <mergeCell ref="G50:H50"/>
    <mergeCell ref="C47:E47"/>
    <mergeCell ref="C50:E50"/>
    <mergeCell ref="A47:B47"/>
    <mergeCell ref="A52:H52"/>
    <mergeCell ref="A53:C53"/>
    <mergeCell ref="C33:E33"/>
    <mergeCell ref="C34:E34"/>
    <mergeCell ref="A56:C56"/>
    <mergeCell ref="A89:E89"/>
    <mergeCell ref="F89:H89"/>
    <mergeCell ref="A92:H92"/>
    <mergeCell ref="A93:E93"/>
    <mergeCell ref="F93:H93"/>
    <mergeCell ref="A90:H90"/>
    <mergeCell ref="A91:B91"/>
    <mergeCell ref="C91:H91"/>
    <mergeCell ref="F94:H94"/>
    <mergeCell ref="A75:B75"/>
    <mergeCell ref="C75:H75"/>
    <mergeCell ref="A77:B77"/>
    <mergeCell ref="C77:H77"/>
    <mergeCell ref="A78:B78"/>
    <mergeCell ref="E78:F78"/>
    <mergeCell ref="G78:H78"/>
    <mergeCell ref="A79:B79"/>
    <mergeCell ref="E79:F88"/>
    <mergeCell ref="G79:H88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43:H143"/>
    <mergeCell ref="A138:B138"/>
    <mergeCell ref="A139:B139"/>
    <mergeCell ref="A140:B140"/>
    <mergeCell ref="G140:H140"/>
    <mergeCell ref="G179:H179"/>
    <mergeCell ref="G169:H169"/>
    <mergeCell ref="S144:T144"/>
    <mergeCell ref="S145:T145"/>
    <mergeCell ref="S146:T146"/>
    <mergeCell ref="A147:B147"/>
    <mergeCell ref="G147:H147"/>
    <mergeCell ref="S147:T147"/>
    <mergeCell ref="S143:T143"/>
    <mergeCell ref="S140:T140"/>
    <mergeCell ref="S141:T141"/>
    <mergeCell ref="S153:T153"/>
    <mergeCell ref="S154:T154"/>
    <mergeCell ref="A173:B173"/>
    <mergeCell ref="G173:H173"/>
    <mergeCell ref="G174:H174"/>
    <mergeCell ref="G175:H175"/>
    <mergeCell ref="A176:B176"/>
    <mergeCell ref="G176:H176"/>
    <mergeCell ref="S185:T185"/>
    <mergeCell ref="A149:B149"/>
    <mergeCell ref="G149:H149"/>
    <mergeCell ref="S149:T149"/>
    <mergeCell ref="G144:H144"/>
    <mergeCell ref="A156:B156"/>
    <mergeCell ref="G156:H156"/>
    <mergeCell ref="A164:H164"/>
    <mergeCell ref="G145:H145"/>
    <mergeCell ref="G146:H146"/>
    <mergeCell ref="G148:H148"/>
    <mergeCell ref="A174:B174"/>
    <mergeCell ref="A175:B175"/>
    <mergeCell ref="A181:B181"/>
    <mergeCell ref="S156:T156"/>
    <mergeCell ref="A163:B163"/>
    <mergeCell ref="G163:H163"/>
    <mergeCell ref="S163:T163"/>
    <mergeCell ref="A146:B146"/>
    <mergeCell ref="S148:T148"/>
    <mergeCell ref="A150:H150"/>
    <mergeCell ref="S151:T151"/>
    <mergeCell ref="S184:T184"/>
    <mergeCell ref="G183:H183"/>
    <mergeCell ref="S191:T191"/>
    <mergeCell ref="S187:T187"/>
    <mergeCell ref="A188:B188"/>
    <mergeCell ref="G188:H188"/>
    <mergeCell ref="S188:T188"/>
    <mergeCell ref="A189:B189"/>
    <mergeCell ref="G189:H189"/>
    <mergeCell ref="S189:T189"/>
    <mergeCell ref="A190:B190"/>
    <mergeCell ref="G190:H190"/>
    <mergeCell ref="S190:T190"/>
    <mergeCell ref="S192:T192"/>
    <mergeCell ref="A193:B193"/>
    <mergeCell ref="G193:H193"/>
    <mergeCell ref="S193:T193"/>
    <mergeCell ref="A194:B194"/>
    <mergeCell ref="G194:H194"/>
    <mergeCell ref="S194:T194"/>
    <mergeCell ref="A195:B195"/>
    <mergeCell ref="G195:H195"/>
    <mergeCell ref="S195:T195"/>
    <mergeCell ref="S201:T201"/>
    <mergeCell ref="A202:B202"/>
    <mergeCell ref="G202:H202"/>
    <mergeCell ref="S202:T202"/>
    <mergeCell ref="A203:B203"/>
    <mergeCell ref="G203:H203"/>
    <mergeCell ref="S203:T203"/>
    <mergeCell ref="S196:T196"/>
    <mergeCell ref="A197:B197"/>
    <mergeCell ref="G197:H197"/>
    <mergeCell ref="S197:T197"/>
    <mergeCell ref="A198:B198"/>
    <mergeCell ref="G198:H198"/>
    <mergeCell ref="S198:T198"/>
    <mergeCell ref="A199:B199"/>
    <mergeCell ref="G199:H199"/>
    <mergeCell ref="S199:T199"/>
    <mergeCell ref="S204:T204"/>
    <mergeCell ref="A205:B205"/>
    <mergeCell ref="G205:H205"/>
    <mergeCell ref="S205:T205"/>
    <mergeCell ref="A206:B206"/>
    <mergeCell ref="G206:H206"/>
    <mergeCell ref="S206:T206"/>
    <mergeCell ref="A207:B207"/>
    <mergeCell ref="G207:H207"/>
    <mergeCell ref="S207:T207"/>
    <mergeCell ref="A204:B204"/>
    <mergeCell ref="G204:H204"/>
    <mergeCell ref="S208:T208"/>
    <mergeCell ref="A209:B209"/>
    <mergeCell ref="G209:H209"/>
    <mergeCell ref="S209:T209"/>
    <mergeCell ref="A210:B210"/>
    <mergeCell ref="G210:H210"/>
    <mergeCell ref="S210:T210"/>
    <mergeCell ref="A211:B211"/>
    <mergeCell ref="G211:H211"/>
    <mergeCell ref="S211:T211"/>
    <mergeCell ref="A208:B208"/>
    <mergeCell ref="G208:H208"/>
    <mergeCell ref="S212:T212"/>
    <mergeCell ref="A213:B213"/>
    <mergeCell ref="G213:H213"/>
    <mergeCell ref="S213:T213"/>
    <mergeCell ref="A170:B170"/>
    <mergeCell ref="G170:H170"/>
    <mergeCell ref="S170:T170"/>
    <mergeCell ref="A157:H157"/>
    <mergeCell ref="S157:T157"/>
    <mergeCell ref="A158:B158"/>
    <mergeCell ref="G158:H158"/>
    <mergeCell ref="S158:T158"/>
    <mergeCell ref="A159:B159"/>
    <mergeCell ref="G159:H159"/>
    <mergeCell ref="S159:T159"/>
    <mergeCell ref="A160:B160"/>
    <mergeCell ref="G160:H160"/>
    <mergeCell ref="S160:T160"/>
    <mergeCell ref="A161:B161"/>
    <mergeCell ref="G161:H161"/>
    <mergeCell ref="S161:T161"/>
    <mergeCell ref="A162:B162"/>
    <mergeCell ref="G162:H162"/>
    <mergeCell ref="S162:T162"/>
    <mergeCell ref="S214:T214"/>
    <mergeCell ref="A215:B215"/>
    <mergeCell ref="G215:H215"/>
    <mergeCell ref="S215:T215"/>
    <mergeCell ref="A216:B216"/>
    <mergeCell ref="G216:H216"/>
    <mergeCell ref="S216:T216"/>
    <mergeCell ref="A217:B217"/>
    <mergeCell ref="G217:H217"/>
    <mergeCell ref="S217:T217"/>
    <mergeCell ref="A214:H214"/>
    <mergeCell ref="S218:T218"/>
    <mergeCell ref="A219:B219"/>
    <mergeCell ref="G219:H219"/>
    <mergeCell ref="S219:T219"/>
    <mergeCell ref="A220:B220"/>
    <mergeCell ref="G220:H220"/>
    <mergeCell ref="S220:T220"/>
    <mergeCell ref="A221:B221"/>
    <mergeCell ref="G221:H221"/>
    <mergeCell ref="S221:T221"/>
    <mergeCell ref="A218:B218"/>
    <mergeCell ref="G218:H218"/>
    <mergeCell ref="A226:B226"/>
    <mergeCell ref="G226:H226"/>
    <mergeCell ref="S226:T226"/>
    <mergeCell ref="A227:B227"/>
    <mergeCell ref="G227:H227"/>
    <mergeCell ref="S227:T227"/>
    <mergeCell ref="G222:H222"/>
    <mergeCell ref="S222:T222"/>
    <mergeCell ref="A223:B223"/>
    <mergeCell ref="G223:H223"/>
    <mergeCell ref="S223:T223"/>
    <mergeCell ref="A224:B224"/>
    <mergeCell ref="G224:H224"/>
    <mergeCell ref="S224:T224"/>
    <mergeCell ref="A225:B225"/>
    <mergeCell ref="G225:H225"/>
    <mergeCell ref="S225:T225"/>
    <mergeCell ref="A222:B222"/>
    <mergeCell ref="A229:B229"/>
    <mergeCell ref="G229:H229"/>
    <mergeCell ref="S229:T229"/>
    <mergeCell ref="A230:B230"/>
    <mergeCell ref="G230:H230"/>
    <mergeCell ref="S230:T230"/>
    <mergeCell ref="A228:H228"/>
    <mergeCell ref="S228:T228"/>
    <mergeCell ref="A231:B231"/>
    <mergeCell ref="G231:H231"/>
    <mergeCell ref="S231:T231"/>
    <mergeCell ref="A237:B237"/>
    <mergeCell ref="G237:H237"/>
    <mergeCell ref="S237:T237"/>
    <mergeCell ref="A232:B232"/>
    <mergeCell ref="G232:H232"/>
    <mergeCell ref="S232:T232"/>
    <mergeCell ref="A233:B233"/>
    <mergeCell ref="G233:H233"/>
    <mergeCell ref="S233:T233"/>
    <mergeCell ref="A234:B234"/>
    <mergeCell ref="G234:H234"/>
    <mergeCell ref="S234:T234"/>
    <mergeCell ref="A241:B241"/>
    <mergeCell ref="G241:H241"/>
    <mergeCell ref="S241:T241"/>
    <mergeCell ref="A110:B110"/>
    <mergeCell ref="D110:E110"/>
    <mergeCell ref="F110:H110"/>
    <mergeCell ref="A111:B111"/>
    <mergeCell ref="D111:E111"/>
    <mergeCell ref="F111:H111"/>
    <mergeCell ref="A238:B238"/>
    <mergeCell ref="G238:H238"/>
    <mergeCell ref="S238:T238"/>
    <mergeCell ref="A239:B239"/>
    <mergeCell ref="G239:H239"/>
    <mergeCell ref="S239:T239"/>
    <mergeCell ref="A240:B240"/>
    <mergeCell ref="G240:H240"/>
    <mergeCell ref="S240:T240"/>
    <mergeCell ref="A235:B235"/>
    <mergeCell ref="G235:H235"/>
    <mergeCell ref="S235:T235"/>
    <mergeCell ref="A236:B236"/>
    <mergeCell ref="G236:H236"/>
    <mergeCell ref="S236:T236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9" scale="99" fitToHeight="0" orientation="portrait" r:id="rId2"/>
  <headerFooter>
    <oddHeader>&amp;C&amp;G</oddHeader>
    <oddFooter>&amp;L&amp;"Times New Roman,Bold"&amp;12Ref No: &amp;F&amp;C&amp;G&amp;R&amp;"Times New Roman,Bold"&amp;12                                         &amp;P</oddFooter>
  </headerFooter>
  <rowBreaks count="4" manualBreakCount="4">
    <brk id="74" max="16383" man="1"/>
    <brk id="132" max="16383" man="1"/>
    <brk id="255" max="16383" man="1"/>
    <brk id="29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19" workbookViewId="0">
      <selection activeCell="E36" sqref="E36"/>
    </sheetView>
  </sheetViews>
  <sheetFormatPr defaultRowHeight="15" x14ac:dyDescent="0.25"/>
  <cols>
    <col min="2" max="2" width="12.28515625" customWidth="1"/>
  </cols>
  <sheetData>
    <row r="2" spans="1:12" x14ac:dyDescent="0.25">
      <c r="B2" s="1" t="s">
        <v>78</v>
      </c>
      <c r="C2" s="148"/>
      <c r="D2" s="148"/>
    </row>
    <row r="3" spans="1:12" x14ac:dyDescent="0.25">
      <c r="D3" s="2"/>
      <c r="E3" s="2"/>
      <c r="F3" s="2"/>
      <c r="G3" s="2"/>
      <c r="H3" s="2"/>
      <c r="I3" s="2"/>
    </row>
    <row r="4" spans="1:12" x14ac:dyDescent="0.25">
      <c r="A4" s="1" t="s">
        <v>79</v>
      </c>
      <c r="B4" s="3" t="s">
        <v>80</v>
      </c>
      <c r="C4" s="149" t="s">
        <v>81</v>
      </c>
      <c r="D4" s="149"/>
      <c r="E4" s="149"/>
      <c r="F4" s="4"/>
      <c r="G4" s="149" t="s">
        <v>82</v>
      </c>
      <c r="H4" s="149"/>
      <c r="I4" s="149"/>
      <c r="J4" s="149" t="s">
        <v>83</v>
      </c>
      <c r="K4" s="149"/>
      <c r="L4" s="149"/>
    </row>
    <row r="5" spans="1:12" x14ac:dyDescent="0.25">
      <c r="A5" s="1">
        <v>202</v>
      </c>
      <c r="B5" s="3"/>
      <c r="C5" s="3" t="s">
        <v>84</v>
      </c>
      <c r="D5" s="3" t="s">
        <v>85</v>
      </c>
      <c r="E5" s="3" t="s">
        <v>60</v>
      </c>
      <c r="F5" s="3"/>
      <c r="G5" s="3" t="s">
        <v>84</v>
      </c>
      <c r="H5" s="3" t="s">
        <v>85</v>
      </c>
      <c r="I5" s="3" t="s">
        <v>60</v>
      </c>
      <c r="J5" s="3" t="s">
        <v>84</v>
      </c>
      <c r="K5" s="3" t="s">
        <v>85</v>
      </c>
      <c r="L5" s="3" t="s">
        <v>60</v>
      </c>
    </row>
    <row r="6" spans="1:12" x14ac:dyDescent="0.25">
      <c r="B6" s="5" t="s">
        <v>86</v>
      </c>
      <c r="C6" s="5">
        <v>2.9</v>
      </c>
      <c r="D6" s="5">
        <v>4.3</v>
      </c>
      <c r="E6" s="5">
        <f>C6*D6</f>
        <v>12.469999999999999</v>
      </c>
      <c r="F6" s="5" t="s">
        <v>87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25">
      <c r="B7" s="5"/>
      <c r="C7" s="5"/>
      <c r="D7" s="5"/>
      <c r="E7" s="5">
        <f t="shared" ref="E7:E33" si="0">C7*D7</f>
        <v>0</v>
      </c>
      <c r="F7" s="5" t="s">
        <v>88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25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25">
      <c r="B9" s="5" t="s">
        <v>89</v>
      </c>
      <c r="C9" s="5">
        <v>1.75</v>
      </c>
      <c r="D9" s="5">
        <v>2.2000000000000002</v>
      </c>
      <c r="E9" s="5">
        <f t="shared" si="0"/>
        <v>3.8500000000000005</v>
      </c>
      <c r="F9" s="5" t="s">
        <v>87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25">
      <c r="B10" s="5"/>
      <c r="C10" s="5"/>
      <c r="D10" s="5"/>
      <c r="E10" s="5">
        <f t="shared" si="0"/>
        <v>0</v>
      </c>
      <c r="F10" s="5" t="s">
        <v>88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25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25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25">
      <c r="B13" s="5" t="s">
        <v>90</v>
      </c>
      <c r="C13" s="5">
        <v>2.75</v>
      </c>
      <c r="D13" s="5">
        <v>2.9</v>
      </c>
      <c r="E13" s="5">
        <f t="shared" si="0"/>
        <v>7.9749999999999996</v>
      </c>
      <c r="F13" s="5" t="s">
        <v>87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25">
      <c r="B14" s="5"/>
      <c r="C14" s="5"/>
      <c r="D14" s="5"/>
      <c r="E14" s="5">
        <f t="shared" si="0"/>
        <v>0</v>
      </c>
      <c r="F14" s="5" t="s">
        <v>88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25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25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25">
      <c r="B17" s="5" t="s">
        <v>91</v>
      </c>
      <c r="C17" s="5"/>
      <c r="D17" s="5"/>
      <c r="E17" s="5">
        <f t="shared" si="0"/>
        <v>0</v>
      </c>
      <c r="F17" s="5" t="s">
        <v>87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25">
      <c r="B18" s="5"/>
      <c r="C18" s="5"/>
      <c r="D18" s="5"/>
      <c r="E18" s="5">
        <f t="shared" si="0"/>
        <v>0</v>
      </c>
      <c r="F18" s="5" t="s">
        <v>88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25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25">
      <c r="B20" s="5" t="s">
        <v>91</v>
      </c>
      <c r="C20" s="5"/>
      <c r="D20" s="5"/>
      <c r="E20" s="5">
        <f t="shared" si="0"/>
        <v>0</v>
      </c>
      <c r="F20" s="5" t="s">
        <v>87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25">
      <c r="B21" s="5"/>
      <c r="C21" s="5"/>
      <c r="D21" s="5"/>
      <c r="E21" s="5">
        <f t="shared" si="0"/>
        <v>0</v>
      </c>
      <c r="F21" s="5" t="s">
        <v>88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25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25">
      <c r="B23" s="5" t="s">
        <v>92</v>
      </c>
      <c r="C23" s="5">
        <v>0.9</v>
      </c>
      <c r="D23" s="5">
        <v>1.2</v>
      </c>
      <c r="E23" s="5">
        <f t="shared" si="0"/>
        <v>1.08</v>
      </c>
      <c r="F23" s="5" t="s">
        <v>93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25">
      <c r="B24" s="5" t="s">
        <v>94</v>
      </c>
      <c r="C24" s="5">
        <v>1.2</v>
      </c>
      <c r="D24" s="5">
        <v>1.45</v>
      </c>
      <c r="E24" s="5">
        <f t="shared" si="0"/>
        <v>1.74</v>
      </c>
      <c r="F24" s="5" t="s">
        <v>93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25">
      <c r="B25" s="5" t="s">
        <v>95</v>
      </c>
      <c r="C25" s="5"/>
      <c r="D25" s="5"/>
      <c r="E25" s="5">
        <f t="shared" si="0"/>
        <v>0</v>
      </c>
      <c r="F25" s="5" t="s">
        <v>93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25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25">
      <c r="B27" s="5" t="s">
        <v>96</v>
      </c>
      <c r="C27" s="5">
        <v>1.2</v>
      </c>
      <c r="D27" s="5">
        <v>0.9</v>
      </c>
      <c r="E27" s="5">
        <f t="shared" si="0"/>
        <v>1.08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25">
      <c r="B28" s="5" t="s">
        <v>97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25">
      <c r="B29" s="5" t="s">
        <v>98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25">
      <c r="B30" s="5" t="s">
        <v>99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25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25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25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25">
      <c r="B34" s="5" t="s">
        <v>61</v>
      </c>
      <c r="C34" s="5"/>
      <c r="D34" s="5">
        <f>E34*10.764</f>
        <v>303.49097999999998</v>
      </c>
      <c r="E34" s="5">
        <f>SUM(E6:E33)</f>
        <v>28.195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25">
      <c r="D36">
        <f>D34+H34</f>
        <v>303.49097999999998</v>
      </c>
      <c r="E36">
        <f>E34+I34</f>
        <v>28.195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C16" sqref="C16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/>
  </sheetViews>
  <sheetFormatPr defaultColWidth="8.7109375" defaultRowHeight="15" x14ac:dyDescent="0.25"/>
  <cols>
    <col min="1" max="1" width="8.7109375" style="6"/>
    <col min="2" max="2" width="22.140625" style="6" customWidth="1"/>
    <col min="3" max="3" width="37" style="6" customWidth="1"/>
    <col min="4" max="5" width="11.42578125" style="6" customWidth="1"/>
    <col min="6" max="6" width="14" style="6" customWidth="1"/>
    <col min="7" max="7" width="20" style="6" customWidth="1"/>
    <col min="8" max="8" width="16.42578125" style="6" customWidth="1"/>
    <col min="9" max="16384" width="8.7109375" style="6"/>
  </cols>
  <sheetData>
    <row r="1" spans="1:9" ht="15" customHeight="1" x14ac:dyDescent="0.25"/>
    <row r="2" spans="1:9" ht="15" customHeight="1" x14ac:dyDescent="0.25">
      <c r="A2" s="7"/>
      <c r="B2" s="7"/>
      <c r="C2" s="7"/>
      <c r="D2" s="7"/>
      <c r="E2" s="7"/>
      <c r="F2" s="7"/>
      <c r="G2" s="7"/>
      <c r="H2" s="7"/>
    </row>
    <row r="3" spans="1:9" ht="15.75" customHeight="1" x14ac:dyDescent="0.25">
      <c r="A3" s="7"/>
      <c r="B3" s="150" t="s">
        <v>146</v>
      </c>
      <c r="C3" s="150"/>
      <c r="D3" s="150"/>
      <c r="E3" s="150"/>
      <c r="F3" s="150"/>
      <c r="G3" s="150"/>
      <c r="H3" s="150"/>
    </row>
    <row r="4" spans="1:9" x14ac:dyDescent="0.25">
      <c r="A4" s="7"/>
      <c r="B4" s="8" t="s">
        <v>147</v>
      </c>
      <c r="C4" s="8" t="s">
        <v>148</v>
      </c>
      <c r="D4" s="8" t="s">
        <v>79</v>
      </c>
      <c r="E4" s="8" t="s">
        <v>149</v>
      </c>
      <c r="F4" s="8" t="s">
        <v>156</v>
      </c>
      <c r="G4" s="8" t="s">
        <v>157</v>
      </c>
      <c r="H4" s="8" t="s">
        <v>150</v>
      </c>
    </row>
    <row r="5" spans="1:9" ht="15" customHeight="1" x14ac:dyDescent="0.25">
      <c r="A5" s="7"/>
      <c r="B5" s="10" t="s">
        <v>151</v>
      </c>
      <c r="C5" s="11"/>
      <c r="D5" s="10" t="s">
        <v>152</v>
      </c>
      <c r="E5" s="10">
        <v>1106</v>
      </c>
      <c r="F5" s="12">
        <f>E5*1.6</f>
        <v>1769.6000000000001</v>
      </c>
      <c r="G5" s="12">
        <f>H5/F5</f>
        <v>31532.549728752259</v>
      </c>
      <c r="H5" s="13">
        <v>55800000</v>
      </c>
    </row>
    <row r="6" spans="1:9" x14ac:dyDescent="0.25">
      <c r="A6" s="7"/>
      <c r="B6" s="10" t="s">
        <v>151</v>
      </c>
      <c r="C6" s="14"/>
      <c r="D6" s="10"/>
      <c r="E6" s="10"/>
      <c r="F6" s="12">
        <f t="shared" ref="F6:F11" si="0">E6*1.6</f>
        <v>0</v>
      </c>
      <c r="G6" s="12" t="e">
        <f t="shared" ref="G6:G11" si="1">H6/F6</f>
        <v>#DIV/0!</v>
      </c>
      <c r="H6" s="13"/>
    </row>
    <row r="7" spans="1:9" ht="15" customHeight="1" x14ac:dyDescent="0.25">
      <c r="A7" s="7"/>
      <c r="B7" s="10" t="s">
        <v>151</v>
      </c>
      <c r="C7" s="11"/>
      <c r="D7" s="10"/>
      <c r="E7" s="10"/>
      <c r="F7" s="12">
        <f t="shared" si="0"/>
        <v>0</v>
      </c>
      <c r="G7" s="12" t="e">
        <f t="shared" si="1"/>
        <v>#DIV/0!</v>
      </c>
      <c r="H7" s="13"/>
    </row>
    <row r="8" spans="1:9" x14ac:dyDescent="0.25">
      <c r="A8" s="7"/>
      <c r="B8" s="10" t="s">
        <v>151</v>
      </c>
      <c r="C8" s="14"/>
      <c r="D8" s="10"/>
      <c r="E8" s="10"/>
      <c r="F8" s="12">
        <f t="shared" si="0"/>
        <v>0</v>
      </c>
      <c r="G8" s="12" t="e">
        <f t="shared" si="1"/>
        <v>#DIV/0!</v>
      </c>
      <c r="H8" s="13"/>
    </row>
    <row r="9" spans="1:9" ht="15" customHeight="1" x14ac:dyDescent="0.25">
      <c r="A9" s="7"/>
      <c r="B9" s="10" t="s">
        <v>151</v>
      </c>
      <c r="C9" s="14"/>
      <c r="D9" s="10"/>
      <c r="E9" s="10"/>
      <c r="F9" s="12">
        <f t="shared" si="0"/>
        <v>0</v>
      </c>
      <c r="G9" s="12" t="e">
        <f t="shared" si="1"/>
        <v>#DIV/0!</v>
      </c>
      <c r="H9" s="13"/>
    </row>
    <row r="10" spans="1:9" ht="15" customHeight="1" x14ac:dyDescent="0.25">
      <c r="A10" s="7"/>
      <c r="B10" s="10" t="s">
        <v>153</v>
      </c>
      <c r="C10" s="11"/>
      <c r="D10" s="10"/>
      <c r="E10" s="10"/>
      <c r="F10" s="12">
        <f t="shared" si="0"/>
        <v>0</v>
      </c>
      <c r="G10" s="12" t="e">
        <f t="shared" si="1"/>
        <v>#DIV/0!</v>
      </c>
      <c r="H10" s="13"/>
    </row>
    <row r="11" spans="1:9" ht="15" customHeight="1" x14ac:dyDescent="0.25">
      <c r="A11" s="7"/>
      <c r="B11" s="10" t="s">
        <v>153</v>
      </c>
      <c r="C11" s="11"/>
      <c r="D11" s="10"/>
      <c r="E11" s="10"/>
      <c r="F11" s="12">
        <f t="shared" si="0"/>
        <v>0</v>
      </c>
      <c r="G11" s="12" t="e">
        <f t="shared" si="1"/>
        <v>#DIV/0!</v>
      </c>
      <c r="H11" s="13"/>
    </row>
    <row r="12" spans="1:9" ht="15" customHeight="1" x14ac:dyDescent="0.25">
      <c r="A12" s="7"/>
      <c r="B12" s="15" t="s">
        <v>154</v>
      </c>
      <c r="C12" s="10"/>
      <c r="D12" s="10"/>
      <c r="E12" s="10"/>
      <c r="F12" s="10"/>
      <c r="G12" s="16" t="e">
        <f>AVERAGE(G5:G11)</f>
        <v>#DIV/0!</v>
      </c>
      <c r="H12" s="10"/>
    </row>
    <row r="13" spans="1:9" ht="15" customHeight="1" x14ac:dyDescent="0.25">
      <c r="B13" s="15" t="s">
        <v>155</v>
      </c>
      <c r="C13" s="10"/>
      <c r="D13" s="10"/>
      <c r="E13" s="10"/>
      <c r="F13" s="17"/>
      <c r="G13" s="15"/>
      <c r="H13" s="15"/>
      <c r="I13" s="9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Note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2025-09-20T06:49:39Z</cp:lastPrinted>
  <dcterms:created xsi:type="dcterms:W3CDTF">2019-07-16T09:29:46Z</dcterms:created>
  <dcterms:modified xsi:type="dcterms:W3CDTF">2025-09-20T06:55:14Z</dcterms:modified>
</cp:coreProperties>
</file>