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I156" i="1"/>
  <c r="I149" i="1"/>
  <c r="I199" i="1"/>
  <c r="I186" i="1"/>
  <c r="I187" i="1"/>
  <c r="K140" i="1"/>
  <c r="K146" i="1"/>
  <c r="K152" i="1"/>
  <c r="K157" i="1"/>
  <c r="K158" i="1"/>
  <c r="K159" i="1"/>
  <c r="K160" i="1"/>
  <c r="K170" i="1"/>
  <c r="K180" i="1"/>
  <c r="K190" i="1"/>
  <c r="K193" i="1"/>
  <c r="K194" i="1"/>
  <c r="K195" i="1"/>
  <c r="K204" i="1"/>
  <c r="K213" i="1"/>
  <c r="K221" i="1"/>
  <c r="K222" i="1"/>
  <c r="G123" i="1"/>
  <c r="G124" i="1"/>
  <c r="G125" i="1"/>
  <c r="G126" i="1"/>
  <c r="G127" i="1"/>
  <c r="E227" i="1"/>
  <c r="D227" i="1"/>
  <c r="K227" i="1" s="1"/>
  <c r="D226" i="1"/>
  <c r="K226" i="1" s="1"/>
  <c r="D225" i="1"/>
  <c r="K225" i="1" s="1"/>
  <c r="D224" i="1"/>
  <c r="K224" i="1" s="1"/>
  <c r="E223" i="1"/>
  <c r="D223" i="1"/>
  <c r="K223" i="1" s="1"/>
  <c r="A224" i="1"/>
  <c r="A225" i="1" s="1"/>
  <c r="A226" i="1" s="1"/>
  <c r="A227" i="1" s="1"/>
  <c r="G223" i="1"/>
  <c r="G224" i="1" s="1"/>
  <c r="G225" i="1" s="1"/>
  <c r="G226" i="1" s="1"/>
  <c r="G227" i="1" s="1"/>
  <c r="E192" i="1"/>
  <c r="D192" i="1"/>
  <c r="K192" i="1" s="1"/>
  <c r="D191" i="1"/>
  <c r="K191" i="1" s="1"/>
  <c r="A192" i="1"/>
  <c r="G191" i="1"/>
  <c r="G192" i="1" s="1"/>
  <c r="E155" i="1"/>
  <c r="E154" i="1"/>
  <c r="D156" i="1"/>
  <c r="K156" i="1" s="1"/>
  <c r="D155" i="1"/>
  <c r="K155" i="1" s="1"/>
  <c r="D154" i="1"/>
  <c r="K154" i="1" s="1"/>
  <c r="D153" i="1"/>
  <c r="K153" i="1" s="1"/>
  <c r="A154" i="1"/>
  <c r="A155" i="1" s="1"/>
  <c r="A156" i="1" s="1"/>
  <c r="A157" i="1" s="1"/>
  <c r="G153" i="1"/>
  <c r="G154" i="1" s="1"/>
  <c r="G155" i="1" s="1"/>
  <c r="G156" i="1" s="1"/>
  <c r="G157" i="1" s="1"/>
  <c r="E220" i="1"/>
  <c r="E216" i="1"/>
  <c r="E215" i="1"/>
  <c r="D220" i="1"/>
  <c r="K220" i="1" s="1"/>
  <c r="D219" i="1"/>
  <c r="K219" i="1" s="1"/>
  <c r="D218" i="1"/>
  <c r="K218" i="1" s="1"/>
  <c r="D217" i="1"/>
  <c r="K217" i="1" s="1"/>
  <c r="D216" i="1"/>
  <c r="K216" i="1" s="1"/>
  <c r="D215" i="1"/>
  <c r="K215" i="1" s="1"/>
  <c r="D214" i="1"/>
  <c r="K214" i="1" s="1"/>
  <c r="E189" i="1"/>
  <c r="E182" i="1"/>
  <c r="E181" i="1"/>
  <c r="D189" i="1"/>
  <c r="K189" i="1" s="1"/>
  <c r="D188" i="1"/>
  <c r="K188" i="1" s="1"/>
  <c r="D187" i="1"/>
  <c r="K187" i="1" s="1"/>
  <c r="D186" i="1"/>
  <c r="K186" i="1" s="1"/>
  <c r="D185" i="1"/>
  <c r="K185" i="1" s="1"/>
  <c r="D184" i="1"/>
  <c r="K184" i="1" s="1"/>
  <c r="D183" i="1"/>
  <c r="K183" i="1" s="1"/>
  <c r="D182" i="1"/>
  <c r="K182" i="1" s="1"/>
  <c r="D181" i="1"/>
  <c r="K181" i="1" s="1"/>
  <c r="E149" i="1"/>
  <c r="E148" i="1"/>
  <c r="A182" i="1"/>
  <c r="A183" i="1" s="1"/>
  <c r="A184" i="1" s="1"/>
  <c r="A185" i="1" s="1"/>
  <c r="A186" i="1" s="1"/>
  <c r="A187" i="1" s="1"/>
  <c r="A188" i="1" s="1"/>
  <c r="A189" i="1" s="1"/>
  <c r="G181" i="1"/>
  <c r="G182" i="1" s="1"/>
  <c r="G183" i="1" s="1"/>
  <c r="G184" i="1" s="1"/>
  <c r="G185" i="1" s="1"/>
  <c r="G186" i="1" s="1"/>
  <c r="G187" i="1" s="1"/>
  <c r="G188" i="1" s="1"/>
  <c r="G189" i="1" s="1"/>
  <c r="D151" i="1"/>
  <c r="K151" i="1" s="1"/>
  <c r="D150" i="1"/>
  <c r="K150" i="1" s="1"/>
  <c r="D149" i="1"/>
  <c r="K149" i="1" s="1"/>
  <c r="D148" i="1"/>
  <c r="K148" i="1" s="1"/>
  <c r="D147" i="1"/>
  <c r="K147" i="1" s="1"/>
  <c r="A148" i="1"/>
  <c r="A149" i="1" s="1"/>
  <c r="A150" i="1" s="1"/>
  <c r="A151" i="1" s="1"/>
  <c r="G147" i="1"/>
  <c r="G148" i="1" s="1"/>
  <c r="G149" i="1" s="1"/>
  <c r="G150" i="1" s="1"/>
  <c r="G151" i="1" s="1"/>
  <c r="G128" i="1" l="1"/>
  <c r="E211" i="1"/>
  <c r="E210" i="1"/>
  <c r="E209" i="1"/>
  <c r="E208" i="1"/>
  <c r="E207" i="1"/>
  <c r="D212" i="1"/>
  <c r="K212" i="1" s="1"/>
  <c r="D211" i="1"/>
  <c r="K211" i="1" s="1"/>
  <c r="D210" i="1"/>
  <c r="K210" i="1" s="1"/>
  <c r="D209" i="1"/>
  <c r="K209" i="1" s="1"/>
  <c r="D208" i="1"/>
  <c r="K208" i="1" s="1"/>
  <c r="D207" i="1"/>
  <c r="K207" i="1" s="1"/>
  <c r="I206" i="1"/>
  <c r="D206" i="1"/>
  <c r="K206" i="1" s="1"/>
  <c r="I205" i="1"/>
  <c r="G205" i="1"/>
  <c r="G206" i="1" s="1"/>
  <c r="G207" i="1" s="1"/>
  <c r="G208" i="1" s="1"/>
  <c r="G209" i="1" s="1"/>
  <c r="G210" i="1" s="1"/>
  <c r="G211" i="1" s="1"/>
  <c r="G212" i="1" s="1"/>
  <c r="D205" i="1"/>
  <c r="K205" i="1" s="1"/>
  <c r="E177" i="1"/>
  <c r="E176" i="1"/>
  <c r="D179" i="1"/>
  <c r="K179" i="1" s="1"/>
  <c r="D178" i="1"/>
  <c r="K178" i="1" s="1"/>
  <c r="D177" i="1"/>
  <c r="K177" i="1" s="1"/>
  <c r="D176" i="1"/>
  <c r="K176" i="1" s="1"/>
  <c r="D175" i="1"/>
  <c r="K175" i="1" s="1"/>
  <c r="D174" i="1"/>
  <c r="K174" i="1" s="1"/>
  <c r="D173" i="1"/>
  <c r="K173" i="1" s="1"/>
  <c r="I172" i="1"/>
  <c r="D172" i="1"/>
  <c r="I171" i="1"/>
  <c r="G171" i="1"/>
  <c r="G172" i="1" s="1"/>
  <c r="G173" i="1" s="1"/>
  <c r="G174" i="1" s="1"/>
  <c r="G175" i="1" s="1"/>
  <c r="G176" i="1" s="1"/>
  <c r="G177" i="1" s="1"/>
  <c r="G178" i="1" s="1"/>
  <c r="G179" i="1" s="1"/>
  <c r="D171" i="1"/>
  <c r="K171" i="1" s="1"/>
  <c r="D145" i="1"/>
  <c r="K145" i="1" s="1"/>
  <c r="D144" i="1"/>
  <c r="K144" i="1" s="1"/>
  <c r="D143" i="1"/>
  <c r="K143" i="1" s="1"/>
  <c r="D142" i="1"/>
  <c r="K142" i="1" s="1"/>
  <c r="D141" i="1"/>
  <c r="K141" i="1" s="1"/>
  <c r="I142" i="1"/>
  <c r="I141" i="1"/>
  <c r="G141" i="1"/>
  <c r="G142" i="1" s="1"/>
  <c r="G143" i="1" s="1"/>
  <c r="G144" i="1" s="1"/>
  <c r="G145" i="1" s="1"/>
  <c r="E203" i="1"/>
  <c r="E199" i="1"/>
  <c r="E198" i="1"/>
  <c r="D203" i="1"/>
  <c r="K203" i="1" s="1"/>
  <c r="D202" i="1"/>
  <c r="K202" i="1" s="1"/>
  <c r="D201" i="1"/>
  <c r="K201" i="1" s="1"/>
  <c r="D200" i="1"/>
  <c r="K200" i="1" s="1"/>
  <c r="D199" i="1"/>
  <c r="K199" i="1" s="1"/>
  <c r="D198" i="1"/>
  <c r="K198" i="1" s="1"/>
  <c r="D197" i="1"/>
  <c r="K197" i="1" s="1"/>
  <c r="D196" i="1"/>
  <c r="K196" i="1" s="1"/>
  <c r="I197" i="1"/>
  <c r="I196" i="1"/>
  <c r="G196" i="1"/>
  <c r="G197" i="1" s="1"/>
  <c r="G198" i="1" s="1"/>
  <c r="G199" i="1" s="1"/>
  <c r="G200" i="1" s="1"/>
  <c r="G201" i="1" s="1"/>
  <c r="G202" i="1" s="1"/>
  <c r="G203" i="1" s="1"/>
  <c r="E169" i="1"/>
  <c r="E162" i="1"/>
  <c r="E161" i="1"/>
  <c r="D169" i="1"/>
  <c r="K169" i="1" s="1"/>
  <c r="D168" i="1"/>
  <c r="K168" i="1" s="1"/>
  <c r="D167" i="1"/>
  <c r="K167" i="1" s="1"/>
  <c r="D166" i="1"/>
  <c r="K166" i="1" s="1"/>
  <c r="D165" i="1"/>
  <c r="K165" i="1" s="1"/>
  <c r="D164" i="1"/>
  <c r="K164" i="1" s="1"/>
  <c r="D163" i="1"/>
  <c r="K163" i="1" s="1"/>
  <c r="D162" i="1"/>
  <c r="K162" i="1" s="1"/>
  <c r="D161" i="1"/>
  <c r="K161" i="1" s="1"/>
  <c r="I162" i="1"/>
  <c r="I161" i="1"/>
  <c r="G161" i="1"/>
  <c r="G162" i="1" s="1"/>
  <c r="G163" i="1" s="1"/>
  <c r="G164" i="1" s="1"/>
  <c r="G165" i="1" s="1"/>
  <c r="G166" i="1" s="1"/>
  <c r="G167" i="1" s="1"/>
  <c r="G168" i="1" s="1"/>
  <c r="G169" i="1" s="1"/>
  <c r="I136" i="1"/>
  <c r="I135" i="1"/>
  <c r="E137" i="1"/>
  <c r="E136" i="1"/>
  <c r="D139" i="1"/>
  <c r="K139" i="1" s="1"/>
  <c r="D138" i="1"/>
  <c r="K138" i="1" s="1"/>
  <c r="D137" i="1"/>
  <c r="K137" i="1" s="1"/>
  <c r="D136" i="1"/>
  <c r="K136" i="1" s="1"/>
  <c r="D135" i="1"/>
  <c r="K135" i="1" s="1"/>
  <c r="G135" i="1"/>
  <c r="G136" i="1" s="1"/>
  <c r="G137" i="1" s="1"/>
  <c r="G138" i="1" s="1"/>
  <c r="G139" i="1" s="1"/>
  <c r="A205" i="1"/>
  <c r="A196" i="1"/>
  <c r="A171" i="1"/>
  <c r="A161" i="1"/>
  <c r="A141" i="1"/>
  <c r="A135" i="1"/>
  <c r="J172" i="1" l="1"/>
  <c r="K172" i="1"/>
  <c r="C125" i="1"/>
  <c r="E125" i="1"/>
  <c r="C126" i="1"/>
  <c r="E126" i="1"/>
  <c r="E123" i="1"/>
  <c r="C123" i="1"/>
  <c r="C127" i="1"/>
  <c r="E127" i="1"/>
  <c r="C124" i="1"/>
  <c r="E124" i="1"/>
  <c r="J206" i="1"/>
  <c r="J136" i="1"/>
  <c r="J205" i="1"/>
  <c r="J171" i="1"/>
  <c r="J142" i="1"/>
  <c r="J141" i="1"/>
  <c r="J196" i="1"/>
  <c r="J135" i="1"/>
  <c r="J197" i="1"/>
  <c r="J162" i="1"/>
  <c r="J161" i="1"/>
  <c r="E27" i="1"/>
  <c r="A197" i="1"/>
  <c r="A172" i="1"/>
  <c r="A142" i="1"/>
  <c r="A162" i="1"/>
  <c r="A136" i="1"/>
  <c r="A206" i="1"/>
  <c r="C128" i="1" l="1"/>
  <c r="E128" i="1"/>
  <c r="A215" i="1"/>
  <c r="A216" i="1" s="1"/>
  <c r="A217" i="1" s="1"/>
  <c r="A218" i="1" s="1"/>
  <c r="A219" i="1" s="1"/>
  <c r="A220" i="1" s="1"/>
  <c r="A221" i="1" s="1"/>
  <c r="G214" i="1"/>
  <c r="G215" i="1" s="1"/>
  <c r="G216" i="1" s="1"/>
  <c r="G217" i="1" s="1"/>
  <c r="G218" i="1" s="1"/>
  <c r="G219" i="1" s="1"/>
  <c r="G220" i="1" s="1"/>
  <c r="G221" i="1" s="1"/>
  <c r="A207" i="1"/>
  <c r="A173" i="1"/>
  <c r="A143" i="1"/>
  <c r="A163" i="1"/>
  <c r="A198" i="1"/>
  <c r="A137" i="1"/>
  <c r="F120" i="1" l="1"/>
  <c r="A208" i="1"/>
  <c r="A138" i="1"/>
  <c r="A199" i="1"/>
  <c r="A164" i="1"/>
  <c r="A144" i="1"/>
  <c r="A174" i="1"/>
  <c r="B230" i="1" l="1"/>
  <c r="A175" i="1"/>
  <c r="A209" i="1"/>
  <c r="A139" i="1"/>
  <c r="A200" i="1"/>
  <c r="A145" i="1"/>
  <c r="A16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2" i="1"/>
  <c r="J104" i="1"/>
  <c r="J103" i="1"/>
  <c r="J102" i="1"/>
  <c r="J101" i="1"/>
  <c r="C93" i="1"/>
  <c r="J90" i="1"/>
  <c r="J89" i="1"/>
  <c r="J88" i="1"/>
  <c r="J87" i="1"/>
  <c r="C79" i="1"/>
  <c r="J76" i="1"/>
  <c r="J75" i="1"/>
  <c r="J74" i="1"/>
  <c r="J73" i="1"/>
  <c r="C65" i="1"/>
  <c r="D52" i="1"/>
  <c r="G47" i="1"/>
  <c r="G48" i="1" s="1"/>
  <c r="C47" i="1"/>
  <c r="C48" i="1" s="1"/>
  <c r="E40" i="1"/>
  <c r="E41" i="1" s="1"/>
  <c r="E24" i="1"/>
  <c r="E22" i="1"/>
  <c r="E7" i="1"/>
  <c r="E3" i="1"/>
  <c r="H80" i="1"/>
  <c r="A176" i="1"/>
  <c r="A201" i="1"/>
  <c r="H66" i="1"/>
  <c r="A210" i="1"/>
  <c r="A166" i="1"/>
  <c r="H94" i="1"/>
  <c r="D59" i="1" l="1"/>
  <c r="D90" i="1"/>
  <c r="D91" i="1"/>
  <c r="D92" i="1"/>
  <c r="D86" i="1"/>
  <c r="D87" i="1"/>
  <c r="D88" i="1"/>
  <c r="D89" i="1"/>
  <c r="J7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93" i="1"/>
  <c r="J97" i="1"/>
  <c r="D106" i="1"/>
  <c r="D104" i="1"/>
  <c r="D102" i="1"/>
  <c r="D100" i="1"/>
  <c r="J98" i="1"/>
  <c r="C97" i="1" s="1"/>
  <c r="J96" i="1"/>
  <c r="J99" i="1"/>
  <c r="J100" i="1" s="1"/>
  <c r="J105" i="1" s="1"/>
  <c r="J106" i="1" s="1"/>
  <c r="C98" i="1" s="1"/>
  <c r="D105" i="1"/>
  <c r="D103" i="1"/>
  <c r="D101" i="1"/>
  <c r="J85" i="1"/>
  <c r="J86" i="1" s="1"/>
  <c r="J83" i="1"/>
  <c r="J84" i="1"/>
  <c r="C83" i="1" s="1"/>
  <c r="J82" i="1"/>
  <c r="A202" i="1"/>
  <c r="A177" i="1"/>
  <c r="A211" i="1"/>
  <c r="A167" i="1"/>
  <c r="J91" i="1" l="1"/>
  <c r="J72" i="1"/>
  <c r="D99" i="1"/>
  <c r="J95" i="1"/>
  <c r="D97" i="1"/>
  <c r="J94" i="1" s="1"/>
  <c r="D85" i="1"/>
  <c r="J81" i="1"/>
  <c r="D71" i="1"/>
  <c r="J67" i="1"/>
  <c r="D69" i="1"/>
  <c r="D83" i="1"/>
  <c r="E97" i="1"/>
  <c r="D98" i="1"/>
  <c r="G97" i="1"/>
  <c r="A212" i="1"/>
  <c r="A203" i="1"/>
  <c r="A168" i="1"/>
  <c r="A178" i="1"/>
  <c r="J92" i="1" l="1"/>
  <c r="C84" i="1" s="1"/>
  <c r="E83" i="1" s="1"/>
  <c r="J77" i="1"/>
  <c r="I94" i="1"/>
  <c r="A179" i="1"/>
  <c r="A169" i="1"/>
  <c r="J78" i="1" l="1"/>
  <c r="C70" i="1" s="1"/>
  <c r="D70" i="1" s="1"/>
  <c r="I66" i="1" s="1"/>
  <c r="I67" i="1" s="1"/>
  <c r="J80" i="1"/>
  <c r="D84" i="1"/>
  <c r="I80" i="1" s="1"/>
  <c r="I81" i="1" s="1"/>
  <c r="G83" i="1"/>
  <c r="I95" i="1"/>
  <c r="I93" i="1" s="1"/>
  <c r="C95" i="1" s="1"/>
  <c r="E69" i="1" l="1"/>
  <c r="G69" i="1"/>
  <c r="D63" i="1" s="1"/>
  <c r="D64" i="1" s="1"/>
  <c r="J66" i="1"/>
  <c r="I65" i="1" s="1"/>
  <c r="C67" i="1" s="1"/>
  <c r="I79" i="1"/>
  <c r="C81" i="1" s="1"/>
  <c r="F64" i="1" l="1"/>
</calcChain>
</file>

<file path=xl/sharedStrings.xml><?xml version="1.0" encoding="utf-8"?>
<sst xmlns="http://schemas.openxmlformats.org/spreadsheetml/2006/main" count="510" uniqueCount="236">
  <si>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</si>
  <si>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</si>
  <si>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</si>
  <si>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</si>
  <si>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</si>
  <si>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</si>
  <si>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</si>
  <si>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</si>
  <si>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</si>
  <si>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</si>
  <si>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</si>
  <si>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</si>
  <si>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</si>
  <si>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</si>
  <si>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</si>
  <si>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</si>
  <si>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</si>
  <si>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</si>
  <si>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</si>
  <si>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</si>
  <si>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</si>
  <si>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</si>
  <si>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</si>
  <si>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</si>
  <si>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</si>
  <si>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</si>
  <si>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</si>
  <si>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</si>
  <si>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</si>
  <si>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</si>
  <si>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</si>
  <si>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</si>
  <si>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</si>
  <si>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</si>
  <si>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</si>
  <si>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</si>
  <si>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</si>
  <si>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</si>
  <si>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</si>
  <si>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</si>
  <si>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</si>
  <si>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</si>
  <si>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</si>
  <si>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</si>
  <si>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</si>
  <si>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</si>
  <si>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</si>
  <si>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</si>
  <si>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</si>
  <si>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</si>
  <si>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</si>
  <si>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</si>
  <si>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</si>
  <si>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</si>
  <si>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</si>
  <si>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</si>
  <si>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</si>
  <si>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</si>
  <si>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</si>
  <si>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</si>
  <si>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</si>
  <si>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</si>
  <si>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</si>
  <si>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</si>
  <si>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</si>
  <si>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</si>
  <si>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</si>
  <si>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</si>
  <si>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</si>
  <si>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</si>
  <si>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</si>
  <si>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</si>
  <si>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</si>
  <si>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</si>
  <si>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</si>
  <si>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</si>
  <si>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</si>
  <si>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</si>
  <si>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</si>
  <si>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</si>
  <si>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</si>
  <si>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</si>
  <si>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</si>
  <si>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</si>
  <si>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</si>
  <si>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</si>
  <si>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</si>
  <si>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</si>
  <si>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</si>
  <si>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</si>
  <si>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</si>
  <si>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</si>
  <si>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</si>
  <si>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</si>
  <si>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</si>
  <si>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</si>
  <si>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</si>
  <si>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</si>
  <si>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</si>
  <si>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</si>
  <si>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</si>
  <si>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</si>
  <si>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</si>
  <si>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</si>
  <si>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</si>
  <si>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</si>
  <si>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</si>
  <si>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</si>
  <si>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</si>
  <si>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</si>
  <si>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</si>
  <si>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</si>
  <si>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</si>
  <si>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</si>
  <si>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</si>
  <si>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</si>
  <si>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</si>
  <si>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</si>
  <si>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</si>
  <si>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</si>
  <si>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</si>
  <si>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</si>
  <si>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</si>
  <si>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</si>
  <si>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</si>
  <si>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</si>
  <si>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</si>
  <si>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</si>
  <si>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</si>
  <si>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</si>
  <si>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</si>
  <si>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</si>
  <si>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</si>
  <si>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</si>
  <si>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</si>
  <si>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</si>
  <si>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</si>
  <si>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</si>
  <si>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</si>
  <si>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</si>
  <si>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</si>
  <si>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</si>
  <si>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</si>
  <si>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</si>
  <si>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</si>
  <si>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</si>
  <si>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</si>
  <si>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</si>
  <si>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</si>
  <si>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</si>
  <si>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</si>
  <si>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</si>
  <si>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</si>
  <si>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</si>
  <si>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</si>
  <si>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</si>
  <si>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</si>
  <si>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</si>
  <si>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</si>
  <si>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</si>
  <si>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</si>
  <si>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</si>
  <si>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Ground Floor for Parking</t>
  </si>
  <si>
    <t>1st &amp; 3rd Floor for Residential</t>
  </si>
  <si>
    <t>2BHK</t>
  </si>
  <si>
    <t>1BHK</t>
  </si>
  <si>
    <t>2nd &amp; 4th Floor</t>
  </si>
  <si>
    <t xml:space="preserve">5th Floor </t>
  </si>
  <si>
    <t>Common Terrace</t>
  </si>
  <si>
    <t>6th Floor (Part Common Terrace)</t>
  </si>
  <si>
    <t>5th Floor (Part Common Terrace)</t>
  </si>
  <si>
    <t>Axis Sanpada</t>
  </si>
  <si>
    <t>M/s. Space India Builders &amp; Developer</t>
  </si>
  <si>
    <t>Amulyam</t>
  </si>
  <si>
    <t>Approved Plans, CC, Builder Saleable Area, Cost Sheet.</t>
  </si>
  <si>
    <t>P52000034022</t>
  </si>
  <si>
    <t>Survey No</t>
  </si>
  <si>
    <t>Panvel</t>
  </si>
  <si>
    <t>Raigad</t>
  </si>
  <si>
    <t>Pale Budruk</t>
  </si>
  <si>
    <t>3.3 KM from Kalmboli Railway Station</t>
  </si>
  <si>
    <t>Internal road</t>
  </si>
  <si>
    <t>Panvel East</t>
  </si>
  <si>
    <t>Karshni Vihar Panvel</t>
  </si>
  <si>
    <t>Open land</t>
  </si>
  <si>
    <t>House</t>
  </si>
  <si>
    <t>3 Wings</t>
  </si>
  <si>
    <t>Navi Mumbai Airport Influence Notified Area (NAINA)</t>
  </si>
  <si>
    <t>CIDCO/NAINA/Panvel/Pale Budruk/BP-00275/ACC/2022/0152</t>
  </si>
  <si>
    <t>As per RERA - 31/12/2025</t>
  </si>
  <si>
    <t>Society Formation &amp; Maintenance Charges</t>
  </si>
  <si>
    <t xml:space="preserve">Rate sheet </t>
  </si>
  <si>
    <t xml:space="preserve">builder </t>
  </si>
  <si>
    <t>Sale / EWS Unit</t>
  </si>
  <si>
    <t>EWS</t>
  </si>
  <si>
    <t xml:space="preserve">Sale </t>
  </si>
  <si>
    <t>-</t>
  </si>
  <si>
    <t>Sale</t>
  </si>
  <si>
    <t xml:space="preserve">Builder Saleable Area </t>
  </si>
  <si>
    <t>We considered Gross carpet area = Net carpet + Enclose balcony + Balcony.</t>
  </si>
  <si>
    <t>H</t>
  </si>
  <si>
    <t xml:space="preserve">market </t>
  </si>
  <si>
    <t>53/1A at Village - Pale Budruk &amp; 50/2 at Village - Kolwadi</t>
  </si>
  <si>
    <t>Sale Flats - 96, EWS Flats - 24</t>
  </si>
  <si>
    <t>On Site, we meet Mr. Sanjay (9702706674).</t>
  </si>
  <si>
    <t xml:space="preserve">1.Vitrified tiles flooring 2. Granite Kitchen Platform  3. Decorative Enternace  etc. 
</t>
  </si>
  <si>
    <t>Wing A(Anantha), B(Ananda) &amp; C(Sarovar) = G/St + 1st to 6th Floor</t>
  </si>
  <si>
    <t>Wing A(Anantha)</t>
  </si>
  <si>
    <t>B(Ananda)</t>
  </si>
  <si>
    <t>Wing C(Sarovar)</t>
  </si>
  <si>
    <t>Wing B(Ananda)</t>
  </si>
  <si>
    <t>Wing A
(Anantha)</t>
  </si>
  <si>
    <t>Wing B
(Ananda)</t>
  </si>
  <si>
    <t>Wing C 
(Sarovar)</t>
  </si>
  <si>
    <t>C(Sarovar)</t>
  </si>
  <si>
    <t>Location Link :</t>
  </si>
  <si>
    <t>Latitude &amp; Longitude:</t>
  </si>
  <si>
    <t>https://maps.app.goo.gl/PAm1w7eXARPbNMtv9</t>
  </si>
  <si>
    <t>Wing A(Anantha), 
Wing B(Ananda) &amp; 
Wing C(Sarovar)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</si>
  <si>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</si>
  <si>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Documents Provided</t>
  </si>
  <si>
    <t>19.046024,73.129208</t>
  </si>
  <si>
    <t>Ravindra vishwakarma</t>
  </si>
  <si>
    <t>Extra work given from two side work (outer) in process inside work same and less</t>
  </si>
  <si>
    <t>Wing A(Anantha) = G/St + 1st to 7th Floor</t>
  </si>
  <si>
    <t>Wing B(Ananda) = G/St + 1st to 7th Floor</t>
  </si>
  <si>
    <t>Wing C(Sarovar) = G/St + 1st to 7th Floor</t>
  </si>
  <si>
    <t xml:space="preserve">Construction stage is reduced due to revision in proposed structure of project.
</t>
  </si>
  <si>
    <t>Wing A &amp; B = Construction work is in process at the time of Visit (Slow Speed).
Wing C = Construction work is the same as last visit (dtd.11/03/2025), but work is in process at the time of the visit. (Slow Speed)</t>
  </si>
  <si>
    <t>150000 to 200000</t>
  </si>
  <si>
    <t xml:space="preserve"> Smith</t>
  </si>
  <si>
    <t>verbal</t>
  </si>
  <si>
    <t xml:space="preserve">Recommended Rates / Other charges of the Property have been revised on 05/07/2025.
</t>
  </si>
  <si>
    <t>Pranita Mhatre</t>
  </si>
  <si>
    <t>Construction work is goes beyond approved plans &amp; CC Permission, Provide revised approved plans &amp; CC</t>
  </si>
  <si>
    <t>Wing A, B &amp; C = Construction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</si>
</sst>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30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5" xfId="0" applyFont="1" applyBorder="1"/>
    <xf numFmtId="0" fontId="25" fillId="0" borderId="9" xfId="0" applyFont="1" applyBorder="1"/>
    <xf numFmtId="0" fontId="13" fillId="0" borderId="1" xfId="1" applyFont="1" applyBorder="1" applyAlignment="1" applyProtection="1">
      <alignment vertical="top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horizontal="left" vertical="top" wrapText="1"/>
      <protection locked="0"/>
    </xf>
    <xf numFmtId="1" fontId="13" fillId="0" borderId="24" xfId="0" applyNumberFormat="1" applyFont="1" applyBorder="1" applyAlignment="1" applyProtection="1">
      <alignment horizontal="left" vertical="top" wrapText="1"/>
      <protection locked="0"/>
    </xf>
    <xf numFmtId="1" fontId="13" fillId="0" borderId="25" xfId="0" applyNumberFormat="1" applyFont="1" applyBorder="1" applyAlignment="1" applyProtection="1">
      <alignment horizontal="left" vertical="top" wrapText="1"/>
      <protection locked="0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3" fillId="2" borderId="1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26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296</xdr:row>
      <xdr:rowOff>9525</xdr:rowOff>
    </xdr:from>
    <xdr:to>
      <xdr:col>7</xdr:col>
      <xdr:colOff>300609</xdr:colOff>
      <xdr:row>314</xdr:row>
      <xdr:rowOff>139827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0" y="60559950"/>
          <a:ext cx="5367909" cy="37307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219941</xdr:colOff>
      <xdr:row>315</xdr:row>
      <xdr:rowOff>18288</xdr:rowOff>
    </xdr:from>
    <xdr:to>
      <xdr:col>7</xdr:col>
      <xdr:colOff>273662</xdr:colOff>
      <xdr:row>333</xdr:row>
      <xdr:rowOff>166012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1941" y="64545833"/>
          <a:ext cx="4980744" cy="3732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87631</xdr:colOff>
      <xdr:row>251</xdr:row>
      <xdr:rowOff>48489</xdr:rowOff>
    </xdr:from>
    <xdr:to>
      <xdr:col>12</xdr:col>
      <xdr:colOff>274899</xdr:colOff>
      <xdr:row>252</xdr:row>
      <xdr:rowOff>194656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920481" y="51940689"/>
          <a:ext cx="1660468" cy="3430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ln>
                <a:noFill/>
              </a:ln>
              <a:solidFill>
                <a:srgbClr val="C00000"/>
              </a:solidFill>
            </a:rPr>
            <a:t>Wing B(Ananda)</a:t>
          </a:r>
        </a:p>
      </xdr:txBody>
    </xdr:sp>
    <xdr:clientData/>
  </xdr:twoCellAnchor>
  <xdr:twoCellAnchor>
    <xdr:from>
      <xdr:col>13</xdr:col>
      <xdr:colOff>683494</xdr:colOff>
      <xdr:row>251</xdr:row>
      <xdr:rowOff>48145</xdr:rowOff>
    </xdr:from>
    <xdr:to>
      <xdr:col>15</xdr:col>
      <xdr:colOff>810263</xdr:colOff>
      <xdr:row>252</xdr:row>
      <xdr:rowOff>163137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821394" y="51940345"/>
          <a:ext cx="1695219" cy="3118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ln>
                <a:noFill/>
              </a:ln>
              <a:solidFill>
                <a:srgbClr val="C00000"/>
              </a:solidFill>
            </a:rPr>
            <a:t>Wing C(Sarovar)</a:t>
          </a:r>
        </a:p>
      </xdr:txBody>
    </xdr:sp>
    <xdr:clientData/>
  </xdr:twoCellAnchor>
  <xdr:oneCellAnchor>
    <xdr:from>
      <xdr:col>9</xdr:col>
      <xdr:colOff>158750</xdr:colOff>
      <xdr:row>257</xdr:row>
      <xdr:rowOff>146050</xdr:rowOff>
    </xdr:from>
    <xdr:ext cx="298159" cy="264560"/>
    <xdr:sp macro="" textlink="">
      <xdr:nvSpPr>
        <xdr:cNvPr id="4" name="TextBox 3"/>
        <xdr:cNvSpPr txBox="1"/>
      </xdr:nvSpPr>
      <xdr:spPr>
        <a:xfrm>
          <a:off x="8191500" y="53213000"/>
          <a:ext cx="2981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A </a:t>
          </a:r>
        </a:p>
      </xdr:txBody>
    </xdr:sp>
    <xdr:clientData/>
  </xdr:oneCellAnchor>
  <xdr:twoCellAnchor>
    <xdr:from>
      <xdr:col>8</xdr:col>
      <xdr:colOff>1039906</xdr:colOff>
      <xdr:row>251</xdr:row>
      <xdr:rowOff>107017</xdr:rowOff>
    </xdr:from>
    <xdr:to>
      <xdr:col>17</xdr:col>
      <xdr:colOff>101011</xdr:colOff>
      <xdr:row>287</xdr:row>
      <xdr:rowOff>138178</xdr:rowOff>
    </xdr:to>
    <xdr:grpSp>
      <xdr:nvGrpSpPr>
        <xdr:cNvPr id="7" name="Group 6"/>
        <xdr:cNvGrpSpPr/>
      </xdr:nvGrpSpPr>
      <xdr:grpSpPr>
        <a:xfrm>
          <a:off x="7528112" y="53906458"/>
          <a:ext cx="6176840" cy="7281367"/>
          <a:chOff x="161925" y="53587650"/>
          <a:chExt cx="6170117" cy="7222536"/>
        </a:xfrm>
      </xdr:grpSpPr>
      <xdr:grpSp>
        <xdr:nvGrpSpPr>
          <xdr:cNvPr id="6" name="Group 5"/>
          <xdr:cNvGrpSpPr/>
        </xdr:nvGrpSpPr>
        <xdr:grpSpPr>
          <a:xfrm>
            <a:off x="161925" y="53587650"/>
            <a:ext cx="6170117" cy="7222536"/>
            <a:chOff x="114300" y="53139975"/>
            <a:chExt cx="6170117" cy="7222536"/>
          </a:xfrm>
        </xdr:grpSpPr>
        <xdr:pic>
          <xdr:nvPicPr>
            <xdr:cNvPr id="38" name="Picture 37" descr="https://vsjcllp.vsjadon.com/upload/insp-236344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14776" y="58646422"/>
              <a:ext cx="2286000" cy="171608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36344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86250" y="55883175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36344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86250" y="53139975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 descr="https://vsjcllp.vsjadon.com/upload/insp-236344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0" y="55892700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36344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09800" y="55892700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36344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4300" y="53139975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36344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33650" y="58641660"/>
              <a:ext cx="1285727" cy="171609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36344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00275" y="53139975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36344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1450" y="58641660"/>
              <a:ext cx="2286000" cy="171608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33375" y="53587651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A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66700" y="56426100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B</a:t>
            </a: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495550" y="56340375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C</a:t>
            </a: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5219700" y="53606700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B</a:t>
            </a: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295525" y="53597175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A</a:t>
            </a: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5448300" y="56359425"/>
            <a:ext cx="866775" cy="285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1">
                <a:ln>
                  <a:noFill/>
                </a:ln>
                <a:solidFill>
                  <a:srgbClr val="C00000"/>
                </a:solidFill>
              </a:rPr>
              <a:t>Wing C</a:t>
            </a:r>
          </a:p>
        </xdr:txBody>
      </xdr:sp>
    </xdr:grpSp>
    <xdr:clientData/>
  </xdr:twoCellAnchor>
  <xdr:twoCellAnchor>
    <xdr:from>
      <xdr:col>0</xdr:col>
      <xdr:colOff>95250</xdr:colOff>
      <xdr:row>252</xdr:row>
      <xdr:rowOff>140633</xdr:rowOff>
    </xdr:from>
    <xdr:to>
      <xdr:col>7</xdr:col>
      <xdr:colOff>582705</xdr:colOff>
      <xdr:row>288</xdr:row>
      <xdr:rowOff>54855</xdr:rowOff>
    </xdr:to>
    <xdr:grpSp>
      <xdr:nvGrpSpPr>
        <xdr:cNvPr id="5" name="Group 4"/>
        <xdr:cNvGrpSpPr/>
      </xdr:nvGrpSpPr>
      <xdr:grpSpPr>
        <a:xfrm>
          <a:off x="95250" y="54141780"/>
          <a:ext cx="6146426" cy="7164428"/>
          <a:chOff x="95250" y="54455545"/>
          <a:chExt cx="6146426" cy="7164428"/>
        </a:xfrm>
      </xdr:grpSpPr>
      <xdr:grpSp>
        <xdr:nvGrpSpPr>
          <xdr:cNvPr id="24" name="Group 23"/>
          <xdr:cNvGrpSpPr/>
        </xdr:nvGrpSpPr>
        <xdr:grpSpPr>
          <a:xfrm>
            <a:off x="95250" y="54455545"/>
            <a:ext cx="6144746" cy="7162801"/>
            <a:chOff x="-156526" y="562010"/>
            <a:chExt cx="6922795" cy="7773698"/>
          </a:xfrm>
        </xdr:grpSpPr>
        <xdr:pic>
          <xdr:nvPicPr>
            <xdr:cNvPr id="25" name="Picture 24" descr="https://vsjcllp.vsjadon.com/upload/insp-246805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47956" y="416097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6805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75068" y="416097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6805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56526" y="416097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6805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78504" y="6422267"/>
              <a:ext cx="1433586" cy="19134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6805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8514" y="562010"/>
              <a:ext cx="2591979" cy="3459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46805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2677" y="562010"/>
              <a:ext cx="2591979" cy="3459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 descr="https://vsjcllp.vsjadon.com/upload/insp-246805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63188" y="6422267"/>
              <a:ext cx="2548892" cy="19134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46805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02180" y="4160976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4" name="Picture 33" descr="https://vsjcllp.vsjadon.com/upload/insp-24680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99647" y="59861823"/>
            <a:ext cx="2342029" cy="17581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PAm1w7eXARPbNMtv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95"/>
  <sheetViews>
    <sheetView tabSelected="1" view="pageBreakPreview" zoomScale="85" zoomScaleNormal="100" zoomScaleSheetLayoutView="85" workbookViewId="0">
      <selection activeCell="I9" sqref="I9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5703125" style="37" customWidth="1"/>
    <col min="4" max="4" width="14.140625" style="37" customWidth="1"/>
    <col min="5" max="7" width="11.570312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2.1406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5703125" style="18" customWidth="1"/>
    <col min="17" max="247" width="9.140625" style="18"/>
    <col min="248" max="248" width="8.5703125" style="18" customWidth="1"/>
    <col min="249" max="249" width="9.85546875" style="18" customWidth="1"/>
    <col min="250" max="250" width="14.42578125" style="18" customWidth="1"/>
    <col min="251" max="251" width="7.425781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5703125" style="18" customWidth="1"/>
    <col min="505" max="505" width="9.85546875" style="18" customWidth="1"/>
    <col min="506" max="506" width="14.42578125" style="18" customWidth="1"/>
    <col min="507" max="507" width="7.425781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5703125" style="18" customWidth="1"/>
    <col min="761" max="761" width="9.85546875" style="18" customWidth="1"/>
    <col min="762" max="762" width="14.42578125" style="18" customWidth="1"/>
    <col min="763" max="763" width="7.425781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5703125" style="18" customWidth="1"/>
    <col min="1017" max="1017" width="9.85546875" style="18" customWidth="1"/>
    <col min="1018" max="1018" width="14.42578125" style="18" customWidth="1"/>
    <col min="1019" max="1019" width="7.425781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5703125" style="18" customWidth="1"/>
    <col min="1273" max="1273" width="9.85546875" style="18" customWidth="1"/>
    <col min="1274" max="1274" width="14.42578125" style="18" customWidth="1"/>
    <col min="1275" max="1275" width="7.425781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5703125" style="18" customWidth="1"/>
    <col min="1529" max="1529" width="9.85546875" style="18" customWidth="1"/>
    <col min="1530" max="1530" width="14.42578125" style="18" customWidth="1"/>
    <col min="1531" max="1531" width="7.425781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5703125" style="18" customWidth="1"/>
    <col min="1785" max="1785" width="9.85546875" style="18" customWidth="1"/>
    <col min="1786" max="1786" width="14.42578125" style="18" customWidth="1"/>
    <col min="1787" max="1787" width="7.425781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5703125" style="18" customWidth="1"/>
    <col min="2041" max="2041" width="9.85546875" style="18" customWidth="1"/>
    <col min="2042" max="2042" width="14.42578125" style="18" customWidth="1"/>
    <col min="2043" max="2043" width="7.425781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5703125" style="18" customWidth="1"/>
    <col min="2297" max="2297" width="9.85546875" style="18" customWidth="1"/>
    <col min="2298" max="2298" width="14.42578125" style="18" customWidth="1"/>
    <col min="2299" max="2299" width="7.425781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5703125" style="18" customWidth="1"/>
    <col min="2553" max="2553" width="9.85546875" style="18" customWidth="1"/>
    <col min="2554" max="2554" width="14.42578125" style="18" customWidth="1"/>
    <col min="2555" max="2555" width="7.425781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5703125" style="18" customWidth="1"/>
    <col min="2809" max="2809" width="9.85546875" style="18" customWidth="1"/>
    <col min="2810" max="2810" width="14.42578125" style="18" customWidth="1"/>
    <col min="2811" max="2811" width="7.425781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5703125" style="18" customWidth="1"/>
    <col min="3065" max="3065" width="9.85546875" style="18" customWidth="1"/>
    <col min="3066" max="3066" width="14.42578125" style="18" customWidth="1"/>
    <col min="3067" max="3067" width="7.425781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5703125" style="18" customWidth="1"/>
    <col min="3321" max="3321" width="9.85546875" style="18" customWidth="1"/>
    <col min="3322" max="3322" width="14.42578125" style="18" customWidth="1"/>
    <col min="3323" max="3323" width="7.425781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5703125" style="18" customWidth="1"/>
    <col min="3577" max="3577" width="9.85546875" style="18" customWidth="1"/>
    <col min="3578" max="3578" width="14.42578125" style="18" customWidth="1"/>
    <col min="3579" max="3579" width="7.425781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5703125" style="18" customWidth="1"/>
    <col min="3833" max="3833" width="9.85546875" style="18" customWidth="1"/>
    <col min="3834" max="3834" width="14.42578125" style="18" customWidth="1"/>
    <col min="3835" max="3835" width="7.425781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5703125" style="18" customWidth="1"/>
    <col min="4089" max="4089" width="9.85546875" style="18" customWidth="1"/>
    <col min="4090" max="4090" width="14.42578125" style="18" customWidth="1"/>
    <col min="4091" max="4091" width="7.425781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5703125" style="18" customWidth="1"/>
    <col min="4345" max="4345" width="9.85546875" style="18" customWidth="1"/>
    <col min="4346" max="4346" width="14.42578125" style="18" customWidth="1"/>
    <col min="4347" max="4347" width="7.425781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5703125" style="18" customWidth="1"/>
    <col min="4601" max="4601" width="9.85546875" style="18" customWidth="1"/>
    <col min="4602" max="4602" width="14.42578125" style="18" customWidth="1"/>
    <col min="4603" max="4603" width="7.425781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5703125" style="18" customWidth="1"/>
    <col min="4857" max="4857" width="9.85546875" style="18" customWidth="1"/>
    <col min="4858" max="4858" width="14.42578125" style="18" customWidth="1"/>
    <col min="4859" max="4859" width="7.425781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5703125" style="18" customWidth="1"/>
    <col min="5113" max="5113" width="9.85546875" style="18" customWidth="1"/>
    <col min="5114" max="5114" width="14.42578125" style="18" customWidth="1"/>
    <col min="5115" max="5115" width="7.425781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5703125" style="18" customWidth="1"/>
    <col min="5369" max="5369" width="9.85546875" style="18" customWidth="1"/>
    <col min="5370" max="5370" width="14.42578125" style="18" customWidth="1"/>
    <col min="5371" max="5371" width="7.425781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5703125" style="18" customWidth="1"/>
    <col min="5625" max="5625" width="9.85546875" style="18" customWidth="1"/>
    <col min="5626" max="5626" width="14.42578125" style="18" customWidth="1"/>
    <col min="5627" max="5627" width="7.425781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5703125" style="18" customWidth="1"/>
    <col min="5881" max="5881" width="9.85546875" style="18" customWidth="1"/>
    <col min="5882" max="5882" width="14.42578125" style="18" customWidth="1"/>
    <col min="5883" max="5883" width="7.425781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5703125" style="18" customWidth="1"/>
    <col min="6137" max="6137" width="9.85546875" style="18" customWidth="1"/>
    <col min="6138" max="6138" width="14.42578125" style="18" customWidth="1"/>
    <col min="6139" max="6139" width="7.425781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5703125" style="18" customWidth="1"/>
    <col min="6393" max="6393" width="9.85546875" style="18" customWidth="1"/>
    <col min="6394" max="6394" width="14.42578125" style="18" customWidth="1"/>
    <col min="6395" max="6395" width="7.425781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5703125" style="18" customWidth="1"/>
    <col min="6649" max="6649" width="9.85546875" style="18" customWidth="1"/>
    <col min="6650" max="6650" width="14.42578125" style="18" customWidth="1"/>
    <col min="6651" max="6651" width="7.425781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5703125" style="18" customWidth="1"/>
    <col min="6905" max="6905" width="9.85546875" style="18" customWidth="1"/>
    <col min="6906" max="6906" width="14.42578125" style="18" customWidth="1"/>
    <col min="6907" max="6907" width="7.425781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5703125" style="18" customWidth="1"/>
    <col min="7161" max="7161" width="9.85546875" style="18" customWidth="1"/>
    <col min="7162" max="7162" width="14.42578125" style="18" customWidth="1"/>
    <col min="7163" max="7163" width="7.425781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5703125" style="18" customWidth="1"/>
    <col min="7417" max="7417" width="9.85546875" style="18" customWidth="1"/>
    <col min="7418" max="7418" width="14.42578125" style="18" customWidth="1"/>
    <col min="7419" max="7419" width="7.425781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5703125" style="18" customWidth="1"/>
    <col min="7673" max="7673" width="9.85546875" style="18" customWidth="1"/>
    <col min="7674" max="7674" width="14.42578125" style="18" customWidth="1"/>
    <col min="7675" max="7675" width="7.425781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5703125" style="18" customWidth="1"/>
    <col min="7929" max="7929" width="9.85546875" style="18" customWidth="1"/>
    <col min="7930" max="7930" width="14.42578125" style="18" customWidth="1"/>
    <col min="7931" max="7931" width="7.425781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5703125" style="18" customWidth="1"/>
    <col min="8185" max="8185" width="9.85546875" style="18" customWidth="1"/>
    <col min="8186" max="8186" width="14.42578125" style="18" customWidth="1"/>
    <col min="8187" max="8187" width="7.425781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5703125" style="18" customWidth="1"/>
    <col min="8441" max="8441" width="9.85546875" style="18" customWidth="1"/>
    <col min="8442" max="8442" width="14.42578125" style="18" customWidth="1"/>
    <col min="8443" max="8443" width="7.425781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5703125" style="18" customWidth="1"/>
    <col min="8697" max="8697" width="9.85546875" style="18" customWidth="1"/>
    <col min="8698" max="8698" width="14.42578125" style="18" customWidth="1"/>
    <col min="8699" max="8699" width="7.425781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5703125" style="18" customWidth="1"/>
    <col min="8953" max="8953" width="9.85546875" style="18" customWidth="1"/>
    <col min="8954" max="8954" width="14.42578125" style="18" customWidth="1"/>
    <col min="8955" max="8955" width="7.425781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5703125" style="18" customWidth="1"/>
    <col min="9209" max="9209" width="9.85546875" style="18" customWidth="1"/>
    <col min="9210" max="9210" width="14.42578125" style="18" customWidth="1"/>
    <col min="9211" max="9211" width="7.425781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5703125" style="18" customWidth="1"/>
    <col min="9465" max="9465" width="9.85546875" style="18" customWidth="1"/>
    <col min="9466" max="9466" width="14.42578125" style="18" customWidth="1"/>
    <col min="9467" max="9467" width="7.425781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5703125" style="18" customWidth="1"/>
    <col min="9721" max="9721" width="9.85546875" style="18" customWidth="1"/>
    <col min="9722" max="9722" width="14.42578125" style="18" customWidth="1"/>
    <col min="9723" max="9723" width="7.425781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5703125" style="18" customWidth="1"/>
    <col min="9977" max="9977" width="9.85546875" style="18" customWidth="1"/>
    <col min="9978" max="9978" width="14.42578125" style="18" customWidth="1"/>
    <col min="9979" max="9979" width="7.425781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5703125" style="18" customWidth="1"/>
    <col min="10233" max="10233" width="9.85546875" style="18" customWidth="1"/>
    <col min="10234" max="10234" width="14.42578125" style="18" customWidth="1"/>
    <col min="10235" max="10235" width="7.425781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5703125" style="18" customWidth="1"/>
    <col min="10489" max="10489" width="9.85546875" style="18" customWidth="1"/>
    <col min="10490" max="10490" width="14.42578125" style="18" customWidth="1"/>
    <col min="10491" max="10491" width="7.425781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5703125" style="18" customWidth="1"/>
    <col min="10745" max="10745" width="9.85546875" style="18" customWidth="1"/>
    <col min="10746" max="10746" width="14.42578125" style="18" customWidth="1"/>
    <col min="10747" max="10747" width="7.425781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5703125" style="18" customWidth="1"/>
    <col min="11001" max="11001" width="9.85546875" style="18" customWidth="1"/>
    <col min="11002" max="11002" width="14.42578125" style="18" customWidth="1"/>
    <col min="11003" max="11003" width="7.425781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5703125" style="18" customWidth="1"/>
    <col min="11257" max="11257" width="9.85546875" style="18" customWidth="1"/>
    <col min="11258" max="11258" width="14.42578125" style="18" customWidth="1"/>
    <col min="11259" max="11259" width="7.425781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5703125" style="18" customWidth="1"/>
    <col min="11513" max="11513" width="9.85546875" style="18" customWidth="1"/>
    <col min="11514" max="11514" width="14.42578125" style="18" customWidth="1"/>
    <col min="11515" max="11515" width="7.425781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5703125" style="18" customWidth="1"/>
    <col min="11769" max="11769" width="9.85546875" style="18" customWidth="1"/>
    <col min="11770" max="11770" width="14.42578125" style="18" customWidth="1"/>
    <col min="11771" max="11771" width="7.425781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5703125" style="18" customWidth="1"/>
    <col min="12025" max="12025" width="9.85546875" style="18" customWidth="1"/>
    <col min="12026" max="12026" width="14.42578125" style="18" customWidth="1"/>
    <col min="12027" max="12027" width="7.425781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5703125" style="18" customWidth="1"/>
    <col min="12281" max="12281" width="9.85546875" style="18" customWidth="1"/>
    <col min="12282" max="12282" width="14.42578125" style="18" customWidth="1"/>
    <col min="12283" max="12283" width="7.425781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5703125" style="18" customWidth="1"/>
    <col min="12537" max="12537" width="9.85546875" style="18" customWidth="1"/>
    <col min="12538" max="12538" width="14.42578125" style="18" customWidth="1"/>
    <col min="12539" max="12539" width="7.425781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5703125" style="18" customWidth="1"/>
    <col min="12793" max="12793" width="9.85546875" style="18" customWidth="1"/>
    <col min="12794" max="12794" width="14.42578125" style="18" customWidth="1"/>
    <col min="12795" max="12795" width="7.425781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5703125" style="18" customWidth="1"/>
    <col min="13049" max="13049" width="9.85546875" style="18" customWidth="1"/>
    <col min="13050" max="13050" width="14.42578125" style="18" customWidth="1"/>
    <col min="13051" max="13051" width="7.425781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5703125" style="18" customWidth="1"/>
    <col min="13305" max="13305" width="9.85546875" style="18" customWidth="1"/>
    <col min="13306" max="13306" width="14.42578125" style="18" customWidth="1"/>
    <col min="13307" max="13307" width="7.425781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5703125" style="18" customWidth="1"/>
    <col min="13561" max="13561" width="9.85546875" style="18" customWidth="1"/>
    <col min="13562" max="13562" width="14.42578125" style="18" customWidth="1"/>
    <col min="13563" max="13563" width="7.425781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5703125" style="18" customWidth="1"/>
    <col min="13817" max="13817" width="9.85546875" style="18" customWidth="1"/>
    <col min="13818" max="13818" width="14.42578125" style="18" customWidth="1"/>
    <col min="13819" max="13819" width="7.425781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5703125" style="18" customWidth="1"/>
    <col min="14073" max="14073" width="9.85546875" style="18" customWidth="1"/>
    <col min="14074" max="14074" width="14.42578125" style="18" customWidth="1"/>
    <col min="14075" max="14075" width="7.425781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5703125" style="18" customWidth="1"/>
    <col min="14329" max="14329" width="9.85546875" style="18" customWidth="1"/>
    <col min="14330" max="14330" width="14.42578125" style="18" customWidth="1"/>
    <col min="14331" max="14331" width="7.425781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5703125" style="18" customWidth="1"/>
    <col min="14585" max="14585" width="9.85546875" style="18" customWidth="1"/>
    <col min="14586" max="14586" width="14.42578125" style="18" customWidth="1"/>
    <col min="14587" max="14587" width="7.425781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5703125" style="18" customWidth="1"/>
    <col min="14841" max="14841" width="9.85546875" style="18" customWidth="1"/>
    <col min="14842" max="14842" width="14.42578125" style="18" customWidth="1"/>
    <col min="14843" max="14843" width="7.425781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5703125" style="18" customWidth="1"/>
    <col min="15097" max="15097" width="9.85546875" style="18" customWidth="1"/>
    <col min="15098" max="15098" width="14.42578125" style="18" customWidth="1"/>
    <col min="15099" max="15099" width="7.425781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5703125" style="18" customWidth="1"/>
    <col min="15353" max="15353" width="9.85546875" style="18" customWidth="1"/>
    <col min="15354" max="15354" width="14.42578125" style="18" customWidth="1"/>
    <col min="15355" max="15355" width="7.425781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5703125" style="18" customWidth="1"/>
    <col min="15609" max="15609" width="9.85546875" style="18" customWidth="1"/>
    <col min="15610" max="15610" width="14.42578125" style="18" customWidth="1"/>
    <col min="15611" max="15611" width="7.425781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5703125" style="18" customWidth="1"/>
    <col min="15865" max="15865" width="9.85546875" style="18" customWidth="1"/>
    <col min="15866" max="15866" width="14.42578125" style="18" customWidth="1"/>
    <col min="15867" max="15867" width="7.425781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5703125" style="18" customWidth="1"/>
    <col min="16121" max="16121" width="9.85546875" style="18" customWidth="1"/>
    <col min="16122" max="16122" width="14.42578125" style="18" customWidth="1"/>
    <col min="16123" max="16123" width="7.425781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9" ht="46.5" customHeight="1" x14ac:dyDescent="0.25">
      <c r="A1" s="146" t="s">
        <v>219</v>
      </c>
      <c r="B1" s="146"/>
      <c r="C1" s="146"/>
      <c r="D1" s="146"/>
      <c r="E1" s="146"/>
      <c r="F1" s="146"/>
      <c r="G1" s="146"/>
      <c r="H1" s="146"/>
    </row>
    <row r="2" spans="1:9" ht="16.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9" x14ac:dyDescent="0.25">
      <c r="A3" s="76" t="s">
        <v>1</v>
      </c>
      <c r="B3" s="76"/>
      <c r="C3" s="76"/>
      <c r="D3" s="76"/>
      <c r="E3" s="76" t="str">
        <f ca="1">TEXT(TODAY(),"DD/MM/YYYY")</f>
        <v>19/09/2025</v>
      </c>
      <c r="F3" s="76"/>
      <c r="G3" s="76"/>
      <c r="H3" s="76"/>
    </row>
    <row r="4" spans="1:9" ht="15" customHeight="1" x14ac:dyDescent="0.25">
      <c r="A4" s="76" t="s">
        <v>2</v>
      </c>
      <c r="B4" s="76"/>
      <c r="C4" s="76"/>
      <c r="D4" s="76"/>
      <c r="E4" s="76" t="s">
        <v>171</v>
      </c>
      <c r="F4" s="76"/>
      <c r="G4" s="76"/>
      <c r="H4" s="76"/>
    </row>
    <row r="5" spans="1:9" x14ac:dyDescent="0.25">
      <c r="A5" s="76" t="s">
        <v>3</v>
      </c>
      <c r="B5" s="76"/>
      <c r="C5" s="76"/>
      <c r="D5" s="76"/>
      <c r="E5" s="147">
        <v>45911</v>
      </c>
      <c r="F5" s="76"/>
      <c r="G5" s="76"/>
      <c r="H5" s="76"/>
    </row>
    <row r="6" spans="1:9" ht="16.5" customHeight="1" x14ac:dyDescent="0.25">
      <c r="A6" s="76" t="s">
        <v>4</v>
      </c>
      <c r="B6" s="76"/>
      <c r="C6" s="76"/>
      <c r="D6" s="76"/>
      <c r="E6" s="76" t="s">
        <v>172</v>
      </c>
      <c r="F6" s="76"/>
      <c r="G6" s="76"/>
      <c r="H6" s="76"/>
    </row>
    <row r="7" spans="1:9" ht="15" customHeight="1" x14ac:dyDescent="0.25">
      <c r="A7" s="76" t="s">
        <v>5</v>
      </c>
      <c r="B7" s="76"/>
      <c r="C7" s="76"/>
      <c r="D7" s="76"/>
      <c r="E7" s="76" t="str">
        <f>E6</f>
        <v>M/s. Space India Builders &amp; Developer</v>
      </c>
      <c r="F7" s="76"/>
      <c r="G7" s="76"/>
      <c r="H7" s="76"/>
    </row>
    <row r="8" spans="1:9" x14ac:dyDescent="0.25">
      <c r="A8" s="76" t="s">
        <v>6</v>
      </c>
      <c r="B8" s="76"/>
      <c r="C8" s="76"/>
      <c r="D8" s="76"/>
      <c r="E8" s="106" t="s">
        <v>173</v>
      </c>
      <c r="F8" s="106"/>
      <c r="G8" s="106"/>
      <c r="H8" s="106"/>
    </row>
    <row r="9" spans="1:9" x14ac:dyDescent="0.25">
      <c r="A9" s="76" t="s">
        <v>121</v>
      </c>
      <c r="B9" s="76"/>
      <c r="C9" s="76"/>
      <c r="D9" s="76"/>
      <c r="E9" s="76">
        <v>9988002744</v>
      </c>
      <c r="F9" s="76"/>
      <c r="G9" s="76"/>
      <c r="H9" s="76"/>
    </row>
    <row r="10" spans="1:9" ht="50.25" customHeight="1" x14ac:dyDescent="0.25">
      <c r="A10" s="76" t="s">
        <v>7</v>
      </c>
      <c r="B10" s="76"/>
      <c r="C10" s="76"/>
      <c r="D10" s="76"/>
      <c r="E10" s="102" t="s">
        <v>218</v>
      </c>
      <c r="F10" s="76"/>
      <c r="G10" s="76"/>
      <c r="H10" s="76"/>
      <c r="I10" s="18" t="s">
        <v>223</v>
      </c>
    </row>
    <row r="11" spans="1:9" ht="32.25" customHeight="1" x14ac:dyDescent="0.25">
      <c r="A11" s="76" t="s">
        <v>220</v>
      </c>
      <c r="B11" s="76"/>
      <c r="C11" s="76"/>
      <c r="D11" s="76"/>
      <c r="E11" s="102" t="s">
        <v>174</v>
      </c>
      <c r="F11" s="102"/>
      <c r="G11" s="102"/>
      <c r="H11" s="102"/>
    </row>
    <row r="12" spans="1:9" x14ac:dyDescent="0.25">
      <c r="A12" s="76" t="s">
        <v>8</v>
      </c>
      <c r="B12" s="76"/>
      <c r="C12" s="76"/>
      <c r="D12" s="76"/>
      <c r="E12" s="102" t="s">
        <v>175</v>
      </c>
      <c r="F12" s="76"/>
      <c r="G12" s="76"/>
      <c r="H12" s="76"/>
    </row>
    <row r="13" spans="1:9" ht="48.75" customHeight="1" x14ac:dyDescent="0.25">
      <c r="A13" s="102" t="s">
        <v>9</v>
      </c>
      <c r="B13" s="102"/>
      <c r="C13" s="10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Amulyam, Survey No.53/1A at Village - Pale Budruk &amp; 50/2 at Village - Kolwadi, near Karshni Vihar Panvel, Internal road, Pale Budruk, Panvel East, Panvel, Raigad - 410208.</v>
      </c>
      <c r="D13" s="102"/>
      <c r="E13" s="102"/>
      <c r="F13" s="102"/>
      <c r="G13" s="102"/>
      <c r="H13" s="102"/>
    </row>
    <row r="14" spans="1:9" x14ac:dyDescent="0.25">
      <c r="A14" s="102" t="s">
        <v>176</v>
      </c>
      <c r="B14" s="102"/>
      <c r="C14" s="102" t="s">
        <v>202</v>
      </c>
      <c r="D14" s="102"/>
      <c r="E14" s="102"/>
      <c r="F14" s="102"/>
      <c r="G14" s="102"/>
      <c r="H14" s="102"/>
    </row>
    <row r="15" spans="1:9" ht="15.75" customHeight="1" x14ac:dyDescent="0.25">
      <c r="A15" s="102" t="s">
        <v>10</v>
      </c>
      <c r="B15" s="102"/>
      <c r="C15" s="76" t="s">
        <v>181</v>
      </c>
      <c r="D15" s="76"/>
      <c r="E15" s="102" t="s">
        <v>74</v>
      </c>
      <c r="F15" s="102"/>
      <c r="G15" s="102" t="s">
        <v>179</v>
      </c>
      <c r="H15" s="102"/>
    </row>
    <row r="16" spans="1:9" x14ac:dyDescent="0.25">
      <c r="A16" s="76" t="s">
        <v>12</v>
      </c>
      <c r="B16" s="76"/>
      <c r="C16" s="102" t="s">
        <v>182</v>
      </c>
      <c r="D16" s="102"/>
      <c r="E16" s="102" t="s">
        <v>11</v>
      </c>
      <c r="F16" s="102"/>
      <c r="G16" s="148" t="s">
        <v>178</v>
      </c>
      <c r="H16" s="148"/>
    </row>
    <row r="17" spans="1:8" x14ac:dyDescent="0.25">
      <c r="A17" s="76" t="s">
        <v>75</v>
      </c>
      <c r="B17" s="76"/>
      <c r="C17" s="102" t="s">
        <v>177</v>
      </c>
      <c r="D17" s="102"/>
      <c r="E17" s="102" t="s">
        <v>13</v>
      </c>
      <c r="F17" s="102"/>
      <c r="G17" s="102">
        <v>410208</v>
      </c>
      <c r="H17" s="102"/>
    </row>
    <row r="18" spans="1:8" ht="32.25" customHeight="1" x14ac:dyDescent="0.25">
      <c r="A18" s="76" t="s">
        <v>122</v>
      </c>
      <c r="B18" s="76"/>
      <c r="C18" s="102" t="s">
        <v>183</v>
      </c>
      <c r="D18" s="102"/>
      <c r="E18" s="102" t="s">
        <v>14</v>
      </c>
      <c r="F18" s="102"/>
      <c r="G18" s="102" t="s">
        <v>180</v>
      </c>
      <c r="H18" s="102"/>
    </row>
    <row r="19" spans="1:8" ht="15" customHeight="1" x14ac:dyDescent="0.25">
      <c r="A19" s="79" t="s">
        <v>77</v>
      </c>
      <c r="B19" s="79"/>
      <c r="C19" s="79"/>
      <c r="D19" s="79"/>
      <c r="E19" s="76" t="s">
        <v>15</v>
      </c>
      <c r="F19" s="76"/>
      <c r="G19" s="76"/>
      <c r="H19" s="76"/>
    </row>
    <row r="20" spans="1:8" ht="18.75" customHeight="1" x14ac:dyDescent="0.25">
      <c r="A20" s="79"/>
      <c r="B20" s="79"/>
      <c r="C20" s="79"/>
      <c r="D20" s="79"/>
      <c r="E20" s="76"/>
      <c r="F20" s="76"/>
      <c r="G20" s="76"/>
      <c r="H20" s="76"/>
    </row>
    <row r="21" spans="1:8" ht="15" customHeight="1" x14ac:dyDescent="0.25">
      <c r="A21" s="79" t="s">
        <v>16</v>
      </c>
      <c r="B21" s="79"/>
      <c r="C21" s="79"/>
      <c r="D21" s="79"/>
      <c r="E21" s="102" t="s">
        <v>17</v>
      </c>
      <c r="F21" s="102"/>
      <c r="G21" s="102"/>
      <c r="H21" s="102"/>
    </row>
    <row r="22" spans="1:8" ht="15" customHeight="1" x14ac:dyDescent="0.25">
      <c r="A22" s="78" t="s">
        <v>18</v>
      </c>
      <c r="B22" s="78"/>
      <c r="C22" s="78"/>
      <c r="D22" s="78"/>
      <c r="E22" s="102" t="str">
        <f>IF(AND(G16="Mumbai"),"Upper Class","Middle Class")</f>
        <v>Middle Class</v>
      </c>
      <c r="F22" s="102"/>
      <c r="G22" s="102"/>
      <c r="H22" s="102"/>
    </row>
    <row r="23" spans="1:8" x14ac:dyDescent="0.25">
      <c r="A23" s="78" t="s">
        <v>19</v>
      </c>
      <c r="B23" s="78"/>
      <c r="C23" s="78"/>
      <c r="D23" s="78"/>
      <c r="E23" s="102" t="s">
        <v>20</v>
      </c>
      <c r="F23" s="102"/>
      <c r="G23" s="102"/>
      <c r="H23" s="102"/>
    </row>
    <row r="24" spans="1:8" ht="15.75" customHeight="1" x14ac:dyDescent="0.25">
      <c r="A24" s="78" t="s">
        <v>21</v>
      </c>
      <c r="B24" s="78"/>
      <c r="C24" s="78"/>
      <c r="D24" s="78"/>
      <c r="E24" s="102" t="str">
        <f>IF(AND(G16="Mumbai"),"Developed","Developing")</f>
        <v>Developing</v>
      </c>
      <c r="F24" s="102"/>
      <c r="G24" s="102"/>
      <c r="H24" s="102"/>
    </row>
    <row r="25" spans="1:8" x14ac:dyDescent="0.25">
      <c r="A25" s="78" t="s">
        <v>22</v>
      </c>
      <c r="B25" s="78"/>
      <c r="C25" s="78"/>
      <c r="D25" s="78"/>
      <c r="E25" s="102" t="s">
        <v>23</v>
      </c>
      <c r="F25" s="102"/>
      <c r="G25" s="102"/>
      <c r="H25" s="102"/>
    </row>
    <row r="26" spans="1:8" ht="15.75" customHeight="1" x14ac:dyDescent="0.25">
      <c r="A26" s="78" t="s">
        <v>82</v>
      </c>
      <c r="B26" s="78"/>
      <c r="C26" s="78"/>
      <c r="D26" s="78"/>
      <c r="E26" s="102" t="s">
        <v>83</v>
      </c>
      <c r="F26" s="102"/>
      <c r="G26" s="102"/>
      <c r="H26" s="102"/>
    </row>
    <row r="27" spans="1:8" ht="15" customHeight="1" x14ac:dyDescent="0.25">
      <c r="A27" s="78" t="s">
        <v>32</v>
      </c>
      <c r="B27" s="78"/>
      <c r="C27" s="78"/>
      <c r="D27" s="78"/>
      <c r="E27" s="102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7" s="102"/>
      <c r="G27" s="102"/>
      <c r="H27" s="102"/>
    </row>
    <row r="28" spans="1:8" ht="15.75" customHeight="1" x14ac:dyDescent="0.25">
      <c r="A28" s="78" t="s">
        <v>94</v>
      </c>
      <c r="B28" s="78"/>
      <c r="C28" s="78"/>
      <c r="D28" s="78"/>
      <c r="E28" s="102" t="s">
        <v>33</v>
      </c>
      <c r="F28" s="102"/>
      <c r="G28" s="102"/>
      <c r="H28" s="102"/>
    </row>
    <row r="29" spans="1:8" s="19" customFormat="1" x14ac:dyDescent="0.25">
      <c r="A29" s="152" t="s">
        <v>95</v>
      </c>
      <c r="B29" s="152"/>
      <c r="C29" s="151" t="s">
        <v>28</v>
      </c>
      <c r="D29" s="151"/>
      <c r="E29" s="151"/>
      <c r="F29" s="151" t="s">
        <v>30</v>
      </c>
      <c r="G29" s="151"/>
      <c r="H29" s="151"/>
    </row>
    <row r="30" spans="1:8" s="19" customFormat="1" x14ac:dyDescent="0.25">
      <c r="A30" s="149" t="s">
        <v>24</v>
      </c>
      <c r="B30" s="149" t="s">
        <v>29</v>
      </c>
      <c r="C30" s="150" t="s">
        <v>29</v>
      </c>
      <c r="D30" s="150"/>
      <c r="E30" s="150"/>
      <c r="F30" s="150" t="s">
        <v>184</v>
      </c>
      <c r="G30" s="150"/>
      <c r="H30" s="150"/>
    </row>
    <row r="31" spans="1:8" x14ac:dyDescent="0.25">
      <c r="A31" s="149" t="s">
        <v>25</v>
      </c>
      <c r="B31" s="149" t="s">
        <v>29</v>
      </c>
      <c r="C31" s="150" t="s">
        <v>29</v>
      </c>
      <c r="D31" s="150"/>
      <c r="E31" s="150"/>
      <c r="F31" s="150" t="s">
        <v>181</v>
      </c>
      <c r="G31" s="150"/>
      <c r="H31" s="150"/>
    </row>
    <row r="32" spans="1:8" s="19" customFormat="1" x14ac:dyDescent="0.25">
      <c r="A32" s="149" t="s">
        <v>27</v>
      </c>
      <c r="B32" s="149" t="s">
        <v>29</v>
      </c>
      <c r="C32" s="150" t="s">
        <v>29</v>
      </c>
      <c r="D32" s="150"/>
      <c r="E32" s="150"/>
      <c r="F32" s="150" t="s">
        <v>185</v>
      </c>
      <c r="G32" s="150"/>
      <c r="H32" s="150"/>
    </row>
    <row r="33" spans="1:8" x14ac:dyDescent="0.25">
      <c r="A33" s="149" t="s">
        <v>26</v>
      </c>
      <c r="B33" s="149" t="s">
        <v>29</v>
      </c>
      <c r="C33" s="150" t="s">
        <v>29</v>
      </c>
      <c r="D33" s="150"/>
      <c r="E33" s="150"/>
      <c r="F33" s="150" t="s">
        <v>184</v>
      </c>
      <c r="G33" s="150"/>
      <c r="H33" s="150"/>
    </row>
    <row r="34" spans="1:8" x14ac:dyDescent="0.25">
      <c r="A34" s="78" t="s">
        <v>31</v>
      </c>
      <c r="B34" s="78"/>
      <c r="C34" s="78"/>
      <c r="D34" s="78"/>
      <c r="E34" s="78"/>
      <c r="F34" s="78"/>
      <c r="G34" s="78"/>
      <c r="H34" s="78"/>
    </row>
    <row r="35" spans="1:8" ht="15.75" customHeight="1" x14ac:dyDescent="0.25">
      <c r="A35" s="78" t="s">
        <v>216</v>
      </c>
      <c r="B35" s="78"/>
      <c r="C35" s="162" t="s">
        <v>221</v>
      </c>
      <c r="D35" s="162"/>
      <c r="E35" s="162"/>
      <c r="F35" s="162"/>
      <c r="G35" s="162"/>
      <c r="H35" s="162"/>
    </row>
    <row r="36" spans="1:8" ht="15.75" customHeight="1" x14ac:dyDescent="0.25">
      <c r="A36" s="78" t="s">
        <v>215</v>
      </c>
      <c r="B36" s="78"/>
      <c r="C36" s="163" t="s">
        <v>217</v>
      </c>
      <c r="D36" s="164"/>
      <c r="E36" s="164"/>
      <c r="F36" s="164"/>
      <c r="G36" s="164"/>
      <c r="H36" s="164"/>
    </row>
    <row r="37" spans="1:8" x14ac:dyDescent="0.25">
      <c r="A37" s="133" t="s">
        <v>34</v>
      </c>
      <c r="B37" s="133"/>
      <c r="C37" s="133"/>
      <c r="D37" s="133"/>
      <c r="E37" s="133"/>
      <c r="F37" s="133"/>
      <c r="G37" s="133"/>
      <c r="H37" s="133"/>
    </row>
    <row r="38" spans="1:8" x14ac:dyDescent="0.25">
      <c r="A38" s="78" t="s">
        <v>35</v>
      </c>
      <c r="B38" s="78"/>
      <c r="C38" s="78"/>
      <c r="D38" s="78"/>
      <c r="E38" s="161">
        <v>4233.5200000000004</v>
      </c>
      <c r="F38" s="161"/>
      <c r="G38" s="161"/>
      <c r="H38" s="161"/>
    </row>
    <row r="39" spans="1:8" x14ac:dyDescent="0.25">
      <c r="A39" s="78" t="s">
        <v>36</v>
      </c>
      <c r="B39" s="78"/>
      <c r="C39" s="78"/>
      <c r="D39" s="78"/>
      <c r="E39" s="125">
        <v>1</v>
      </c>
      <c r="F39" s="125"/>
      <c r="G39" s="125"/>
      <c r="H39" s="125"/>
    </row>
    <row r="40" spans="1:8" x14ac:dyDescent="0.25">
      <c r="A40" s="78" t="s">
        <v>37</v>
      </c>
      <c r="B40" s="78"/>
      <c r="C40" s="78"/>
      <c r="D40" s="78"/>
      <c r="E40" s="125">
        <f>E42/E38-E39</f>
        <v>0</v>
      </c>
      <c r="F40" s="125"/>
      <c r="G40" s="125"/>
      <c r="H40" s="125"/>
    </row>
    <row r="41" spans="1:8" x14ac:dyDescent="0.25">
      <c r="A41" s="76" t="s">
        <v>38</v>
      </c>
      <c r="B41" s="76"/>
      <c r="C41" s="76"/>
      <c r="D41" s="76"/>
      <c r="E41" s="137">
        <f>E39+E40</f>
        <v>1</v>
      </c>
      <c r="F41" s="137"/>
      <c r="G41" s="137"/>
      <c r="H41" s="137"/>
    </row>
    <row r="42" spans="1:8" x14ac:dyDescent="0.25">
      <c r="A42" s="76" t="s">
        <v>93</v>
      </c>
      <c r="B42" s="76"/>
      <c r="C42" s="76"/>
      <c r="D42" s="76"/>
      <c r="E42" s="138">
        <v>4233.5200000000004</v>
      </c>
      <c r="F42" s="138"/>
      <c r="G42" s="138"/>
      <c r="H42" s="138"/>
    </row>
    <row r="43" spans="1:8" x14ac:dyDescent="0.25">
      <c r="A43" s="76" t="s">
        <v>39</v>
      </c>
      <c r="B43" s="76"/>
      <c r="C43" s="76"/>
      <c r="D43" s="76"/>
      <c r="E43" s="76" t="s">
        <v>186</v>
      </c>
      <c r="F43" s="76"/>
      <c r="G43" s="76"/>
      <c r="H43" s="76"/>
    </row>
    <row r="44" spans="1:8" x14ac:dyDescent="0.25">
      <c r="A44" s="106" t="s">
        <v>40</v>
      </c>
      <c r="B44" s="106"/>
      <c r="C44" s="106"/>
      <c r="D44" s="106"/>
      <c r="E44" s="106"/>
      <c r="F44" s="106"/>
      <c r="G44" s="106"/>
      <c r="H44" s="106"/>
    </row>
    <row r="45" spans="1:8" ht="33.75" customHeight="1" x14ac:dyDescent="0.25">
      <c r="A45" s="90" t="s">
        <v>150</v>
      </c>
      <c r="B45" s="91"/>
      <c r="C45" s="171" t="s">
        <v>187</v>
      </c>
      <c r="D45" s="172"/>
      <c r="E45" s="172"/>
      <c r="F45" s="172"/>
      <c r="G45" s="172"/>
      <c r="H45" s="173"/>
    </row>
    <row r="46" spans="1:8" ht="32.25" customHeight="1" x14ac:dyDescent="0.25">
      <c r="A46" s="90" t="s">
        <v>41</v>
      </c>
      <c r="B46" s="91"/>
      <c r="C46" s="90" t="s">
        <v>188</v>
      </c>
      <c r="D46" s="92"/>
      <c r="E46" s="91"/>
      <c r="F46" s="54" t="s">
        <v>42</v>
      </c>
      <c r="G46" s="93">
        <v>44586</v>
      </c>
      <c r="H46" s="91"/>
    </row>
    <row r="47" spans="1:8" ht="31.5" customHeight="1" x14ac:dyDescent="0.25">
      <c r="A47" s="71" t="s">
        <v>43</v>
      </c>
      <c r="B47" s="73"/>
      <c r="C47" s="71" t="str">
        <f>C46</f>
        <v>CIDCO/NAINA/Panvel/Pale Budruk/BP-00275/ACC/2022/0152</v>
      </c>
      <c r="D47" s="72"/>
      <c r="E47" s="73"/>
      <c r="F47" s="17" t="s">
        <v>42</v>
      </c>
      <c r="G47" s="94">
        <f>G46</f>
        <v>44586</v>
      </c>
      <c r="H47" s="95"/>
    </row>
    <row r="48" spans="1:8" s="20" customFormat="1" ht="33" customHeight="1" x14ac:dyDescent="0.25">
      <c r="A48" s="156" t="s">
        <v>154</v>
      </c>
      <c r="B48" s="157"/>
      <c r="C48" s="90" t="str">
        <f>C47</f>
        <v>CIDCO/NAINA/Panvel/Pale Budruk/BP-00275/ACC/2022/0152</v>
      </c>
      <c r="D48" s="92"/>
      <c r="E48" s="91"/>
      <c r="F48" s="54" t="s">
        <v>42</v>
      </c>
      <c r="G48" s="93">
        <f>G47</f>
        <v>44586</v>
      </c>
      <c r="H48" s="175"/>
    </row>
    <row r="49" spans="1:14" s="20" customFormat="1" x14ac:dyDescent="0.25">
      <c r="A49" s="158"/>
      <c r="B49" s="159"/>
      <c r="C49" s="90" t="s">
        <v>206</v>
      </c>
      <c r="D49" s="92"/>
      <c r="E49" s="92"/>
      <c r="F49" s="92"/>
      <c r="G49" s="92"/>
      <c r="H49" s="91"/>
    </row>
    <row r="50" spans="1:14" x14ac:dyDescent="0.25">
      <c r="A50" s="103" t="s">
        <v>44</v>
      </c>
      <c r="B50" s="104"/>
      <c r="C50" s="176" t="s">
        <v>106</v>
      </c>
      <c r="D50" s="177"/>
      <c r="E50" s="178"/>
      <c r="F50" s="61" t="s">
        <v>42</v>
      </c>
      <c r="G50" s="171" t="s">
        <v>29</v>
      </c>
      <c r="H50" s="173"/>
    </row>
    <row r="51" spans="1:14" x14ac:dyDescent="0.25">
      <c r="A51" s="105" t="s">
        <v>46</v>
      </c>
      <c r="B51" s="105"/>
      <c r="C51" s="105"/>
      <c r="D51" s="105"/>
      <c r="E51" s="105"/>
      <c r="F51" s="105"/>
      <c r="G51" s="105"/>
      <c r="H51" s="105"/>
    </row>
    <row r="52" spans="1:14" x14ac:dyDescent="0.25">
      <c r="A52" s="79" t="s">
        <v>92</v>
      </c>
      <c r="B52" s="79"/>
      <c r="C52" s="79"/>
      <c r="D52" s="78">
        <f>E42</f>
        <v>4233.5200000000004</v>
      </c>
      <c r="E52" s="78"/>
      <c r="F52" s="78"/>
      <c r="G52" s="78"/>
      <c r="H52" s="78"/>
    </row>
    <row r="53" spans="1:14" x14ac:dyDescent="0.25">
      <c r="A53" s="102" t="s">
        <v>47</v>
      </c>
      <c r="B53" s="76"/>
      <c r="C53" s="76"/>
      <c r="D53" s="76" t="s">
        <v>203</v>
      </c>
      <c r="E53" s="76"/>
      <c r="F53" s="76"/>
      <c r="G53" s="76"/>
      <c r="H53" s="76"/>
      <c r="I53" s="21"/>
    </row>
    <row r="54" spans="1:14" x14ac:dyDescent="0.25">
      <c r="A54" s="96" t="s">
        <v>48</v>
      </c>
      <c r="B54" s="97"/>
      <c r="C54" s="155"/>
      <c r="D54" s="153" t="s">
        <v>206</v>
      </c>
      <c r="E54" s="154"/>
      <c r="F54" s="154"/>
      <c r="G54" s="154"/>
      <c r="H54" s="154"/>
    </row>
    <row r="55" spans="1:14" ht="15.75" customHeight="1" x14ac:dyDescent="0.25">
      <c r="A55" s="96" t="s">
        <v>90</v>
      </c>
      <c r="B55" s="97"/>
      <c r="C55" s="97"/>
      <c r="D55" s="76" t="s">
        <v>224</v>
      </c>
      <c r="E55" s="76"/>
      <c r="F55" s="76"/>
      <c r="G55" s="76"/>
      <c r="H55" s="76"/>
    </row>
    <row r="56" spans="1:14" ht="15.75" customHeight="1" x14ac:dyDescent="0.25">
      <c r="A56" s="98"/>
      <c r="B56" s="99"/>
      <c r="C56" s="99"/>
      <c r="D56" s="76" t="s">
        <v>225</v>
      </c>
      <c r="E56" s="76"/>
      <c r="F56" s="76"/>
      <c r="G56" s="76"/>
      <c r="H56" s="76"/>
    </row>
    <row r="57" spans="1:14" ht="15.75" customHeight="1" x14ac:dyDescent="0.25">
      <c r="A57" s="100"/>
      <c r="B57" s="101"/>
      <c r="C57" s="101"/>
      <c r="D57" s="76" t="s">
        <v>226</v>
      </c>
      <c r="E57" s="76"/>
      <c r="F57" s="76"/>
      <c r="G57" s="76"/>
      <c r="H57" s="76"/>
    </row>
    <row r="58" spans="1:14" ht="15.75" customHeight="1" x14ac:dyDescent="0.25">
      <c r="A58" s="78" t="s">
        <v>45</v>
      </c>
      <c r="B58" s="78"/>
      <c r="C58" s="78"/>
      <c r="D58" s="140" t="s">
        <v>189</v>
      </c>
      <c r="E58" s="140"/>
      <c r="F58" s="140"/>
      <c r="G58" s="140"/>
      <c r="H58" s="140"/>
      <c r="J58" s="22"/>
      <c r="K58" s="21"/>
      <c r="N58" s="21"/>
    </row>
    <row r="59" spans="1:14" ht="15.75" customHeight="1" x14ac:dyDescent="0.25">
      <c r="A59" s="78" t="s">
        <v>88</v>
      </c>
      <c r="B59" s="78"/>
      <c r="C59" s="78"/>
      <c r="D59" s="160" t="str">
        <f>(IF(G50="NA","60 Years After Completion",IF(G50&lt;&gt;"NA",""&amp;60-ROUNDDOWN((E3-G50)/360,0)&amp;" Years"," ")))</f>
        <v>60 Years After Completion</v>
      </c>
      <c r="E59" s="160"/>
      <c r="F59" s="160"/>
      <c r="G59" s="160"/>
      <c r="H59" s="160"/>
      <c r="N59" s="21"/>
    </row>
    <row r="60" spans="1:14" ht="15.75" customHeight="1" x14ac:dyDescent="0.25">
      <c r="A60" s="78" t="s">
        <v>89</v>
      </c>
      <c r="B60" s="78"/>
      <c r="C60" s="78"/>
      <c r="D60" s="79" t="s">
        <v>23</v>
      </c>
      <c r="E60" s="79"/>
      <c r="F60" s="79"/>
      <c r="G60" s="79"/>
      <c r="H60" s="79"/>
      <c r="J60" s="23"/>
      <c r="K60" s="23"/>
    </row>
    <row r="61" spans="1:14" ht="30" customHeight="1" x14ac:dyDescent="0.25">
      <c r="A61" s="78" t="s">
        <v>76</v>
      </c>
      <c r="B61" s="78"/>
      <c r="C61" s="78"/>
      <c r="D61" s="102" t="s">
        <v>205</v>
      </c>
      <c r="E61" s="79"/>
      <c r="F61" s="79"/>
      <c r="G61" s="79"/>
      <c r="H61" s="79"/>
    </row>
    <row r="62" spans="1:14" x14ac:dyDescent="0.25">
      <c r="A62" s="79" t="s">
        <v>148</v>
      </c>
      <c r="B62" s="79"/>
      <c r="C62" s="79"/>
      <c r="D62" s="79" t="s">
        <v>29</v>
      </c>
      <c r="E62" s="79"/>
      <c r="F62" s="79"/>
      <c r="G62" s="79"/>
      <c r="H62" s="79"/>
      <c r="I62" s="24"/>
      <c r="J62" s="24"/>
      <c r="K62" s="24"/>
      <c r="L62" s="24"/>
      <c r="M62" s="24"/>
      <c r="N62" s="24"/>
    </row>
    <row r="63" spans="1:14" ht="15.75" customHeight="1" x14ac:dyDescent="0.25">
      <c r="A63" s="78" t="s">
        <v>87</v>
      </c>
      <c r="B63" s="78"/>
      <c r="C63" s="78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3"/>
    </row>
    <row r="64" spans="1:14" ht="33.75" customHeight="1" thickBot="1" x14ac:dyDescent="0.3">
      <c r="A64" s="79" t="s">
        <v>119</v>
      </c>
      <c r="B64" s="79"/>
      <c r="C64" s="79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0" ht="15.75" customHeight="1" x14ac:dyDescent="0.25">
      <c r="A65" s="77" t="s">
        <v>140</v>
      </c>
      <c r="B65" s="77"/>
      <c r="C65" s="77" t="str">
        <f>D55</f>
        <v>Wing A(Anantha) = G/St + 1st to 7th Floor</v>
      </c>
      <c r="D65" s="77"/>
      <c r="E65" s="77"/>
      <c r="F65" s="77"/>
      <c r="G65" s="77"/>
      <c r="H65" s="77"/>
      <c r="I65" s="59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6 Floor, External Plaster upto 4 Floor Completed</v>
      </c>
      <c r="J65" s="3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6 Floor, External Plaster upto 4 Floor</v>
      </c>
    </row>
    <row r="66" spans="1:10" x14ac:dyDescent="0.25">
      <c r="A66" s="58" t="s">
        <v>142</v>
      </c>
      <c r="B66" s="58">
        <v>0</v>
      </c>
      <c r="C66" s="58" t="s">
        <v>73</v>
      </c>
      <c r="D66" s="58">
        <v>1</v>
      </c>
      <c r="E66" s="58" t="s">
        <v>72</v>
      </c>
      <c r="F66" s="58">
        <v>0</v>
      </c>
      <c r="G66" s="58" t="s">
        <v>81</v>
      </c>
      <c r="H66" s="58">
        <f ca="1">--TRIM(RIGHT(SUBSTITUTE(LEFT(C65,_xlfn.AGGREGATE(16,6,FIND({0,1,2,3,4,5,6,7,8,9},C65,ROW(INDIRECT("1:"&amp;LEN(C65)))),1))," ",REPT(" ",LEN(C65))),LEN(C65)))</f>
        <v>7</v>
      </c>
      <c r="I66" s="6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0.75" customHeight="1" x14ac:dyDescent="0.25">
      <c r="A67" s="106" t="s">
        <v>91</v>
      </c>
      <c r="B67" s="106"/>
      <c r="C67" s="77" t="str">
        <f ca="1">(IF($G$50="NA",I65,"All work Completed. OC Received."))</f>
        <v>Excavation, Plinth, RCC Slab, Brickwork Completed, Internal Plaster upto 6 Floor, External Plaster upto 4 Floor Completed</v>
      </c>
      <c r="D67" s="77"/>
      <c r="E67" s="77"/>
      <c r="F67" s="77"/>
      <c r="G67" s="77"/>
      <c r="H67" s="77"/>
      <c r="I67" s="60" t="str">
        <f ca="1">IF(I66&lt;&gt;""," Completed","")</f>
        <v xml:space="preserve"> Completed</v>
      </c>
      <c r="J67" s="41" t="str">
        <f ca="1">IF(J65&lt;&gt;"","Completed","")</f>
        <v>Completed</v>
      </c>
    </row>
    <row r="68" spans="1:10" ht="15.75" customHeight="1" x14ac:dyDescent="0.25">
      <c r="A68" s="80" t="s">
        <v>49</v>
      </c>
      <c r="B68" s="81"/>
      <c r="C68" s="49" t="s">
        <v>139</v>
      </c>
      <c r="D68" s="49" t="s">
        <v>84</v>
      </c>
      <c r="E68" s="81" t="s">
        <v>86</v>
      </c>
      <c r="F68" s="81"/>
      <c r="G68" s="81" t="s">
        <v>85</v>
      </c>
      <c r="H68" s="139"/>
      <c r="I68" s="13" t="s">
        <v>141</v>
      </c>
      <c r="J68" s="25">
        <f ca="1">H66*25%</f>
        <v>1.75</v>
      </c>
    </row>
    <row r="69" spans="1:10" x14ac:dyDescent="0.25">
      <c r="A69" s="80" t="s">
        <v>128</v>
      </c>
      <c r="B69" s="81"/>
      <c r="C69" s="49">
        <f ca="1">J70</f>
        <v>7</v>
      </c>
      <c r="D69" s="50">
        <f ca="1">((100/H66)*C69)/100</f>
        <v>1</v>
      </c>
      <c r="E69" s="119">
        <f ca="1">(((C70/H66*10)+(40/(D66+F66+H66)*C71)+(7.5/(H66)*C72)+(7.5/(H66)*C73)+(10/H66*C74)+(10/H66*C75)+(5/H66*C76)+(5/H66*C77)+(5/H66*C78))/100)</f>
        <v>0.6964285714285714</v>
      </c>
      <c r="F69" s="120"/>
      <c r="G69" s="119">
        <f ca="1">((((C69/H66)*20)+((C70/H66)*25)+(30/(H66+F66+D66)*C71)+(5/H66*C72)+(5/H66*C73)+(5/H66*C74)+(5/H66*C75)+(0/H66*C76)+(0/H66*C77)+(5/H66*C78))/100)</f>
        <v>0.87142857142857155</v>
      </c>
      <c r="H69" s="141"/>
      <c r="I69" s="13" t="s">
        <v>101</v>
      </c>
      <c r="J69" s="26">
        <f ca="1">H66*50%</f>
        <v>3.5</v>
      </c>
    </row>
    <row r="70" spans="1:10" x14ac:dyDescent="0.25">
      <c r="A70" s="80" t="s">
        <v>50</v>
      </c>
      <c r="B70" s="81"/>
      <c r="C70" s="51">
        <f ca="1">J78</f>
        <v>7</v>
      </c>
      <c r="D70" s="50">
        <f ca="1">((100/H66)*C70)/100</f>
        <v>1</v>
      </c>
      <c r="E70" s="121"/>
      <c r="F70" s="122"/>
      <c r="G70" s="121"/>
      <c r="H70" s="142"/>
      <c r="I70" s="13" t="s">
        <v>102</v>
      </c>
      <c r="J70" s="26">
        <f ca="1">H66</f>
        <v>7</v>
      </c>
    </row>
    <row r="71" spans="1:10" ht="15.75" customHeight="1" x14ac:dyDescent="0.25">
      <c r="A71" s="80" t="s">
        <v>129</v>
      </c>
      <c r="B71" s="81"/>
      <c r="C71" s="49">
        <v>8</v>
      </c>
      <c r="D71" s="50">
        <f ca="1">((100/(D66+F66+H66))*C71)/100</f>
        <v>1</v>
      </c>
      <c r="E71" s="121"/>
      <c r="F71" s="122"/>
      <c r="G71" s="121"/>
      <c r="H71" s="142"/>
      <c r="I71" s="13" t="s">
        <v>103</v>
      </c>
      <c r="J71" s="27">
        <f ca="1">(IF(B66&gt;1,(H66/(B66+2)),H66/4))</f>
        <v>1.75</v>
      </c>
    </row>
    <row r="72" spans="1:10" ht="15.75" customHeight="1" x14ac:dyDescent="0.25">
      <c r="A72" s="80" t="s">
        <v>136</v>
      </c>
      <c r="B72" s="81" t="s">
        <v>130</v>
      </c>
      <c r="C72" s="49">
        <v>7</v>
      </c>
      <c r="D72" s="50">
        <f ca="1">((100/H66)*C72)/100</f>
        <v>1</v>
      </c>
      <c r="E72" s="121"/>
      <c r="F72" s="122"/>
      <c r="G72" s="121"/>
      <c r="H72" s="142"/>
      <c r="I72" s="13" t="s">
        <v>104</v>
      </c>
      <c r="J72" s="27">
        <f ca="1">(IF(B66&gt;1,(H66/(B66+2)+J71),H66/4+J71))</f>
        <v>3.5</v>
      </c>
    </row>
    <row r="73" spans="1:10" ht="15.75" customHeight="1" x14ac:dyDescent="0.25">
      <c r="A73" s="80" t="s">
        <v>137</v>
      </c>
      <c r="B73" s="81" t="s">
        <v>130</v>
      </c>
      <c r="C73" s="49">
        <v>6</v>
      </c>
      <c r="D73" s="50">
        <f ca="1">((100/H66)*C73)/100</f>
        <v>0.85714285714285721</v>
      </c>
      <c r="E73" s="121"/>
      <c r="F73" s="122"/>
      <c r="G73" s="121"/>
      <c r="H73" s="142"/>
      <c r="I73" s="13" t="s">
        <v>146</v>
      </c>
      <c r="J73" s="27">
        <f>(IF(B66&gt;1,(H66/(B66+2)+J72),0))</f>
        <v>0</v>
      </c>
    </row>
    <row r="74" spans="1:10" ht="15" customHeight="1" x14ac:dyDescent="0.25">
      <c r="A74" s="80" t="s">
        <v>135</v>
      </c>
      <c r="B74" s="81" t="s">
        <v>132</v>
      </c>
      <c r="C74" s="49">
        <v>4</v>
      </c>
      <c r="D74" s="50">
        <f ca="1">((100/(H66))*C74)/100</f>
        <v>0.57142857142857151</v>
      </c>
      <c r="E74" s="121"/>
      <c r="F74" s="122"/>
      <c r="G74" s="121"/>
      <c r="H74" s="142"/>
      <c r="I74" s="13" t="s">
        <v>143</v>
      </c>
      <c r="J74" s="27">
        <f>(IF(B66&gt;2,(H66/(B66+2)+J73),0))</f>
        <v>0</v>
      </c>
    </row>
    <row r="75" spans="1:10" ht="15.75" customHeight="1" x14ac:dyDescent="0.25">
      <c r="A75" s="80" t="s">
        <v>131</v>
      </c>
      <c r="B75" s="81" t="s">
        <v>131</v>
      </c>
      <c r="C75" s="49">
        <v>0</v>
      </c>
      <c r="D75" s="50">
        <f ca="1">((100/H66)*C75)/100</f>
        <v>0</v>
      </c>
      <c r="E75" s="121"/>
      <c r="F75" s="122"/>
      <c r="G75" s="121"/>
      <c r="H75" s="142"/>
      <c r="I75" s="13" t="s">
        <v>144</v>
      </c>
      <c r="J75" s="28">
        <f>(IF(B66&gt;3,(H66/(B66+2)+J74),0))</f>
        <v>0</v>
      </c>
    </row>
    <row r="76" spans="1:10" ht="15.75" customHeight="1" x14ac:dyDescent="0.25">
      <c r="A76" s="80" t="s">
        <v>138</v>
      </c>
      <c r="B76" s="81"/>
      <c r="C76" s="49">
        <v>0</v>
      </c>
      <c r="D76" s="50">
        <f ca="1">((100/H66)*C76)/100</f>
        <v>0</v>
      </c>
      <c r="E76" s="121"/>
      <c r="F76" s="122"/>
      <c r="G76" s="121"/>
      <c r="H76" s="142"/>
      <c r="I76" s="13" t="s">
        <v>145</v>
      </c>
      <c r="J76" s="27">
        <f>(IF(B66&gt;4,(H66/(B66+2)+J75),0))</f>
        <v>0</v>
      </c>
    </row>
    <row r="77" spans="1:10" ht="15.75" customHeight="1" x14ac:dyDescent="0.25">
      <c r="A77" s="80" t="s">
        <v>133</v>
      </c>
      <c r="B77" s="81" t="s">
        <v>133</v>
      </c>
      <c r="C77" s="49">
        <v>0</v>
      </c>
      <c r="D77" s="50">
        <f ca="1">((100/(H66))*C77)/100</f>
        <v>0</v>
      </c>
      <c r="E77" s="121"/>
      <c r="F77" s="122"/>
      <c r="G77" s="121"/>
      <c r="H77" s="142"/>
      <c r="I77" s="13" t="s">
        <v>147</v>
      </c>
      <c r="J77" s="27">
        <f ca="1">(IF(B66=1,(H66/(B66+3)+J72),IF(B66=0,(H66/4+J72),IF(B66&gt;1,0))))</f>
        <v>5.25</v>
      </c>
    </row>
    <row r="78" spans="1:10" ht="16.5" thickBot="1" x14ac:dyDescent="0.3">
      <c r="A78" s="144" t="s">
        <v>134</v>
      </c>
      <c r="B78" s="145"/>
      <c r="C78" s="52">
        <v>0</v>
      </c>
      <c r="D78" s="53">
        <f ca="1">((100/(H66))*C78)/100</f>
        <v>0</v>
      </c>
      <c r="E78" s="123"/>
      <c r="F78" s="124"/>
      <c r="G78" s="123"/>
      <c r="H78" s="143"/>
      <c r="I78" s="14" t="s">
        <v>105</v>
      </c>
      <c r="J78" s="29">
        <f ca="1">(IF(B66&gt;1.5,(H66/(B66+2)+J72+MAX(0,J73-J72)+MAX(0,J74-J73)+MAX(0,J75-J74)+MAX(0,J76-J75)+MAX(0,J77-J76)),IF(B66=1,(H66/(B66+3)+J77),IF(B66=0,H66/4+J77))))</f>
        <v>7</v>
      </c>
    </row>
    <row r="79" spans="1:10" ht="15.75" customHeight="1" x14ac:dyDescent="0.25">
      <c r="A79" s="111" t="s">
        <v>140</v>
      </c>
      <c r="B79" s="112"/>
      <c r="C79" s="113" t="str">
        <f>D56</f>
        <v>Wing B(Ananda) = G/St + 1st to 7th Floor</v>
      </c>
      <c r="D79" s="114"/>
      <c r="E79" s="114"/>
      <c r="F79" s="114"/>
      <c r="G79" s="114"/>
      <c r="H79" s="115"/>
      <c r="I79" s="56" t="str">
        <f ca="1">IF(D92=100%,"All work Completed. Possession granted to the Building.",IF(D91=100%,"All work Completed, Waiting for OC",I80&amp;""&amp;I81&amp;""&amp;J80&amp;""&amp;J79&amp;" "&amp;J81))</f>
        <v>Excavation, Plinth, RCC Slab Completed, Brickwork upto 6 Floor, Internal Plaster upto 5 Floor, External Plaster upto 2 Floor Completed</v>
      </c>
      <c r="J79" s="39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Brickwork upto 6 Floor, Internal Plaster upto 5 Floor, External Plaster upto 2 Floor</v>
      </c>
    </row>
    <row r="80" spans="1:10" x14ac:dyDescent="0.25">
      <c r="A80" s="15" t="s">
        <v>142</v>
      </c>
      <c r="B80" s="47">
        <v>0</v>
      </c>
      <c r="C80" s="47" t="s">
        <v>73</v>
      </c>
      <c r="D80" s="47">
        <v>1</v>
      </c>
      <c r="E80" s="47" t="s">
        <v>72</v>
      </c>
      <c r="F80" s="47">
        <v>0</v>
      </c>
      <c r="G80" s="47" t="s">
        <v>81</v>
      </c>
      <c r="H80" s="16">
        <f ca="1">--TRIM(RIGHT(SUBSTITUTE(LEFT(C79,_xlfn.AGGREGATE(16,6,FIND({0,1,2,3,4,5,6,7,8,9},C79,ROW(INDIRECT("1:"&amp;LEN(C79)))),1))," ",REPT(" ",LEN(C79))),LEN(C79)))</f>
        <v>7</v>
      </c>
      <c r="I80" s="40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</v>
      </c>
      <c r="J80" s="41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3" customHeight="1" x14ac:dyDescent="0.25">
      <c r="A81" s="167" t="s">
        <v>91</v>
      </c>
      <c r="B81" s="106"/>
      <c r="C81" s="77" t="str">
        <f ca="1">(IF($G$50="NA",I79,"All work Completed. OC Received."))</f>
        <v>Excavation, Plinth, RCC Slab Completed, Brickwork upto 6 Floor, Internal Plaster upto 5 Floor, External Plaster upto 2 Floor Completed</v>
      </c>
      <c r="D81" s="77"/>
      <c r="E81" s="77"/>
      <c r="F81" s="77"/>
      <c r="G81" s="77"/>
      <c r="H81" s="168"/>
      <c r="I81" s="40" t="str">
        <f ca="1">IF(I80&lt;&gt;""," Completed","")</f>
        <v xml:space="preserve"> Completed</v>
      </c>
      <c r="J81" s="41" t="str">
        <f ca="1">IF(J79&lt;&gt;"","Completed","")</f>
        <v>Completed</v>
      </c>
    </row>
    <row r="82" spans="1:10" ht="15.75" customHeight="1" x14ac:dyDescent="0.25">
      <c r="A82" s="80" t="s">
        <v>49</v>
      </c>
      <c r="B82" s="81"/>
      <c r="C82" s="49" t="s">
        <v>139</v>
      </c>
      <c r="D82" s="49" t="s">
        <v>84</v>
      </c>
      <c r="E82" s="81" t="s">
        <v>86</v>
      </c>
      <c r="F82" s="81"/>
      <c r="G82" s="81" t="s">
        <v>85</v>
      </c>
      <c r="H82" s="139"/>
      <c r="I82" s="13" t="s">
        <v>141</v>
      </c>
      <c r="J82" s="25">
        <f ca="1">H80*25%</f>
        <v>1.75</v>
      </c>
    </row>
    <row r="83" spans="1:10" x14ac:dyDescent="0.25">
      <c r="A83" s="80" t="s">
        <v>128</v>
      </c>
      <c r="B83" s="81"/>
      <c r="C83" s="49">
        <f ca="1">J84</f>
        <v>7</v>
      </c>
      <c r="D83" s="50">
        <f ca="1">((100/H80)*C83)/100</f>
        <v>1</v>
      </c>
      <c r="E83" s="119">
        <f ca="1">(((C84/H80*10)+(40/(D80+F80+H80)*C85)+(7.5/(H80)*C86)+(7.5/(H80)*C87)+(10/H80*C88)+(10/H80*C89)+(5/H80*C90)+(5/H80*C91)+(5/H80*C92))/100)</f>
        <v>0.64642857142857135</v>
      </c>
      <c r="F83" s="120"/>
      <c r="G83" s="119">
        <f ca="1">((((C83/H80)*20)+((C84/H80)*25)+(30/(H80+F80+D80)*C85)+(5/H80*C86)+(5/H80*C87)+(5/H80*C88)+(5/H80*C89)+(0/H80*C90)+(0/H80*C91)+(5/H80*C92))/100)</f>
        <v>0.84285714285714297</v>
      </c>
      <c r="H83" s="141"/>
      <c r="I83" s="13" t="s">
        <v>101</v>
      </c>
      <c r="J83" s="26">
        <f ca="1">H80*50%</f>
        <v>3.5</v>
      </c>
    </row>
    <row r="84" spans="1:10" x14ac:dyDescent="0.25">
      <c r="A84" s="80" t="s">
        <v>50</v>
      </c>
      <c r="B84" s="81"/>
      <c r="C84" s="51">
        <f ca="1">J92</f>
        <v>7</v>
      </c>
      <c r="D84" s="50">
        <f ca="1">((100/H80)*C84)/100</f>
        <v>1</v>
      </c>
      <c r="E84" s="121"/>
      <c r="F84" s="122"/>
      <c r="G84" s="121"/>
      <c r="H84" s="142"/>
      <c r="I84" s="13" t="s">
        <v>102</v>
      </c>
      <c r="J84" s="26">
        <f ca="1">H80</f>
        <v>7</v>
      </c>
    </row>
    <row r="85" spans="1:10" ht="15.75" customHeight="1" x14ac:dyDescent="0.25">
      <c r="A85" s="80" t="s">
        <v>129</v>
      </c>
      <c r="B85" s="81"/>
      <c r="C85" s="49">
        <v>8</v>
      </c>
      <c r="D85" s="50">
        <f ca="1">((100/(D80+F80+H80))*C85)/100</f>
        <v>1</v>
      </c>
      <c r="E85" s="121"/>
      <c r="F85" s="122"/>
      <c r="G85" s="121"/>
      <c r="H85" s="142"/>
      <c r="I85" s="13" t="s">
        <v>103</v>
      </c>
      <c r="J85" s="27">
        <f ca="1">(IF(B80&gt;1,(H80/(B80+2)),H80/4))</f>
        <v>1.75</v>
      </c>
    </row>
    <row r="86" spans="1:10" ht="15.75" customHeight="1" x14ac:dyDescent="0.25">
      <c r="A86" s="80" t="s">
        <v>136</v>
      </c>
      <c r="B86" s="81" t="s">
        <v>130</v>
      </c>
      <c r="C86" s="49">
        <v>6</v>
      </c>
      <c r="D86" s="50">
        <f ca="1">((100/H80)*C86)/100</f>
        <v>0.85714285714285721</v>
      </c>
      <c r="E86" s="121"/>
      <c r="F86" s="122"/>
      <c r="G86" s="121"/>
      <c r="H86" s="142"/>
      <c r="I86" s="13" t="s">
        <v>104</v>
      </c>
      <c r="J86" s="27">
        <f ca="1">(IF(B80&gt;1,(H80/(B80+2)+J85),H80/4+J85))</f>
        <v>3.5</v>
      </c>
    </row>
    <row r="87" spans="1:10" ht="15.75" customHeight="1" x14ac:dyDescent="0.25">
      <c r="A87" s="80" t="s">
        <v>137</v>
      </c>
      <c r="B87" s="81" t="s">
        <v>130</v>
      </c>
      <c r="C87" s="49">
        <v>5</v>
      </c>
      <c r="D87" s="50">
        <f ca="1">((100/H80)*C87)/100</f>
        <v>0.7142857142857143</v>
      </c>
      <c r="E87" s="121"/>
      <c r="F87" s="122"/>
      <c r="G87" s="121"/>
      <c r="H87" s="142"/>
      <c r="I87" s="13" t="s">
        <v>146</v>
      </c>
      <c r="J87" s="27">
        <f>(IF(B80&gt;1,(H80/(B80+2)+J86),0))</f>
        <v>0</v>
      </c>
    </row>
    <row r="88" spans="1:10" ht="15" customHeight="1" x14ac:dyDescent="0.25">
      <c r="A88" s="80" t="s">
        <v>135</v>
      </c>
      <c r="B88" s="81" t="s">
        <v>132</v>
      </c>
      <c r="C88" s="49">
        <v>2</v>
      </c>
      <c r="D88" s="50">
        <f ca="1">((100/(H80))*C88)/100</f>
        <v>0.28571428571428575</v>
      </c>
      <c r="E88" s="121"/>
      <c r="F88" s="122"/>
      <c r="G88" s="121"/>
      <c r="H88" s="142"/>
      <c r="I88" s="13" t="s">
        <v>143</v>
      </c>
      <c r="J88" s="27">
        <f>(IF(B80&gt;2,(H80/(B80+2)+J87),0))</f>
        <v>0</v>
      </c>
    </row>
    <row r="89" spans="1:10" ht="15.75" customHeight="1" x14ac:dyDescent="0.25">
      <c r="A89" s="80" t="s">
        <v>131</v>
      </c>
      <c r="B89" s="81" t="s">
        <v>131</v>
      </c>
      <c r="C89" s="49">
        <v>0</v>
      </c>
      <c r="D89" s="50">
        <f ca="1">((100/H80)*C89)/100</f>
        <v>0</v>
      </c>
      <c r="E89" s="121"/>
      <c r="F89" s="122"/>
      <c r="G89" s="121"/>
      <c r="H89" s="142"/>
      <c r="I89" s="13" t="s">
        <v>144</v>
      </c>
      <c r="J89" s="28">
        <f>(IF(B80&gt;3,(H80/(B80+2)+J88),0))</f>
        <v>0</v>
      </c>
    </row>
    <row r="90" spans="1:10" ht="15.75" customHeight="1" x14ac:dyDescent="0.25">
      <c r="A90" s="80" t="s">
        <v>138</v>
      </c>
      <c r="B90" s="81"/>
      <c r="C90" s="49">
        <v>0</v>
      </c>
      <c r="D90" s="50">
        <f ca="1">((100/H80)*C90)/100</f>
        <v>0</v>
      </c>
      <c r="E90" s="121"/>
      <c r="F90" s="122"/>
      <c r="G90" s="121"/>
      <c r="H90" s="142"/>
      <c r="I90" s="13" t="s">
        <v>145</v>
      </c>
      <c r="J90" s="27">
        <f>(IF(B80&gt;4,(H80/(B80+2)+J89),0))</f>
        <v>0</v>
      </c>
    </row>
    <row r="91" spans="1:10" ht="15.75" customHeight="1" x14ac:dyDescent="0.25">
      <c r="A91" s="80" t="s">
        <v>133</v>
      </c>
      <c r="B91" s="81" t="s">
        <v>133</v>
      </c>
      <c r="C91" s="49">
        <v>0</v>
      </c>
      <c r="D91" s="50">
        <f ca="1">((100/(H80))*C91)/100</f>
        <v>0</v>
      </c>
      <c r="E91" s="121"/>
      <c r="F91" s="122"/>
      <c r="G91" s="121"/>
      <c r="H91" s="142"/>
      <c r="I91" s="13" t="s">
        <v>147</v>
      </c>
      <c r="J91" s="27">
        <f ca="1">(IF(B80=1,(H80/(B80+3)+J86),IF(B80=0,(H80/4+J86),IF(B80&gt;1,0))))</f>
        <v>5.25</v>
      </c>
    </row>
    <row r="92" spans="1:10" ht="16.5" thickBot="1" x14ac:dyDescent="0.3">
      <c r="A92" s="144" t="s">
        <v>134</v>
      </c>
      <c r="B92" s="145"/>
      <c r="C92" s="52">
        <v>0</v>
      </c>
      <c r="D92" s="53">
        <f ca="1">((100/(H80))*C92)/100</f>
        <v>0</v>
      </c>
      <c r="E92" s="123"/>
      <c r="F92" s="124"/>
      <c r="G92" s="123"/>
      <c r="H92" s="143"/>
      <c r="I92" s="14" t="s">
        <v>105</v>
      </c>
      <c r="J92" s="29">
        <f ca="1">(IF(B80&gt;1.5,(H80/(B80+2)+J86+MAX(0,J87-J86)+MAX(0,J88-J87)+MAX(0,J89-J88)+MAX(0,J90-J89)+MAX(0,J91-J90)),IF(B80=1,(H80/(B80+3)+J91),IF(B80=0,H80/4+J91))))</f>
        <v>7</v>
      </c>
    </row>
    <row r="93" spans="1:10" ht="15.75" customHeight="1" x14ac:dyDescent="0.25">
      <c r="A93" s="111" t="s">
        <v>140</v>
      </c>
      <c r="B93" s="112"/>
      <c r="C93" s="113" t="str">
        <f>D57</f>
        <v>Wing C(Sarovar) = G/St + 1st to 7th Floor</v>
      </c>
      <c r="D93" s="114"/>
      <c r="E93" s="114"/>
      <c r="F93" s="114"/>
      <c r="G93" s="114"/>
      <c r="H93" s="115"/>
      <c r="I93" s="56" t="str">
        <f ca="1">IF(D106=100%,"All work Completed. Possession granted to the Building.",IF(D105=100%,"All work Completed, Waiting for OC",I94&amp;""&amp;I95&amp;""&amp;J94&amp;""&amp;J93&amp;" "&amp;J95))</f>
        <v>Excavation, Plinth, RCC Slab Completed, Brickwork upto 6 Floor, Internal Plaster upto 5 Floor, External Plaster upto 4 Floor, Flooring upto 2 Floor Completed</v>
      </c>
      <c r="J93" s="39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Brickwork upto 6 Floor, Internal Plaster upto 5 Floor, External Plaster upto 4 Floor, Flooring upto 2 Floor</v>
      </c>
    </row>
    <row r="94" spans="1:10" x14ac:dyDescent="0.25">
      <c r="A94" s="15" t="s">
        <v>142</v>
      </c>
      <c r="B94" s="47">
        <v>0</v>
      </c>
      <c r="C94" s="47" t="s">
        <v>73</v>
      </c>
      <c r="D94" s="47">
        <v>1</v>
      </c>
      <c r="E94" s="47" t="s">
        <v>72</v>
      </c>
      <c r="F94" s="47">
        <v>0</v>
      </c>
      <c r="G94" s="47" t="s">
        <v>81</v>
      </c>
      <c r="H94" s="16">
        <f ca="1">--TRIM(RIGHT(SUBSTITUTE(LEFT(C93,_xlfn.AGGREGATE(16,6,FIND({0,1,2,3,4,5,6,7,8,9},C93,ROW(INDIRECT("1:"&amp;LEN(C93)))),1))," ",REPT(" ",LEN(C93))),LEN(C93)))</f>
        <v>7</v>
      </c>
      <c r="I94" s="40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Plinth, RCC Slab</v>
      </c>
      <c r="J94" s="41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ht="48.95" customHeight="1" x14ac:dyDescent="0.25">
      <c r="A95" s="106" t="s">
        <v>91</v>
      </c>
      <c r="B95" s="106"/>
      <c r="C95" s="77" t="str">
        <f ca="1">(IF($G$50="NA",I93,"All work Completed. OC Received."))</f>
        <v>Excavation, Plinth, RCC Slab Completed, Brickwork upto 6 Floor, Internal Plaster upto 5 Floor, External Plaster upto 4 Floor, Flooring upto 2 Floor Completed</v>
      </c>
      <c r="D95" s="77"/>
      <c r="E95" s="77"/>
      <c r="F95" s="77"/>
      <c r="G95" s="77"/>
      <c r="H95" s="77"/>
      <c r="I95" s="60" t="str">
        <f ca="1">IF(I94&lt;&gt;""," Completed","")</f>
        <v xml:space="preserve"> Completed</v>
      </c>
      <c r="J95" s="41" t="str">
        <f ca="1">IF(J93&lt;&gt;"","Completed","")</f>
        <v>Completed</v>
      </c>
    </row>
    <row r="96" spans="1:10" ht="15.75" customHeight="1" x14ac:dyDescent="0.25">
      <c r="A96" s="81" t="s">
        <v>49</v>
      </c>
      <c r="B96" s="81"/>
      <c r="C96" s="57" t="s">
        <v>139</v>
      </c>
      <c r="D96" s="57" t="s">
        <v>84</v>
      </c>
      <c r="E96" s="81" t="s">
        <v>86</v>
      </c>
      <c r="F96" s="81"/>
      <c r="G96" s="81" t="s">
        <v>85</v>
      </c>
      <c r="H96" s="81"/>
      <c r="I96" s="13" t="s">
        <v>141</v>
      </c>
      <c r="J96" s="25">
        <f ca="1">H94*25%</f>
        <v>1.75</v>
      </c>
    </row>
    <row r="97" spans="1:10" x14ac:dyDescent="0.25">
      <c r="A97" s="81" t="s">
        <v>128</v>
      </c>
      <c r="B97" s="81"/>
      <c r="C97" s="57">
        <f ca="1">J98</f>
        <v>7</v>
      </c>
      <c r="D97" s="50">
        <f ca="1">((100/H94)*C97)/100</f>
        <v>1</v>
      </c>
      <c r="E97" s="165">
        <f ca="1">(((C98/H94*10)+(40/(D94+F94+H94)*C99)+(7.5/(H94)*C100)+(7.5/(H94)*C101)+(10/H94*C102)+(10/H94*C103)+(5/H94*C104)+(5/H94*C105)+(5/H94*C106))/100)</f>
        <v>0.70357142857142863</v>
      </c>
      <c r="F97" s="165"/>
      <c r="G97" s="165">
        <f ca="1">((((C97/H94)*20)+((C98/H94)*25)+(30/(H94+F94+D94)*C99)+(5/H94*C100)+(5/H94*C101)+(5/H94*C102)+(5/H94*C103)+(0/H94*C104)+(0/H94*C105)+(5/H94*C106))/100)</f>
        <v>0.87142857142857155</v>
      </c>
      <c r="H97" s="165"/>
      <c r="I97" s="13" t="s">
        <v>101</v>
      </c>
      <c r="J97" s="26">
        <f ca="1">H94*50%</f>
        <v>3.5</v>
      </c>
    </row>
    <row r="98" spans="1:10" x14ac:dyDescent="0.25">
      <c r="A98" s="81" t="s">
        <v>50</v>
      </c>
      <c r="B98" s="81"/>
      <c r="C98" s="57">
        <f ca="1">J106</f>
        <v>7</v>
      </c>
      <c r="D98" s="50">
        <f ca="1">((100/H94)*C98)/100</f>
        <v>1</v>
      </c>
      <c r="E98" s="165"/>
      <c r="F98" s="165"/>
      <c r="G98" s="165"/>
      <c r="H98" s="165"/>
      <c r="I98" s="13" t="s">
        <v>102</v>
      </c>
      <c r="J98" s="26">
        <f ca="1">H94</f>
        <v>7</v>
      </c>
    </row>
    <row r="99" spans="1:10" ht="15.75" customHeight="1" x14ac:dyDescent="0.25">
      <c r="A99" s="81" t="s">
        <v>129</v>
      </c>
      <c r="B99" s="81"/>
      <c r="C99" s="57">
        <v>8</v>
      </c>
      <c r="D99" s="50">
        <f ca="1">((100/(D94+F94+H94))*C99)/100</f>
        <v>1</v>
      </c>
      <c r="E99" s="165"/>
      <c r="F99" s="165"/>
      <c r="G99" s="165"/>
      <c r="H99" s="165"/>
      <c r="I99" s="13" t="s">
        <v>103</v>
      </c>
      <c r="J99" s="27">
        <f ca="1">(IF(B94&gt;1,(H94/(B94+2)),H94/4))</f>
        <v>1.75</v>
      </c>
    </row>
    <row r="100" spans="1:10" ht="15.75" customHeight="1" x14ac:dyDescent="0.25">
      <c r="A100" s="81" t="s">
        <v>136</v>
      </c>
      <c r="B100" s="81" t="s">
        <v>130</v>
      </c>
      <c r="C100" s="57">
        <v>6</v>
      </c>
      <c r="D100" s="50">
        <f ca="1">((100/H94)*C100)/100</f>
        <v>0.85714285714285721</v>
      </c>
      <c r="E100" s="165"/>
      <c r="F100" s="165"/>
      <c r="G100" s="165"/>
      <c r="H100" s="165"/>
      <c r="I100" s="13" t="s">
        <v>104</v>
      </c>
      <c r="J100" s="27">
        <f ca="1">(IF(B94&gt;1,(H94/(B94+2)+J99),H94/4+J99))</f>
        <v>3.5</v>
      </c>
    </row>
    <row r="101" spans="1:10" ht="15.75" customHeight="1" x14ac:dyDescent="0.25">
      <c r="A101" s="81" t="s">
        <v>137</v>
      </c>
      <c r="B101" s="81" t="s">
        <v>130</v>
      </c>
      <c r="C101" s="57">
        <v>5</v>
      </c>
      <c r="D101" s="50">
        <f ca="1">((100/H94)*C101)/100</f>
        <v>0.7142857142857143</v>
      </c>
      <c r="E101" s="165"/>
      <c r="F101" s="165"/>
      <c r="G101" s="165"/>
      <c r="H101" s="165"/>
      <c r="I101" s="13" t="s">
        <v>146</v>
      </c>
      <c r="J101" s="27">
        <f>(IF(B94&gt;1,(H94/(B94+2)+J100),0))</f>
        <v>0</v>
      </c>
    </row>
    <row r="102" spans="1:10" ht="15" customHeight="1" x14ac:dyDescent="0.25">
      <c r="A102" s="150" t="s">
        <v>135</v>
      </c>
      <c r="B102" s="150" t="s">
        <v>132</v>
      </c>
      <c r="C102" s="57">
        <v>4</v>
      </c>
      <c r="D102" s="50">
        <f ca="1">((100/(H94))*C102)/100</f>
        <v>0.57142857142857151</v>
      </c>
      <c r="E102" s="165"/>
      <c r="F102" s="165"/>
      <c r="G102" s="165"/>
      <c r="H102" s="165"/>
      <c r="I102" s="13" t="s">
        <v>143</v>
      </c>
      <c r="J102" s="27">
        <f>(IF(B94&gt;2,(H94/(B94+2)+J101),0))</f>
        <v>0</v>
      </c>
    </row>
    <row r="103" spans="1:10" ht="15.75" customHeight="1" x14ac:dyDescent="0.25">
      <c r="A103" s="150" t="s">
        <v>131</v>
      </c>
      <c r="B103" s="150" t="s">
        <v>131</v>
      </c>
      <c r="C103" s="57">
        <v>2</v>
      </c>
      <c r="D103" s="50">
        <f ca="1">((100/H94)*C103)/100</f>
        <v>0.28571428571428575</v>
      </c>
      <c r="E103" s="165"/>
      <c r="F103" s="165"/>
      <c r="G103" s="165"/>
      <c r="H103" s="165"/>
      <c r="I103" s="13" t="s">
        <v>144</v>
      </c>
      <c r="J103" s="28">
        <f>(IF(B94&gt;3,(H94/(B94+2)+J102),0))</f>
        <v>0</v>
      </c>
    </row>
    <row r="104" spans="1:10" ht="15.75" customHeight="1" x14ac:dyDescent="0.25">
      <c r="A104" s="150" t="s">
        <v>138</v>
      </c>
      <c r="B104" s="150"/>
      <c r="C104" s="57">
        <v>0</v>
      </c>
      <c r="D104" s="50">
        <f ca="1">((100/H94)*C104)/100</f>
        <v>0</v>
      </c>
      <c r="E104" s="165"/>
      <c r="F104" s="165"/>
      <c r="G104" s="165"/>
      <c r="H104" s="165"/>
      <c r="I104" s="13" t="s">
        <v>145</v>
      </c>
      <c r="J104" s="27">
        <f>(IF(B94&gt;4,(H94/(B94+2)+J103),0))</f>
        <v>0</v>
      </c>
    </row>
    <row r="105" spans="1:10" ht="15.75" customHeight="1" x14ac:dyDescent="0.25">
      <c r="A105" s="150" t="s">
        <v>133</v>
      </c>
      <c r="B105" s="150" t="s">
        <v>133</v>
      </c>
      <c r="C105" s="57">
        <v>0</v>
      </c>
      <c r="D105" s="50">
        <f ca="1">((100/(H94))*C105)/100</f>
        <v>0</v>
      </c>
      <c r="E105" s="165"/>
      <c r="F105" s="165"/>
      <c r="G105" s="165"/>
      <c r="H105" s="165"/>
      <c r="I105" s="13" t="s">
        <v>147</v>
      </c>
      <c r="J105" s="27">
        <f ca="1">(IF(B94=1,(H94/(B94+3)+J100),IF(B94=0,(H94/4+J100),IF(B94&gt;1,0))))</f>
        <v>5.25</v>
      </c>
    </row>
    <row r="106" spans="1:10" ht="16.5" thickBot="1" x14ac:dyDescent="0.3">
      <c r="A106" s="81" t="s">
        <v>134</v>
      </c>
      <c r="B106" s="81"/>
      <c r="C106" s="57">
        <v>0</v>
      </c>
      <c r="D106" s="50">
        <f ca="1">((100/(H94))*C106)/100</f>
        <v>0</v>
      </c>
      <c r="E106" s="165"/>
      <c r="F106" s="165"/>
      <c r="G106" s="165"/>
      <c r="H106" s="165"/>
      <c r="I106" s="14" t="s">
        <v>105</v>
      </c>
      <c r="J106" s="29">
        <f ca="1">(IF(B94&gt;1.5,(H94/(B94+2)+J100+MAX(0,J101-J100)+MAX(0,J102-J101)+MAX(0,J103-J102)+MAX(0,J104-J103)+MAX(0,J105-J104)),IF(B94=1,(H94/(B94+3)+J105),IF(B94=0,H94/4+J105))))</f>
        <v>7</v>
      </c>
    </row>
    <row r="107" spans="1:10" x14ac:dyDescent="0.25">
      <c r="A107" s="169" t="s">
        <v>155</v>
      </c>
      <c r="B107" s="169"/>
      <c r="C107" s="169"/>
      <c r="D107" s="169"/>
      <c r="E107" s="169"/>
      <c r="F107" s="170" t="s">
        <v>160</v>
      </c>
      <c r="G107" s="170"/>
      <c r="H107" s="170"/>
    </row>
    <row r="108" spans="1:10" x14ac:dyDescent="0.25">
      <c r="A108" s="78" t="s">
        <v>158</v>
      </c>
      <c r="B108" s="78"/>
      <c r="C108" s="78"/>
      <c r="D108" s="78"/>
      <c r="E108" s="78"/>
      <c r="F108" s="82">
        <v>5000</v>
      </c>
      <c r="G108" s="82"/>
      <c r="H108" s="82"/>
      <c r="I108" s="18" t="s">
        <v>191</v>
      </c>
    </row>
    <row r="109" spans="1:10" hidden="1" x14ac:dyDescent="0.25">
      <c r="A109" s="78" t="s">
        <v>157</v>
      </c>
      <c r="B109" s="78"/>
      <c r="C109" s="78"/>
      <c r="D109" s="78"/>
      <c r="E109" s="78"/>
      <c r="F109" s="129"/>
      <c r="G109" s="129"/>
      <c r="H109" s="129"/>
      <c r="I109" s="18" t="s">
        <v>192</v>
      </c>
      <c r="J109" s="18" t="s">
        <v>201</v>
      </c>
    </row>
    <row r="110" spans="1:10" hidden="1" x14ac:dyDescent="0.25">
      <c r="A110" s="78" t="s">
        <v>159</v>
      </c>
      <c r="B110" s="78"/>
      <c r="C110" s="78"/>
      <c r="D110" s="78"/>
      <c r="E110" s="78"/>
      <c r="F110" s="129"/>
      <c r="G110" s="129"/>
      <c r="H110" s="129"/>
      <c r="I110" s="18">
        <v>6000</v>
      </c>
      <c r="J110" s="18">
        <v>5200</v>
      </c>
    </row>
    <row r="111" spans="1:10" s="30" customFormat="1" hidden="1" x14ac:dyDescent="0.25">
      <c r="A111" s="78" t="s">
        <v>156</v>
      </c>
      <c r="B111" s="78"/>
      <c r="C111" s="78"/>
      <c r="D111" s="78"/>
      <c r="E111" s="78"/>
      <c r="F111" s="129"/>
      <c r="G111" s="129"/>
      <c r="H111" s="129"/>
    </row>
    <row r="112" spans="1:10" s="30" customFormat="1" x14ac:dyDescent="0.25">
      <c r="A112" s="78" t="s">
        <v>96</v>
      </c>
      <c r="B112" s="78"/>
      <c r="C112" s="78"/>
      <c r="D112" s="78"/>
      <c r="E112" s="78"/>
      <c r="F112" s="129">
        <v>200000</v>
      </c>
      <c r="G112" s="129"/>
      <c r="H112" s="129"/>
    </row>
    <row r="113" spans="1:12" s="30" customFormat="1" hidden="1" x14ac:dyDescent="0.25">
      <c r="A113" s="78" t="s">
        <v>97</v>
      </c>
      <c r="B113" s="78"/>
      <c r="C113" s="78"/>
      <c r="D113" s="78"/>
      <c r="E113" s="78"/>
      <c r="F113" s="129"/>
      <c r="G113" s="129"/>
      <c r="H113" s="129"/>
    </row>
    <row r="114" spans="1:12" s="30" customFormat="1" hidden="1" x14ac:dyDescent="0.25">
      <c r="A114" s="78" t="s">
        <v>161</v>
      </c>
      <c r="B114" s="78"/>
      <c r="C114" s="78"/>
      <c r="D114" s="78"/>
      <c r="E114" s="78"/>
      <c r="F114" s="129"/>
      <c r="G114" s="129"/>
      <c r="H114" s="129"/>
    </row>
    <row r="115" spans="1:12" s="30" customFormat="1" hidden="1" x14ac:dyDescent="0.25">
      <c r="A115" s="78" t="s">
        <v>98</v>
      </c>
      <c r="B115" s="78"/>
      <c r="C115" s="78"/>
      <c r="D115" s="78"/>
      <c r="E115" s="78"/>
      <c r="F115" s="129"/>
      <c r="G115" s="129"/>
      <c r="H115" s="129"/>
    </row>
    <row r="116" spans="1:12" s="30" customFormat="1" hidden="1" x14ac:dyDescent="0.25">
      <c r="A116" s="78" t="s">
        <v>99</v>
      </c>
      <c r="B116" s="78"/>
      <c r="C116" s="78"/>
      <c r="D116" s="78"/>
      <c r="E116" s="78"/>
      <c r="F116" s="129"/>
      <c r="G116" s="129"/>
      <c r="H116" s="129"/>
    </row>
    <row r="117" spans="1:12" s="30" customFormat="1" x14ac:dyDescent="0.25">
      <c r="A117" s="78" t="s">
        <v>190</v>
      </c>
      <c r="B117" s="78"/>
      <c r="C117" s="78"/>
      <c r="D117" s="78"/>
      <c r="E117" s="78"/>
      <c r="F117" s="129">
        <v>70000</v>
      </c>
      <c r="G117" s="129"/>
      <c r="H117" s="129"/>
    </row>
    <row r="118" spans="1:12" s="30" customFormat="1" hidden="1" x14ac:dyDescent="0.25">
      <c r="A118" s="78" t="s">
        <v>100</v>
      </c>
      <c r="B118" s="78"/>
      <c r="C118" s="78"/>
      <c r="D118" s="78"/>
      <c r="E118" s="78"/>
      <c r="F118" s="129"/>
      <c r="G118" s="129"/>
      <c r="H118" s="129"/>
    </row>
    <row r="119" spans="1:12" x14ac:dyDescent="0.25">
      <c r="A119" s="78" t="s">
        <v>51</v>
      </c>
      <c r="B119" s="78"/>
      <c r="C119" s="78"/>
      <c r="D119" s="78"/>
      <c r="E119" s="78"/>
      <c r="F119" s="129">
        <v>200000</v>
      </c>
      <c r="G119" s="129"/>
      <c r="H119" s="129"/>
      <c r="I119" s="18" t="s">
        <v>229</v>
      </c>
      <c r="J119" s="18" t="s">
        <v>230</v>
      </c>
      <c r="K119" s="18" t="s">
        <v>231</v>
      </c>
      <c r="L119" s="22">
        <v>45843</v>
      </c>
    </row>
    <row r="120" spans="1:12" s="31" customFormat="1" x14ac:dyDescent="0.25">
      <c r="A120" s="133" t="s">
        <v>52</v>
      </c>
      <c r="B120" s="133"/>
      <c r="C120" s="133"/>
      <c r="D120" s="133"/>
      <c r="E120" s="133"/>
      <c r="F120" s="129">
        <f>F108*0.8</f>
        <v>4000</v>
      </c>
      <c r="G120" s="129"/>
      <c r="H120" s="129"/>
    </row>
    <row r="121" spans="1:12" s="32" customFormat="1" x14ac:dyDescent="0.25">
      <c r="A121" s="134" t="s">
        <v>71</v>
      </c>
      <c r="B121" s="134"/>
      <c r="C121" s="134"/>
      <c r="D121" s="134"/>
      <c r="E121" s="134"/>
      <c r="F121" s="134"/>
      <c r="G121" s="134"/>
      <c r="H121" s="134"/>
    </row>
    <row r="122" spans="1:12" s="32" customFormat="1" ht="15.75" customHeight="1" x14ac:dyDescent="0.25">
      <c r="A122" s="108" t="s">
        <v>53</v>
      </c>
      <c r="B122" s="108"/>
      <c r="C122" s="136" t="s">
        <v>79</v>
      </c>
      <c r="D122" s="136"/>
      <c r="E122" s="127" t="s">
        <v>54</v>
      </c>
      <c r="F122" s="127"/>
      <c r="G122" s="108" t="s">
        <v>55</v>
      </c>
      <c r="H122" s="108"/>
    </row>
    <row r="123" spans="1:12" s="32" customFormat="1" ht="31.5" x14ac:dyDescent="0.25">
      <c r="A123" s="46" t="s">
        <v>211</v>
      </c>
      <c r="B123" s="46" t="s">
        <v>197</v>
      </c>
      <c r="C123" s="74">
        <f>COUNT(D135:D139)*2+COUNT(D141:D145)*2+COUNT(D147:D151)+COUNT(D153:D156)</f>
        <v>29</v>
      </c>
      <c r="D123" s="74"/>
      <c r="E123" s="83">
        <f>SUM(D135:D139)*2+SUM(D141:D145)*2+SUM(D147:D151)+SUM(D153:D156)</f>
        <v>12742.207919999997</v>
      </c>
      <c r="F123" s="83"/>
      <c r="G123" s="83">
        <f>SUM(F135:F139)*2+SUM(F141:F145)*2+SUM(F147:F151)+SUM(F153:F156)</f>
        <v>19990</v>
      </c>
      <c r="H123" s="83"/>
    </row>
    <row r="124" spans="1:12" s="32" customFormat="1" x14ac:dyDescent="0.25">
      <c r="A124" s="116" t="s">
        <v>212</v>
      </c>
      <c r="B124" s="46" t="s">
        <v>197</v>
      </c>
      <c r="C124" s="74">
        <f>COUNT(D161:D164,D168:D169)*2+COUNT(D171:D174,D178:D179)*2+COUNT(D181:D189)+COUNT(D191:D192)</f>
        <v>35</v>
      </c>
      <c r="D124" s="74"/>
      <c r="E124" s="75">
        <f>SUM(D161:D164,D168:D169)*2+SUM(D171:D174,D178:D179)*2+SUM(D181:D189)+SUM(D191:D192)</f>
        <v>15022.346039999997</v>
      </c>
      <c r="F124" s="75"/>
      <c r="G124" s="75">
        <f>SUM(F161:F164,F168:F169)*2+SUM(F171:F174,F178:F179)*2+SUM(F181:F189)+SUM(F191:F192)</f>
        <v>23550</v>
      </c>
      <c r="H124" s="75"/>
    </row>
    <row r="125" spans="1:12" s="32" customFormat="1" x14ac:dyDescent="0.25">
      <c r="A125" s="117"/>
      <c r="B125" s="46" t="s">
        <v>194</v>
      </c>
      <c r="C125" s="74">
        <f>COUNT(D165:D167)*2+COUNT(D175:D177)*2</f>
        <v>12</v>
      </c>
      <c r="D125" s="74"/>
      <c r="E125" s="75">
        <f>SUM(D165:D167)*2+SUM(D175:D177)*2</f>
        <v>4616.8948799999989</v>
      </c>
      <c r="F125" s="75"/>
      <c r="G125" s="75">
        <f>SUM(F165:F167)*2+SUM(F175:F177)*2</f>
        <v>7260</v>
      </c>
      <c r="H125" s="75"/>
    </row>
    <row r="126" spans="1:12" s="32" customFormat="1" x14ac:dyDescent="0.25">
      <c r="A126" s="116" t="s">
        <v>213</v>
      </c>
      <c r="B126" s="46" t="s">
        <v>197</v>
      </c>
      <c r="C126" s="74">
        <f>COUNT(D198:D202)*2+COUNT(D207:D211)*2+COUNT(D214:D220)+COUNT(D223:D227)</f>
        <v>32</v>
      </c>
      <c r="D126" s="74"/>
      <c r="E126" s="75">
        <f>SUM(D198:D202)*2+SUM(D207:D211)*2+SUM(D214:D220)+SUM(D223:D227)</f>
        <v>12549.747599999999</v>
      </c>
      <c r="F126" s="75"/>
      <c r="G126" s="75">
        <f>SUM(F198:F202)*2+SUM(F207:F211)*2+SUM(F214:F220)+SUM(F223:F227)</f>
        <v>20155</v>
      </c>
      <c r="H126" s="75"/>
    </row>
    <row r="127" spans="1:12" s="32" customFormat="1" x14ac:dyDescent="0.25">
      <c r="A127" s="117"/>
      <c r="B127" s="46" t="s">
        <v>194</v>
      </c>
      <c r="C127" s="74">
        <f>COUNT(D196:D197,D203)*2+COUNT(D205:D206,D212)*2</f>
        <v>12</v>
      </c>
      <c r="D127" s="74"/>
      <c r="E127" s="75">
        <f>SUM(D196:D197,D203)*2+SUM(D205:D206,D212)*2</f>
        <v>4530.35232</v>
      </c>
      <c r="F127" s="75"/>
      <c r="G127" s="75">
        <f>SUM(F196:F197,F203)*2+SUM(F205:F206,F212)*2</f>
        <v>7070</v>
      </c>
      <c r="H127" s="75"/>
    </row>
    <row r="128" spans="1:12" s="32" customFormat="1" x14ac:dyDescent="0.25">
      <c r="A128" s="134" t="s">
        <v>149</v>
      </c>
      <c r="B128" s="134"/>
      <c r="C128" s="136">
        <f>SUM(C123:C127)</f>
        <v>120</v>
      </c>
      <c r="D128" s="136"/>
      <c r="E128" s="166">
        <f>SUM(E123:E127)</f>
        <v>49461.548759999991</v>
      </c>
      <c r="F128" s="127"/>
      <c r="G128" s="108">
        <f>SUM(G123:G127)</f>
        <v>78025</v>
      </c>
      <c r="H128" s="108"/>
      <c r="J128" s="48"/>
    </row>
    <row r="129" spans="1:11" s="31" customFormat="1" x14ac:dyDescent="0.25">
      <c r="A129" s="128" t="s">
        <v>56</v>
      </c>
      <c r="B129" s="128"/>
      <c r="C129" s="128"/>
      <c r="D129" s="128"/>
      <c r="E129" s="128"/>
      <c r="F129" s="128"/>
      <c r="G129" s="128"/>
      <c r="H129" s="128"/>
    </row>
    <row r="130" spans="1:11" x14ac:dyDescent="0.25">
      <c r="A130" s="128" t="s">
        <v>57</v>
      </c>
      <c r="B130" s="128"/>
      <c r="C130" s="128"/>
      <c r="D130" s="128"/>
      <c r="E130" s="128"/>
      <c r="F130" s="128"/>
      <c r="G130" s="128"/>
      <c r="H130" s="128"/>
    </row>
    <row r="131" spans="1:11" ht="47.25" customHeight="1" x14ac:dyDescent="0.25">
      <c r="A131" s="45" t="s">
        <v>120</v>
      </c>
      <c r="B131" s="45" t="s">
        <v>193</v>
      </c>
      <c r="C131" s="43" t="s">
        <v>58</v>
      </c>
      <c r="D131" s="43" t="s">
        <v>59</v>
      </c>
      <c r="E131" s="44" t="s">
        <v>60</v>
      </c>
      <c r="F131" s="43" t="s">
        <v>198</v>
      </c>
      <c r="G131" s="109" t="s">
        <v>61</v>
      </c>
      <c r="H131" s="110"/>
      <c r="I131" s="33"/>
    </row>
    <row r="132" spans="1:11" s="31" customFormat="1" x14ac:dyDescent="0.25">
      <c r="A132" s="128" t="s">
        <v>207</v>
      </c>
      <c r="B132" s="128"/>
      <c r="C132" s="128"/>
      <c r="D132" s="128"/>
      <c r="E132" s="128"/>
      <c r="F132" s="128"/>
      <c r="G132" s="128"/>
      <c r="H132" s="128"/>
    </row>
    <row r="133" spans="1:11" s="31" customFormat="1" x14ac:dyDescent="0.25">
      <c r="A133" s="128" t="s">
        <v>162</v>
      </c>
      <c r="B133" s="128"/>
      <c r="C133" s="128"/>
      <c r="D133" s="128"/>
      <c r="E133" s="128"/>
      <c r="F133" s="128"/>
      <c r="G133" s="128"/>
      <c r="H133" s="128"/>
    </row>
    <row r="134" spans="1:11" s="34" customFormat="1" x14ac:dyDescent="0.25">
      <c r="A134" s="87" t="s">
        <v>163</v>
      </c>
      <c r="B134" s="88"/>
      <c r="C134" s="88"/>
      <c r="D134" s="88"/>
      <c r="E134" s="88"/>
      <c r="F134" s="88"/>
      <c r="G134" s="88"/>
      <c r="H134" s="89"/>
      <c r="I134" s="33"/>
    </row>
    <row r="135" spans="1:11" s="34" customFormat="1" x14ac:dyDescent="0.25">
      <c r="A135" s="42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10^ROW(INDIRECT("1:"&amp;LEN((LEFT(A134,SUM(LEN(A134)-LEN(SUBSTITUTE(A134,{"0","1","2"},""))))))))/10))*100+1&amp;""&amp;" &amp;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",LEN(A134))),LEN(A134)))))))/10))*100+1</f>
        <v>101 &amp; 301</v>
      </c>
      <c r="B135" s="42" t="s">
        <v>195</v>
      </c>
      <c r="C135" s="42" t="s">
        <v>164</v>
      </c>
      <c r="D135" s="42">
        <f>(43.62+4.64)*10.764</f>
        <v>519.47064</v>
      </c>
      <c r="E135" s="42">
        <v>0</v>
      </c>
      <c r="F135" s="42">
        <v>800</v>
      </c>
      <c r="G135" s="69" t="str">
        <f>A134</f>
        <v>1st &amp; 3rd Floor for Residential</v>
      </c>
      <c r="H135" s="70"/>
      <c r="I135" s="33">
        <f>(2.75*4.15+2.45*2.85+1.45*1.2+1.45*0.9+2.5*1.8+3.5*2.4+0.9*1.2+0.9*(2+1.75+1.8)+4.64*1)*10.764</f>
        <v>484.97201999999999</v>
      </c>
      <c r="J135" s="33">
        <f>D135-I135</f>
        <v>34.498620000000017</v>
      </c>
      <c r="K135" s="34">
        <f>F135/D135</f>
        <v>1.5400292882770044</v>
      </c>
    </row>
    <row r="136" spans="1:11" s="34" customFormat="1" x14ac:dyDescent="0.25">
      <c r="A136" s="42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&amp;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102 &amp; 302</v>
      </c>
      <c r="B136" s="42" t="s">
        <v>195</v>
      </c>
      <c r="C136" s="42" t="s">
        <v>165</v>
      </c>
      <c r="D136" s="42">
        <f>(28.83+5.09)*10.764</f>
        <v>365.11487999999997</v>
      </c>
      <c r="E136" s="42">
        <f>(5.41)*10.764</f>
        <v>58.233239999999995</v>
      </c>
      <c r="F136" s="42">
        <v>620</v>
      </c>
      <c r="G136" s="69" t="str">
        <f t="shared" ref="G136:G139" si="0">G135</f>
        <v>1st &amp; 3rd Floor for Residential</v>
      </c>
      <c r="H136" s="70"/>
      <c r="I136" s="33">
        <f>(4*2.75+2.45*3.15+1.2*2.1+2.5*1.85+1.2*0.9+2.54*1+2.55*1)*10.764</f>
        <v>344.79782999999998</v>
      </c>
      <c r="J136" s="33">
        <f>D136-I136</f>
        <v>20.317049999999995</v>
      </c>
      <c r="K136" s="34">
        <f t="shared" ref="K136:K199" si="1">F136/D136</f>
        <v>1.6980956788175821</v>
      </c>
    </row>
    <row r="137" spans="1:11" s="34" customFormat="1" x14ac:dyDescent="0.25">
      <c r="A137" s="42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&amp;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103 &amp; 303</v>
      </c>
      <c r="B137" s="42" t="s">
        <v>195</v>
      </c>
      <c r="C137" s="42" t="s">
        <v>164</v>
      </c>
      <c r="D137" s="42">
        <f>(42.21)*10.764</f>
        <v>454.34843999999998</v>
      </c>
      <c r="E137" s="42">
        <f>(2.78)*10.764</f>
        <v>29.923919999999995</v>
      </c>
      <c r="F137" s="42">
        <v>730</v>
      </c>
      <c r="G137" s="69" t="str">
        <f t="shared" si="0"/>
        <v>1st &amp; 3rd Floor for Residential</v>
      </c>
      <c r="H137" s="70"/>
      <c r="I137" s="33"/>
      <c r="K137" s="34">
        <f t="shared" si="1"/>
        <v>1.6066963936312844</v>
      </c>
    </row>
    <row r="138" spans="1:11" s="34" customFormat="1" x14ac:dyDescent="0.25">
      <c r="A138" s="42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&amp;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104 &amp; 304</v>
      </c>
      <c r="B138" s="42" t="s">
        <v>195</v>
      </c>
      <c r="C138" s="42" t="s">
        <v>164</v>
      </c>
      <c r="D138" s="42">
        <f>(42.69)*10.764</f>
        <v>459.51515999999992</v>
      </c>
      <c r="E138" s="42">
        <v>0</v>
      </c>
      <c r="F138" s="42">
        <v>710</v>
      </c>
      <c r="G138" s="69" t="str">
        <f t="shared" si="0"/>
        <v>1st &amp; 3rd Floor for Residential</v>
      </c>
      <c r="H138" s="70"/>
      <c r="I138" s="33"/>
      <c r="K138" s="34">
        <f t="shared" si="1"/>
        <v>1.5451068034403916</v>
      </c>
    </row>
    <row r="139" spans="1:11" s="34" customFormat="1" x14ac:dyDescent="0.25">
      <c r="A139" s="42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&amp;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105 &amp; 305</v>
      </c>
      <c r="B139" s="42" t="s">
        <v>195</v>
      </c>
      <c r="C139" s="42" t="s">
        <v>165</v>
      </c>
      <c r="D139" s="42">
        <f>(33.21+3.05)*10.764</f>
        <v>390.30263999999994</v>
      </c>
      <c r="E139" s="42">
        <v>0</v>
      </c>
      <c r="F139" s="42">
        <v>600</v>
      </c>
      <c r="G139" s="69" t="str">
        <f t="shared" si="0"/>
        <v>1st &amp; 3rd Floor for Residential</v>
      </c>
      <c r="H139" s="70"/>
      <c r="I139" s="33"/>
      <c r="K139" s="34">
        <f t="shared" si="1"/>
        <v>1.5372686180139599</v>
      </c>
    </row>
    <row r="140" spans="1:11" s="34" customFormat="1" x14ac:dyDescent="0.25">
      <c r="A140" s="87" t="s">
        <v>166</v>
      </c>
      <c r="B140" s="88"/>
      <c r="C140" s="88"/>
      <c r="D140" s="88"/>
      <c r="E140" s="88"/>
      <c r="F140" s="88"/>
      <c r="G140" s="88"/>
      <c r="H140" s="89"/>
      <c r="I140" s="33"/>
      <c r="K140" s="34" t="e">
        <f t="shared" si="1"/>
        <v>#DIV/0!</v>
      </c>
    </row>
    <row r="141" spans="1:11" s="34" customFormat="1" x14ac:dyDescent="0.25">
      <c r="A141" s="42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10^ROW(INDIRECT("1:"&amp;LEN((LEFT(A140,SUM(LEN(A140)-LEN(SUBSTITUTE(A140,{"0","1","2"},""))))))))/10))*100+1&amp;""&amp;" &amp;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201 &amp; 401</v>
      </c>
      <c r="B141" s="42" t="s">
        <v>195</v>
      </c>
      <c r="C141" s="42" t="s">
        <v>164</v>
      </c>
      <c r="D141" s="42">
        <f>(43.62+4.64)*10.764</f>
        <v>519.47064</v>
      </c>
      <c r="E141" s="42">
        <v>0</v>
      </c>
      <c r="F141" s="42">
        <v>800</v>
      </c>
      <c r="G141" s="69" t="str">
        <f>A140</f>
        <v>2nd &amp; 4th Floor</v>
      </c>
      <c r="H141" s="70"/>
      <c r="I141" s="33">
        <f>(2.75*4.15+2.45*2.85+1.45*1.2+1.45*0.9+2.5*1.8+3.5*2.4+0.9*1.2+0.9*(2+1.75+1.8)+4.64*1)*10.764</f>
        <v>484.97201999999999</v>
      </c>
      <c r="J141" s="33">
        <f>D141-I141</f>
        <v>34.498620000000017</v>
      </c>
      <c r="K141" s="34">
        <f t="shared" si="1"/>
        <v>1.5400292882770044</v>
      </c>
    </row>
    <row r="142" spans="1:11" s="34" customFormat="1" x14ac:dyDescent="0.25">
      <c r="A142" s="42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&amp;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202 &amp; 402</v>
      </c>
      <c r="B142" s="42" t="s">
        <v>195</v>
      </c>
      <c r="C142" s="42" t="s">
        <v>165</v>
      </c>
      <c r="D142" s="42">
        <f>(28.83+5.09)*10.764</f>
        <v>365.11487999999997</v>
      </c>
      <c r="E142" s="42">
        <v>0</v>
      </c>
      <c r="F142" s="42">
        <v>565</v>
      </c>
      <c r="G142" s="69" t="str">
        <f t="shared" ref="G142:G145" si="2">G141</f>
        <v>2nd &amp; 4th Floor</v>
      </c>
      <c r="H142" s="70"/>
      <c r="I142" s="33">
        <f>(4*2.75+2.45*3.15+1.2*2.1+2.5*1.85+1.2*0.9+2.54*1+2.55*1)*10.764</f>
        <v>344.79782999999998</v>
      </c>
      <c r="J142" s="33">
        <f>D142-I142</f>
        <v>20.317049999999995</v>
      </c>
      <c r="K142" s="34">
        <f t="shared" si="1"/>
        <v>1.5474581589224741</v>
      </c>
    </row>
    <row r="143" spans="1:11" s="34" customFormat="1" x14ac:dyDescent="0.25">
      <c r="A143" s="42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&amp;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203 &amp; 403</v>
      </c>
      <c r="B143" s="42" t="s">
        <v>195</v>
      </c>
      <c r="C143" s="42" t="s">
        <v>164</v>
      </c>
      <c r="D143" s="42">
        <f>(42.21)*10.764</f>
        <v>454.34843999999998</v>
      </c>
      <c r="E143" s="42">
        <v>0</v>
      </c>
      <c r="F143" s="42">
        <v>700</v>
      </c>
      <c r="G143" s="69" t="str">
        <f t="shared" si="2"/>
        <v>2nd &amp; 4th Floor</v>
      </c>
      <c r="H143" s="70"/>
      <c r="I143" s="33"/>
      <c r="K143" s="34">
        <f t="shared" si="1"/>
        <v>1.5406677747149302</v>
      </c>
    </row>
    <row r="144" spans="1:11" s="34" customFormat="1" x14ac:dyDescent="0.25">
      <c r="A144" s="42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&amp;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204 &amp; 404</v>
      </c>
      <c r="B144" s="42" t="s">
        <v>195</v>
      </c>
      <c r="C144" s="42" t="s">
        <v>164</v>
      </c>
      <c r="D144" s="42">
        <f>(42.69)*10.764</f>
        <v>459.51515999999992</v>
      </c>
      <c r="E144" s="42">
        <v>0</v>
      </c>
      <c r="F144" s="42">
        <v>710</v>
      </c>
      <c r="G144" s="69" t="str">
        <f t="shared" si="2"/>
        <v>2nd &amp; 4th Floor</v>
      </c>
      <c r="H144" s="70"/>
      <c r="I144" s="33"/>
      <c r="K144" s="34">
        <f t="shared" si="1"/>
        <v>1.5451068034403916</v>
      </c>
    </row>
    <row r="145" spans="1:14" s="34" customFormat="1" x14ac:dyDescent="0.25">
      <c r="A145" s="42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&amp;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205 &amp; 405</v>
      </c>
      <c r="B145" s="42" t="s">
        <v>195</v>
      </c>
      <c r="C145" s="42" t="s">
        <v>165</v>
      </c>
      <c r="D145" s="42">
        <f>(33.21+3.05)*10.764</f>
        <v>390.30263999999994</v>
      </c>
      <c r="E145" s="42">
        <v>0</v>
      </c>
      <c r="F145" s="42">
        <v>600</v>
      </c>
      <c r="G145" s="69" t="str">
        <f t="shared" si="2"/>
        <v>2nd &amp; 4th Floor</v>
      </c>
      <c r="H145" s="70"/>
      <c r="I145" s="33"/>
      <c r="K145" s="34">
        <f t="shared" si="1"/>
        <v>1.5372686180139599</v>
      </c>
    </row>
    <row r="146" spans="1:14" s="34" customFormat="1" x14ac:dyDescent="0.25">
      <c r="A146" s="85" t="s">
        <v>167</v>
      </c>
      <c r="B146" s="85"/>
      <c r="C146" s="85"/>
      <c r="D146" s="85"/>
      <c r="E146" s="85"/>
      <c r="F146" s="85"/>
      <c r="G146" s="85"/>
      <c r="H146" s="85"/>
      <c r="J146" s="33"/>
      <c r="K146" s="34" t="e">
        <f t="shared" si="1"/>
        <v>#DIV/0!</v>
      </c>
    </row>
    <row r="147" spans="1:14" s="34" customFormat="1" x14ac:dyDescent="0.25">
      <c r="A147" s="42">
        <v>501</v>
      </c>
      <c r="B147" s="42" t="s">
        <v>195</v>
      </c>
      <c r="C147" s="42" t="s">
        <v>164</v>
      </c>
      <c r="D147" s="42">
        <f>(43.62+4.64)*10.764</f>
        <v>519.47064</v>
      </c>
      <c r="E147" s="42">
        <v>0</v>
      </c>
      <c r="F147" s="42">
        <v>800</v>
      </c>
      <c r="G147" s="86" t="str">
        <f>A146</f>
        <v xml:space="preserve">5th Floor </v>
      </c>
      <c r="H147" s="86"/>
      <c r="I147" s="33"/>
      <c r="K147" s="34">
        <f t="shared" si="1"/>
        <v>1.5400292882770044</v>
      </c>
      <c r="L147" s="68"/>
      <c r="M147" s="68"/>
      <c r="N147" s="33"/>
    </row>
    <row r="148" spans="1:14" s="34" customFormat="1" x14ac:dyDescent="0.25">
      <c r="A148" s="42">
        <f t="shared" ref="A148:A151" si="3">A147+1</f>
        <v>502</v>
      </c>
      <c r="B148" s="42" t="s">
        <v>195</v>
      </c>
      <c r="C148" s="42" t="s">
        <v>165</v>
      </c>
      <c r="D148" s="42">
        <f>(28.83+5.09)*10.764</f>
        <v>365.11487999999997</v>
      </c>
      <c r="E148" s="42">
        <f>(5.41)*10.764</f>
        <v>58.233239999999995</v>
      </c>
      <c r="F148" s="42">
        <v>620</v>
      </c>
      <c r="G148" s="86" t="str">
        <f t="shared" ref="G148:G151" si="4">G147</f>
        <v xml:space="preserve">5th Floor </v>
      </c>
      <c r="H148" s="86"/>
      <c r="I148" s="33"/>
      <c r="K148" s="34">
        <f t="shared" si="1"/>
        <v>1.6980956788175821</v>
      </c>
      <c r="L148" s="68"/>
      <c r="M148" s="68"/>
      <c r="N148" s="33"/>
    </row>
    <row r="149" spans="1:14" s="34" customFormat="1" x14ac:dyDescent="0.25">
      <c r="A149" s="42">
        <f t="shared" si="3"/>
        <v>503</v>
      </c>
      <c r="B149" s="42" t="s">
        <v>195</v>
      </c>
      <c r="C149" s="42" t="s">
        <v>164</v>
      </c>
      <c r="D149" s="42">
        <f>(42.21)*10.764</f>
        <v>454.34843999999998</v>
      </c>
      <c r="E149" s="42">
        <f>(2.78)*10.764</f>
        <v>29.923919999999995</v>
      </c>
      <c r="F149" s="42">
        <v>730</v>
      </c>
      <c r="G149" s="86" t="str">
        <f t="shared" si="4"/>
        <v xml:space="preserve">5th Floor </v>
      </c>
      <c r="H149" s="86"/>
      <c r="I149" s="33">
        <f>3821000/F149</f>
        <v>5234.2465753424658</v>
      </c>
      <c r="J149" s="34" t="s">
        <v>200</v>
      </c>
      <c r="K149" s="34">
        <f t="shared" si="1"/>
        <v>1.6066963936312844</v>
      </c>
      <c r="L149" s="68"/>
      <c r="M149" s="68"/>
      <c r="N149" s="33"/>
    </row>
    <row r="150" spans="1:14" s="34" customFormat="1" x14ac:dyDescent="0.25">
      <c r="A150" s="42">
        <f t="shared" si="3"/>
        <v>504</v>
      </c>
      <c r="B150" s="42" t="s">
        <v>195</v>
      </c>
      <c r="C150" s="42" t="s">
        <v>164</v>
      </c>
      <c r="D150" s="42">
        <f>(42.69)*10.764</f>
        <v>459.51515999999992</v>
      </c>
      <c r="E150" s="42">
        <v>0</v>
      </c>
      <c r="F150" s="42">
        <v>710</v>
      </c>
      <c r="G150" s="86" t="str">
        <f t="shared" si="4"/>
        <v xml:space="preserve">5th Floor </v>
      </c>
      <c r="H150" s="86"/>
      <c r="I150" s="33"/>
      <c r="K150" s="34">
        <f t="shared" si="1"/>
        <v>1.5451068034403916</v>
      </c>
      <c r="L150" s="68"/>
      <c r="M150" s="68"/>
      <c r="N150" s="33"/>
    </row>
    <row r="151" spans="1:14" s="34" customFormat="1" x14ac:dyDescent="0.25">
      <c r="A151" s="42">
        <f t="shared" si="3"/>
        <v>505</v>
      </c>
      <c r="B151" s="42" t="s">
        <v>195</v>
      </c>
      <c r="C151" s="42" t="s">
        <v>165</v>
      </c>
      <c r="D151" s="42">
        <f>(33.21+3.05)*10.764</f>
        <v>390.30263999999994</v>
      </c>
      <c r="E151" s="42">
        <v>0</v>
      </c>
      <c r="F151" s="42">
        <v>600</v>
      </c>
      <c r="G151" s="86" t="str">
        <f t="shared" si="4"/>
        <v xml:space="preserve">5th Floor </v>
      </c>
      <c r="H151" s="86"/>
      <c r="I151" s="33"/>
      <c r="K151" s="34">
        <f t="shared" si="1"/>
        <v>1.5372686180139599</v>
      </c>
      <c r="L151" s="68"/>
      <c r="M151" s="68"/>
      <c r="N151" s="33"/>
    </row>
    <row r="152" spans="1:14" s="34" customFormat="1" x14ac:dyDescent="0.25">
      <c r="A152" s="85" t="s">
        <v>169</v>
      </c>
      <c r="B152" s="85"/>
      <c r="C152" s="85"/>
      <c r="D152" s="85"/>
      <c r="E152" s="85"/>
      <c r="F152" s="85"/>
      <c r="G152" s="85"/>
      <c r="H152" s="85"/>
      <c r="J152" s="33"/>
      <c r="K152" s="34" t="e">
        <f t="shared" si="1"/>
        <v>#DIV/0!</v>
      </c>
    </row>
    <row r="153" spans="1:14" s="34" customFormat="1" x14ac:dyDescent="0.25">
      <c r="A153" s="42">
        <v>601</v>
      </c>
      <c r="B153" s="42" t="s">
        <v>195</v>
      </c>
      <c r="C153" s="42" t="s">
        <v>164</v>
      </c>
      <c r="D153" s="42">
        <f>(43.62+4.64)*10.764</f>
        <v>519.47064</v>
      </c>
      <c r="E153" s="42">
        <v>0</v>
      </c>
      <c r="F153" s="42">
        <v>800</v>
      </c>
      <c r="G153" s="86" t="str">
        <f>A152</f>
        <v>6th Floor (Part Common Terrace)</v>
      </c>
      <c r="H153" s="86"/>
      <c r="I153" s="33"/>
      <c r="K153" s="34">
        <f t="shared" si="1"/>
        <v>1.5400292882770044</v>
      </c>
      <c r="L153" s="68"/>
      <c r="M153" s="68"/>
      <c r="N153" s="33"/>
    </row>
    <row r="154" spans="1:14" s="34" customFormat="1" x14ac:dyDescent="0.25">
      <c r="A154" s="42">
        <f t="shared" ref="A154:A157" si="5">A153+1</f>
        <v>602</v>
      </c>
      <c r="B154" s="42" t="s">
        <v>195</v>
      </c>
      <c r="C154" s="42" t="s">
        <v>165</v>
      </c>
      <c r="D154" s="42">
        <f>(28.83+5.09)*10.764</f>
        <v>365.11487999999997</v>
      </c>
      <c r="E154" s="42">
        <f>(5.41)*10.764</f>
        <v>58.233239999999995</v>
      </c>
      <c r="F154" s="42">
        <v>620</v>
      </c>
      <c r="G154" s="69" t="str">
        <f t="shared" ref="G154:G157" si="6">G153</f>
        <v>6th Floor (Part Common Terrace)</v>
      </c>
      <c r="H154" s="70"/>
      <c r="I154" s="33"/>
      <c r="K154" s="34">
        <f t="shared" si="1"/>
        <v>1.6980956788175821</v>
      </c>
      <c r="L154" s="68"/>
      <c r="M154" s="68"/>
      <c r="N154" s="33"/>
    </row>
    <row r="155" spans="1:14" s="34" customFormat="1" x14ac:dyDescent="0.25">
      <c r="A155" s="42">
        <f t="shared" si="5"/>
        <v>603</v>
      </c>
      <c r="B155" s="42" t="s">
        <v>195</v>
      </c>
      <c r="C155" s="42" t="s">
        <v>164</v>
      </c>
      <c r="D155" s="42">
        <f>(42.21)*10.764</f>
        <v>454.34843999999998</v>
      </c>
      <c r="E155" s="42">
        <f>(2.78)*10.764</f>
        <v>29.923919999999995</v>
      </c>
      <c r="F155" s="42">
        <v>730</v>
      </c>
      <c r="G155" s="69" t="str">
        <f t="shared" si="6"/>
        <v>6th Floor (Part Common Terrace)</v>
      </c>
      <c r="H155" s="70"/>
      <c r="I155" s="33"/>
      <c r="K155" s="34">
        <f t="shared" si="1"/>
        <v>1.6066963936312844</v>
      </c>
      <c r="L155" s="68"/>
      <c r="M155" s="68"/>
      <c r="N155" s="33"/>
    </row>
    <row r="156" spans="1:14" s="34" customFormat="1" x14ac:dyDescent="0.25">
      <c r="A156" s="42">
        <f t="shared" si="5"/>
        <v>604</v>
      </c>
      <c r="B156" s="42" t="s">
        <v>195</v>
      </c>
      <c r="C156" s="42" t="s">
        <v>164</v>
      </c>
      <c r="D156" s="42">
        <f>(42.69)*10.764</f>
        <v>459.51515999999992</v>
      </c>
      <c r="E156" s="42">
        <v>0</v>
      </c>
      <c r="F156" s="42">
        <v>710</v>
      </c>
      <c r="G156" s="69" t="str">
        <f t="shared" si="6"/>
        <v>6th Floor (Part Common Terrace)</v>
      </c>
      <c r="H156" s="70"/>
      <c r="I156" s="33">
        <f>4000000/F156</f>
        <v>5633.8028169014087</v>
      </c>
      <c r="K156" s="34">
        <f t="shared" si="1"/>
        <v>1.5451068034403916</v>
      </c>
      <c r="L156" s="68"/>
      <c r="M156" s="68"/>
      <c r="N156" s="33"/>
    </row>
    <row r="157" spans="1:14" s="34" customFormat="1" x14ac:dyDescent="0.25">
      <c r="A157" s="42">
        <f t="shared" si="5"/>
        <v>605</v>
      </c>
      <c r="B157" s="42" t="s">
        <v>196</v>
      </c>
      <c r="C157" s="69" t="s">
        <v>168</v>
      </c>
      <c r="D157" s="84"/>
      <c r="E157" s="84"/>
      <c r="F157" s="70"/>
      <c r="G157" s="69" t="str">
        <f t="shared" si="6"/>
        <v>6th Floor (Part Common Terrace)</v>
      </c>
      <c r="H157" s="70"/>
      <c r="I157" s="33"/>
      <c r="K157" s="34" t="e">
        <f t="shared" si="1"/>
        <v>#DIV/0!</v>
      </c>
      <c r="L157" s="68"/>
      <c r="M157" s="68"/>
      <c r="N157" s="33"/>
    </row>
    <row r="158" spans="1:14" s="31" customFormat="1" x14ac:dyDescent="0.25">
      <c r="A158" s="128" t="s">
        <v>210</v>
      </c>
      <c r="B158" s="128"/>
      <c r="C158" s="128"/>
      <c r="D158" s="128"/>
      <c r="E158" s="128"/>
      <c r="F158" s="128"/>
      <c r="G158" s="128"/>
      <c r="H158" s="128"/>
      <c r="K158" s="34" t="e">
        <f t="shared" si="1"/>
        <v>#DIV/0!</v>
      </c>
    </row>
    <row r="159" spans="1:14" s="31" customFormat="1" x14ac:dyDescent="0.25">
      <c r="A159" s="128" t="s">
        <v>162</v>
      </c>
      <c r="B159" s="128"/>
      <c r="C159" s="128"/>
      <c r="D159" s="128"/>
      <c r="E159" s="128"/>
      <c r="F159" s="128"/>
      <c r="G159" s="128"/>
      <c r="H159" s="128"/>
      <c r="K159" s="34" t="e">
        <f t="shared" si="1"/>
        <v>#DIV/0!</v>
      </c>
    </row>
    <row r="160" spans="1:14" s="34" customFormat="1" x14ac:dyDescent="0.25">
      <c r="A160" s="87" t="s">
        <v>163</v>
      </c>
      <c r="B160" s="88"/>
      <c r="C160" s="88"/>
      <c r="D160" s="88"/>
      <c r="E160" s="88"/>
      <c r="F160" s="88"/>
      <c r="G160" s="88"/>
      <c r="H160" s="89"/>
      <c r="I160" s="33"/>
      <c r="K160" s="34" t="e">
        <f t="shared" si="1"/>
        <v>#DIV/0!</v>
      </c>
    </row>
    <row r="161" spans="1:11" s="34" customFormat="1" x14ac:dyDescent="0.25">
      <c r="A161" s="42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10^ROW(INDIRECT("1:"&amp;LEN((LEFT(A160,SUM(LEN(A160)-LEN(SUBSTITUTE(A160,{"0","1","2"},""))))))))/10))*100+1&amp;""&amp;" &amp;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101 &amp; 301</v>
      </c>
      <c r="B161" s="42" t="s">
        <v>195</v>
      </c>
      <c r="C161" s="42" t="s">
        <v>165</v>
      </c>
      <c r="D161" s="42">
        <f>(39.29+7.8)*10.764</f>
        <v>506.87675999999993</v>
      </c>
      <c r="E161" s="42">
        <f>(2.19)*10.764</f>
        <v>23.573159999999998</v>
      </c>
      <c r="F161" s="42">
        <v>805</v>
      </c>
      <c r="G161" s="69" t="str">
        <f>A160</f>
        <v>1st &amp; 3rd Floor for Residential</v>
      </c>
      <c r="H161" s="70"/>
      <c r="I161" s="33">
        <f>(2.75*4.15+2.45*2.85+1.45*1.2+1.45*0.9+2.5*1.8+3.5*2.4+0.9*1.2+0.9*(2+1.75+1.8)+4.64*1)*10.764</f>
        <v>484.97201999999999</v>
      </c>
      <c r="J161" s="33">
        <f>D161-I161</f>
        <v>21.904739999999947</v>
      </c>
      <c r="K161" s="34">
        <f t="shared" si="1"/>
        <v>1.5881572475329113</v>
      </c>
    </row>
    <row r="162" spans="1:11" s="34" customFormat="1" x14ac:dyDescent="0.25">
      <c r="A162" s="42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&amp;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102 &amp; 302</v>
      </c>
      <c r="B162" s="42" t="s">
        <v>195</v>
      </c>
      <c r="C162" s="42" t="s">
        <v>165</v>
      </c>
      <c r="D162" s="42">
        <f>(32.07+5.28)*10.764</f>
        <v>402.03539999999998</v>
      </c>
      <c r="E162" s="42">
        <f>(3.21)*10.764</f>
        <v>34.552439999999997</v>
      </c>
      <c r="F162" s="42">
        <v>655</v>
      </c>
      <c r="G162" s="69" t="str">
        <f t="shared" ref="G162:G169" si="7">G161</f>
        <v>1st &amp; 3rd Floor for Residential</v>
      </c>
      <c r="H162" s="70"/>
      <c r="I162" s="33">
        <f>(4*2.75+2.45*3.15+1.2*2.1+2.5*1.85+1.2*0.9+2.54*1+2.55*1)*10.764</f>
        <v>344.79782999999998</v>
      </c>
      <c r="J162" s="33">
        <f>D162-I162</f>
        <v>57.237570000000005</v>
      </c>
      <c r="K162" s="34">
        <f t="shared" si="1"/>
        <v>1.6292097661051739</v>
      </c>
    </row>
    <row r="163" spans="1:11" s="34" customFormat="1" x14ac:dyDescent="0.25">
      <c r="A163" s="42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&amp;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103 &amp; 303</v>
      </c>
      <c r="B163" s="42" t="s">
        <v>195</v>
      </c>
      <c r="C163" s="42" t="s">
        <v>165</v>
      </c>
      <c r="D163" s="42">
        <f>(39.1+7.38)*10.764</f>
        <v>500.31072</v>
      </c>
      <c r="E163" s="42">
        <v>0</v>
      </c>
      <c r="F163" s="42">
        <v>770</v>
      </c>
      <c r="G163" s="69" t="str">
        <f t="shared" si="7"/>
        <v>1st &amp; 3rd Floor for Residential</v>
      </c>
      <c r="H163" s="70"/>
      <c r="I163" s="33"/>
      <c r="K163" s="34">
        <f t="shared" si="1"/>
        <v>1.5390435767596584</v>
      </c>
    </row>
    <row r="164" spans="1:11" s="34" customFormat="1" x14ac:dyDescent="0.25">
      <c r="A164" s="42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&amp;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104 &amp; 304</v>
      </c>
      <c r="B164" s="42" t="s">
        <v>195</v>
      </c>
      <c r="C164" s="42" t="s">
        <v>165</v>
      </c>
      <c r="D164" s="42">
        <f>(28.25+5.83)*10.764</f>
        <v>366.83711999999997</v>
      </c>
      <c r="E164" s="42">
        <v>0</v>
      </c>
      <c r="F164" s="42">
        <v>565</v>
      </c>
      <c r="G164" s="69" t="str">
        <f t="shared" si="7"/>
        <v>1st &amp; 3rd Floor for Residential</v>
      </c>
      <c r="H164" s="70"/>
      <c r="I164" s="33"/>
      <c r="K164" s="34">
        <f t="shared" si="1"/>
        <v>1.5401930971434954</v>
      </c>
    </row>
    <row r="165" spans="1:11" s="34" customFormat="1" x14ac:dyDescent="0.25">
      <c r="A165" s="42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&amp;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105 &amp; 305</v>
      </c>
      <c r="B165" s="42" t="s">
        <v>194</v>
      </c>
      <c r="C165" s="42" t="s">
        <v>165</v>
      </c>
      <c r="D165" s="42">
        <f>(32.33+5.22)*10.764</f>
        <v>404.18819999999994</v>
      </c>
      <c r="E165" s="42">
        <v>0</v>
      </c>
      <c r="F165" s="42">
        <v>625</v>
      </c>
      <c r="G165" s="69" t="str">
        <f t="shared" si="7"/>
        <v>1st &amp; 3rd Floor for Residential</v>
      </c>
      <c r="H165" s="70"/>
      <c r="I165" s="33"/>
      <c r="K165" s="34">
        <f t="shared" si="1"/>
        <v>1.5463093677648188</v>
      </c>
    </row>
    <row r="166" spans="1:11" s="34" customFormat="1" x14ac:dyDescent="0.25">
      <c r="A166" s="42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&amp;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106 &amp; 306</v>
      </c>
      <c r="B166" s="42" t="s">
        <v>194</v>
      </c>
      <c r="C166" s="42" t="s">
        <v>165</v>
      </c>
      <c r="D166" s="42">
        <f>(32.33+5.27)*10.764</f>
        <v>404.7263999999999</v>
      </c>
      <c r="E166" s="42">
        <v>0</v>
      </c>
      <c r="F166" s="42">
        <v>625</v>
      </c>
      <c r="G166" s="69" t="str">
        <f t="shared" si="7"/>
        <v>1st &amp; 3rd Floor for Residential</v>
      </c>
      <c r="H166" s="70"/>
      <c r="I166" s="33"/>
      <c r="K166" s="34">
        <f t="shared" si="1"/>
        <v>1.5442531053076849</v>
      </c>
    </row>
    <row r="167" spans="1:11" s="34" customFormat="1" x14ac:dyDescent="0.25">
      <c r="A167" s="42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&amp;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107 &amp; 307</v>
      </c>
      <c r="B167" s="42" t="s">
        <v>194</v>
      </c>
      <c r="C167" s="42" t="s">
        <v>165</v>
      </c>
      <c r="D167" s="42">
        <f>(32.08)*10.764</f>
        <v>345.30911999999995</v>
      </c>
      <c r="E167" s="42">
        <v>0</v>
      </c>
      <c r="F167" s="42">
        <v>530</v>
      </c>
      <c r="G167" s="69" t="str">
        <f t="shared" si="7"/>
        <v>1st &amp; 3rd Floor for Residential</v>
      </c>
      <c r="H167" s="70"/>
      <c r="I167" s="33"/>
      <c r="K167" s="34">
        <f t="shared" si="1"/>
        <v>1.5348566524973337</v>
      </c>
    </row>
    <row r="168" spans="1:11" s="34" customFormat="1" x14ac:dyDescent="0.25">
      <c r="A168" s="42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&amp;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108 &amp; 308</v>
      </c>
      <c r="B168" s="42" t="s">
        <v>195</v>
      </c>
      <c r="C168" s="42" t="s">
        <v>165</v>
      </c>
      <c r="D168" s="42">
        <f>(29.93+4.28)*10.764</f>
        <v>368.23643999999996</v>
      </c>
      <c r="E168" s="42">
        <v>0</v>
      </c>
      <c r="F168" s="42">
        <v>565</v>
      </c>
      <c r="G168" s="69" t="str">
        <f t="shared" si="7"/>
        <v>1st &amp; 3rd Floor for Residential</v>
      </c>
      <c r="H168" s="70"/>
      <c r="I168" s="33"/>
      <c r="K168" s="34">
        <f t="shared" si="1"/>
        <v>1.5343402733309068</v>
      </c>
    </row>
    <row r="169" spans="1:11" s="34" customFormat="1" x14ac:dyDescent="0.25">
      <c r="A169" s="42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&amp;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109 &amp; 309</v>
      </c>
      <c r="B169" s="42" t="s">
        <v>195</v>
      </c>
      <c r="C169" s="42" t="s">
        <v>165</v>
      </c>
      <c r="D169" s="42">
        <f>(37.72+5.3)*10.764</f>
        <v>463.06727999999993</v>
      </c>
      <c r="E169" s="42">
        <f>(5.89)*10.764</f>
        <v>63.399959999999993</v>
      </c>
      <c r="F169" s="42">
        <v>775</v>
      </c>
      <c r="G169" s="69" t="str">
        <f t="shared" si="7"/>
        <v>1st &amp; 3rd Floor for Residential</v>
      </c>
      <c r="H169" s="70"/>
      <c r="I169" s="33"/>
      <c r="K169" s="34">
        <f t="shared" si="1"/>
        <v>1.6736228912567523</v>
      </c>
    </row>
    <row r="170" spans="1:11" s="34" customFormat="1" x14ac:dyDescent="0.25">
      <c r="A170" s="87" t="s">
        <v>166</v>
      </c>
      <c r="B170" s="88"/>
      <c r="C170" s="88"/>
      <c r="D170" s="88"/>
      <c r="E170" s="88"/>
      <c r="F170" s="88"/>
      <c r="G170" s="88"/>
      <c r="H170" s="89"/>
      <c r="I170" s="33"/>
      <c r="K170" s="34" t="e">
        <f t="shared" si="1"/>
        <v>#DIV/0!</v>
      </c>
    </row>
    <row r="171" spans="1:11" s="34" customFormat="1" x14ac:dyDescent="0.25">
      <c r="A171" s="42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&amp;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201 &amp; 401</v>
      </c>
      <c r="B171" s="42" t="s">
        <v>195</v>
      </c>
      <c r="C171" s="42" t="s">
        <v>165</v>
      </c>
      <c r="D171" s="42">
        <f>(39.29+7.8)*10.764</f>
        <v>506.87675999999993</v>
      </c>
      <c r="E171" s="42">
        <v>0</v>
      </c>
      <c r="F171" s="42">
        <v>780</v>
      </c>
      <c r="G171" s="69" t="str">
        <f>A170</f>
        <v>2nd &amp; 4th Floor</v>
      </c>
      <c r="H171" s="70"/>
      <c r="I171" s="33">
        <f>(2.75*4.15+2.45*2.85+1.45*1.2+1.45*0.9+2.5*1.8+3.5*2.4+0.9*1.2+0.9*(2+1.75+1.8)+4.64*1)*10.764</f>
        <v>484.97201999999999</v>
      </c>
      <c r="J171" s="33">
        <f>D171-I171</f>
        <v>21.904739999999947</v>
      </c>
      <c r="K171" s="34">
        <f t="shared" si="1"/>
        <v>1.5388355938828209</v>
      </c>
    </row>
    <row r="172" spans="1:11" s="34" customFormat="1" x14ac:dyDescent="0.25">
      <c r="A172" s="42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&amp;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202 &amp; 402</v>
      </c>
      <c r="B172" s="42" t="s">
        <v>195</v>
      </c>
      <c r="C172" s="42" t="s">
        <v>165</v>
      </c>
      <c r="D172" s="42">
        <f>(32.07+5.28)*10.764</f>
        <v>402.03539999999998</v>
      </c>
      <c r="E172" s="42">
        <v>0</v>
      </c>
      <c r="F172" s="42">
        <v>620</v>
      </c>
      <c r="G172" s="69" t="str">
        <f t="shared" ref="G172:G179" si="8">G171</f>
        <v>2nd &amp; 4th Floor</v>
      </c>
      <c r="H172" s="70"/>
      <c r="I172" s="33">
        <f>(4*2.75+2.45*3.15+1.2*2.1+2.5*1.85+1.2*0.9+2.54*1+2.55*1)*10.764</f>
        <v>344.79782999999998</v>
      </c>
      <c r="J172" s="33">
        <f>D172-I172</f>
        <v>57.237570000000005</v>
      </c>
      <c r="K172" s="34">
        <f t="shared" si="1"/>
        <v>1.5421527557026073</v>
      </c>
    </row>
    <row r="173" spans="1:11" s="34" customFormat="1" x14ac:dyDescent="0.25">
      <c r="A173" s="42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&amp;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203 &amp; 403</v>
      </c>
      <c r="B173" s="42" t="s">
        <v>195</v>
      </c>
      <c r="C173" s="42" t="s">
        <v>165</v>
      </c>
      <c r="D173" s="42">
        <f>(39.1+7.38)*10.764</f>
        <v>500.31072</v>
      </c>
      <c r="E173" s="42">
        <v>0</v>
      </c>
      <c r="F173" s="42">
        <v>770</v>
      </c>
      <c r="G173" s="69" t="str">
        <f t="shared" si="8"/>
        <v>2nd &amp; 4th Floor</v>
      </c>
      <c r="H173" s="70"/>
      <c r="I173" s="33"/>
      <c r="K173" s="34">
        <f t="shared" si="1"/>
        <v>1.5390435767596584</v>
      </c>
    </row>
    <row r="174" spans="1:11" s="34" customFormat="1" x14ac:dyDescent="0.25">
      <c r="A174" s="42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204 &amp; 404</v>
      </c>
      <c r="B174" s="42" t="s">
        <v>195</v>
      </c>
      <c r="C174" s="42" t="s">
        <v>165</v>
      </c>
      <c r="D174" s="42">
        <f>(28.25+5.83)*10.764</f>
        <v>366.83711999999997</v>
      </c>
      <c r="E174" s="42">
        <v>0</v>
      </c>
      <c r="F174" s="42">
        <v>565</v>
      </c>
      <c r="G174" s="69" t="str">
        <f t="shared" si="8"/>
        <v>2nd &amp; 4th Floor</v>
      </c>
      <c r="H174" s="70"/>
      <c r="I174" s="33"/>
      <c r="K174" s="34">
        <f t="shared" si="1"/>
        <v>1.5401930971434954</v>
      </c>
    </row>
    <row r="175" spans="1:11" s="34" customFormat="1" x14ac:dyDescent="0.25">
      <c r="A175" s="42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205 &amp; 405</v>
      </c>
      <c r="B175" s="42" t="s">
        <v>194</v>
      </c>
      <c r="C175" s="42" t="s">
        <v>165</v>
      </c>
      <c r="D175" s="42">
        <f>(32.33+5.22)*10.764</f>
        <v>404.18819999999994</v>
      </c>
      <c r="E175" s="42">
        <v>0</v>
      </c>
      <c r="F175" s="42">
        <v>620</v>
      </c>
      <c r="G175" s="69" t="str">
        <f t="shared" si="8"/>
        <v>2nd &amp; 4th Floor</v>
      </c>
      <c r="H175" s="70"/>
      <c r="I175" s="33"/>
      <c r="K175" s="34">
        <f t="shared" si="1"/>
        <v>1.5339388928227002</v>
      </c>
    </row>
    <row r="176" spans="1:11" s="34" customFormat="1" x14ac:dyDescent="0.25">
      <c r="A176" s="42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206 &amp; 406</v>
      </c>
      <c r="B176" s="42" t="s">
        <v>194</v>
      </c>
      <c r="C176" s="42" t="s">
        <v>165</v>
      </c>
      <c r="D176" s="42">
        <f>(32.33+5.27)*10.764</f>
        <v>404.7263999999999</v>
      </c>
      <c r="E176" s="42">
        <f>(3.47)*10.764</f>
        <v>37.351080000000003</v>
      </c>
      <c r="F176" s="42">
        <v>660</v>
      </c>
      <c r="G176" s="69" t="str">
        <f t="shared" si="8"/>
        <v>2nd &amp; 4th Floor</v>
      </c>
      <c r="H176" s="70"/>
      <c r="I176" s="33"/>
      <c r="K176" s="34">
        <f t="shared" si="1"/>
        <v>1.6307312792049151</v>
      </c>
    </row>
    <row r="177" spans="1:14" s="34" customFormat="1" x14ac:dyDescent="0.25">
      <c r="A177" s="42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207 &amp; 407</v>
      </c>
      <c r="B177" s="42" t="s">
        <v>194</v>
      </c>
      <c r="C177" s="42" t="s">
        <v>165</v>
      </c>
      <c r="D177" s="42">
        <f>(32.08)*10.764</f>
        <v>345.30911999999995</v>
      </c>
      <c r="E177" s="42">
        <f>(3.47)*10.764</f>
        <v>37.351080000000003</v>
      </c>
      <c r="F177" s="42">
        <v>570</v>
      </c>
      <c r="G177" s="69" t="str">
        <f t="shared" si="8"/>
        <v>2nd &amp; 4th Floor</v>
      </c>
      <c r="H177" s="70"/>
      <c r="I177" s="33"/>
      <c r="K177" s="34">
        <f t="shared" si="1"/>
        <v>1.6506948904216607</v>
      </c>
    </row>
    <row r="178" spans="1:14" s="34" customFormat="1" x14ac:dyDescent="0.25">
      <c r="A178" s="42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208 &amp; 408</v>
      </c>
      <c r="B178" s="42" t="s">
        <v>195</v>
      </c>
      <c r="C178" s="42" t="s">
        <v>165</v>
      </c>
      <c r="D178" s="42">
        <f>(29.93+4.28)*10.764</f>
        <v>368.23643999999996</v>
      </c>
      <c r="E178" s="42">
        <v>0</v>
      </c>
      <c r="F178" s="42">
        <v>565</v>
      </c>
      <c r="G178" s="69" t="str">
        <f t="shared" si="8"/>
        <v>2nd &amp; 4th Floor</v>
      </c>
      <c r="H178" s="70"/>
      <c r="I178" s="33"/>
      <c r="K178" s="34">
        <f t="shared" si="1"/>
        <v>1.5343402733309068</v>
      </c>
    </row>
    <row r="179" spans="1:14" s="34" customFormat="1" x14ac:dyDescent="0.25">
      <c r="A179" s="42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209 &amp; 409</v>
      </c>
      <c r="B179" s="42" t="s">
        <v>195</v>
      </c>
      <c r="C179" s="42" t="s">
        <v>165</v>
      </c>
      <c r="D179" s="42">
        <f>(37.72+5.3)*10.764</f>
        <v>463.06727999999993</v>
      </c>
      <c r="E179" s="42">
        <v>0</v>
      </c>
      <c r="F179" s="42">
        <v>715</v>
      </c>
      <c r="G179" s="69" t="str">
        <f t="shared" si="8"/>
        <v>2nd &amp; 4th Floor</v>
      </c>
      <c r="H179" s="70"/>
      <c r="I179" s="33"/>
      <c r="K179" s="34">
        <f t="shared" si="1"/>
        <v>1.5440520867723586</v>
      </c>
    </row>
    <row r="180" spans="1:14" s="34" customFormat="1" x14ac:dyDescent="0.25">
      <c r="A180" s="87" t="s">
        <v>167</v>
      </c>
      <c r="B180" s="88"/>
      <c r="C180" s="88"/>
      <c r="D180" s="88"/>
      <c r="E180" s="88"/>
      <c r="F180" s="88"/>
      <c r="G180" s="88"/>
      <c r="H180" s="89"/>
      <c r="J180" s="33"/>
      <c r="K180" s="34" t="e">
        <f t="shared" si="1"/>
        <v>#DIV/0!</v>
      </c>
    </row>
    <row r="181" spans="1:14" s="34" customFormat="1" x14ac:dyDescent="0.25">
      <c r="A181" s="42">
        <v>501</v>
      </c>
      <c r="B181" s="42" t="s">
        <v>195</v>
      </c>
      <c r="C181" s="42" t="s">
        <v>165</v>
      </c>
      <c r="D181" s="42">
        <f>(39.29+7.8)*10.764</f>
        <v>506.87675999999993</v>
      </c>
      <c r="E181" s="42">
        <f>(2.19)*10.764</f>
        <v>23.573159999999998</v>
      </c>
      <c r="F181" s="42">
        <v>805</v>
      </c>
      <c r="G181" s="69" t="str">
        <f>A180</f>
        <v xml:space="preserve">5th Floor </v>
      </c>
      <c r="H181" s="70"/>
      <c r="I181" s="33"/>
      <c r="K181" s="34">
        <f t="shared" si="1"/>
        <v>1.5881572475329113</v>
      </c>
      <c r="L181" s="68"/>
      <c r="M181" s="68"/>
      <c r="N181" s="33"/>
    </row>
    <row r="182" spans="1:14" s="34" customFormat="1" x14ac:dyDescent="0.25">
      <c r="A182" s="42">
        <f t="shared" ref="A182:A189" si="9">A181+1</f>
        <v>502</v>
      </c>
      <c r="B182" s="42" t="s">
        <v>195</v>
      </c>
      <c r="C182" s="42" t="s">
        <v>165</v>
      </c>
      <c r="D182" s="42">
        <f>(32.07+5.28)*10.764</f>
        <v>402.03539999999998</v>
      </c>
      <c r="E182" s="42">
        <f>(3.21)*10.764</f>
        <v>34.552439999999997</v>
      </c>
      <c r="F182" s="42">
        <v>655</v>
      </c>
      <c r="G182" s="69" t="str">
        <f t="shared" ref="G182:G189" si="10">G181</f>
        <v xml:space="preserve">5th Floor </v>
      </c>
      <c r="H182" s="70"/>
      <c r="I182" s="33"/>
      <c r="K182" s="34">
        <f t="shared" si="1"/>
        <v>1.6292097661051739</v>
      </c>
      <c r="L182" s="68"/>
      <c r="M182" s="68"/>
      <c r="N182" s="33"/>
    </row>
    <row r="183" spans="1:14" s="34" customFormat="1" x14ac:dyDescent="0.25">
      <c r="A183" s="42">
        <f t="shared" si="9"/>
        <v>503</v>
      </c>
      <c r="B183" s="42" t="s">
        <v>195</v>
      </c>
      <c r="C183" s="42" t="s">
        <v>165</v>
      </c>
      <c r="D183" s="42">
        <f>(39.1+7.38)*10.764</f>
        <v>500.31072</v>
      </c>
      <c r="E183" s="42">
        <v>0</v>
      </c>
      <c r="F183" s="42">
        <v>770</v>
      </c>
      <c r="G183" s="69" t="str">
        <f t="shared" si="10"/>
        <v xml:space="preserve">5th Floor </v>
      </c>
      <c r="H183" s="70"/>
      <c r="I183" s="33"/>
      <c r="K183" s="34">
        <f t="shared" si="1"/>
        <v>1.5390435767596584</v>
      </c>
      <c r="L183" s="68"/>
      <c r="M183" s="68"/>
      <c r="N183" s="33"/>
    </row>
    <row r="184" spans="1:14" s="34" customFormat="1" x14ac:dyDescent="0.25">
      <c r="A184" s="42">
        <f t="shared" si="9"/>
        <v>504</v>
      </c>
      <c r="B184" s="42" t="s">
        <v>195</v>
      </c>
      <c r="C184" s="42" t="s">
        <v>165</v>
      </c>
      <c r="D184" s="42">
        <f>(28.25+5.83)*10.764</f>
        <v>366.83711999999997</v>
      </c>
      <c r="E184" s="42">
        <v>0</v>
      </c>
      <c r="F184" s="42">
        <v>565</v>
      </c>
      <c r="G184" s="69" t="str">
        <f t="shared" si="10"/>
        <v xml:space="preserve">5th Floor </v>
      </c>
      <c r="H184" s="70"/>
      <c r="I184" s="33"/>
      <c r="K184" s="34">
        <f t="shared" si="1"/>
        <v>1.5401930971434954</v>
      </c>
      <c r="L184" s="68"/>
      <c r="M184" s="68"/>
      <c r="N184" s="33"/>
    </row>
    <row r="185" spans="1:14" s="34" customFormat="1" x14ac:dyDescent="0.25">
      <c r="A185" s="42">
        <f t="shared" si="9"/>
        <v>505</v>
      </c>
      <c r="B185" s="42" t="s">
        <v>195</v>
      </c>
      <c r="C185" s="42" t="s">
        <v>165</v>
      </c>
      <c r="D185" s="42">
        <f>(32.33+5.22)*10.764</f>
        <v>404.18819999999994</v>
      </c>
      <c r="E185" s="42">
        <v>0</v>
      </c>
      <c r="F185" s="42">
        <v>620</v>
      </c>
      <c r="G185" s="69" t="str">
        <f t="shared" si="10"/>
        <v xml:space="preserve">5th Floor </v>
      </c>
      <c r="H185" s="70"/>
      <c r="I185" s="33"/>
      <c r="K185" s="34">
        <f t="shared" si="1"/>
        <v>1.5339388928227002</v>
      </c>
      <c r="L185" s="68"/>
      <c r="M185" s="68"/>
      <c r="N185" s="33"/>
    </row>
    <row r="186" spans="1:14" s="34" customFormat="1" x14ac:dyDescent="0.25">
      <c r="A186" s="42">
        <f t="shared" si="9"/>
        <v>506</v>
      </c>
      <c r="B186" s="42" t="s">
        <v>195</v>
      </c>
      <c r="C186" s="42" t="s">
        <v>165</v>
      </c>
      <c r="D186" s="42">
        <f>(32.33+5.27)*10.764</f>
        <v>404.7263999999999</v>
      </c>
      <c r="E186" s="42">
        <v>0</v>
      </c>
      <c r="F186" s="42">
        <v>625</v>
      </c>
      <c r="G186" s="69" t="str">
        <f t="shared" si="10"/>
        <v xml:space="preserve">5th Floor </v>
      </c>
      <c r="H186" s="70"/>
      <c r="I186" s="33">
        <f>3007000/F186</f>
        <v>4811.2</v>
      </c>
      <c r="J186" s="34" t="s">
        <v>200</v>
      </c>
      <c r="K186" s="34">
        <f t="shared" si="1"/>
        <v>1.5442531053076849</v>
      </c>
      <c r="L186" s="68"/>
      <c r="M186" s="68"/>
      <c r="N186" s="33"/>
    </row>
    <row r="187" spans="1:14" s="34" customFormat="1" x14ac:dyDescent="0.25">
      <c r="A187" s="42">
        <f t="shared" si="9"/>
        <v>507</v>
      </c>
      <c r="B187" s="42" t="s">
        <v>195</v>
      </c>
      <c r="C187" s="42" t="s">
        <v>165</v>
      </c>
      <c r="D187" s="42">
        <f>(32.08)*10.764</f>
        <v>345.30911999999995</v>
      </c>
      <c r="E187" s="42">
        <v>0</v>
      </c>
      <c r="F187" s="42">
        <v>530</v>
      </c>
      <c r="G187" s="69" t="str">
        <f t="shared" si="10"/>
        <v xml:space="preserve">5th Floor </v>
      </c>
      <c r="H187" s="70"/>
      <c r="I187" s="33">
        <f>2660000/F187</f>
        <v>5018.867924528302</v>
      </c>
      <c r="J187" s="34" t="s">
        <v>200</v>
      </c>
      <c r="K187" s="34">
        <f t="shared" si="1"/>
        <v>1.5348566524973337</v>
      </c>
      <c r="L187" s="68"/>
      <c r="M187" s="68"/>
      <c r="N187" s="33"/>
    </row>
    <row r="188" spans="1:14" s="34" customFormat="1" x14ac:dyDescent="0.25">
      <c r="A188" s="42">
        <f t="shared" si="9"/>
        <v>508</v>
      </c>
      <c r="B188" s="42" t="s">
        <v>195</v>
      </c>
      <c r="C188" s="42" t="s">
        <v>165</v>
      </c>
      <c r="D188" s="42">
        <f>(29.93+4.28)*10.764</f>
        <v>368.23643999999996</v>
      </c>
      <c r="E188" s="42">
        <v>0</v>
      </c>
      <c r="F188" s="42">
        <v>565</v>
      </c>
      <c r="G188" s="69" t="str">
        <f t="shared" si="10"/>
        <v xml:space="preserve">5th Floor </v>
      </c>
      <c r="H188" s="70"/>
      <c r="I188" s="33"/>
      <c r="K188" s="34">
        <f t="shared" si="1"/>
        <v>1.5343402733309068</v>
      </c>
      <c r="L188" s="68"/>
      <c r="M188" s="68"/>
      <c r="N188" s="33"/>
    </row>
    <row r="189" spans="1:14" s="34" customFormat="1" x14ac:dyDescent="0.25">
      <c r="A189" s="42">
        <f t="shared" si="9"/>
        <v>509</v>
      </c>
      <c r="B189" s="42" t="s">
        <v>195</v>
      </c>
      <c r="C189" s="42" t="s">
        <v>165</v>
      </c>
      <c r="D189" s="42">
        <f>(37.72+5.3)*10.764</f>
        <v>463.06727999999993</v>
      </c>
      <c r="E189" s="42">
        <f>(5.89)*10.764</f>
        <v>63.399959999999993</v>
      </c>
      <c r="F189" s="42">
        <v>775</v>
      </c>
      <c r="G189" s="69" t="str">
        <f t="shared" si="10"/>
        <v xml:space="preserve">5th Floor </v>
      </c>
      <c r="H189" s="70"/>
      <c r="I189" s="33"/>
      <c r="K189" s="34">
        <f t="shared" si="1"/>
        <v>1.6736228912567523</v>
      </c>
      <c r="L189" s="68"/>
      <c r="M189" s="68"/>
      <c r="N189" s="33"/>
    </row>
    <row r="190" spans="1:14" s="34" customFormat="1" x14ac:dyDescent="0.25">
      <c r="A190" s="85" t="s">
        <v>169</v>
      </c>
      <c r="B190" s="85"/>
      <c r="C190" s="85"/>
      <c r="D190" s="85"/>
      <c r="E190" s="85"/>
      <c r="F190" s="85"/>
      <c r="G190" s="85"/>
      <c r="H190" s="85"/>
      <c r="J190" s="33"/>
      <c r="K190" s="34" t="e">
        <f t="shared" si="1"/>
        <v>#DIV/0!</v>
      </c>
    </row>
    <row r="191" spans="1:14" s="34" customFormat="1" x14ac:dyDescent="0.25">
      <c r="A191" s="42">
        <v>601</v>
      </c>
      <c r="B191" s="42" t="s">
        <v>195</v>
      </c>
      <c r="C191" s="42" t="s">
        <v>165</v>
      </c>
      <c r="D191" s="42">
        <f>(29.93+4.28)*10.764</f>
        <v>368.23643999999996</v>
      </c>
      <c r="E191" s="42">
        <v>0</v>
      </c>
      <c r="F191" s="42">
        <v>565</v>
      </c>
      <c r="G191" s="86" t="str">
        <f>A190</f>
        <v>6th Floor (Part Common Terrace)</v>
      </c>
      <c r="H191" s="86"/>
      <c r="I191" s="33"/>
      <c r="K191" s="34">
        <f t="shared" si="1"/>
        <v>1.5343402733309068</v>
      </c>
      <c r="L191" s="68"/>
      <c r="M191" s="68"/>
      <c r="N191" s="33"/>
    </row>
    <row r="192" spans="1:14" s="34" customFormat="1" x14ac:dyDescent="0.25">
      <c r="A192" s="42">
        <f t="shared" ref="A192" si="11">A191+1</f>
        <v>602</v>
      </c>
      <c r="B192" s="42" t="s">
        <v>195</v>
      </c>
      <c r="C192" s="42" t="s">
        <v>165</v>
      </c>
      <c r="D192" s="42">
        <f>(37.72+5.3)*10.764</f>
        <v>463.06727999999993</v>
      </c>
      <c r="E192" s="42">
        <f>(5.89)*10.764</f>
        <v>63.399959999999993</v>
      </c>
      <c r="F192" s="42">
        <v>775</v>
      </c>
      <c r="G192" s="86" t="str">
        <f t="shared" ref="G192" si="12">G191</f>
        <v>6th Floor (Part Common Terrace)</v>
      </c>
      <c r="H192" s="86"/>
      <c r="I192" s="33"/>
      <c r="K192" s="34">
        <f t="shared" si="1"/>
        <v>1.6736228912567523</v>
      </c>
      <c r="L192" s="68"/>
      <c r="M192" s="68"/>
      <c r="N192" s="33"/>
    </row>
    <row r="193" spans="1:11" s="31" customFormat="1" x14ac:dyDescent="0.25">
      <c r="A193" s="128" t="s">
        <v>209</v>
      </c>
      <c r="B193" s="128"/>
      <c r="C193" s="128"/>
      <c r="D193" s="128"/>
      <c r="E193" s="128"/>
      <c r="F193" s="128"/>
      <c r="G193" s="128"/>
      <c r="H193" s="128"/>
      <c r="K193" s="34" t="e">
        <f t="shared" si="1"/>
        <v>#DIV/0!</v>
      </c>
    </row>
    <row r="194" spans="1:11" s="31" customFormat="1" x14ac:dyDescent="0.25">
      <c r="A194" s="128" t="s">
        <v>162</v>
      </c>
      <c r="B194" s="128"/>
      <c r="C194" s="128"/>
      <c r="D194" s="128"/>
      <c r="E194" s="128"/>
      <c r="F194" s="128"/>
      <c r="G194" s="128"/>
      <c r="H194" s="128"/>
      <c r="K194" s="34" t="e">
        <f t="shared" si="1"/>
        <v>#DIV/0!</v>
      </c>
    </row>
    <row r="195" spans="1:11" s="34" customFormat="1" x14ac:dyDescent="0.25">
      <c r="A195" s="85" t="s">
        <v>163</v>
      </c>
      <c r="B195" s="85"/>
      <c r="C195" s="85"/>
      <c r="D195" s="85"/>
      <c r="E195" s="85"/>
      <c r="F195" s="85"/>
      <c r="G195" s="85"/>
      <c r="H195" s="85"/>
      <c r="I195" s="33"/>
      <c r="K195" s="34" t="e">
        <f t="shared" si="1"/>
        <v>#DIV/0!</v>
      </c>
    </row>
    <row r="196" spans="1:11" s="34" customFormat="1" x14ac:dyDescent="0.25">
      <c r="A196" s="42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10^ROW(INDIRECT("1:"&amp;LEN((LEFT(A195,SUM(LEN(A195)-LEN(SUBSTITUTE(A195,{"0","1","2"},""))))))))/10))*100+1&amp;""&amp;" &amp;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",LEN(A195))),LEN(A195)))))))/10))*100+1</f>
        <v>101 &amp; 301</v>
      </c>
      <c r="B196" s="42" t="s">
        <v>194</v>
      </c>
      <c r="C196" s="42" t="s">
        <v>165</v>
      </c>
      <c r="D196" s="42">
        <f>(32.32+5.28)*10.764</f>
        <v>404.72640000000001</v>
      </c>
      <c r="E196" s="42">
        <v>0</v>
      </c>
      <c r="F196" s="42">
        <v>625</v>
      </c>
      <c r="G196" s="69" t="str">
        <f>A195</f>
        <v>1st &amp; 3rd Floor for Residential</v>
      </c>
      <c r="H196" s="70"/>
      <c r="I196" s="33">
        <f>(2.75*4.15+2.45*2.85+1.45*1.2+1.45*0.9+2.5*1.8+3.5*2.4+0.9*1.2+0.9*(2+1.75+1.8)+4.64*1)*10.764</f>
        <v>484.97201999999999</v>
      </c>
      <c r="J196" s="33">
        <f>D196-I196</f>
        <v>-80.245619999999974</v>
      </c>
      <c r="K196" s="34">
        <f t="shared" si="1"/>
        <v>1.5442531053076844</v>
      </c>
    </row>
    <row r="197" spans="1:11" s="34" customFormat="1" x14ac:dyDescent="0.25">
      <c r="A197" s="42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102 &amp; 302</v>
      </c>
      <c r="B197" s="42" t="s">
        <v>194</v>
      </c>
      <c r="C197" s="42" t="s">
        <v>165</v>
      </c>
      <c r="D197" s="42">
        <f>(32.32+5.28)*10.764</f>
        <v>404.72640000000001</v>
      </c>
      <c r="E197" s="42">
        <v>0</v>
      </c>
      <c r="F197" s="42">
        <v>625</v>
      </c>
      <c r="G197" s="69" t="str">
        <f t="shared" ref="G197:G203" si="13">G196</f>
        <v>1st &amp; 3rd Floor for Residential</v>
      </c>
      <c r="H197" s="70"/>
      <c r="I197" s="33">
        <f>(4*2.75+2.45*3.15+1.2*2.1+2.5*1.85+1.2*0.9+2.54*1+2.55*1)*10.764</f>
        <v>344.79782999999998</v>
      </c>
      <c r="J197" s="33">
        <f>D197-I197</f>
        <v>59.928570000000036</v>
      </c>
      <c r="K197" s="34">
        <f t="shared" si="1"/>
        <v>1.5442531053076844</v>
      </c>
    </row>
    <row r="198" spans="1:11" s="34" customFormat="1" x14ac:dyDescent="0.25">
      <c r="A198" s="42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103 &amp; 303</v>
      </c>
      <c r="B198" s="42" t="s">
        <v>195</v>
      </c>
      <c r="C198" s="42" t="s">
        <v>165</v>
      </c>
      <c r="D198" s="42">
        <f>(30.36+2.85+2.42)*10.764</f>
        <v>383.52132</v>
      </c>
      <c r="E198" s="42">
        <f>(2.51)*10.764</f>
        <v>27.017639999999997</v>
      </c>
      <c r="F198" s="42">
        <v>620</v>
      </c>
      <c r="G198" s="69" t="str">
        <f t="shared" si="13"/>
        <v>1st &amp; 3rd Floor for Residential</v>
      </c>
      <c r="H198" s="70"/>
      <c r="I198" s="33"/>
      <c r="K198" s="34">
        <f t="shared" si="1"/>
        <v>1.6165985244314449</v>
      </c>
    </row>
    <row r="199" spans="1:11" s="34" customFormat="1" x14ac:dyDescent="0.25">
      <c r="A199" s="42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104 &amp; 304</v>
      </c>
      <c r="B199" s="42" t="s">
        <v>195</v>
      </c>
      <c r="C199" s="42" t="s">
        <v>165</v>
      </c>
      <c r="D199" s="42">
        <f>(32.82+5.35)*10.764</f>
        <v>410.86187999999999</v>
      </c>
      <c r="E199" s="42">
        <f>(3.78)*10.764</f>
        <v>40.687919999999998</v>
      </c>
      <c r="F199" s="42">
        <v>675</v>
      </c>
      <c r="G199" s="69" t="str">
        <f t="shared" si="13"/>
        <v>1st &amp; 3rd Floor for Residential</v>
      </c>
      <c r="H199" s="70"/>
      <c r="I199" s="33">
        <f>3350000/F199</f>
        <v>4962.9629629629626</v>
      </c>
      <c r="J199" s="34" t="s">
        <v>200</v>
      </c>
      <c r="K199" s="34">
        <f t="shared" si="1"/>
        <v>1.6428878726836378</v>
      </c>
    </row>
    <row r="200" spans="1:11" s="34" customFormat="1" x14ac:dyDescent="0.25">
      <c r="A200" s="42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105 &amp; 305</v>
      </c>
      <c r="B200" s="42" t="s">
        <v>195</v>
      </c>
      <c r="C200" s="42" t="s">
        <v>165</v>
      </c>
      <c r="D200" s="42">
        <f>(32.62+5.35)*10.764</f>
        <v>408.70907999999997</v>
      </c>
      <c r="E200" s="42">
        <v>0</v>
      </c>
      <c r="F200" s="42">
        <v>630</v>
      </c>
      <c r="G200" s="69" t="str">
        <f t="shared" si="13"/>
        <v>1st &amp; 3rd Floor for Residential</v>
      </c>
      <c r="H200" s="70"/>
      <c r="I200" s="33"/>
      <c r="K200" s="34">
        <f t="shared" ref="K200:K227" si="14">F200/D200</f>
        <v>1.5414387172411244</v>
      </c>
    </row>
    <row r="201" spans="1:11" s="34" customFormat="1" x14ac:dyDescent="0.25">
      <c r="A201" s="42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106 &amp; 306</v>
      </c>
      <c r="B201" s="42" t="s">
        <v>195</v>
      </c>
      <c r="C201" s="42" t="s">
        <v>165</v>
      </c>
      <c r="D201" s="42">
        <f>(31.64+3.01+2.34)*10.764</f>
        <v>398.16035999999991</v>
      </c>
      <c r="E201" s="42">
        <v>0</v>
      </c>
      <c r="F201" s="42">
        <v>615</v>
      </c>
      <c r="G201" s="69" t="str">
        <f t="shared" si="13"/>
        <v>1st &amp; 3rd Floor for Residential</v>
      </c>
      <c r="H201" s="70"/>
      <c r="I201" s="33"/>
      <c r="K201" s="34">
        <f t="shared" si="14"/>
        <v>1.5446037872780709</v>
      </c>
    </row>
    <row r="202" spans="1:11" s="34" customFormat="1" x14ac:dyDescent="0.25">
      <c r="A202" s="42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107 &amp; 307</v>
      </c>
      <c r="B202" s="42" t="s">
        <v>195</v>
      </c>
      <c r="C202" s="42" t="s">
        <v>165</v>
      </c>
      <c r="D202" s="42">
        <f>(30.03+3.05+2.5)*10.764</f>
        <v>382.98311999999999</v>
      </c>
      <c r="E202" s="42">
        <v>0</v>
      </c>
      <c r="F202" s="42">
        <v>590</v>
      </c>
      <c r="G202" s="69" t="str">
        <f t="shared" si="13"/>
        <v>1st &amp; 3rd Floor for Residential</v>
      </c>
      <c r="H202" s="70"/>
      <c r="I202" s="33"/>
      <c r="K202" s="34">
        <f t="shared" si="14"/>
        <v>1.5405378701808059</v>
      </c>
    </row>
    <row r="203" spans="1:11" s="34" customFormat="1" x14ac:dyDescent="0.25">
      <c r="A203" s="42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108 &amp; 308</v>
      </c>
      <c r="B203" s="42" t="s">
        <v>194</v>
      </c>
      <c r="C203" s="42" t="s">
        <v>165</v>
      </c>
      <c r="D203" s="42">
        <f>(30.02)*10.764</f>
        <v>323.13527999999997</v>
      </c>
      <c r="E203" s="42">
        <f>(3.42)*10.764</f>
        <v>36.81288</v>
      </c>
      <c r="F203" s="42">
        <v>535</v>
      </c>
      <c r="G203" s="69" t="str">
        <f t="shared" si="13"/>
        <v>1st &amp; 3rd Floor for Residential</v>
      </c>
      <c r="H203" s="70"/>
      <c r="I203" s="33"/>
      <c r="K203" s="34">
        <f t="shared" si="14"/>
        <v>1.6556533226579284</v>
      </c>
    </row>
    <row r="204" spans="1:11" s="34" customFormat="1" x14ac:dyDescent="0.25">
      <c r="A204" s="87" t="s">
        <v>166</v>
      </c>
      <c r="B204" s="88"/>
      <c r="C204" s="88"/>
      <c r="D204" s="88"/>
      <c r="E204" s="88"/>
      <c r="F204" s="88"/>
      <c r="G204" s="88"/>
      <c r="H204" s="89"/>
      <c r="I204" s="33"/>
      <c r="K204" s="34" t="e">
        <f t="shared" si="14"/>
        <v>#DIV/0!</v>
      </c>
    </row>
    <row r="205" spans="1:11" s="34" customFormat="1" x14ac:dyDescent="0.25">
      <c r="A205" s="42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10^ROW(INDIRECT("1:"&amp;LEN((LEFT(A204,SUM(LEN(A204)-LEN(SUBSTITUTE(A204,{"0","1","2"},""))))))))/10))*100+1&amp;""&amp;"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",LEN(A204))),LEN(A204)))))))/10))*100+1</f>
        <v>201 &amp; 401</v>
      </c>
      <c r="B205" s="42" t="s">
        <v>194</v>
      </c>
      <c r="C205" s="42" t="s">
        <v>165</v>
      </c>
      <c r="D205" s="42">
        <f>(32.32+5.28)*10.764</f>
        <v>404.72640000000001</v>
      </c>
      <c r="E205" s="42">
        <v>0</v>
      </c>
      <c r="F205" s="42">
        <v>625</v>
      </c>
      <c r="G205" s="69" t="str">
        <f>A204</f>
        <v>2nd &amp; 4th Floor</v>
      </c>
      <c r="H205" s="70"/>
      <c r="I205" s="33">
        <f>(2.75*4.15+2.45*2.85+1.45*1.2+1.45*0.9+2.5*1.8+3.5*2.4+0.9*1.2+0.9*(2+1.75+1.8)+4.64*1)*10.764</f>
        <v>484.97201999999999</v>
      </c>
      <c r="J205" s="33">
        <f>D205-I205</f>
        <v>-80.245619999999974</v>
      </c>
      <c r="K205" s="34">
        <f t="shared" si="14"/>
        <v>1.5442531053076844</v>
      </c>
    </row>
    <row r="206" spans="1:11" s="34" customFormat="1" x14ac:dyDescent="0.25">
      <c r="A206" s="42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202 &amp; 402</v>
      </c>
      <c r="B206" s="42" t="s">
        <v>194</v>
      </c>
      <c r="C206" s="42" t="s">
        <v>165</v>
      </c>
      <c r="D206" s="42">
        <f>(32.32+5.28)*10.764</f>
        <v>404.72640000000001</v>
      </c>
      <c r="E206" s="42">
        <v>0</v>
      </c>
      <c r="F206" s="42">
        <v>625</v>
      </c>
      <c r="G206" s="69" t="str">
        <f t="shared" ref="G206:G212" si="15">G205</f>
        <v>2nd &amp; 4th Floor</v>
      </c>
      <c r="H206" s="70"/>
      <c r="I206" s="33">
        <f>(4*2.75+2.45*3.15+1.2*2.1+2.5*1.85+1.2*0.9+2.54*1+2.55*1)*10.764</f>
        <v>344.79782999999998</v>
      </c>
      <c r="J206" s="33">
        <f>D206-I206</f>
        <v>59.928570000000036</v>
      </c>
      <c r="K206" s="34">
        <f t="shared" si="14"/>
        <v>1.5442531053076844</v>
      </c>
    </row>
    <row r="207" spans="1:11" s="34" customFormat="1" x14ac:dyDescent="0.25">
      <c r="A207" s="42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&amp;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203 &amp; 403</v>
      </c>
      <c r="B207" s="42" t="s">
        <v>195</v>
      </c>
      <c r="C207" s="42" t="s">
        <v>165</v>
      </c>
      <c r="D207" s="42">
        <f>(30.36+2.85+2.42)*10.764</f>
        <v>383.52132</v>
      </c>
      <c r="E207" s="42">
        <f>(3.72)*10.764</f>
        <v>40.042079999999999</v>
      </c>
      <c r="F207" s="42">
        <v>630</v>
      </c>
      <c r="G207" s="69" t="str">
        <f t="shared" si="15"/>
        <v>2nd &amp; 4th Floor</v>
      </c>
      <c r="H207" s="70"/>
      <c r="I207" s="33"/>
      <c r="K207" s="34">
        <f t="shared" si="14"/>
        <v>1.6426726941803391</v>
      </c>
    </row>
    <row r="208" spans="1:11" s="34" customFormat="1" x14ac:dyDescent="0.25">
      <c r="A208" s="42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204 &amp; 404</v>
      </c>
      <c r="B208" s="42" t="s">
        <v>195</v>
      </c>
      <c r="C208" s="42" t="s">
        <v>165</v>
      </c>
      <c r="D208" s="42">
        <f>(32.82+5.35)*10.764</f>
        <v>410.86187999999999</v>
      </c>
      <c r="E208" s="42">
        <f>(3.64)*10.764</f>
        <v>39.180959999999999</v>
      </c>
      <c r="F208" s="42">
        <v>675</v>
      </c>
      <c r="G208" s="69" t="str">
        <f t="shared" si="15"/>
        <v>2nd &amp; 4th Floor</v>
      </c>
      <c r="H208" s="70"/>
      <c r="I208" s="33"/>
      <c r="K208" s="34">
        <f t="shared" si="14"/>
        <v>1.6428878726836378</v>
      </c>
    </row>
    <row r="209" spans="1:14" s="34" customFormat="1" x14ac:dyDescent="0.25">
      <c r="A209" s="42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205 &amp; 405</v>
      </c>
      <c r="B209" s="42" t="s">
        <v>195</v>
      </c>
      <c r="C209" s="42" t="s">
        <v>165</v>
      </c>
      <c r="D209" s="42">
        <f>(32.62+5.35)*10.764</f>
        <v>408.70907999999997</v>
      </c>
      <c r="E209" s="42">
        <f>(3.47)*10.764</f>
        <v>37.351080000000003</v>
      </c>
      <c r="F209" s="42">
        <v>670</v>
      </c>
      <c r="G209" s="69" t="str">
        <f t="shared" si="15"/>
        <v>2nd &amp; 4th Floor</v>
      </c>
      <c r="H209" s="70"/>
      <c r="I209" s="33"/>
      <c r="K209" s="34">
        <f t="shared" si="14"/>
        <v>1.6393078421453227</v>
      </c>
    </row>
    <row r="210" spans="1:14" s="34" customFormat="1" x14ac:dyDescent="0.25">
      <c r="A210" s="42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206 &amp; 406</v>
      </c>
      <c r="B210" s="42" t="s">
        <v>195</v>
      </c>
      <c r="C210" s="42" t="s">
        <v>165</v>
      </c>
      <c r="D210" s="42">
        <f>(31.64+3.01+2.34)*10.764</f>
        <v>398.16035999999991</v>
      </c>
      <c r="E210" s="42">
        <f>(3.47)*10.764</f>
        <v>37.351080000000003</v>
      </c>
      <c r="F210" s="42">
        <v>650</v>
      </c>
      <c r="G210" s="69" t="str">
        <f t="shared" si="15"/>
        <v>2nd &amp; 4th Floor</v>
      </c>
      <c r="H210" s="70"/>
      <c r="I210" s="33"/>
      <c r="K210" s="34">
        <f t="shared" si="14"/>
        <v>1.6325080678548718</v>
      </c>
    </row>
    <row r="211" spans="1:14" s="34" customFormat="1" x14ac:dyDescent="0.25">
      <c r="A211" s="42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207 &amp; 407</v>
      </c>
      <c r="B211" s="42" t="s">
        <v>195</v>
      </c>
      <c r="C211" s="42" t="s">
        <v>165</v>
      </c>
      <c r="D211" s="42">
        <f>(30.03+3.05+2.5)*10.764</f>
        <v>382.98311999999999</v>
      </c>
      <c r="E211" s="42">
        <f>(2.83)*10.764</f>
        <v>30.462119999999999</v>
      </c>
      <c r="F211" s="42">
        <v>620</v>
      </c>
      <c r="G211" s="69" t="str">
        <f t="shared" si="15"/>
        <v>2nd &amp; 4th Floor</v>
      </c>
      <c r="H211" s="70"/>
      <c r="I211" s="33"/>
      <c r="K211" s="34">
        <f t="shared" si="14"/>
        <v>1.6188703042577961</v>
      </c>
    </row>
    <row r="212" spans="1:14" s="34" customFormat="1" x14ac:dyDescent="0.25">
      <c r="A212" s="42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208 &amp; 408</v>
      </c>
      <c r="B212" s="42" t="s">
        <v>194</v>
      </c>
      <c r="C212" s="42" t="s">
        <v>165</v>
      </c>
      <c r="D212" s="42">
        <f>(30.02)*10.764</f>
        <v>323.13527999999997</v>
      </c>
      <c r="E212" s="42">
        <v>0</v>
      </c>
      <c r="F212" s="42">
        <v>500</v>
      </c>
      <c r="G212" s="69" t="str">
        <f t="shared" si="15"/>
        <v>2nd &amp; 4th Floor</v>
      </c>
      <c r="H212" s="70"/>
      <c r="I212" s="33"/>
      <c r="K212" s="34">
        <f t="shared" si="14"/>
        <v>1.5473395538859145</v>
      </c>
    </row>
    <row r="213" spans="1:14" s="34" customFormat="1" x14ac:dyDescent="0.25">
      <c r="A213" s="87" t="s">
        <v>170</v>
      </c>
      <c r="B213" s="88"/>
      <c r="C213" s="88"/>
      <c r="D213" s="88"/>
      <c r="E213" s="88"/>
      <c r="F213" s="88"/>
      <c r="G213" s="88"/>
      <c r="H213" s="89"/>
      <c r="J213" s="33"/>
      <c r="K213" s="34" t="e">
        <f t="shared" si="14"/>
        <v>#DIV/0!</v>
      </c>
    </row>
    <row r="214" spans="1:14" s="34" customFormat="1" ht="15.75" customHeight="1" x14ac:dyDescent="0.25">
      <c r="A214" s="42">
        <v>501</v>
      </c>
      <c r="B214" s="42" t="s">
        <v>195</v>
      </c>
      <c r="C214" s="42" t="s">
        <v>165</v>
      </c>
      <c r="D214" s="42">
        <f>(32.32+5.28)*10.764</f>
        <v>404.72640000000001</v>
      </c>
      <c r="E214" s="42">
        <v>0</v>
      </c>
      <c r="F214" s="42">
        <v>625</v>
      </c>
      <c r="G214" s="69" t="str">
        <f>A213</f>
        <v>5th Floor (Part Common Terrace)</v>
      </c>
      <c r="H214" s="70"/>
      <c r="I214" s="33"/>
      <c r="K214" s="34">
        <f t="shared" si="14"/>
        <v>1.5442531053076844</v>
      </c>
      <c r="L214" s="68"/>
      <c r="M214" s="68"/>
      <c r="N214" s="33"/>
    </row>
    <row r="215" spans="1:14" s="34" customFormat="1" ht="15.75" customHeight="1" x14ac:dyDescent="0.25">
      <c r="A215" s="42">
        <f t="shared" ref="A215:A221" si="16">A214+1</f>
        <v>502</v>
      </c>
      <c r="B215" s="42" t="s">
        <v>195</v>
      </c>
      <c r="C215" s="42" t="s">
        <v>165</v>
      </c>
      <c r="D215" s="42">
        <f>(30.36+2.85+2.42)*10.764</f>
        <v>383.52132</v>
      </c>
      <c r="E215" s="42">
        <f>(2.51)*10.764</f>
        <v>27.017639999999997</v>
      </c>
      <c r="F215" s="42">
        <v>620</v>
      </c>
      <c r="G215" s="69" t="str">
        <f t="shared" ref="G215:G221" si="17">G214</f>
        <v>5th Floor (Part Common Terrace)</v>
      </c>
      <c r="H215" s="70"/>
      <c r="I215" s="33"/>
      <c r="K215" s="34">
        <f t="shared" si="14"/>
        <v>1.6165985244314449</v>
      </c>
      <c r="L215" s="68"/>
      <c r="M215" s="68"/>
      <c r="N215" s="33"/>
    </row>
    <row r="216" spans="1:14" s="34" customFormat="1" ht="15.75" customHeight="1" x14ac:dyDescent="0.25">
      <c r="A216" s="42">
        <f t="shared" si="16"/>
        <v>503</v>
      </c>
      <c r="B216" s="42" t="s">
        <v>195</v>
      </c>
      <c r="C216" s="42" t="s">
        <v>165</v>
      </c>
      <c r="D216" s="42">
        <f>(32.82+5.35)*10.764</f>
        <v>410.86187999999999</v>
      </c>
      <c r="E216" s="42">
        <f>(3.78)*10.764</f>
        <v>40.687919999999998</v>
      </c>
      <c r="F216" s="42">
        <v>675</v>
      </c>
      <c r="G216" s="69" t="str">
        <f t="shared" si="17"/>
        <v>5th Floor (Part Common Terrace)</v>
      </c>
      <c r="H216" s="70"/>
      <c r="I216" s="33"/>
      <c r="K216" s="34">
        <f t="shared" si="14"/>
        <v>1.6428878726836378</v>
      </c>
      <c r="L216" s="68"/>
      <c r="M216" s="68"/>
      <c r="N216" s="33"/>
    </row>
    <row r="217" spans="1:14" s="34" customFormat="1" ht="15.75" customHeight="1" x14ac:dyDescent="0.25">
      <c r="A217" s="42">
        <f t="shared" si="16"/>
        <v>504</v>
      </c>
      <c r="B217" s="42" t="s">
        <v>195</v>
      </c>
      <c r="C217" s="42" t="s">
        <v>165</v>
      </c>
      <c r="D217" s="42">
        <f>(32.62+5.35)*10.764</f>
        <v>408.70907999999997</v>
      </c>
      <c r="E217" s="42">
        <v>0</v>
      </c>
      <c r="F217" s="42">
        <v>630</v>
      </c>
      <c r="G217" s="69" t="str">
        <f t="shared" si="17"/>
        <v>5th Floor (Part Common Terrace)</v>
      </c>
      <c r="H217" s="70"/>
      <c r="I217" s="33"/>
      <c r="K217" s="34">
        <f t="shared" si="14"/>
        <v>1.5414387172411244</v>
      </c>
      <c r="L217" s="68"/>
      <c r="M217" s="68"/>
      <c r="N217" s="33"/>
    </row>
    <row r="218" spans="1:14" s="34" customFormat="1" ht="15.75" customHeight="1" x14ac:dyDescent="0.25">
      <c r="A218" s="42">
        <f t="shared" si="16"/>
        <v>505</v>
      </c>
      <c r="B218" s="42" t="s">
        <v>195</v>
      </c>
      <c r="C218" s="42" t="s">
        <v>165</v>
      </c>
      <c r="D218" s="42">
        <f>(31.64+3.01+2.34)*10.764</f>
        <v>398.16035999999991</v>
      </c>
      <c r="E218" s="42">
        <v>0</v>
      </c>
      <c r="F218" s="42">
        <v>615</v>
      </c>
      <c r="G218" s="69" t="str">
        <f t="shared" si="17"/>
        <v>5th Floor (Part Common Terrace)</v>
      </c>
      <c r="H218" s="70"/>
      <c r="I218" s="33"/>
      <c r="K218" s="34">
        <f t="shared" si="14"/>
        <v>1.5446037872780709</v>
      </c>
      <c r="L218" s="68"/>
      <c r="M218" s="68"/>
      <c r="N218" s="33"/>
    </row>
    <row r="219" spans="1:14" s="34" customFormat="1" ht="15.75" customHeight="1" x14ac:dyDescent="0.25">
      <c r="A219" s="42">
        <f t="shared" si="16"/>
        <v>506</v>
      </c>
      <c r="B219" s="42" t="s">
        <v>195</v>
      </c>
      <c r="C219" s="42" t="s">
        <v>165</v>
      </c>
      <c r="D219" s="42">
        <f>(30.03+3.05+2.5)*10.764</f>
        <v>382.98311999999999</v>
      </c>
      <c r="E219" s="42">
        <v>0</v>
      </c>
      <c r="F219" s="42">
        <v>590</v>
      </c>
      <c r="G219" s="69" t="str">
        <f t="shared" si="17"/>
        <v>5th Floor (Part Common Terrace)</v>
      </c>
      <c r="H219" s="70"/>
      <c r="I219" s="33"/>
      <c r="K219" s="34">
        <f t="shared" si="14"/>
        <v>1.5405378701808059</v>
      </c>
      <c r="L219" s="68"/>
      <c r="M219" s="68"/>
      <c r="N219" s="33"/>
    </row>
    <row r="220" spans="1:14" s="34" customFormat="1" ht="15.75" customHeight="1" x14ac:dyDescent="0.25">
      <c r="A220" s="42">
        <f t="shared" si="16"/>
        <v>507</v>
      </c>
      <c r="B220" s="42" t="s">
        <v>195</v>
      </c>
      <c r="C220" s="42" t="s">
        <v>165</v>
      </c>
      <c r="D220" s="42">
        <f>(30.02)*10.764</f>
        <v>323.13527999999997</v>
      </c>
      <c r="E220" s="42">
        <f>(3.42)*10.764</f>
        <v>36.81288</v>
      </c>
      <c r="F220" s="42">
        <v>535</v>
      </c>
      <c r="G220" s="69" t="str">
        <f t="shared" si="17"/>
        <v>5th Floor (Part Common Terrace)</v>
      </c>
      <c r="H220" s="70"/>
      <c r="I220" s="33"/>
      <c r="K220" s="34">
        <f t="shared" si="14"/>
        <v>1.6556533226579284</v>
      </c>
      <c r="L220" s="68"/>
      <c r="M220" s="68"/>
      <c r="N220" s="33"/>
    </row>
    <row r="221" spans="1:14" s="34" customFormat="1" ht="15.75" customHeight="1" x14ac:dyDescent="0.25">
      <c r="A221" s="42">
        <f t="shared" si="16"/>
        <v>508</v>
      </c>
      <c r="B221" s="42" t="s">
        <v>196</v>
      </c>
      <c r="C221" s="69" t="s">
        <v>168</v>
      </c>
      <c r="D221" s="84"/>
      <c r="E221" s="84"/>
      <c r="F221" s="70"/>
      <c r="G221" s="69" t="str">
        <f t="shared" si="17"/>
        <v>5th Floor (Part Common Terrace)</v>
      </c>
      <c r="H221" s="70"/>
      <c r="I221" s="33"/>
      <c r="K221" s="34" t="e">
        <f t="shared" si="14"/>
        <v>#DIV/0!</v>
      </c>
      <c r="L221" s="68"/>
      <c r="M221" s="68"/>
      <c r="N221" s="33"/>
    </row>
    <row r="222" spans="1:14" s="34" customFormat="1" ht="15.75" customHeight="1" x14ac:dyDescent="0.25">
      <c r="A222" s="87" t="s">
        <v>169</v>
      </c>
      <c r="B222" s="88"/>
      <c r="C222" s="88"/>
      <c r="D222" s="88"/>
      <c r="E222" s="88"/>
      <c r="F222" s="88"/>
      <c r="G222" s="88"/>
      <c r="H222" s="89"/>
      <c r="J222" s="33"/>
      <c r="K222" s="34" t="e">
        <f t="shared" si="14"/>
        <v>#DIV/0!</v>
      </c>
    </row>
    <row r="223" spans="1:14" s="34" customFormat="1" x14ac:dyDescent="0.25">
      <c r="A223" s="42">
        <v>601</v>
      </c>
      <c r="B223" s="42" t="s">
        <v>195</v>
      </c>
      <c r="C223" s="42" t="s">
        <v>165</v>
      </c>
      <c r="D223" s="42">
        <f>(30.67+5.35)*10.764</f>
        <v>387.71928000000003</v>
      </c>
      <c r="E223" s="42">
        <f>(3.78)*10.764</f>
        <v>40.687919999999998</v>
      </c>
      <c r="F223" s="42">
        <v>675</v>
      </c>
      <c r="G223" s="69" t="str">
        <f>A222</f>
        <v>6th Floor (Part Common Terrace)</v>
      </c>
      <c r="H223" s="70"/>
      <c r="I223" s="33"/>
      <c r="K223" s="34">
        <f t="shared" si="14"/>
        <v>1.740950308171417</v>
      </c>
      <c r="L223" s="68"/>
      <c r="M223" s="68"/>
      <c r="N223" s="33"/>
    </row>
    <row r="224" spans="1:14" s="34" customFormat="1" x14ac:dyDescent="0.25">
      <c r="A224" s="42">
        <f t="shared" ref="A224:A227" si="18">A223+1</f>
        <v>602</v>
      </c>
      <c r="B224" s="42" t="s">
        <v>195</v>
      </c>
      <c r="C224" s="42" t="s">
        <v>165</v>
      </c>
      <c r="D224" s="42">
        <f>(32.62+5.35)*10.764</f>
        <v>408.70907999999997</v>
      </c>
      <c r="E224" s="42">
        <v>0</v>
      </c>
      <c r="F224" s="42">
        <v>670</v>
      </c>
      <c r="G224" s="69" t="str">
        <f t="shared" ref="G224:G227" si="19">G223</f>
        <v>6th Floor (Part Common Terrace)</v>
      </c>
      <c r="H224" s="70"/>
      <c r="I224" s="33"/>
      <c r="K224" s="34">
        <f t="shared" si="14"/>
        <v>1.6393078421453227</v>
      </c>
      <c r="L224" s="68"/>
      <c r="M224" s="68"/>
      <c r="N224" s="33"/>
    </row>
    <row r="225" spans="1:15" s="34" customFormat="1" x14ac:dyDescent="0.25">
      <c r="A225" s="42">
        <f t="shared" si="18"/>
        <v>603</v>
      </c>
      <c r="B225" s="42" t="s">
        <v>195</v>
      </c>
      <c r="C225" s="42" t="s">
        <v>165</v>
      </c>
      <c r="D225" s="42">
        <f>(31.64+3.01+2.34)*10.764</f>
        <v>398.16035999999991</v>
      </c>
      <c r="E225" s="42">
        <v>0</v>
      </c>
      <c r="F225" s="42">
        <v>650</v>
      </c>
      <c r="G225" s="69" t="str">
        <f t="shared" si="19"/>
        <v>6th Floor (Part Common Terrace)</v>
      </c>
      <c r="H225" s="70"/>
      <c r="I225" s="33"/>
      <c r="K225" s="34">
        <f t="shared" si="14"/>
        <v>1.6325080678548718</v>
      </c>
      <c r="L225" s="68"/>
      <c r="M225" s="68"/>
      <c r="N225" s="33"/>
    </row>
    <row r="226" spans="1:15" s="34" customFormat="1" x14ac:dyDescent="0.25">
      <c r="A226" s="42">
        <f t="shared" si="18"/>
        <v>604</v>
      </c>
      <c r="B226" s="42" t="s">
        <v>195</v>
      </c>
      <c r="C226" s="42" t="s">
        <v>165</v>
      </c>
      <c r="D226" s="42">
        <f>(30.03+3.05+2.5)*10.764</f>
        <v>382.98311999999999</v>
      </c>
      <c r="E226" s="42">
        <v>0</v>
      </c>
      <c r="F226" s="42">
        <v>620</v>
      </c>
      <c r="G226" s="69" t="str">
        <f t="shared" si="19"/>
        <v>6th Floor (Part Common Terrace)</v>
      </c>
      <c r="H226" s="70"/>
      <c r="I226" s="33"/>
      <c r="K226" s="34">
        <f t="shared" si="14"/>
        <v>1.6188703042577961</v>
      </c>
      <c r="L226" s="68"/>
      <c r="M226" s="68"/>
      <c r="N226" s="33"/>
    </row>
    <row r="227" spans="1:15" s="34" customFormat="1" x14ac:dyDescent="0.25">
      <c r="A227" s="42">
        <f t="shared" si="18"/>
        <v>605</v>
      </c>
      <c r="B227" s="42" t="s">
        <v>195</v>
      </c>
      <c r="C227" s="42" t="s">
        <v>165</v>
      </c>
      <c r="D227" s="42">
        <f>(30.02)*10.764</f>
        <v>323.13527999999997</v>
      </c>
      <c r="E227" s="42">
        <f>(3.42)*10.764</f>
        <v>36.81288</v>
      </c>
      <c r="F227" s="42">
        <v>500</v>
      </c>
      <c r="G227" s="69" t="str">
        <f t="shared" si="19"/>
        <v>6th Floor (Part Common Terrace)</v>
      </c>
      <c r="H227" s="70"/>
      <c r="I227" s="33"/>
      <c r="K227" s="34">
        <f t="shared" si="14"/>
        <v>1.5473395538859145</v>
      </c>
      <c r="L227" s="68"/>
      <c r="M227" s="68"/>
      <c r="N227" s="33"/>
    </row>
    <row r="228" spans="1:15" s="32" customFormat="1" x14ac:dyDescent="0.25">
      <c r="A228" s="135" t="s">
        <v>69</v>
      </c>
      <c r="B228" s="135"/>
      <c r="C228" s="135"/>
      <c r="D228" s="135"/>
      <c r="E228" s="135"/>
      <c r="F228" s="135"/>
      <c r="G228" s="135"/>
      <c r="H228" s="135"/>
    </row>
    <row r="229" spans="1:15" s="32" customFormat="1" x14ac:dyDescent="0.25">
      <c r="A229" s="55" t="s">
        <v>152</v>
      </c>
      <c r="B229" s="63" t="s">
        <v>235</v>
      </c>
      <c r="C229" s="63"/>
      <c r="D229" s="63"/>
      <c r="E229" s="63"/>
      <c r="F229" s="63"/>
      <c r="G229" s="63"/>
      <c r="H229" s="63"/>
      <c r="I229" s="64" t="s">
        <v>228</v>
      </c>
      <c r="J229" s="65"/>
      <c r="K229" s="65"/>
      <c r="L229" s="65"/>
      <c r="M229" s="65"/>
      <c r="N229" s="65"/>
      <c r="O229" s="65"/>
    </row>
    <row r="230" spans="1:15" s="32" customFormat="1" x14ac:dyDescent="0.25">
      <c r="A230" s="55" t="s">
        <v>152</v>
      </c>
      <c r="B230" s="63" t="str">
        <f>(IF(F131="Saleable area Loading :","We have considered Saleable area of Flats as per our Calculation.","We considered Saleable area of Flat as per Builder area Sheet."))</f>
        <v>We considered Saleable area of Flat as per Builder area Sheet.</v>
      </c>
      <c r="C230" s="63"/>
      <c r="D230" s="63"/>
      <c r="E230" s="63"/>
      <c r="F230" s="63"/>
      <c r="G230" s="63"/>
      <c r="H230" s="63"/>
      <c r="I230" s="66"/>
      <c r="J230" s="67"/>
      <c r="K230" s="67"/>
      <c r="L230" s="67"/>
      <c r="M230" s="67"/>
      <c r="N230" s="67"/>
      <c r="O230" s="67"/>
    </row>
    <row r="231" spans="1:15" s="32" customFormat="1" x14ac:dyDescent="0.25">
      <c r="A231" s="55" t="s">
        <v>152</v>
      </c>
      <c r="B231" s="63" t="s">
        <v>123</v>
      </c>
      <c r="C231" s="63"/>
      <c r="D231" s="63"/>
      <c r="E231" s="63"/>
      <c r="F231" s="63"/>
      <c r="G231" s="63"/>
      <c r="H231" s="63"/>
    </row>
    <row r="232" spans="1:15" s="32" customFormat="1" x14ac:dyDescent="0.25">
      <c r="A232" s="46" t="s">
        <v>152</v>
      </c>
      <c r="B232" s="118" t="s">
        <v>199</v>
      </c>
      <c r="C232" s="118"/>
      <c r="D232" s="118"/>
      <c r="E232" s="118"/>
      <c r="F232" s="118"/>
      <c r="G232" s="118"/>
      <c r="H232" s="118"/>
    </row>
    <row r="233" spans="1:15" s="32" customFormat="1" x14ac:dyDescent="0.25">
      <c r="A233" s="46" t="s">
        <v>152</v>
      </c>
      <c r="B233" s="118" t="s">
        <v>151</v>
      </c>
      <c r="C233" s="118"/>
      <c r="D233" s="118"/>
      <c r="E233" s="118"/>
      <c r="F233" s="118"/>
      <c r="G233" s="118"/>
      <c r="H233" s="118"/>
    </row>
    <row r="234" spans="1:15" s="32" customFormat="1" x14ac:dyDescent="0.25">
      <c r="A234" s="46" t="s">
        <v>152</v>
      </c>
      <c r="B234" s="118" t="s">
        <v>124</v>
      </c>
      <c r="C234" s="118"/>
      <c r="D234" s="118"/>
      <c r="E234" s="118"/>
      <c r="F234" s="118"/>
      <c r="G234" s="118"/>
      <c r="H234" s="118"/>
    </row>
    <row r="235" spans="1:15" s="32" customFormat="1" ht="34.5" customHeight="1" x14ac:dyDescent="0.25">
      <c r="A235" s="46" t="s">
        <v>152</v>
      </c>
      <c r="B235" s="118" t="s">
        <v>153</v>
      </c>
      <c r="C235" s="118"/>
      <c r="D235" s="118"/>
      <c r="E235" s="118"/>
      <c r="F235" s="118"/>
      <c r="G235" s="118"/>
      <c r="H235" s="118"/>
    </row>
    <row r="236" spans="1:15" s="32" customFormat="1" x14ac:dyDescent="0.25">
      <c r="A236" s="55" t="s">
        <v>152</v>
      </c>
      <c r="B236" s="63" t="s">
        <v>125</v>
      </c>
      <c r="C236" s="63"/>
      <c r="D236" s="63"/>
      <c r="E236" s="63"/>
      <c r="F236" s="63"/>
      <c r="G236" s="63"/>
      <c r="H236" s="63"/>
    </row>
    <row r="237" spans="1:15" s="32" customFormat="1" x14ac:dyDescent="0.25">
      <c r="A237" s="55" t="s">
        <v>152</v>
      </c>
      <c r="B237" s="63" t="s">
        <v>227</v>
      </c>
      <c r="C237" s="63"/>
      <c r="D237" s="63"/>
      <c r="E237" s="63"/>
      <c r="F237" s="63"/>
      <c r="G237" s="63"/>
      <c r="H237" s="63"/>
      <c r="I237" s="63" t="s">
        <v>204</v>
      </c>
      <c r="J237" s="63"/>
      <c r="K237" s="63"/>
      <c r="L237" s="63"/>
      <c r="M237" s="63"/>
      <c r="N237" s="63"/>
      <c r="O237" s="63"/>
    </row>
    <row r="238" spans="1:15" s="32" customFormat="1" ht="32.25" customHeight="1" x14ac:dyDescent="0.25">
      <c r="A238" s="55" t="s">
        <v>152</v>
      </c>
      <c r="B238" s="179" t="s">
        <v>234</v>
      </c>
      <c r="C238" s="180"/>
      <c r="D238" s="180"/>
      <c r="E238" s="180"/>
      <c r="F238" s="180"/>
      <c r="G238" s="180"/>
      <c r="H238" s="181"/>
    </row>
    <row r="239" spans="1:15" s="32" customFormat="1" x14ac:dyDescent="0.25">
      <c r="A239" s="62" t="s">
        <v>152</v>
      </c>
      <c r="B239" s="130" t="s">
        <v>232</v>
      </c>
      <c r="C239" s="130"/>
      <c r="D239" s="130"/>
      <c r="E239" s="130"/>
      <c r="F239" s="130"/>
      <c r="G239" s="130"/>
      <c r="H239" s="130"/>
    </row>
    <row r="240" spans="1:15" x14ac:dyDescent="0.25">
      <c r="A240" s="126" t="s">
        <v>62</v>
      </c>
      <c r="B240" s="126"/>
      <c r="C240" s="126"/>
      <c r="D240" s="126"/>
      <c r="E240" s="126"/>
      <c r="F240" s="126"/>
      <c r="G240" s="126"/>
      <c r="H240" s="126"/>
    </row>
    <row r="241" spans="1:9" x14ac:dyDescent="0.25">
      <c r="A241" s="78" t="s">
        <v>63</v>
      </c>
      <c r="B241" s="78"/>
      <c r="C241" s="78"/>
      <c r="D241" s="78"/>
      <c r="E241" s="78"/>
      <c r="F241" s="78"/>
      <c r="G241" s="78"/>
      <c r="H241" s="78"/>
    </row>
    <row r="242" spans="1:9" ht="15.75" customHeight="1" x14ac:dyDescent="0.25">
      <c r="A242" s="107" t="s">
        <v>64</v>
      </c>
      <c r="B242" s="107"/>
      <c r="C242" s="107"/>
      <c r="D242" s="107"/>
      <c r="E242" s="107"/>
      <c r="F242" s="107"/>
      <c r="G242" s="107"/>
      <c r="H242" s="107"/>
    </row>
    <row r="243" spans="1:9" x14ac:dyDescent="0.25">
      <c r="A243" s="78" t="s">
        <v>65</v>
      </c>
      <c r="B243" s="78"/>
      <c r="C243" s="78"/>
      <c r="D243" s="78"/>
      <c r="E243" s="78"/>
      <c r="F243" s="78"/>
      <c r="G243" s="78"/>
      <c r="H243" s="78"/>
    </row>
    <row r="244" spans="1:9" x14ac:dyDescent="0.25">
      <c r="A244" s="78" t="s">
        <v>66</v>
      </c>
      <c r="B244" s="78"/>
      <c r="C244" s="78"/>
      <c r="D244" s="78"/>
      <c r="E244" s="78"/>
      <c r="F244" s="78"/>
      <c r="G244" s="78"/>
      <c r="H244" s="78"/>
    </row>
    <row r="245" spans="1:9" x14ac:dyDescent="0.25">
      <c r="A245" s="78" t="s">
        <v>126</v>
      </c>
      <c r="B245" s="78"/>
      <c r="C245" s="78"/>
      <c r="D245" s="78"/>
      <c r="E245" s="78"/>
      <c r="F245" s="78"/>
      <c r="G245" s="78"/>
      <c r="H245" s="78"/>
    </row>
    <row r="246" spans="1:9" x14ac:dyDescent="0.25">
      <c r="A246" s="79" t="s">
        <v>127</v>
      </c>
      <c r="B246" s="79"/>
      <c r="C246" s="79"/>
      <c r="D246" s="79"/>
      <c r="E246" s="79"/>
      <c r="F246" s="79"/>
      <c r="G246" s="79"/>
      <c r="H246" s="79"/>
    </row>
    <row r="247" spans="1:9" x14ac:dyDescent="0.25">
      <c r="A247" s="132" t="s">
        <v>78</v>
      </c>
      <c r="B247" s="132"/>
      <c r="C247" s="132" t="s">
        <v>222</v>
      </c>
      <c r="D247" s="132"/>
      <c r="E247" s="132" t="s">
        <v>107</v>
      </c>
      <c r="F247" s="132"/>
      <c r="G247" s="132" t="s">
        <v>233</v>
      </c>
      <c r="H247" s="132"/>
    </row>
    <row r="248" spans="1:9" x14ac:dyDescent="0.25">
      <c r="A248" s="131" t="s">
        <v>80</v>
      </c>
      <c r="B248" s="131"/>
      <c r="C248" s="131"/>
      <c r="D248" s="131"/>
      <c r="E248" s="131"/>
      <c r="F248" s="131"/>
      <c r="G248" s="131"/>
      <c r="H248" s="131"/>
    </row>
    <row r="249" spans="1:9" x14ac:dyDescent="0.25">
      <c r="A249" s="131"/>
      <c r="B249" s="131"/>
      <c r="C249" s="131"/>
      <c r="D249" s="131"/>
      <c r="E249" s="131"/>
      <c r="F249" s="131"/>
      <c r="G249" s="131"/>
      <c r="H249" s="131"/>
    </row>
    <row r="250" spans="1:9" x14ac:dyDescent="0.25">
      <c r="A250" s="131"/>
      <c r="B250" s="131"/>
      <c r="C250" s="131"/>
      <c r="D250" s="131"/>
      <c r="E250" s="131"/>
      <c r="F250" s="131"/>
      <c r="G250" s="131"/>
      <c r="H250" s="131"/>
    </row>
    <row r="251" spans="1:9" x14ac:dyDescent="0.25">
      <c r="A251" s="131"/>
      <c r="B251" s="131"/>
      <c r="C251" s="131"/>
      <c r="D251" s="131"/>
      <c r="E251" s="131"/>
      <c r="F251" s="131"/>
      <c r="G251" s="131"/>
      <c r="H251" s="131"/>
    </row>
    <row r="252" spans="1:9" x14ac:dyDescent="0.25">
      <c r="A252" s="35" t="s">
        <v>67</v>
      </c>
      <c r="B252" s="36"/>
      <c r="C252" s="36"/>
      <c r="D252" s="35" t="str">
        <f>E8</f>
        <v>Amulyam</v>
      </c>
      <c r="F252" s="36"/>
      <c r="G252" s="36"/>
      <c r="H252" s="36"/>
    </row>
    <row r="253" spans="1:9" x14ac:dyDescent="0.25">
      <c r="A253" s="36"/>
      <c r="B253" s="36"/>
      <c r="C253" s="36"/>
      <c r="D253" s="36"/>
      <c r="E253" s="36"/>
      <c r="F253" s="36"/>
      <c r="G253" s="36"/>
      <c r="H253" s="36"/>
    </row>
    <row r="254" spans="1:9" x14ac:dyDescent="0.25">
      <c r="A254" s="36"/>
      <c r="B254" s="36"/>
      <c r="C254" s="36"/>
      <c r="D254" s="36"/>
      <c r="E254" s="36"/>
      <c r="F254" s="36"/>
      <c r="G254" s="36"/>
      <c r="H254" s="36"/>
      <c r="I254" s="18" t="s">
        <v>208</v>
      </c>
    </row>
    <row r="255" spans="1:9" ht="15" customHeight="1" x14ac:dyDescent="0.25">
      <c r="I255" s="18" t="s">
        <v>214</v>
      </c>
    </row>
    <row r="295" spans="1:1" x14ac:dyDescent="0.25">
      <c r="A295" s="38" t="s">
        <v>68</v>
      </c>
    </row>
  </sheetData>
  <mergeCells count="406">
    <mergeCell ref="A140:H140"/>
    <mergeCell ref="G141:H141"/>
    <mergeCell ref="G142:H142"/>
    <mergeCell ref="G143:H143"/>
    <mergeCell ref="G144:H144"/>
    <mergeCell ref="G145:H145"/>
    <mergeCell ref="A170:H170"/>
    <mergeCell ref="G171:H171"/>
    <mergeCell ref="G172:H172"/>
    <mergeCell ref="G169:H169"/>
    <mergeCell ref="G167:H167"/>
    <mergeCell ref="G168:H168"/>
    <mergeCell ref="G151:H151"/>
    <mergeCell ref="A146:H146"/>
    <mergeCell ref="G147:H147"/>
    <mergeCell ref="G163:H163"/>
    <mergeCell ref="A152:H152"/>
    <mergeCell ref="G153:H153"/>
    <mergeCell ref="G157:H157"/>
    <mergeCell ref="G164:H164"/>
    <mergeCell ref="G161:H161"/>
    <mergeCell ref="G165:H165"/>
    <mergeCell ref="G166:H166"/>
    <mergeCell ref="G162:H162"/>
    <mergeCell ref="G137:H137"/>
    <mergeCell ref="G176:H176"/>
    <mergeCell ref="G177:H177"/>
    <mergeCell ref="G178:H178"/>
    <mergeCell ref="G179:H179"/>
    <mergeCell ref="G182:H182"/>
    <mergeCell ref="G186:H186"/>
    <mergeCell ref="B235:H235"/>
    <mergeCell ref="A45:B45"/>
    <mergeCell ref="C45:H45"/>
    <mergeCell ref="B233:H233"/>
    <mergeCell ref="A98:B98"/>
    <mergeCell ref="A99:B99"/>
    <mergeCell ref="G83:H92"/>
    <mergeCell ref="A84:B84"/>
    <mergeCell ref="A85:B85"/>
    <mergeCell ref="A86:B86"/>
    <mergeCell ref="F109:H109"/>
    <mergeCell ref="A109:E109"/>
    <mergeCell ref="A111:E111"/>
    <mergeCell ref="A112:E112"/>
    <mergeCell ref="F117:H117"/>
    <mergeCell ref="G139:H139"/>
    <mergeCell ref="A160:H160"/>
    <mergeCell ref="A81:B81"/>
    <mergeCell ref="C81:H81"/>
    <mergeCell ref="A82:B82"/>
    <mergeCell ref="E82:F82"/>
    <mergeCell ref="G82:H82"/>
    <mergeCell ref="A113:E113"/>
    <mergeCell ref="F113:H113"/>
    <mergeCell ref="A114:E114"/>
    <mergeCell ref="A116:E116"/>
    <mergeCell ref="F110:H110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07:H107"/>
    <mergeCell ref="F114:H114"/>
    <mergeCell ref="A108:E108"/>
    <mergeCell ref="A93:B93"/>
    <mergeCell ref="C93:H93"/>
    <mergeCell ref="G97:H106"/>
    <mergeCell ref="G122:H122"/>
    <mergeCell ref="A128:B128"/>
    <mergeCell ref="E128:F128"/>
    <mergeCell ref="C128:D128"/>
    <mergeCell ref="G124:H124"/>
    <mergeCell ref="C126:D126"/>
    <mergeCell ref="E126:F126"/>
    <mergeCell ref="G126:H126"/>
    <mergeCell ref="C124:D124"/>
    <mergeCell ref="E124:F124"/>
    <mergeCell ref="A92:B92"/>
    <mergeCell ref="A95:B95"/>
    <mergeCell ref="C95:H95"/>
    <mergeCell ref="A96:B96"/>
    <mergeCell ref="E96:F96"/>
    <mergeCell ref="F112:H112"/>
    <mergeCell ref="F111:H111"/>
    <mergeCell ref="G96:H96"/>
    <mergeCell ref="A97:B97"/>
    <mergeCell ref="E97:F106"/>
    <mergeCell ref="D54:H54"/>
    <mergeCell ref="A54:C54"/>
    <mergeCell ref="G47:H47"/>
    <mergeCell ref="A48:B49"/>
    <mergeCell ref="D59:H59"/>
    <mergeCell ref="C47:E47"/>
    <mergeCell ref="A38:D38"/>
    <mergeCell ref="E38:H38"/>
    <mergeCell ref="F30:H30"/>
    <mergeCell ref="F31:H31"/>
    <mergeCell ref="F32:H32"/>
    <mergeCell ref="F33:H33"/>
    <mergeCell ref="A36:B36"/>
    <mergeCell ref="A30:B30"/>
    <mergeCell ref="C30:E30"/>
    <mergeCell ref="A31:B31"/>
    <mergeCell ref="C31:E31"/>
    <mergeCell ref="A34:H34"/>
    <mergeCell ref="A33:B33"/>
    <mergeCell ref="A37:H37"/>
    <mergeCell ref="C33:E33"/>
    <mergeCell ref="A35:B35"/>
    <mergeCell ref="C35:H35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29:H29"/>
    <mergeCell ref="A29:B29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3:C63"/>
    <mergeCell ref="D63:H63"/>
    <mergeCell ref="A69:B69"/>
    <mergeCell ref="G68:H68"/>
    <mergeCell ref="D58:H58"/>
    <mergeCell ref="E69:F78"/>
    <mergeCell ref="G69:H78"/>
    <mergeCell ref="A77:B77"/>
    <mergeCell ref="A78:B78"/>
    <mergeCell ref="A58:C58"/>
    <mergeCell ref="A59:C5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248:H251"/>
    <mergeCell ref="A247:B247"/>
    <mergeCell ref="E247:F247"/>
    <mergeCell ref="C247:D247"/>
    <mergeCell ref="G247:H247"/>
    <mergeCell ref="A119:E119"/>
    <mergeCell ref="F119:H119"/>
    <mergeCell ref="A120:E120"/>
    <mergeCell ref="F120:H120"/>
    <mergeCell ref="A243:H243"/>
    <mergeCell ref="A121:H121"/>
    <mergeCell ref="A246:H246"/>
    <mergeCell ref="A244:H244"/>
    <mergeCell ref="A228:H228"/>
    <mergeCell ref="C123:D123"/>
    <mergeCell ref="E123:F123"/>
    <mergeCell ref="A158:H158"/>
    <mergeCell ref="A159:H159"/>
    <mergeCell ref="A193:H193"/>
    <mergeCell ref="A194:H194"/>
    <mergeCell ref="A134:H134"/>
    <mergeCell ref="G135:H135"/>
    <mergeCell ref="G136:H136"/>
    <mergeCell ref="C122:D122"/>
    <mergeCell ref="E39:H39"/>
    <mergeCell ref="A39:D39"/>
    <mergeCell ref="A240:H240"/>
    <mergeCell ref="A241:H241"/>
    <mergeCell ref="E122:F122"/>
    <mergeCell ref="A129:H129"/>
    <mergeCell ref="F115:H115"/>
    <mergeCell ref="F118:H118"/>
    <mergeCell ref="F116:H116"/>
    <mergeCell ref="A130:H130"/>
    <mergeCell ref="A117:E117"/>
    <mergeCell ref="B239:H239"/>
    <mergeCell ref="G138:H138"/>
    <mergeCell ref="G214:H214"/>
    <mergeCell ref="G215:H215"/>
    <mergeCell ref="G216:H216"/>
    <mergeCell ref="A132:H132"/>
    <mergeCell ref="A133:H133"/>
    <mergeCell ref="B234:H234"/>
    <mergeCell ref="B229:H229"/>
    <mergeCell ref="B230:H230"/>
    <mergeCell ref="B231:H231"/>
    <mergeCell ref="A76:B76"/>
    <mergeCell ref="A245:H245"/>
    <mergeCell ref="A242:H242"/>
    <mergeCell ref="A122:B122"/>
    <mergeCell ref="G131:H131"/>
    <mergeCell ref="A87:B87"/>
    <mergeCell ref="A88:B88"/>
    <mergeCell ref="A89:B89"/>
    <mergeCell ref="A79:B79"/>
    <mergeCell ref="C79:H79"/>
    <mergeCell ref="A103:B103"/>
    <mergeCell ref="G218:H218"/>
    <mergeCell ref="G188:H188"/>
    <mergeCell ref="A222:H222"/>
    <mergeCell ref="G219:H219"/>
    <mergeCell ref="G227:H227"/>
    <mergeCell ref="A124:A125"/>
    <mergeCell ref="A126:A127"/>
    <mergeCell ref="B232:H232"/>
    <mergeCell ref="A118:E118"/>
    <mergeCell ref="G128:H128"/>
    <mergeCell ref="A83:B83"/>
    <mergeCell ref="E83:F92"/>
    <mergeCell ref="A90:B90"/>
    <mergeCell ref="A91:B91"/>
    <mergeCell ref="A46:B46"/>
    <mergeCell ref="C46:E46"/>
    <mergeCell ref="G46:H46"/>
    <mergeCell ref="G48:H48"/>
    <mergeCell ref="D52:H52"/>
    <mergeCell ref="C48:E48"/>
    <mergeCell ref="A55:C57"/>
    <mergeCell ref="D55:H55"/>
    <mergeCell ref="A73:B73"/>
    <mergeCell ref="D61:H61"/>
    <mergeCell ref="A64:C64"/>
    <mergeCell ref="D64:H64"/>
    <mergeCell ref="A62:C62"/>
    <mergeCell ref="A50:B50"/>
    <mergeCell ref="C50:E50"/>
    <mergeCell ref="A47:B47"/>
    <mergeCell ref="A51:H51"/>
    <mergeCell ref="A52:C52"/>
    <mergeCell ref="A53:C53"/>
    <mergeCell ref="D53:H53"/>
    <mergeCell ref="G50:H50"/>
    <mergeCell ref="A68:B68"/>
    <mergeCell ref="A71:B71"/>
    <mergeCell ref="A67:B67"/>
    <mergeCell ref="G175:H175"/>
    <mergeCell ref="G173:H173"/>
    <mergeCell ref="G174:H174"/>
    <mergeCell ref="G191:H191"/>
    <mergeCell ref="L217:M217"/>
    <mergeCell ref="L214:M214"/>
    <mergeCell ref="L215:M215"/>
    <mergeCell ref="L216:M216"/>
    <mergeCell ref="A213:H213"/>
    <mergeCell ref="G217:H217"/>
    <mergeCell ref="L187:M187"/>
    <mergeCell ref="G207:H207"/>
    <mergeCell ref="G208:H208"/>
    <mergeCell ref="L191:M191"/>
    <mergeCell ref="G192:H192"/>
    <mergeCell ref="L192:M192"/>
    <mergeCell ref="L188:M188"/>
    <mergeCell ref="G189:H189"/>
    <mergeCell ref="L189:M189"/>
    <mergeCell ref="L182:M182"/>
    <mergeCell ref="A180:H180"/>
    <mergeCell ref="G181:H181"/>
    <mergeCell ref="L181:M181"/>
    <mergeCell ref="C157:F157"/>
    <mergeCell ref="L151:M151"/>
    <mergeCell ref="L153:M153"/>
    <mergeCell ref="G154:H154"/>
    <mergeCell ref="L154:M154"/>
    <mergeCell ref="G155:H155"/>
    <mergeCell ref="L155:M155"/>
    <mergeCell ref="G156:H156"/>
    <mergeCell ref="L156:M156"/>
    <mergeCell ref="L147:M147"/>
    <mergeCell ref="G148:H148"/>
    <mergeCell ref="L148:M148"/>
    <mergeCell ref="G149:H149"/>
    <mergeCell ref="L149:M149"/>
    <mergeCell ref="G150:H150"/>
    <mergeCell ref="L150:M150"/>
    <mergeCell ref="L157:M157"/>
    <mergeCell ref="G226:H226"/>
    <mergeCell ref="L226:M226"/>
    <mergeCell ref="L218:M218"/>
    <mergeCell ref="G202:H202"/>
    <mergeCell ref="G203:H203"/>
    <mergeCell ref="A195:H195"/>
    <mergeCell ref="G196:H196"/>
    <mergeCell ref="G197:H197"/>
    <mergeCell ref="G198:H198"/>
    <mergeCell ref="G209:H209"/>
    <mergeCell ref="G210:H210"/>
    <mergeCell ref="G211:H211"/>
    <mergeCell ref="G212:H212"/>
    <mergeCell ref="A204:H204"/>
    <mergeCell ref="G205:H205"/>
    <mergeCell ref="G206:H206"/>
    <mergeCell ref="G221:H221"/>
    <mergeCell ref="L221:M221"/>
    <mergeCell ref="C221:F221"/>
    <mergeCell ref="L186:M186"/>
    <mergeCell ref="G187:H187"/>
    <mergeCell ref="G183:H183"/>
    <mergeCell ref="L183:M183"/>
    <mergeCell ref="G184:H184"/>
    <mergeCell ref="L184:M184"/>
    <mergeCell ref="G185:H185"/>
    <mergeCell ref="L185:M185"/>
    <mergeCell ref="G199:H199"/>
    <mergeCell ref="G200:H200"/>
    <mergeCell ref="G201:H201"/>
    <mergeCell ref="A190:H190"/>
    <mergeCell ref="L219:M219"/>
    <mergeCell ref="G220:H220"/>
    <mergeCell ref="L220:M220"/>
    <mergeCell ref="C49:H49"/>
    <mergeCell ref="C125:D125"/>
    <mergeCell ref="E125:F125"/>
    <mergeCell ref="G125:H125"/>
    <mergeCell ref="C127:D127"/>
    <mergeCell ref="E127:F127"/>
    <mergeCell ref="G127:H127"/>
    <mergeCell ref="D56:H56"/>
    <mergeCell ref="D57:H57"/>
    <mergeCell ref="C65:H65"/>
    <mergeCell ref="A60:C60"/>
    <mergeCell ref="D60:H60"/>
    <mergeCell ref="C67:H67"/>
    <mergeCell ref="A70:B70"/>
    <mergeCell ref="A72:B72"/>
    <mergeCell ref="E68:F68"/>
    <mergeCell ref="A61:C61"/>
    <mergeCell ref="A74:B74"/>
    <mergeCell ref="F108:H108"/>
    <mergeCell ref="G123:H123"/>
    <mergeCell ref="A106:B106"/>
    <mergeCell ref="A75:B75"/>
    <mergeCell ref="A65:B65"/>
    <mergeCell ref="D62:H62"/>
    <mergeCell ref="B238:H238"/>
    <mergeCell ref="B236:H236"/>
    <mergeCell ref="B237:H237"/>
    <mergeCell ref="I229:O230"/>
    <mergeCell ref="L227:M227"/>
    <mergeCell ref="G223:H223"/>
    <mergeCell ref="L223:M223"/>
    <mergeCell ref="G224:H224"/>
    <mergeCell ref="L224:M224"/>
    <mergeCell ref="G225:H225"/>
    <mergeCell ref="L225:M225"/>
    <mergeCell ref="I237:O237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227" max="7" man="1"/>
    <brk id="251" max="16383" man="1"/>
    <brk id="2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H29" sqref="H29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4" t="s">
        <v>108</v>
      </c>
      <c r="C3" s="174"/>
      <c r="D3" s="174"/>
      <c r="E3" s="174"/>
      <c r="F3" s="174"/>
      <c r="G3" s="174"/>
      <c r="H3" s="174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2025-09-19T07:29:45Z</cp:lastPrinted>
  <dcterms:created xsi:type="dcterms:W3CDTF">2019-07-16T09:29:46Z</dcterms:created>
  <dcterms:modified xsi:type="dcterms:W3CDTF">2025-09-19T07:29:47Z</dcterms:modified>
</cp:coreProperties>
</file>