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VSJC-06\Downloads\APF Dump\"/>
    </mc:Choice>
  </mc:AlternateContent>
  <bookViews>
    <workbookView xWindow="0" yWindow="0" windowWidth="20490" windowHeight="7020" tabRatio="725"/>
  </bookViews>
  <sheets>
    <sheet name="Report" sheetId="1" r:id="rId1"/>
    <sheet name="Sale Plan" sheetId="6" r:id="rId2"/>
    <sheet name="valuation" sheetId="5" r:id="rId3"/>
    <sheet name="Research" sheetId="4" r:id="rId4"/>
  </sheets>
  <definedNames>
    <definedName name="_xlnm.Print_Area" localSheetId="0">Report!$A$1:$H$728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5" i="1" l="1"/>
  <c r="C71" i="1"/>
  <c r="E576" i="1" l="1"/>
  <c r="D576" i="1"/>
  <c r="F576" i="1" s="1"/>
  <c r="H576" i="1" s="1"/>
  <c r="E575" i="1"/>
  <c r="D575" i="1"/>
  <c r="F575" i="1" s="1"/>
  <c r="H575" i="1" s="1"/>
  <c r="E574" i="1"/>
  <c r="D574" i="1"/>
  <c r="F574" i="1" s="1"/>
  <c r="H574" i="1" s="1"/>
  <c r="E573" i="1"/>
  <c r="D573" i="1"/>
  <c r="F573" i="1" s="1"/>
  <c r="H573" i="1" s="1"/>
  <c r="A573" i="1"/>
  <c r="A574" i="1" s="1"/>
  <c r="A575" i="1" s="1"/>
  <c r="A576" i="1" s="1"/>
  <c r="E572" i="1"/>
  <c r="D572" i="1"/>
  <c r="E570" i="1"/>
  <c r="D570" i="1"/>
  <c r="E569" i="1"/>
  <c r="D569" i="1"/>
  <c r="E568" i="1"/>
  <c r="D568" i="1"/>
  <c r="E567" i="1"/>
  <c r="D567" i="1"/>
  <c r="A567" i="1"/>
  <c r="A568" i="1" s="1"/>
  <c r="A569" i="1" s="1"/>
  <c r="A570" i="1" s="1"/>
  <c r="E566" i="1"/>
  <c r="D566" i="1"/>
  <c r="E564" i="1"/>
  <c r="D564" i="1"/>
  <c r="F564" i="1" s="1"/>
  <c r="H564" i="1" s="1"/>
  <c r="E563" i="1"/>
  <c r="D563" i="1"/>
  <c r="E562" i="1"/>
  <c r="D562" i="1"/>
  <c r="F562" i="1" s="1"/>
  <c r="H562" i="1" s="1"/>
  <c r="E561" i="1"/>
  <c r="D561" i="1"/>
  <c r="F561" i="1" s="1"/>
  <c r="H561" i="1" s="1"/>
  <c r="A561" i="1"/>
  <c r="A562" i="1" s="1"/>
  <c r="A563" i="1" s="1"/>
  <c r="A564" i="1" s="1"/>
  <c r="E560" i="1"/>
  <c r="D560" i="1"/>
  <c r="E558" i="1"/>
  <c r="D558" i="1"/>
  <c r="E557" i="1"/>
  <c r="D557" i="1"/>
  <c r="E556" i="1"/>
  <c r="D556" i="1"/>
  <c r="E555" i="1"/>
  <c r="D555" i="1"/>
  <c r="A555" i="1"/>
  <c r="A556" i="1" s="1"/>
  <c r="A557" i="1" s="1"/>
  <c r="A558" i="1" s="1"/>
  <c r="E554" i="1"/>
  <c r="D554" i="1"/>
  <c r="E527" i="1"/>
  <c r="D527" i="1"/>
  <c r="F527" i="1" s="1"/>
  <c r="H527" i="1" s="1"/>
  <c r="E526" i="1"/>
  <c r="D526" i="1"/>
  <c r="F526" i="1" s="1"/>
  <c r="H526" i="1" s="1"/>
  <c r="E525" i="1"/>
  <c r="D525" i="1"/>
  <c r="F525" i="1" s="1"/>
  <c r="H525" i="1" s="1"/>
  <c r="A525" i="1"/>
  <c r="A526" i="1" s="1"/>
  <c r="A527" i="1" s="1"/>
  <c r="E524" i="1"/>
  <c r="D524" i="1"/>
  <c r="E522" i="1"/>
  <c r="D522" i="1"/>
  <c r="E521" i="1"/>
  <c r="D521" i="1"/>
  <c r="E520" i="1"/>
  <c r="D520" i="1"/>
  <c r="A520" i="1"/>
  <c r="A521" i="1" s="1"/>
  <c r="A522" i="1" s="1"/>
  <c r="E519" i="1"/>
  <c r="D519" i="1"/>
  <c r="E517" i="1"/>
  <c r="D517" i="1"/>
  <c r="E516" i="1"/>
  <c r="D516" i="1"/>
  <c r="F516" i="1" s="1"/>
  <c r="H516" i="1" s="1"/>
  <c r="E515" i="1"/>
  <c r="D515" i="1"/>
  <c r="F515" i="1" s="1"/>
  <c r="H515" i="1" s="1"/>
  <c r="A515" i="1"/>
  <c r="A516" i="1" s="1"/>
  <c r="A517" i="1" s="1"/>
  <c r="E514" i="1"/>
  <c r="D514" i="1"/>
  <c r="E512" i="1"/>
  <c r="D512" i="1"/>
  <c r="E511" i="1"/>
  <c r="D511" i="1"/>
  <c r="F511" i="1" s="1"/>
  <c r="H511" i="1" s="1"/>
  <c r="E510" i="1"/>
  <c r="D510" i="1"/>
  <c r="A510" i="1"/>
  <c r="A511" i="1" s="1"/>
  <c r="A512" i="1" s="1"/>
  <c r="E509" i="1"/>
  <c r="D509" i="1"/>
  <c r="F509" i="1" s="1"/>
  <c r="H509" i="1" s="1"/>
  <c r="D465" i="1"/>
  <c r="E465" i="1"/>
  <c r="E471" i="1"/>
  <c r="D471" i="1"/>
  <c r="F471" i="1" s="1"/>
  <c r="H471" i="1" s="1"/>
  <c r="E470" i="1"/>
  <c r="D470" i="1"/>
  <c r="F470" i="1" s="1"/>
  <c r="H470" i="1" s="1"/>
  <c r="A470" i="1"/>
  <c r="A471" i="1" s="1"/>
  <c r="E469" i="1"/>
  <c r="D469" i="1"/>
  <c r="E467" i="1"/>
  <c r="D467" i="1"/>
  <c r="E466" i="1"/>
  <c r="D466" i="1"/>
  <c r="A466" i="1"/>
  <c r="A467" i="1" s="1"/>
  <c r="E463" i="1"/>
  <c r="D463" i="1"/>
  <c r="F463" i="1" s="1"/>
  <c r="H463" i="1" s="1"/>
  <c r="E462" i="1"/>
  <c r="D462" i="1"/>
  <c r="F462" i="1" s="1"/>
  <c r="H462" i="1" s="1"/>
  <c r="A462" i="1"/>
  <c r="A463" i="1" s="1"/>
  <c r="F461" i="1"/>
  <c r="H461" i="1" s="1"/>
  <c r="E461" i="1"/>
  <c r="D461" i="1"/>
  <c r="E459" i="1"/>
  <c r="D459" i="1"/>
  <c r="E458" i="1"/>
  <c r="D458" i="1"/>
  <c r="F458" i="1" s="1"/>
  <c r="H458" i="1" s="1"/>
  <c r="A458" i="1"/>
  <c r="A459" i="1" s="1"/>
  <c r="E457" i="1"/>
  <c r="D457" i="1"/>
  <c r="E426" i="1"/>
  <c r="D426" i="1"/>
  <c r="E425" i="1"/>
  <c r="D425" i="1"/>
  <c r="E424" i="1"/>
  <c r="D424" i="1"/>
  <c r="F424" i="1" s="1"/>
  <c r="H424" i="1" s="1"/>
  <c r="A424" i="1"/>
  <c r="A425" i="1" s="1"/>
  <c r="A426" i="1" s="1"/>
  <c r="E423" i="1"/>
  <c r="D423" i="1"/>
  <c r="E421" i="1"/>
  <c r="F421" i="1" s="1"/>
  <c r="H421" i="1" s="1"/>
  <c r="D421" i="1"/>
  <c r="E420" i="1"/>
  <c r="D420" i="1"/>
  <c r="F419" i="1"/>
  <c r="H419" i="1" s="1"/>
  <c r="E419" i="1"/>
  <c r="D419" i="1"/>
  <c r="A419" i="1"/>
  <c r="A420" i="1" s="1"/>
  <c r="A421" i="1" s="1"/>
  <c r="E418" i="1"/>
  <c r="D418" i="1"/>
  <c r="E416" i="1"/>
  <c r="D416" i="1"/>
  <c r="E415" i="1"/>
  <c r="D415" i="1"/>
  <c r="E414" i="1"/>
  <c r="D414" i="1"/>
  <c r="A414" i="1"/>
  <c r="A415" i="1" s="1"/>
  <c r="A416" i="1" s="1"/>
  <c r="E413" i="1"/>
  <c r="D413" i="1"/>
  <c r="E411" i="1"/>
  <c r="D411" i="1"/>
  <c r="F411" i="1" s="1"/>
  <c r="H411" i="1" s="1"/>
  <c r="E410" i="1"/>
  <c r="D410" i="1"/>
  <c r="E409" i="1"/>
  <c r="D409" i="1"/>
  <c r="A409" i="1"/>
  <c r="A410" i="1" s="1"/>
  <c r="A411" i="1" s="1"/>
  <c r="E408" i="1"/>
  <c r="D408" i="1"/>
  <c r="E370" i="1"/>
  <c r="D370" i="1"/>
  <c r="E369" i="1"/>
  <c r="D369" i="1"/>
  <c r="F369" i="1" s="1"/>
  <c r="H369" i="1" s="1"/>
  <c r="E368" i="1"/>
  <c r="D368" i="1"/>
  <c r="A368" i="1"/>
  <c r="A369" i="1" s="1"/>
  <c r="A370" i="1" s="1"/>
  <c r="E367" i="1"/>
  <c r="D367" i="1"/>
  <c r="F367" i="1" s="1"/>
  <c r="H367" i="1" s="1"/>
  <c r="E365" i="1"/>
  <c r="D365" i="1"/>
  <c r="E364" i="1"/>
  <c r="D364" i="1"/>
  <c r="F364" i="1" s="1"/>
  <c r="H364" i="1" s="1"/>
  <c r="E363" i="1"/>
  <c r="D363" i="1"/>
  <c r="A363" i="1"/>
  <c r="A364" i="1" s="1"/>
  <c r="A365" i="1" s="1"/>
  <c r="E362" i="1"/>
  <c r="D362" i="1"/>
  <c r="E360" i="1"/>
  <c r="D360" i="1"/>
  <c r="E359" i="1"/>
  <c r="D359" i="1"/>
  <c r="E358" i="1"/>
  <c r="D358" i="1"/>
  <c r="A358" i="1"/>
  <c r="A359" i="1" s="1"/>
  <c r="A360" i="1" s="1"/>
  <c r="E357" i="1"/>
  <c r="D357" i="1"/>
  <c r="F357" i="1" s="1"/>
  <c r="H357" i="1" s="1"/>
  <c r="E355" i="1"/>
  <c r="D355" i="1"/>
  <c r="F355" i="1" s="1"/>
  <c r="H355" i="1" s="1"/>
  <c r="E354" i="1"/>
  <c r="D354" i="1"/>
  <c r="F354" i="1" s="1"/>
  <c r="H354" i="1" s="1"/>
  <c r="E353" i="1"/>
  <c r="D353" i="1"/>
  <c r="F353" i="1" s="1"/>
  <c r="H353" i="1" s="1"/>
  <c r="A353" i="1"/>
  <c r="A354" i="1" s="1"/>
  <c r="A355" i="1" s="1"/>
  <c r="E352" i="1"/>
  <c r="D352" i="1"/>
  <c r="D317" i="1"/>
  <c r="D56" i="1"/>
  <c r="F359" i="1" l="1"/>
  <c r="H359" i="1" s="1"/>
  <c r="F362" i="1"/>
  <c r="H362" i="1" s="1"/>
  <c r="F363" i="1"/>
  <c r="H363" i="1" s="1"/>
  <c r="F414" i="1"/>
  <c r="H414" i="1" s="1"/>
  <c r="F360" i="1"/>
  <c r="H360" i="1" s="1"/>
  <c r="F418" i="1"/>
  <c r="H418" i="1" s="1"/>
  <c r="F466" i="1"/>
  <c r="H466" i="1" s="1"/>
  <c r="F368" i="1"/>
  <c r="H368" i="1" s="1"/>
  <c r="F416" i="1"/>
  <c r="H416" i="1" s="1"/>
  <c r="F423" i="1"/>
  <c r="H423" i="1" s="1"/>
  <c r="F514" i="1"/>
  <c r="H514" i="1" s="1"/>
  <c r="F520" i="1"/>
  <c r="H520" i="1" s="1"/>
  <c r="F558" i="1"/>
  <c r="H558" i="1" s="1"/>
  <c r="F465" i="1"/>
  <c r="H465" i="1" s="1"/>
  <c r="F358" i="1"/>
  <c r="H358" i="1" s="1"/>
  <c r="F370" i="1"/>
  <c r="H370" i="1" s="1"/>
  <c r="F413" i="1"/>
  <c r="H413" i="1" s="1"/>
  <c r="F459" i="1"/>
  <c r="H459" i="1" s="1"/>
  <c r="F467" i="1"/>
  <c r="H467" i="1" s="1"/>
  <c r="F522" i="1"/>
  <c r="H522" i="1" s="1"/>
  <c r="F567" i="1"/>
  <c r="H567" i="1" s="1"/>
  <c r="F365" i="1"/>
  <c r="H365" i="1" s="1"/>
  <c r="F408" i="1"/>
  <c r="H408" i="1" s="1"/>
  <c r="F469" i="1"/>
  <c r="H469" i="1" s="1"/>
  <c r="F510" i="1"/>
  <c r="H510" i="1" s="1"/>
  <c r="F524" i="1"/>
  <c r="H524" i="1" s="1"/>
  <c r="F555" i="1"/>
  <c r="H555" i="1" s="1"/>
  <c r="F556" i="1"/>
  <c r="H556" i="1" s="1"/>
  <c r="F569" i="1"/>
  <c r="H569" i="1" s="1"/>
  <c r="F415" i="1"/>
  <c r="H415" i="1" s="1"/>
  <c r="F457" i="1"/>
  <c r="H457" i="1" s="1"/>
  <c r="F512" i="1"/>
  <c r="H512" i="1" s="1"/>
  <c r="F557" i="1"/>
  <c r="H557" i="1" s="1"/>
  <c r="F570" i="1"/>
  <c r="H570" i="1" s="1"/>
  <c r="F521" i="1"/>
  <c r="H521" i="1" s="1"/>
  <c r="F563" i="1"/>
  <c r="H563" i="1" s="1"/>
  <c r="F409" i="1"/>
  <c r="H409" i="1" s="1"/>
  <c r="F568" i="1"/>
  <c r="H568" i="1" s="1"/>
  <c r="F420" i="1"/>
  <c r="H420" i="1" s="1"/>
  <c r="F425" i="1"/>
  <c r="H425" i="1" s="1"/>
  <c r="F517" i="1"/>
  <c r="H517" i="1" s="1"/>
  <c r="F554" i="1"/>
  <c r="H554" i="1" s="1"/>
  <c r="F560" i="1"/>
  <c r="H560" i="1" s="1"/>
  <c r="F566" i="1"/>
  <c r="H566" i="1" s="1"/>
  <c r="F572" i="1"/>
  <c r="H572" i="1" s="1"/>
  <c r="F352" i="1"/>
  <c r="H352" i="1" s="1"/>
  <c r="F410" i="1"/>
  <c r="H410" i="1" s="1"/>
  <c r="F426" i="1"/>
  <c r="H426" i="1" s="1"/>
  <c r="F519" i="1"/>
  <c r="H519" i="1" s="1"/>
  <c r="D319" i="1"/>
  <c r="D318" i="1"/>
  <c r="E552" i="1" l="1"/>
  <c r="D552" i="1"/>
  <c r="E551" i="1"/>
  <c r="D551" i="1"/>
  <c r="E550" i="1"/>
  <c r="D550" i="1"/>
  <c r="E549" i="1"/>
  <c r="D549" i="1"/>
  <c r="E548" i="1"/>
  <c r="D548" i="1"/>
  <c r="E546" i="1"/>
  <c r="D546" i="1"/>
  <c r="E545" i="1"/>
  <c r="D545" i="1"/>
  <c r="E544" i="1"/>
  <c r="D544" i="1"/>
  <c r="E543" i="1"/>
  <c r="D543" i="1"/>
  <c r="E542" i="1"/>
  <c r="D542" i="1"/>
  <c r="E540" i="1"/>
  <c r="D540" i="1"/>
  <c r="E537" i="1"/>
  <c r="D537" i="1"/>
  <c r="E536" i="1"/>
  <c r="D536" i="1"/>
  <c r="E534" i="1"/>
  <c r="D534" i="1"/>
  <c r="E533" i="1"/>
  <c r="D533" i="1"/>
  <c r="E532" i="1"/>
  <c r="D532" i="1"/>
  <c r="E507" i="1"/>
  <c r="D507" i="1"/>
  <c r="E506" i="1"/>
  <c r="D506" i="1"/>
  <c r="E505" i="1"/>
  <c r="D505" i="1"/>
  <c r="E504" i="1"/>
  <c r="D504" i="1"/>
  <c r="E502" i="1"/>
  <c r="D502" i="1"/>
  <c r="E501" i="1"/>
  <c r="D501" i="1"/>
  <c r="E500" i="1"/>
  <c r="D500" i="1"/>
  <c r="E499" i="1"/>
  <c r="D499" i="1"/>
  <c r="E497" i="1"/>
  <c r="D497" i="1"/>
  <c r="E496" i="1"/>
  <c r="D496" i="1"/>
  <c r="E495" i="1"/>
  <c r="D495" i="1"/>
  <c r="E494" i="1"/>
  <c r="D494" i="1"/>
  <c r="E492" i="1"/>
  <c r="D492" i="1"/>
  <c r="E491" i="1"/>
  <c r="D491" i="1"/>
  <c r="E490" i="1"/>
  <c r="D490" i="1"/>
  <c r="E489" i="1"/>
  <c r="D489" i="1"/>
  <c r="E487" i="1"/>
  <c r="D487" i="1"/>
  <c r="E486" i="1"/>
  <c r="D486" i="1"/>
  <c r="E485" i="1"/>
  <c r="D485" i="1"/>
  <c r="E484" i="1"/>
  <c r="D484" i="1"/>
  <c r="E482" i="1"/>
  <c r="D482" i="1"/>
  <c r="E479" i="1"/>
  <c r="D479" i="1"/>
  <c r="E477" i="1"/>
  <c r="D477" i="1"/>
  <c r="E476" i="1"/>
  <c r="D476" i="1"/>
  <c r="E475" i="1"/>
  <c r="D475" i="1"/>
  <c r="E474" i="1"/>
  <c r="D474" i="1"/>
  <c r="E455" i="1"/>
  <c r="D455" i="1"/>
  <c r="E454" i="1"/>
  <c r="D454" i="1"/>
  <c r="E453" i="1"/>
  <c r="D453" i="1"/>
  <c r="E451" i="1"/>
  <c r="D451" i="1"/>
  <c r="E450" i="1"/>
  <c r="D450" i="1"/>
  <c r="E449" i="1"/>
  <c r="D449" i="1"/>
  <c r="E447" i="1"/>
  <c r="D447" i="1"/>
  <c r="E446" i="1"/>
  <c r="D446" i="1"/>
  <c r="E445" i="1"/>
  <c r="D445" i="1"/>
  <c r="E443" i="1"/>
  <c r="D443" i="1"/>
  <c r="E442" i="1"/>
  <c r="D442" i="1"/>
  <c r="E441" i="1"/>
  <c r="D441" i="1"/>
  <c r="E439" i="1"/>
  <c r="D439" i="1"/>
  <c r="E438" i="1"/>
  <c r="D438" i="1"/>
  <c r="E437" i="1"/>
  <c r="D437" i="1"/>
  <c r="E435" i="1"/>
  <c r="D435" i="1"/>
  <c r="E434" i="1"/>
  <c r="D434" i="1"/>
  <c r="E431" i="1"/>
  <c r="D431" i="1"/>
  <c r="E430" i="1"/>
  <c r="D430" i="1"/>
  <c r="E429" i="1"/>
  <c r="D429" i="1"/>
  <c r="E406" i="1"/>
  <c r="D406" i="1"/>
  <c r="E405" i="1"/>
  <c r="D405" i="1"/>
  <c r="E404" i="1"/>
  <c r="D404" i="1"/>
  <c r="E403" i="1"/>
  <c r="D403" i="1"/>
  <c r="E401" i="1"/>
  <c r="D401" i="1"/>
  <c r="E400" i="1"/>
  <c r="D400" i="1"/>
  <c r="E399" i="1"/>
  <c r="D399" i="1"/>
  <c r="E398" i="1"/>
  <c r="D398" i="1"/>
  <c r="E396" i="1"/>
  <c r="D396" i="1"/>
  <c r="E395" i="1"/>
  <c r="D395" i="1"/>
  <c r="E394" i="1"/>
  <c r="D394" i="1"/>
  <c r="E393" i="1"/>
  <c r="D393" i="1"/>
  <c r="E391" i="1"/>
  <c r="D391" i="1"/>
  <c r="E390" i="1"/>
  <c r="D390" i="1"/>
  <c r="E389" i="1"/>
  <c r="D389" i="1"/>
  <c r="E388" i="1"/>
  <c r="D388" i="1"/>
  <c r="E386" i="1"/>
  <c r="D386" i="1"/>
  <c r="E385" i="1"/>
  <c r="D385" i="1"/>
  <c r="E384" i="1"/>
  <c r="D384" i="1"/>
  <c r="E383" i="1"/>
  <c r="D383" i="1"/>
  <c r="E381" i="1"/>
  <c r="D381" i="1"/>
  <c r="E378" i="1"/>
  <c r="D378" i="1"/>
  <c r="E376" i="1"/>
  <c r="D376" i="1"/>
  <c r="E375" i="1"/>
  <c r="D375" i="1"/>
  <c r="E374" i="1"/>
  <c r="D374" i="1"/>
  <c r="E373" i="1"/>
  <c r="D373" i="1"/>
  <c r="E350" i="1"/>
  <c r="D350" i="1"/>
  <c r="E349" i="1"/>
  <c r="D349" i="1"/>
  <c r="E348" i="1"/>
  <c r="D348" i="1"/>
  <c r="E347" i="1"/>
  <c r="D347" i="1"/>
  <c r="E345" i="1"/>
  <c r="D345" i="1"/>
  <c r="E344" i="1"/>
  <c r="D344" i="1"/>
  <c r="E343" i="1"/>
  <c r="D343" i="1"/>
  <c r="E342" i="1"/>
  <c r="D342" i="1"/>
  <c r="E340" i="1"/>
  <c r="D340" i="1"/>
  <c r="E339" i="1"/>
  <c r="D339" i="1"/>
  <c r="E338" i="1"/>
  <c r="D338" i="1"/>
  <c r="E337" i="1"/>
  <c r="D337" i="1"/>
  <c r="E335" i="1"/>
  <c r="D335" i="1"/>
  <c r="E334" i="1"/>
  <c r="D334" i="1"/>
  <c r="E333" i="1"/>
  <c r="D333" i="1"/>
  <c r="E332" i="1"/>
  <c r="D332" i="1"/>
  <c r="E330" i="1"/>
  <c r="D330" i="1"/>
  <c r="E329" i="1"/>
  <c r="D329" i="1"/>
  <c r="E328" i="1"/>
  <c r="D328" i="1"/>
  <c r="E327" i="1"/>
  <c r="D327" i="1"/>
  <c r="E325" i="1"/>
  <c r="D325" i="1"/>
  <c r="E322" i="1"/>
  <c r="D322" i="1"/>
  <c r="E320" i="1"/>
  <c r="D320" i="1"/>
  <c r="E319" i="1"/>
  <c r="E318" i="1"/>
  <c r="E317" i="1"/>
  <c r="D174" i="1"/>
  <c r="D173" i="1"/>
  <c r="D172" i="1"/>
  <c r="D168" i="1"/>
  <c r="D167" i="1"/>
  <c r="D166" i="1"/>
  <c r="D165" i="1"/>
  <c r="D164" i="1"/>
  <c r="D163" i="1"/>
  <c r="D159" i="1"/>
  <c r="D158" i="1"/>
  <c r="D157" i="1"/>
  <c r="D156" i="1"/>
  <c r="D155" i="1"/>
  <c r="D154" i="1"/>
  <c r="D153" i="1"/>
  <c r="D152" i="1"/>
  <c r="D148" i="1"/>
  <c r="D147" i="1"/>
  <c r="D146" i="1"/>
  <c r="D145" i="1"/>
  <c r="D144" i="1"/>
  <c r="D143" i="1"/>
  <c r="D139" i="1"/>
  <c r="D138" i="1"/>
  <c r="D137" i="1"/>
  <c r="D136" i="1"/>
  <c r="I341" i="1"/>
  <c r="A505" i="1"/>
  <c r="A506" i="1" s="1"/>
  <c r="A507" i="1" s="1"/>
  <c r="A454" i="1"/>
  <c r="A455" i="1" s="1"/>
  <c r="A404" i="1"/>
  <c r="A405" i="1" s="1"/>
  <c r="A406" i="1" s="1"/>
  <c r="A348" i="1"/>
  <c r="A349" i="1" s="1"/>
  <c r="A350" i="1" s="1"/>
  <c r="A500" i="1"/>
  <c r="A501" i="1" s="1"/>
  <c r="A502" i="1" s="1"/>
  <c r="A450" i="1"/>
  <c r="A451" i="1" s="1"/>
  <c r="A399" i="1"/>
  <c r="A400" i="1" s="1"/>
  <c r="A401" i="1" s="1"/>
  <c r="A343" i="1"/>
  <c r="A344" i="1" s="1"/>
  <c r="A345" i="1" s="1"/>
  <c r="A495" i="1"/>
  <c r="A496" i="1" s="1"/>
  <c r="A497" i="1" s="1"/>
  <c r="A446" i="1"/>
  <c r="A447" i="1" s="1"/>
  <c r="A394" i="1"/>
  <c r="A395" i="1" s="1"/>
  <c r="A396" i="1" s="1"/>
  <c r="A338" i="1"/>
  <c r="A339" i="1" s="1"/>
  <c r="A340" i="1" s="1"/>
  <c r="A549" i="1"/>
  <c r="A550" i="1" s="1"/>
  <c r="A551" i="1" s="1"/>
  <c r="A552" i="1" s="1"/>
  <c r="A490" i="1"/>
  <c r="A491" i="1" s="1"/>
  <c r="A492" i="1" s="1"/>
  <c r="A442" i="1"/>
  <c r="A443" i="1" s="1"/>
  <c r="A389" i="1"/>
  <c r="A390" i="1" s="1"/>
  <c r="A391" i="1" s="1"/>
  <c r="A333" i="1"/>
  <c r="A334" i="1" s="1"/>
  <c r="A335" i="1" s="1"/>
  <c r="A543" i="1"/>
  <c r="A544" i="1" s="1"/>
  <c r="A545" i="1" s="1"/>
  <c r="A546" i="1" s="1"/>
  <c r="A485" i="1"/>
  <c r="A486" i="1" s="1"/>
  <c r="A487" i="1" s="1"/>
  <c r="A438" i="1"/>
  <c r="A439" i="1" s="1"/>
  <c r="A384" i="1"/>
  <c r="A385" i="1" s="1"/>
  <c r="A386" i="1" s="1"/>
  <c r="A328" i="1"/>
  <c r="A329" i="1" s="1"/>
  <c r="A330" i="1" s="1"/>
  <c r="A480" i="1"/>
  <c r="A481" i="1" s="1"/>
  <c r="A482" i="1" s="1"/>
  <c r="A434" i="1"/>
  <c r="A435" i="1" s="1"/>
  <c r="A379" i="1"/>
  <c r="A380" i="1" s="1"/>
  <c r="A381" i="1" s="1"/>
  <c r="A323" i="1"/>
  <c r="A324" i="1" s="1"/>
  <c r="A325" i="1" s="1"/>
  <c r="C122" i="1" l="1"/>
  <c r="C125" i="1"/>
  <c r="C126" i="1"/>
  <c r="C123" i="1"/>
  <c r="C124" i="1"/>
  <c r="F401" i="1"/>
  <c r="H401" i="1" s="1"/>
  <c r="F455" i="1"/>
  <c r="H455" i="1" s="1"/>
  <c r="F350" i="1"/>
  <c r="H350" i="1" s="1"/>
  <c r="F398" i="1"/>
  <c r="H398" i="1" s="1"/>
  <c r="C114" i="1"/>
  <c r="C118" i="1"/>
  <c r="F505" i="1"/>
  <c r="H505" i="1" s="1"/>
  <c r="F499" i="1"/>
  <c r="H499" i="1" s="1"/>
  <c r="C117" i="1"/>
  <c r="C116" i="1"/>
  <c r="C115" i="1"/>
  <c r="F342" i="1"/>
  <c r="H342" i="1" s="1"/>
  <c r="F502" i="1"/>
  <c r="H502" i="1" s="1"/>
  <c r="F506" i="1"/>
  <c r="H506" i="1" s="1"/>
  <c r="F399" i="1"/>
  <c r="H399" i="1" s="1"/>
  <c r="F453" i="1"/>
  <c r="H453" i="1" s="1"/>
  <c r="F504" i="1"/>
  <c r="H504" i="1" s="1"/>
  <c r="F507" i="1"/>
  <c r="H507" i="1" s="1"/>
  <c r="F454" i="1"/>
  <c r="H454" i="1" s="1"/>
  <c r="F403" i="1"/>
  <c r="H403" i="1" s="1"/>
  <c r="F406" i="1"/>
  <c r="H406" i="1" s="1"/>
  <c r="F404" i="1"/>
  <c r="H404" i="1" s="1"/>
  <c r="F451" i="1"/>
  <c r="H451" i="1" s="1"/>
  <c r="F405" i="1"/>
  <c r="H405" i="1" s="1"/>
  <c r="F450" i="1"/>
  <c r="H450" i="1" s="1"/>
  <c r="F449" i="1"/>
  <c r="H449" i="1" s="1"/>
  <c r="F349" i="1"/>
  <c r="H349" i="1" s="1"/>
  <c r="F347" i="1"/>
  <c r="H347" i="1" s="1"/>
  <c r="F348" i="1"/>
  <c r="H348" i="1" s="1"/>
  <c r="F501" i="1"/>
  <c r="H501" i="1" s="1"/>
  <c r="F500" i="1"/>
  <c r="H500" i="1" s="1"/>
  <c r="F400" i="1"/>
  <c r="H400" i="1" s="1"/>
  <c r="F345" i="1"/>
  <c r="H345" i="1" s="1"/>
  <c r="F344" i="1"/>
  <c r="H344" i="1" s="1"/>
  <c r="F343" i="1"/>
  <c r="H343" i="1" s="1"/>
  <c r="F492" i="1"/>
  <c r="H492" i="1" s="1"/>
  <c r="F338" i="1"/>
  <c r="H338" i="1" s="1"/>
  <c r="F388" i="1"/>
  <c r="H388" i="1" s="1"/>
  <c r="F489" i="1"/>
  <c r="H489" i="1" s="1"/>
  <c r="F394" i="1"/>
  <c r="H394" i="1" s="1"/>
  <c r="F495" i="1"/>
  <c r="H495" i="1" s="1"/>
  <c r="F496" i="1"/>
  <c r="H496" i="1" s="1"/>
  <c r="F497" i="1"/>
  <c r="H497" i="1" s="1"/>
  <c r="F393" i="1"/>
  <c r="H393" i="1" s="1"/>
  <c r="F446" i="1"/>
  <c r="H446" i="1" s="1"/>
  <c r="F549" i="1"/>
  <c r="H549" i="1" s="1"/>
  <c r="F396" i="1"/>
  <c r="H396" i="1" s="1"/>
  <c r="F447" i="1"/>
  <c r="H447" i="1" s="1"/>
  <c r="F550" i="1"/>
  <c r="H550" i="1" s="1"/>
  <c r="F445" i="1"/>
  <c r="H445" i="1" s="1"/>
  <c r="F494" i="1"/>
  <c r="H494" i="1" s="1"/>
  <c r="F395" i="1"/>
  <c r="H395" i="1" s="1"/>
  <c r="F551" i="1"/>
  <c r="H551" i="1" s="1"/>
  <c r="F339" i="1"/>
  <c r="H339" i="1" s="1"/>
  <c r="F552" i="1"/>
  <c r="H552" i="1" s="1"/>
  <c r="F490" i="1"/>
  <c r="H490" i="1" s="1"/>
  <c r="F340" i="1"/>
  <c r="H340" i="1" s="1"/>
  <c r="F337" i="1"/>
  <c r="H337" i="1" s="1"/>
  <c r="F548" i="1"/>
  <c r="H548" i="1" s="1"/>
  <c r="F491" i="1"/>
  <c r="H491" i="1" s="1"/>
  <c r="F437" i="1"/>
  <c r="H437" i="1" s="1"/>
  <c r="F441" i="1"/>
  <c r="H441" i="1" s="1"/>
  <c r="F442" i="1"/>
  <c r="H442" i="1" s="1"/>
  <c r="F390" i="1"/>
  <c r="H390" i="1" s="1"/>
  <c r="F482" i="1"/>
  <c r="H482" i="1" s="1"/>
  <c r="F439" i="1"/>
  <c r="H439" i="1" s="1"/>
  <c r="F543" i="1"/>
  <c r="H543" i="1" s="1"/>
  <c r="F391" i="1"/>
  <c r="H391" i="1" s="1"/>
  <c r="F443" i="1"/>
  <c r="H443" i="1" s="1"/>
  <c r="F333" i="1"/>
  <c r="H333" i="1" s="1"/>
  <c r="F383" i="1"/>
  <c r="H383" i="1" s="1"/>
  <c r="F484" i="1"/>
  <c r="H484" i="1" s="1"/>
  <c r="F389" i="1"/>
  <c r="H389" i="1" s="1"/>
  <c r="F386" i="1"/>
  <c r="H386" i="1" s="1"/>
  <c r="F545" i="1"/>
  <c r="H545" i="1" s="1"/>
  <c r="F335" i="1"/>
  <c r="H335" i="1" s="1"/>
  <c r="F334" i="1"/>
  <c r="H334" i="1" s="1"/>
  <c r="F329" i="1"/>
  <c r="H329" i="1" s="1"/>
  <c r="F332" i="1"/>
  <c r="H332" i="1" s="1"/>
  <c r="F546" i="1"/>
  <c r="H546" i="1" s="1"/>
  <c r="F544" i="1"/>
  <c r="H544" i="1" s="1"/>
  <c r="F485" i="1"/>
  <c r="H485" i="1" s="1"/>
  <c r="F385" i="1"/>
  <c r="H385" i="1" s="1"/>
  <c r="F542" i="1"/>
  <c r="H542" i="1" s="1"/>
  <c r="F486" i="1"/>
  <c r="H486" i="1" s="1"/>
  <c r="F487" i="1"/>
  <c r="H487" i="1" s="1"/>
  <c r="F330" i="1"/>
  <c r="H330" i="1" s="1"/>
  <c r="F438" i="1"/>
  <c r="H438" i="1" s="1"/>
  <c r="F384" i="1"/>
  <c r="H384" i="1" s="1"/>
  <c r="F434" i="1"/>
  <c r="H434" i="1" s="1"/>
  <c r="F327" i="1"/>
  <c r="H327" i="1" s="1"/>
  <c r="F328" i="1"/>
  <c r="H328" i="1" s="1"/>
  <c r="F381" i="1"/>
  <c r="H381" i="1" s="1"/>
  <c r="F540" i="1"/>
  <c r="H540" i="1" s="1"/>
  <c r="F322" i="1"/>
  <c r="H322" i="1" s="1"/>
  <c r="F378" i="1"/>
  <c r="H378" i="1" s="1"/>
  <c r="F325" i="1"/>
  <c r="H325" i="1" s="1"/>
  <c r="F435" i="1"/>
  <c r="H435" i="1" s="1"/>
  <c r="F479" i="1"/>
  <c r="H479" i="1" s="1"/>
  <c r="F533" i="1"/>
  <c r="H533" i="1" s="1"/>
  <c r="F537" i="1"/>
  <c r="H537" i="1" s="1"/>
  <c r="A537" i="1"/>
  <c r="A538" i="1" s="1"/>
  <c r="A539" i="1" s="1"/>
  <c r="A540" i="1" s="1"/>
  <c r="F536" i="1"/>
  <c r="H536" i="1" s="1"/>
  <c r="F319" i="1"/>
  <c r="H319" i="1" s="1"/>
  <c r="F318" i="1"/>
  <c r="H318" i="1" s="1"/>
  <c r="A318" i="1"/>
  <c r="A319" i="1" s="1"/>
  <c r="A320" i="1" s="1"/>
  <c r="F534" i="1"/>
  <c r="H534" i="1" s="1"/>
  <c r="A531" i="1"/>
  <c r="A532" i="1" s="1"/>
  <c r="A533" i="1" s="1"/>
  <c r="A534" i="1" s="1"/>
  <c r="A475" i="1"/>
  <c r="A476" i="1" s="1"/>
  <c r="A477" i="1" s="1"/>
  <c r="A430" i="1"/>
  <c r="A431" i="1" s="1"/>
  <c r="F429" i="1"/>
  <c r="F375" i="1"/>
  <c r="H375" i="1" s="1"/>
  <c r="F374" i="1"/>
  <c r="H374" i="1" s="1"/>
  <c r="A374" i="1"/>
  <c r="A375" i="1" s="1"/>
  <c r="A376" i="1" s="1"/>
  <c r="H159" i="1"/>
  <c r="F158" i="1"/>
  <c r="H157" i="1"/>
  <c r="H156" i="1"/>
  <c r="H154" i="1"/>
  <c r="F155" i="1"/>
  <c r="F153" i="1"/>
  <c r="H152" i="1"/>
  <c r="H148" i="1"/>
  <c r="H147" i="1"/>
  <c r="H146" i="1"/>
  <c r="H145" i="1"/>
  <c r="H144" i="1"/>
  <c r="H143" i="1"/>
  <c r="H139" i="1"/>
  <c r="H138" i="1"/>
  <c r="H137" i="1"/>
  <c r="H136" i="1"/>
  <c r="A137" i="1"/>
  <c r="A138" i="1" s="1"/>
  <c r="A139" i="1" s="1"/>
  <c r="A143" i="1" s="1"/>
  <c r="A144" i="1" s="1"/>
  <c r="A145" i="1" s="1"/>
  <c r="A146" i="1" s="1"/>
  <c r="A147" i="1" s="1"/>
  <c r="A148" i="1" s="1"/>
  <c r="A152" i="1" s="1"/>
  <c r="A153" i="1" s="1"/>
  <c r="A154" i="1" s="1"/>
  <c r="A155" i="1" s="1"/>
  <c r="A156" i="1" s="1"/>
  <c r="A157" i="1" s="1"/>
  <c r="A158" i="1" s="1"/>
  <c r="A159" i="1" s="1"/>
  <c r="H174" i="1"/>
  <c r="H173" i="1"/>
  <c r="F172" i="1"/>
  <c r="H168" i="1"/>
  <c r="H167" i="1"/>
  <c r="I43" i="1"/>
  <c r="G114" i="1" l="1"/>
  <c r="G115" i="1"/>
  <c r="H429" i="1"/>
  <c r="H172" i="1"/>
  <c r="G118" i="1" s="1"/>
  <c r="F474" i="1"/>
  <c r="F477" i="1"/>
  <c r="H477" i="1" s="1"/>
  <c r="F148" i="1"/>
  <c r="F167" i="1"/>
  <c r="F373" i="1"/>
  <c r="F376" i="1"/>
  <c r="H376" i="1" s="1"/>
  <c r="F156" i="1"/>
  <c r="F476" i="1"/>
  <c r="H476" i="1" s="1"/>
  <c r="F430" i="1"/>
  <c r="H430" i="1" s="1"/>
  <c r="F532" i="1"/>
  <c r="E126" i="1" s="1"/>
  <c r="F475" i="1"/>
  <c r="H475" i="1" s="1"/>
  <c r="F431" i="1"/>
  <c r="H431" i="1" s="1"/>
  <c r="F320" i="1"/>
  <c r="H320" i="1" s="1"/>
  <c r="F317" i="1"/>
  <c r="E122" i="1" s="1"/>
  <c r="H155" i="1"/>
  <c r="H153" i="1"/>
  <c r="F157" i="1"/>
  <c r="H158" i="1"/>
  <c r="F159" i="1"/>
  <c r="F152" i="1"/>
  <c r="F154" i="1"/>
  <c r="F137" i="1"/>
  <c r="F139" i="1"/>
  <c r="F144" i="1"/>
  <c r="F146" i="1"/>
  <c r="F136" i="1"/>
  <c r="F138" i="1"/>
  <c r="F143" i="1"/>
  <c r="F145" i="1"/>
  <c r="F147" i="1"/>
  <c r="F174" i="1"/>
  <c r="F173" i="1"/>
  <c r="F168" i="1"/>
  <c r="B86" i="1"/>
  <c r="D205" i="1"/>
  <c r="D200" i="1"/>
  <c r="D195" i="1"/>
  <c r="D189" i="1"/>
  <c r="D190" i="1"/>
  <c r="D185" i="1"/>
  <c r="D186" i="1"/>
  <c r="D181" i="1"/>
  <c r="D180" i="1"/>
  <c r="H86" i="1"/>
  <c r="E125" i="1" l="1"/>
  <c r="G124" i="1"/>
  <c r="E123" i="1"/>
  <c r="E124" i="1"/>
  <c r="E118" i="1"/>
  <c r="G116" i="1"/>
  <c r="E114" i="1"/>
  <c r="H317" i="1"/>
  <c r="G122" i="1" s="1"/>
  <c r="H474" i="1"/>
  <c r="G125" i="1" s="1"/>
  <c r="H373" i="1"/>
  <c r="G123" i="1" s="1"/>
  <c r="H532" i="1"/>
  <c r="G126" i="1" s="1"/>
  <c r="E116" i="1"/>
  <c r="E115" i="1"/>
  <c r="J89" i="1"/>
  <c r="D97" i="1"/>
  <c r="D93" i="1"/>
  <c r="D92" i="1"/>
  <c r="D96" i="1"/>
  <c r="D95" i="1"/>
  <c r="J85" i="1"/>
  <c r="J87" i="1" s="1"/>
  <c r="D91" i="1"/>
  <c r="J88" i="1"/>
  <c r="J90" i="1"/>
  <c r="C89" i="1" s="1"/>
  <c r="D98" i="1"/>
  <c r="D94" i="1"/>
  <c r="J93" i="1"/>
  <c r="J96" i="1"/>
  <c r="J95" i="1"/>
  <c r="J91" i="1"/>
  <c r="J92" i="1" s="1"/>
  <c r="J97" i="1" s="1"/>
  <c r="J94" i="1"/>
  <c r="D314" i="1"/>
  <c r="D313" i="1"/>
  <c r="D312" i="1"/>
  <c r="D311" i="1"/>
  <c r="D310" i="1"/>
  <c r="D308" i="1"/>
  <c r="D307" i="1"/>
  <c r="D306" i="1"/>
  <c r="D305" i="1"/>
  <c r="D304" i="1"/>
  <c r="D301" i="1"/>
  <c r="D300" i="1"/>
  <c r="D299" i="1"/>
  <c r="D297" i="1"/>
  <c r="D296" i="1"/>
  <c r="D295" i="1"/>
  <c r="D294" i="1"/>
  <c r="D291" i="1"/>
  <c r="D290" i="1"/>
  <c r="F290" i="1" s="1"/>
  <c r="H290" i="1" s="1"/>
  <c r="D289" i="1"/>
  <c r="F289" i="1" s="1"/>
  <c r="H289" i="1" s="1"/>
  <c r="D288" i="1"/>
  <c r="D286" i="1"/>
  <c r="F286" i="1" s="1"/>
  <c r="H286" i="1" s="1"/>
  <c r="D285" i="1"/>
  <c r="D284" i="1"/>
  <c r="F284" i="1" s="1"/>
  <c r="H284" i="1" s="1"/>
  <c r="D283" i="1"/>
  <c r="D281" i="1"/>
  <c r="D280" i="1"/>
  <c r="D279" i="1"/>
  <c r="D278" i="1"/>
  <c r="D276" i="1"/>
  <c r="D275" i="1"/>
  <c r="D274" i="1"/>
  <c r="D273" i="1"/>
  <c r="D270" i="1"/>
  <c r="D269" i="1"/>
  <c r="D267" i="1"/>
  <c r="D266" i="1"/>
  <c r="D265" i="1"/>
  <c r="D262" i="1"/>
  <c r="D261" i="1"/>
  <c r="D260" i="1"/>
  <c r="F260" i="1" s="1"/>
  <c r="H260" i="1" s="1"/>
  <c r="D258" i="1"/>
  <c r="D257" i="1"/>
  <c r="D256" i="1"/>
  <c r="D254" i="1"/>
  <c r="D253" i="1"/>
  <c r="D252" i="1"/>
  <c r="D250" i="1"/>
  <c r="D249" i="1"/>
  <c r="D248" i="1"/>
  <c r="D246" i="1"/>
  <c r="D245" i="1"/>
  <c r="D244" i="1"/>
  <c r="D242" i="1"/>
  <c r="D241" i="1"/>
  <c r="D240" i="1"/>
  <c r="D237" i="1"/>
  <c r="D236" i="1"/>
  <c r="D235" i="1"/>
  <c r="D234" i="1"/>
  <c r="D232" i="1"/>
  <c r="F232" i="1" s="1"/>
  <c r="H232" i="1" s="1"/>
  <c r="D231" i="1"/>
  <c r="D230" i="1"/>
  <c r="D229" i="1"/>
  <c r="D227" i="1"/>
  <c r="D226" i="1"/>
  <c r="D225" i="1"/>
  <c r="D224" i="1"/>
  <c r="D222" i="1"/>
  <c r="D221" i="1"/>
  <c r="D220" i="1"/>
  <c r="D219" i="1"/>
  <c r="D217" i="1"/>
  <c r="D214" i="1"/>
  <c r="D212" i="1"/>
  <c r="D211" i="1"/>
  <c r="D210" i="1"/>
  <c r="D209" i="1"/>
  <c r="D206" i="1"/>
  <c r="F206" i="1" s="1"/>
  <c r="H206" i="1" s="1"/>
  <c r="F205" i="1"/>
  <c r="H205" i="1" s="1"/>
  <c r="D204" i="1"/>
  <c r="D203" i="1"/>
  <c r="D201" i="1"/>
  <c r="D199" i="1"/>
  <c r="D198" i="1"/>
  <c r="D196" i="1"/>
  <c r="D194" i="1"/>
  <c r="D193" i="1"/>
  <c r="D191" i="1"/>
  <c r="D188" i="1"/>
  <c r="D183" i="1"/>
  <c r="A289" i="1"/>
  <c r="A290" i="1" s="1"/>
  <c r="A291" i="1" s="1"/>
  <c r="A261" i="1"/>
  <c r="A262" i="1" s="1"/>
  <c r="A237" i="1"/>
  <c r="A204" i="1"/>
  <c r="A205" i="1" s="1"/>
  <c r="A284" i="1"/>
  <c r="A285" i="1" s="1"/>
  <c r="A286" i="1" s="1"/>
  <c r="A257" i="1"/>
  <c r="A258" i="1" s="1"/>
  <c r="A232" i="1"/>
  <c r="A199" i="1"/>
  <c r="A200" i="1" s="1"/>
  <c r="A311" i="1"/>
  <c r="A279" i="1"/>
  <c r="A280" i="1" s="1"/>
  <c r="A281" i="1" s="1"/>
  <c r="A227" i="1"/>
  <c r="A194" i="1"/>
  <c r="A195" i="1" s="1"/>
  <c r="A305" i="1"/>
  <c r="A274" i="1"/>
  <c r="A275" i="1" s="1"/>
  <c r="A276" i="1" s="1"/>
  <c r="A253" i="1"/>
  <c r="A254" i="1" s="1"/>
  <c r="A222" i="1"/>
  <c r="J98" i="1" l="1"/>
  <c r="C90" i="1" s="1"/>
  <c r="G89" i="1" s="1"/>
  <c r="D89" i="1"/>
  <c r="F234" i="1"/>
  <c r="H234" i="1" s="1"/>
  <c r="F236" i="1"/>
  <c r="H236" i="1" s="1"/>
  <c r="F288" i="1"/>
  <c r="H288" i="1" s="1"/>
  <c r="F291" i="1"/>
  <c r="H291" i="1" s="1"/>
  <c r="F198" i="1"/>
  <c r="H198" i="1" s="1"/>
  <c r="F257" i="1"/>
  <c r="H257" i="1" s="1"/>
  <c r="F261" i="1"/>
  <c r="H261" i="1" s="1"/>
  <c r="F262" i="1"/>
  <c r="H262" i="1" s="1"/>
  <c r="F237" i="1"/>
  <c r="H237" i="1" s="1"/>
  <c r="F204" i="1"/>
  <c r="H204" i="1" s="1"/>
  <c r="F203" i="1"/>
  <c r="H203" i="1" s="1"/>
  <c r="F235" i="1"/>
  <c r="H235" i="1" s="1"/>
  <c r="F283" i="1"/>
  <c r="H283" i="1" s="1"/>
  <c r="F196" i="1"/>
  <c r="H196" i="1" s="1"/>
  <c r="F225" i="1"/>
  <c r="H225" i="1" s="1"/>
  <c r="F230" i="1"/>
  <c r="H230" i="1" s="1"/>
  <c r="F258" i="1"/>
  <c r="H258" i="1" s="1"/>
  <c r="F285" i="1"/>
  <c r="H285" i="1" s="1"/>
  <c r="F256" i="1"/>
  <c r="H256" i="1" s="1"/>
  <c r="F278" i="1"/>
  <c r="H278" i="1" s="1"/>
  <c r="F273" i="1"/>
  <c r="H273" i="1" s="1"/>
  <c r="F275" i="1"/>
  <c r="H275" i="1" s="1"/>
  <c r="F229" i="1"/>
  <c r="H229" i="1" s="1"/>
  <c r="F231" i="1"/>
  <c r="H231" i="1" s="1"/>
  <c r="F274" i="1"/>
  <c r="H274" i="1" s="1"/>
  <c r="F305" i="1"/>
  <c r="H305" i="1" s="1"/>
  <c r="F307" i="1"/>
  <c r="H307" i="1" s="1"/>
  <c r="F279" i="1"/>
  <c r="H279" i="1" s="1"/>
  <c r="F311" i="1"/>
  <c r="H311" i="1" s="1"/>
  <c r="F313" i="1"/>
  <c r="H313" i="1" s="1"/>
  <c r="F199" i="1"/>
  <c r="H199" i="1" s="1"/>
  <c r="F201" i="1"/>
  <c r="H201" i="1" s="1"/>
  <c r="F221" i="1"/>
  <c r="H221" i="1" s="1"/>
  <c r="F195" i="1"/>
  <c r="H195" i="1" s="1"/>
  <c r="F224" i="1"/>
  <c r="H224" i="1" s="1"/>
  <c r="F226" i="1"/>
  <c r="H226" i="1" s="1"/>
  <c r="F312" i="1"/>
  <c r="H312" i="1" s="1"/>
  <c r="F314" i="1"/>
  <c r="H314" i="1" s="1"/>
  <c r="F200" i="1"/>
  <c r="H200" i="1" s="1"/>
  <c r="F304" i="1"/>
  <c r="H304" i="1" s="1"/>
  <c r="F193" i="1"/>
  <c r="H193" i="1" s="1"/>
  <c r="F227" i="1"/>
  <c r="H227" i="1" s="1"/>
  <c r="F253" i="1"/>
  <c r="H253" i="1" s="1"/>
  <c r="F281" i="1"/>
  <c r="H281" i="1" s="1"/>
  <c r="F219" i="1"/>
  <c r="H219" i="1" s="1"/>
  <c r="F276" i="1"/>
  <c r="H276" i="1" s="1"/>
  <c r="F306" i="1"/>
  <c r="H306" i="1" s="1"/>
  <c r="F194" i="1"/>
  <c r="H194" i="1" s="1"/>
  <c r="F252" i="1"/>
  <c r="H252" i="1" s="1"/>
  <c r="F254" i="1"/>
  <c r="H254" i="1" s="1"/>
  <c r="F280" i="1"/>
  <c r="H280" i="1" s="1"/>
  <c r="F310" i="1"/>
  <c r="H310" i="1" s="1"/>
  <c r="F308" i="1"/>
  <c r="H308" i="1" s="1"/>
  <c r="F222" i="1"/>
  <c r="H222" i="1" s="1"/>
  <c r="F190" i="1"/>
  <c r="H190" i="1" s="1"/>
  <c r="F220" i="1"/>
  <c r="H220" i="1" s="1"/>
  <c r="A300" i="1"/>
  <c r="A270" i="1"/>
  <c r="A249" i="1"/>
  <c r="A250" i="1" s="1"/>
  <c r="A245" i="1"/>
  <c r="A246" i="1" s="1"/>
  <c r="A215" i="1"/>
  <c r="A216" i="1" s="1"/>
  <c r="A217" i="1" s="1"/>
  <c r="A184" i="1"/>
  <c r="J86" i="1" l="1"/>
  <c r="E89" i="1"/>
  <c r="D90" i="1"/>
  <c r="I86" i="1" s="1"/>
  <c r="I87" i="1" s="1"/>
  <c r="F300" i="1"/>
  <c r="H300" i="1" s="1"/>
  <c r="F248" i="1"/>
  <c r="H248" i="1" s="1"/>
  <c r="F270" i="1"/>
  <c r="H270" i="1" s="1"/>
  <c r="F299" i="1"/>
  <c r="H299" i="1" s="1"/>
  <c r="F246" i="1"/>
  <c r="H246" i="1" s="1"/>
  <c r="F301" i="1"/>
  <c r="H301" i="1" s="1"/>
  <c r="F245" i="1"/>
  <c r="H245" i="1" s="1"/>
  <c r="F250" i="1"/>
  <c r="H250" i="1" s="1"/>
  <c r="F269" i="1"/>
  <c r="H269" i="1" s="1"/>
  <c r="F249" i="1"/>
  <c r="H249" i="1" s="1"/>
  <c r="F217" i="1"/>
  <c r="H217" i="1" s="1"/>
  <c r="F244" i="1"/>
  <c r="H244" i="1" s="1"/>
  <c r="F214" i="1"/>
  <c r="H214" i="1" s="1"/>
  <c r="F183" i="1"/>
  <c r="H183" i="1" s="1"/>
  <c r="F297" i="1"/>
  <c r="H297" i="1" s="1"/>
  <c r="F296" i="1"/>
  <c r="H296" i="1" s="1"/>
  <c r="F295" i="1"/>
  <c r="H295" i="1" s="1"/>
  <c r="F294" i="1"/>
  <c r="A295" i="1"/>
  <c r="F267" i="1"/>
  <c r="H267" i="1" s="1"/>
  <c r="F266" i="1"/>
  <c r="H266" i="1" s="1"/>
  <c r="F265" i="1"/>
  <c r="A266" i="1"/>
  <c r="F242" i="1"/>
  <c r="H242" i="1" s="1"/>
  <c r="F241" i="1"/>
  <c r="H241" i="1" s="1"/>
  <c r="F240" i="1"/>
  <c r="A241" i="1"/>
  <c r="A242" i="1" s="1"/>
  <c r="A186" i="1"/>
  <c r="A189" i="1" s="1"/>
  <c r="A190" i="1" s="1"/>
  <c r="A210" i="1"/>
  <c r="A211" i="1" s="1"/>
  <c r="A212" i="1" s="1"/>
  <c r="H166" i="1"/>
  <c r="F165" i="1"/>
  <c r="H164" i="1"/>
  <c r="H163" i="1"/>
  <c r="A164" i="1"/>
  <c r="A165" i="1" s="1"/>
  <c r="A166" i="1" s="1"/>
  <c r="A167" i="1" s="1"/>
  <c r="A168" i="1" s="1"/>
  <c r="A172" i="1" s="1"/>
  <c r="A173" i="1" s="1"/>
  <c r="A174" i="1" s="1"/>
  <c r="G51" i="1"/>
  <c r="I85" i="1" l="1"/>
  <c r="C87" i="1" s="1"/>
  <c r="H294" i="1"/>
  <c r="H265" i="1"/>
  <c r="H240" i="1"/>
  <c r="F166" i="1"/>
  <c r="H165" i="1"/>
  <c r="G117" i="1" s="1"/>
  <c r="F163" i="1"/>
  <c r="F164" i="1"/>
  <c r="S33" i="1"/>
  <c r="E117" i="1" l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603" i="1"/>
  <c r="C127" i="1" s="1"/>
  <c r="B580" i="1"/>
  <c r="B579" i="1"/>
  <c r="F212" i="1"/>
  <c r="H212" i="1" s="1"/>
  <c r="F211" i="1"/>
  <c r="H211" i="1" s="1"/>
  <c r="F210" i="1"/>
  <c r="H210" i="1" s="1"/>
  <c r="F209" i="1"/>
  <c r="F191" i="1"/>
  <c r="H191" i="1" s="1"/>
  <c r="F189" i="1"/>
  <c r="H189" i="1" s="1"/>
  <c r="F188" i="1"/>
  <c r="H188" i="1" s="1"/>
  <c r="F186" i="1"/>
  <c r="H186" i="1" s="1"/>
  <c r="F185" i="1"/>
  <c r="H185" i="1" s="1"/>
  <c r="F181" i="1"/>
  <c r="H181" i="1" s="1"/>
  <c r="A181" i="1"/>
  <c r="F180" i="1"/>
  <c r="F111" i="1"/>
  <c r="D65" i="1"/>
  <c r="C51" i="1"/>
  <c r="E44" i="1"/>
  <c r="E45" i="1" s="1"/>
  <c r="E31" i="1"/>
  <c r="E28" i="1"/>
  <c r="E26" i="1"/>
  <c r="C16" i="1"/>
  <c r="I15" i="1"/>
  <c r="Z13" i="1"/>
  <c r="E8" i="1"/>
  <c r="E3" i="1"/>
  <c r="H72" i="1"/>
  <c r="G119" i="1" l="1"/>
  <c r="E119" i="1"/>
  <c r="C119" i="1"/>
  <c r="C128" i="1" s="1"/>
  <c r="H209" i="1"/>
  <c r="H180" i="1"/>
  <c r="J71" i="1"/>
  <c r="J73" i="1" s="1"/>
  <c r="J74" i="1"/>
  <c r="J75" i="1"/>
  <c r="J76" i="1"/>
  <c r="C75" i="1" s="1"/>
  <c r="D79" i="1"/>
  <c r="D81" i="1"/>
  <c r="D80" i="1"/>
  <c r="D84" i="1"/>
  <c r="D78" i="1"/>
  <c r="D83" i="1"/>
  <c r="D77" i="1"/>
  <c r="D82" i="1"/>
  <c r="B72" i="1"/>
  <c r="J77" i="1" s="1"/>
  <c r="G127" i="1" l="1"/>
  <c r="G128" i="1" s="1"/>
  <c r="E127" i="1"/>
  <c r="E128" i="1" s="1"/>
  <c r="D75" i="1"/>
  <c r="J81" i="1"/>
  <c r="J79" i="1"/>
  <c r="J80" i="1"/>
  <c r="J78" i="1"/>
  <c r="J83" i="1" s="1"/>
  <c r="J82" i="1"/>
  <c r="J84" i="1" l="1"/>
  <c r="C76" i="1" l="1"/>
  <c r="E75" i="1" s="1"/>
  <c r="D76" i="1" l="1"/>
  <c r="I72" i="1" s="1"/>
  <c r="I73" i="1" s="1"/>
  <c r="G75" i="1"/>
  <c r="D69" i="1" s="1"/>
  <c r="F70" i="1" s="1"/>
  <c r="J72" i="1"/>
  <c r="I71" i="1" l="1"/>
  <c r="C73" i="1" s="1"/>
  <c r="D70" i="1"/>
</calcChain>
</file>

<file path=xl/comments1.xml><?xml version="1.0" encoding="utf-8"?>
<comments xmlns="http://schemas.openxmlformats.org/spreadsheetml/2006/main">
  <authors>
    <author>Sachin</author>
  </authors>
  <commentList>
    <comment ref="E12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6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<sst xmlns="http://schemas.openxmlformats.org/spreadsheetml/2006/main" count="979" uniqueCount="371">
  <si>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</si>
  <si>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</si>
  <si>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</si>
  <si>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</si>
  <si>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</si>
  <si>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</si>
  <si>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</si>
  <si>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</si>
  <si>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</si>
  <si>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</si>
  <si>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</si>
  <si>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</si>
  <si>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</si>
  <si>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</si>
  <si>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</si>
  <si>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</si>
  <si>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</si>
  <si>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</si>
  <si>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</si>
  <si>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</si>
  <si>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</si>
  <si>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</si>
  <si>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</si>
  <si>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</si>
  <si>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</si>
  <si>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</si>
  <si>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</si>
  <si>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</si>
  <si>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</si>
  <si>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</si>
  <si>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</si>
  <si>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</si>
  <si>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</si>
  <si>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</si>
  <si>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</si>
  <si>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</si>
  <si>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</si>
  <si>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</si>
  <si>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</si>
  <si>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</si>
  <si>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</si>
  <si>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</si>
  <si>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</si>
  <si>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</si>
  <si>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</si>
  <si>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</si>
  <si>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</si>
  <si>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</si>
  <si>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</si>
  <si>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</si>
  <si>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</si>
  <si>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</si>
  <si>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</si>
  <si>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</si>
  <si>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</si>
  <si>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</si>
  <si>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</si>
  <si>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</si>
  <si>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</si>
  <si>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</si>
  <si>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</si>
  <si>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</si>
  <si>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</si>
  <si>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</si>
  <si>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</si>
  <si>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</si>
  <si>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</si>
  <si>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</si>
  <si>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</si>
  <si>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</si>
  <si>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</si>
  <si>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</si>
  <si>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</si>
  <si>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</si>
  <si>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</si>
  <si>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</si>
  <si>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</si>
  <si>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</si>
  <si>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</si>
  <si>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</si>
  <si>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</si>
  <si>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</si>
  <si>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</si>
  <si>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</si>
  <si>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</si>
  <si>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</si>
  <si>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</si>
  <si>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</si>
  <si>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</si>
  <si>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</si>
  <si>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</si>
  <si>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</si>
  <si>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</si>
  <si>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</si>
  <si>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</si>
  <si>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</si>
  <si>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</si>
  <si>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</si>
  <si>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</si>
  <si>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</si>
  <si>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</si>
  <si>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</si>
  <si>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</si>
  <si>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</si>
  <si>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</si>
  <si>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</si>
  <si>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</si>
  <si>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</si>
  <si>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</si>
  <si>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</si>
  <si>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</si>
  <si>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</si>
  <si>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</si>
  <si>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</si>
  <si>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</si>
  <si>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</si>
  <si>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2nd Floor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</si>
  <si>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</si>
  <si>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</si>
  <si>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</si>
  <si>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</si>
  <si>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</si>
  <si>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</si>
  <si>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</si>
  <si>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</si>
  <si>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</si>
  <si>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</si>
  <si>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</si>
  <si>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</si>
  <si>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</si>
  <si>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</si>
  <si>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</si>
  <si>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</si>
  <si>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</si>
  <si>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</si>
  <si>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</si>
  <si>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</si>
  <si>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</si>
  <si>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</si>
  <si>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</si>
  <si>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</si>
  <si>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</si>
  <si>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</si>
  <si>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</si>
  <si>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</si>
  <si>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</si>
  <si>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</si>
  <si>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</si>
  <si>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</si>
  <si>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</si>
  <si>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</si>
  <si>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</si>
  <si>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</si>
  <si>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</si>
  <si>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</si>
  <si>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</si>
  <si>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</si>
  <si>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</si>
  <si>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</si>
  <si>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</si>
  <si>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</si>
  <si>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</si>
  <si>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</si>
  <si>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</si>
  <si>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</si>
  <si>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</si>
  <si>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</si>
  <si>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</si>
  <si>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Axis Goregaon</t>
  </si>
  <si>
    <t>Name / No of the Existing Building</t>
  </si>
  <si>
    <t>Mumbai</t>
  </si>
  <si>
    <t>As per Layout</t>
  </si>
  <si>
    <t>Floor Rise Rate from    Floor</t>
  </si>
  <si>
    <t>CTS No</t>
  </si>
  <si>
    <t>Shop No. (Sale Plan)</t>
  </si>
  <si>
    <t>Flat No. (Sale Plan)</t>
  </si>
  <si>
    <t xml:space="preserve">As the project is redevelopement project but rehab statement or rehab flats is not mentioned approved layout plan &amp; floor plan.
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</si>
  <si>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</si>
  <si>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</si>
  <si>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</si>
  <si>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</si>
  <si>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</si>
  <si>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</si>
  <si>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</si>
  <si>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</si>
  <si>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</si>
  <si>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</si>
  <si>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</si>
  <si>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</si>
  <si>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</si>
  <si>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</si>
  <si>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</si>
  <si>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</si>
  <si>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</si>
  <si>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</si>
  <si>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</si>
  <si>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</si>
  <si>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</si>
  <si>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</si>
  <si>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</si>
  <si>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</si>
  <si>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</si>
  <si>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</si>
  <si>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</si>
  <si>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</si>
  <si>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</si>
  <si>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</si>
  <si>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</si>
  <si>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</si>
  <si>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</si>
  <si>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</si>
  <si>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</si>
  <si>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</si>
  <si>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</si>
  <si>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</si>
  <si>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</si>
  <si>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</si>
  <si>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</si>
  <si>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</si>
  <si>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</si>
  <si>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</si>
  <si>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</si>
  <si>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</si>
  <si>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</si>
  <si>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</si>
  <si>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</si>
  <si>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</si>
  <si>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</si>
  <si>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</si>
  <si>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</si>
  <si>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Carpet area</t>
  </si>
  <si>
    <t>Bank Name:</t>
  </si>
  <si>
    <t>Axis Bank</t>
  </si>
  <si>
    <t>Branch</t>
  </si>
  <si>
    <t>Bank</t>
  </si>
  <si>
    <t>Cent Bank</t>
  </si>
  <si>
    <t>Indiabulls Housing Finance Ltd</t>
  </si>
  <si>
    <t>PNB Housing Finance Limited</t>
  </si>
  <si>
    <t>ABFHL</t>
  </si>
  <si>
    <t>Axis Thane</t>
  </si>
  <si>
    <t>Axis Sanpada</t>
  </si>
  <si>
    <t>Axis Badlapur</t>
  </si>
  <si>
    <t>PNB Thane</t>
  </si>
  <si>
    <t>PNB Borivali</t>
  </si>
  <si>
    <t>Cent Kalyan</t>
  </si>
  <si>
    <t>Cent Belapur</t>
  </si>
  <si>
    <t>IBHF Kalyan</t>
  </si>
  <si>
    <t>IBHF Badlapur</t>
  </si>
  <si>
    <t>IBHF Vashi</t>
  </si>
  <si>
    <t>IBHF Thane</t>
  </si>
  <si>
    <t>IBHF Andheri</t>
  </si>
  <si>
    <t>Authorites</t>
  </si>
  <si>
    <t>Slum Rehabilitation Authority (SRA)</t>
  </si>
  <si>
    <t>Municipal Corporation of Greater Mumbai (MCGM)</t>
  </si>
  <si>
    <t>Maharashtra Housing and Area Development Authority(MHADA)</t>
  </si>
  <si>
    <t>Mumbai Metropolitan Region Development Authority (MMRDA)</t>
  </si>
  <si>
    <t>Maharashtra State Road Development Corporation Limited (MSRDC)</t>
  </si>
  <si>
    <t>Navi Mumbai Municipal Corporation (NMMC)</t>
  </si>
  <si>
    <t>Thane Muncipal Cooperation (TMC)</t>
  </si>
  <si>
    <t>Kalyan Dombivli Municipal Corporation (KMDC)</t>
  </si>
  <si>
    <t>Kulgoan Badlapur Municipal Council</t>
  </si>
  <si>
    <t>Town Planning Thane</t>
  </si>
  <si>
    <t>Ambernath Municipal Council (AMC)</t>
  </si>
  <si>
    <t>Ulhasnagar Municipal Corporation</t>
  </si>
  <si>
    <t>Nagar Rachana Ani Mulya Nirdharan Vibhag Thane</t>
  </si>
  <si>
    <t>Bhiwandi Nizampur City Municipal Corporation</t>
  </si>
  <si>
    <t>City and Industrial Development Corporation (CIDCO)</t>
  </si>
  <si>
    <t>Maharashtra Industrial Development Corporation (MIDC)</t>
  </si>
  <si>
    <t>Panvel Municipal Corporation</t>
  </si>
  <si>
    <t>Navi Mumbai Airport Influence Notified Area (NAINA)</t>
  </si>
  <si>
    <t>Pen Municipal Council</t>
  </si>
  <si>
    <t>Raigad Zilha Parishad</t>
  </si>
  <si>
    <t>Roha Municipal Council</t>
  </si>
  <si>
    <t>Vasai-Virar City Municipal Corporation. (VVCMC)</t>
  </si>
  <si>
    <t>Collector Of Palghar</t>
  </si>
  <si>
    <t>Town Planner, Palghar</t>
  </si>
  <si>
    <t>Mira-Bhayandar Municipal Corporation</t>
  </si>
  <si>
    <t>Documents Provided</t>
  </si>
  <si>
    <t>Does the boundaries at site match, as mentioned in the Documentation: NA</t>
  </si>
  <si>
    <t>Thane Municipal Corporation (TMC)</t>
  </si>
  <si>
    <t xml:space="preserve">Mira-Bhayandar Municipal Corporation
</t>
  </si>
  <si>
    <t>Abhishek Properties (I) Pvt Ltd</t>
  </si>
  <si>
    <t xml:space="preserve">Wing A to E </t>
  </si>
  <si>
    <t>P51800053527</t>
  </si>
  <si>
    <t>154, 154/1 to 134 &amp; 155, 155/1 to 113</t>
  </si>
  <si>
    <t>19.138500,72.860389</t>
  </si>
  <si>
    <t>https://maps.app.goo.gl/6ekvz7Sy18Mvpmxd8</t>
  </si>
  <si>
    <t>1.6 KM from Jogeshwari Railway Station</t>
  </si>
  <si>
    <t>Jogeshwari East</t>
  </si>
  <si>
    <t>Samarth Nagar</t>
  </si>
  <si>
    <t>Majas Road</t>
  </si>
  <si>
    <t>Majas</t>
  </si>
  <si>
    <t>Vrindavan Babubhai Morwala Co-operative Housing Society</t>
  </si>
  <si>
    <t>Late Digambar Shiva Mahaskar Road/Anand Nagar Ground</t>
  </si>
  <si>
    <t>Shr Sainath CHS Ltd</t>
  </si>
  <si>
    <t>6.10 Mtrs Wide Existing Road</t>
  </si>
  <si>
    <t>Other Plot</t>
  </si>
  <si>
    <t>13.40 Mtrs Existing Road</t>
  </si>
  <si>
    <t xml:space="preserve"> Fitness Center, Rehab Wing/6.10 Mtrs Wide Existing Raoad</t>
  </si>
  <si>
    <t>05 Wings</t>
  </si>
  <si>
    <t>Approved Builtup area of Sale Wing A to E (Sq.Mt)</t>
  </si>
  <si>
    <t>KE/PVT/0120/20060131/AP/C</t>
  </si>
  <si>
    <t xml:space="preserve">As per RERA - 31/12/2027 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</si>
  <si>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</rPr>
      <t xml:space="preserve">                                               </t>
    </r>
  </si>
  <si>
    <t>Senior Citizen Seating/Reading Area, Open Gardem Kids Play Area, Yoga And Meditation Deck, Outdoor Gym, Art Wall, Gazebo, Open Air Café, Water Casscade, Indoor &amp; Ourdoor Games, Party Lawn, Creche, Multipurpose Hall etc.</t>
  </si>
  <si>
    <t>https://housing.com/in/buy/projects/page/310556-avant-heritage-v-by-avant-group-in-andheri-east</t>
  </si>
  <si>
    <t xml:space="preserve">Wing B  =  Gr + 1st to 23th Floor
</t>
  </si>
  <si>
    <t xml:space="preserve">Wing C  =  Gr + 1st to 23th Floor
</t>
  </si>
  <si>
    <t xml:space="preserve">Wing D =  Gr + 1st to 23th Floor
</t>
  </si>
  <si>
    <t xml:space="preserve">Details of Residential in Building   </t>
  </si>
  <si>
    <t>Wing A</t>
  </si>
  <si>
    <t xml:space="preserve">Wing A </t>
  </si>
  <si>
    <t>Shop</t>
  </si>
  <si>
    <t>Wing B</t>
  </si>
  <si>
    <t>Wing C</t>
  </si>
  <si>
    <t>Wing D</t>
  </si>
  <si>
    <t>Wing E</t>
  </si>
  <si>
    <t>1st Floor For Residential</t>
  </si>
  <si>
    <t>1BHK</t>
  </si>
  <si>
    <t>2BHK</t>
  </si>
  <si>
    <t>1.5BHK</t>
  </si>
  <si>
    <t>2nd Floor Duplex With 1st Floor Flat</t>
  </si>
  <si>
    <t>We considered Gross carpet area = Net carpet + Chajja Area.</t>
  </si>
  <si>
    <t>3rd to 7th, 9th, 11th, 13th &amp; 15th Floor</t>
  </si>
  <si>
    <t>8th, 10th, 12th, 14th &amp; 16th Floor (Part refuge area at mid landing )</t>
  </si>
  <si>
    <t>17th Floor</t>
  </si>
  <si>
    <t>18th Floor (Part refuge area at mid landing )</t>
  </si>
  <si>
    <t>Approved Plans, CC, Sale Plan</t>
  </si>
  <si>
    <t>Avant Heritage V</t>
  </si>
  <si>
    <t>3.5BHK Flat Duplex With 2nd Floor</t>
  </si>
  <si>
    <t>3BHK Flat Duplex With 2nd Floor</t>
  </si>
  <si>
    <t>4.5BHK Flat Duplex With 2nd Floor</t>
  </si>
  <si>
    <t>2nd Floor Duplex With 1st Floor</t>
  </si>
  <si>
    <t>This C.C is re-endorsed as per approved amended plans dtd.23/08/2024</t>
  </si>
  <si>
    <t>Basement Floor For Parking</t>
  </si>
  <si>
    <t>Lower Ground/Ground Floor For Commercial, Entrance Lobby &amp; Parking</t>
  </si>
  <si>
    <t>Sheet 19/</t>
  </si>
  <si>
    <t>Chajja Area+ Sevice Slab</t>
  </si>
  <si>
    <t>2nd Floor For Residential</t>
  </si>
  <si>
    <t>Void</t>
  </si>
  <si>
    <t>Duplex with 1st Floor</t>
  </si>
  <si>
    <t>2.5BHK (Duplex with 2nd floor)</t>
  </si>
  <si>
    <t>4.5BHK (Duplex with 2nd floor)</t>
  </si>
  <si>
    <t>3.5BHK (Duplex with 2nd floor)</t>
  </si>
  <si>
    <t>3BHK (Duplex with 2nd floor)</t>
  </si>
  <si>
    <t>3rd to 7th &amp; 9th Floor</t>
  </si>
  <si>
    <t>2.5BHK</t>
  </si>
  <si>
    <t>8th &amp; 10th  Floor (Refuge Balcony At Midlanding of staircase)</t>
  </si>
  <si>
    <t>11th Floor</t>
  </si>
  <si>
    <t>12th, 14th, 16th &amp; 18th Floor (Refuge Balcony At Midlanding of staircase)</t>
  </si>
  <si>
    <t>13th, 15th &amp; 17th Floor</t>
  </si>
  <si>
    <t xml:space="preserve">We have updated approved plan and CC for Wing A to E (on 20/10/2024).
</t>
  </si>
  <si>
    <t xml:space="preserve">Please check for Environment Clearance Certificate &amp; Fire NOC.
</t>
  </si>
  <si>
    <t>Majaswadi Sankalp SRA CHS LTD</t>
  </si>
  <si>
    <t>Basement Floor For Tanks</t>
  </si>
  <si>
    <t>Lower Ground / Ground Floor For Commercial, Entrance Lobby, Meter Room &amp; Parking</t>
  </si>
  <si>
    <t>19th Floor</t>
  </si>
  <si>
    <t>20th Floor</t>
  </si>
  <si>
    <t>21st &amp; 23rd Floor</t>
  </si>
  <si>
    <t>20th Floor  (Part Refuge Area)</t>
  </si>
  <si>
    <t xml:space="preserve"> 22nd Floor  (Part Refuge Area)</t>
  </si>
  <si>
    <t>8th &amp; 10th Floor (Refuge Balcony At Midlanding of staircase)</t>
  </si>
  <si>
    <t xml:space="preserve">We have updated approved plan for Wing A to E (on 13/12/2024).
</t>
  </si>
  <si>
    <t xml:space="preserve">Wing A to D = Gr + 1st to 23rd Floor
Wing E = Gr + 1st to 19th Floor
</t>
  </si>
  <si>
    <t>Flats - 429, Shops - 27</t>
  </si>
  <si>
    <t xml:space="preserve">Wing A to D = Gr + 1st to 23rd Floor
</t>
  </si>
  <si>
    <t xml:space="preserve">Wing E =  Gr + 1st to 23rd Floor
</t>
  </si>
  <si>
    <t>Mr. Harsh Gupta 8828845322</t>
  </si>
  <si>
    <t>Pranita Mhatre</t>
  </si>
  <si>
    <t>Pratik Niwate</t>
  </si>
  <si>
    <t>Wing A to D =  Construction work same as last visit dtd 13/12/2024.
Wing E = Construction stage has incresed as compare to last visited date 13/12/2024 but at the time of visit no labour or no active work found on site.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</si>
</sst>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31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230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8" fillId="0" borderId="0" xfId="0" applyFont="1" applyProtection="1">
      <protection hidden="1"/>
    </xf>
    <xf numFmtId="0" fontId="18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4" fillId="0" borderId="0" xfId="1" applyFont="1"/>
    <xf numFmtId="0" fontId="7" fillId="0" borderId="10" xfId="1" applyFont="1" applyBorder="1"/>
    <xf numFmtId="0" fontId="18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25" fillId="2" borderId="30" xfId="0" applyFont="1" applyFill="1" applyBorder="1"/>
    <xf numFmtId="0" fontId="26" fillId="0" borderId="31" xfId="0" applyFont="1" applyBorder="1"/>
    <xf numFmtId="0" fontId="26" fillId="0" borderId="1" xfId="0" applyFont="1" applyBorder="1"/>
    <xf numFmtId="0" fontId="26" fillId="0" borderId="5" xfId="0" applyFont="1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30" fillId="0" borderId="0" xfId="1" applyFont="1"/>
    <xf numFmtId="0" fontId="7" fillId="0" borderId="1" xfId="1" applyFont="1" applyBorder="1" applyAlignment="1" applyProtection="1">
      <alignment horizontal="center" vertical="top"/>
      <protection locked="0"/>
    </xf>
    <xf numFmtId="0" fontId="7" fillId="0" borderId="5" xfId="1" applyFont="1" applyBorder="1" applyAlignment="1" applyProtection="1">
      <alignment horizontal="center" vertical="top"/>
      <protection locked="0"/>
    </xf>
    <xf numFmtId="1" fontId="10" fillId="0" borderId="3" xfId="1" applyNumberFormat="1" applyFont="1" applyBorder="1" applyAlignment="1" applyProtection="1">
      <alignment horizontal="center" vertical="top" wrapText="1"/>
      <protection locked="0"/>
    </xf>
    <xf numFmtId="9" fontId="10" fillId="0" borderId="16" xfId="8" applyFont="1" applyFill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1" fontId="13" fillId="0" borderId="3" xfId="1" applyNumberFormat="1" applyFont="1" applyBorder="1" applyAlignment="1" applyProtection="1">
      <alignment horizontal="center" vertical="top" wrapText="1"/>
      <protection locked="0"/>
    </xf>
    <xf numFmtId="9" fontId="13" fillId="0" borderId="16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0" xfId="1" applyFont="1" applyFill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13" fillId="0" borderId="8" xfId="1" applyNumberFormat="1" applyFont="1" applyBorder="1" applyAlignment="1" applyProtection="1">
      <alignment horizontal="center" vertical="center" wrapText="1"/>
      <protection locked="0"/>
    </xf>
    <xf numFmtId="1" fontId="13" fillId="0" borderId="21" xfId="1" applyNumberFormat="1" applyFont="1" applyBorder="1" applyAlignment="1" applyProtection="1">
      <alignment horizontal="center" vertical="center" wrapText="1"/>
      <protection locked="0"/>
    </xf>
    <xf numFmtId="1" fontId="13" fillId="0" borderId="9" xfId="1" applyNumberFormat="1" applyFont="1" applyBorder="1" applyAlignment="1" applyProtection="1">
      <alignment horizontal="center" vertical="center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12" fillId="0" borderId="8" xfId="1" applyNumberFormat="1" applyFont="1" applyBorder="1" applyAlignment="1" applyProtection="1">
      <alignment horizontal="center" vertical="center" wrapText="1"/>
      <protection locked="0"/>
    </xf>
    <xf numFmtId="1" fontId="12" fillId="0" borderId="21" xfId="1" applyNumberFormat="1" applyFont="1" applyBorder="1" applyAlignment="1" applyProtection="1">
      <alignment horizontal="center" vertical="center" wrapText="1"/>
      <protection locked="0"/>
    </xf>
    <xf numFmtId="1" fontId="12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8" fillId="0" borderId="9" xfId="1" applyNumberFormat="1" applyFont="1" applyBorder="1" applyAlignment="1" applyProtection="1">
      <alignment horizontal="center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10" fillId="0" borderId="13" xfId="1" applyFont="1" applyFill="1" applyBorder="1" applyAlignment="1" applyProtection="1">
      <alignment horizontal="left" vertical="top" wrapText="1"/>
      <protection locked="0"/>
    </xf>
    <xf numFmtId="0" fontId="10" fillId="0" borderId="14" xfId="1" applyFont="1" applyFill="1" applyBorder="1" applyAlignment="1" applyProtection="1">
      <alignment horizontal="left" vertical="top" wrapText="1"/>
      <protection locked="0"/>
    </xf>
    <xf numFmtId="0" fontId="10" fillId="0" borderId="23" xfId="1" applyFont="1" applyFill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0" fontId="10" fillId="0" borderId="5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18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25" xfId="1" applyFont="1" applyBorder="1" applyAlignment="1">
      <alignment horizontal="center"/>
    </xf>
    <xf numFmtId="0" fontId="7" fillId="0" borderId="0" xfId="1" applyFont="1" applyAlignment="1">
      <alignment horizontal="center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7" fillId="0" borderId="3" xfId="1" applyFont="1" applyFill="1" applyBorder="1" applyAlignment="1" applyProtection="1">
      <alignment horizontal="left" vertical="top" wrapText="1"/>
      <protection locked="0"/>
    </xf>
    <xf numFmtId="0" fontId="7" fillId="0" borderId="3" xfId="1" applyFont="1" applyFill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10" fillId="0" borderId="3" xfId="0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" fontId="17" fillId="0" borderId="8" xfId="0" applyNumberFormat="1" applyFont="1" applyBorder="1" applyAlignment="1" applyProtection="1">
      <alignment vertical="top" wrapText="1"/>
      <protection locked="0"/>
    </xf>
    <xf numFmtId="1" fontId="17" fillId="0" borderId="21" xfId="0" applyNumberFormat="1" applyFont="1" applyBorder="1" applyAlignment="1" applyProtection="1">
      <alignment vertical="top" wrapText="1"/>
      <protection locked="0"/>
    </xf>
    <xf numFmtId="1" fontId="17" fillId="0" borderId="9" xfId="0" applyNumberFormat="1" applyFont="1" applyBorder="1" applyAlignment="1" applyProtection="1">
      <alignment vertical="top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8" fillId="0" borderId="33" xfId="0" applyNumberFormat="1" applyFont="1" applyBorder="1" applyAlignment="1" applyProtection="1">
      <alignment horizontal="center" vertical="center" wrapText="1"/>
      <protection locked="0"/>
    </xf>
    <xf numFmtId="1" fontId="10" fillId="0" borderId="33" xfId="0" applyNumberFormat="1" applyFont="1" applyBorder="1" applyAlignment="1" applyProtection="1">
      <alignment horizontal="center" vertical="center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1" fontId="10" fillId="0" borderId="33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3" xfId="0" applyNumberFormat="1" applyFont="1" applyBorder="1" applyAlignment="1" applyProtection="1">
      <alignment horizontal="center"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0" fontId="12" fillId="0" borderId="21" xfId="1" applyFont="1" applyBorder="1" applyAlignment="1" applyProtection="1">
      <alignment horizontal="center" vertical="top"/>
      <protection locked="0"/>
    </xf>
    <xf numFmtId="0" fontId="12" fillId="0" borderId="9" xfId="1" applyFont="1" applyBorder="1" applyAlignment="1" applyProtection="1">
      <alignment horizontal="center" vertical="top"/>
      <protection locked="0"/>
    </xf>
    <xf numFmtId="0" fontId="12" fillId="0" borderId="8" xfId="1" applyFont="1" applyBorder="1" applyAlignment="1" applyProtection="1">
      <alignment horizontal="center" vertical="top" wrapText="1"/>
      <protection locked="0"/>
    </xf>
    <xf numFmtId="0" fontId="12" fillId="0" borderId="21" xfId="1" applyFont="1" applyBorder="1" applyAlignment="1" applyProtection="1">
      <alignment horizontal="center" vertical="top" wrapText="1"/>
      <protection locked="0"/>
    </xf>
    <xf numFmtId="0" fontId="12" fillId="0" borderId="9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6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0" fontId="12" fillId="0" borderId="8" xfId="1" applyFont="1" applyBorder="1" applyAlignment="1" applyProtection="1">
      <alignment horizontal="center" vertical="center" wrapText="1"/>
      <protection locked="0"/>
    </xf>
    <xf numFmtId="0" fontId="12" fillId="0" borderId="21" xfId="1" applyFont="1" applyBorder="1" applyAlignment="1" applyProtection="1">
      <alignment horizontal="center" vertical="center" wrapText="1"/>
      <protection locked="0"/>
    </xf>
    <xf numFmtId="0" fontId="12" fillId="0" borderId="9" xfId="1" applyFont="1" applyBorder="1" applyAlignment="1" applyProtection="1">
      <alignment horizontal="center" vertical="center" wrapText="1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3" fillId="0" borderId="21" xfId="1" applyFont="1" applyBorder="1" applyAlignment="1" applyProtection="1">
      <alignment horizontal="center" vertical="top"/>
      <protection locked="0"/>
    </xf>
    <xf numFmtId="0" fontId="13" fillId="0" borderId="9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0" fontId="10" fillId="0" borderId="8" xfId="1" applyFont="1" applyBorder="1" applyAlignment="1" applyProtection="1">
      <alignment horizontal="left" vertical="top"/>
      <protection locked="0"/>
    </xf>
    <xf numFmtId="0" fontId="10" fillId="0" borderId="21" xfId="1" applyFont="1" applyBorder="1" applyAlignment="1" applyProtection="1">
      <alignment horizontal="left" vertical="top"/>
      <protection locked="0"/>
    </xf>
    <xf numFmtId="0" fontId="10" fillId="0" borderId="9" xfId="1" applyFont="1" applyBorder="1" applyAlignment="1" applyProtection="1">
      <alignment horizontal="left" vertical="top"/>
      <protection locked="0"/>
    </xf>
    <xf numFmtId="0" fontId="27" fillId="0" borderId="25" xfId="10" applyBorder="1" applyAlignment="1">
      <alignment horizontal="center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1" fontId="8" fillId="0" borderId="34" xfId="0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6" fillId="0" borderId="3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1" fontId="8" fillId="0" borderId="3" xfId="0" applyNumberFormat="1" applyFont="1" applyBorder="1" applyAlignment="1" applyProtection="1">
      <alignment horizontal="center" vertical="center" wrapText="1"/>
      <protection locked="0"/>
    </xf>
    <xf numFmtId="1" fontId="10" fillId="0" borderId="3" xfId="0" applyNumberFormat="1" applyFont="1" applyBorder="1" applyAlignment="1" applyProtection="1">
      <alignment horizontal="center" vertical="top" wrapText="1"/>
      <protection locked="0"/>
    </xf>
    <xf numFmtId="0" fontId="7" fillId="0" borderId="25" xfId="1" applyFont="1" applyBorder="1" applyAlignment="1">
      <alignment horizontal="center" wrapText="1"/>
    </xf>
    <xf numFmtId="0" fontId="7" fillId="0" borderId="0" xfId="1" applyFont="1" applyAlignment="1">
      <alignment horizontal="center" wrapText="1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12" fillId="3" borderId="8" xfId="1" applyNumberFormat="1" applyFont="1" applyFill="1" applyBorder="1" applyAlignment="1" applyProtection="1">
      <alignment horizontal="center" vertical="center" wrapText="1"/>
      <protection locked="0"/>
    </xf>
    <xf numFmtId="1" fontId="12" fillId="3" borderId="21" xfId="1" applyNumberFormat="1" applyFont="1" applyFill="1" applyBorder="1" applyAlignment="1" applyProtection="1">
      <alignment horizontal="center" vertical="center" wrapText="1"/>
      <protection locked="0"/>
    </xf>
    <xf numFmtId="1" fontId="12" fillId="3" borderId="9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Relationship Id="rId5" Type="http://schemas.openxmlformats.org/officeDocument/2006/relationships/image" Target="../media/image24.png"/><Relationship Id="rId4" Type="http://schemas.openxmlformats.org/officeDocument/2006/relationships/image" Target="../media/image2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728167</xdr:colOff>
      <xdr:row>645</xdr:row>
      <xdr:rowOff>108857</xdr:rowOff>
    </xdr:from>
    <xdr:to>
      <xdr:col>5</xdr:col>
      <xdr:colOff>253417</xdr:colOff>
      <xdr:row>662</xdr:row>
      <xdr:rowOff>147198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8647" t="-466" r="-402"/>
        <a:stretch/>
      </xdr:blipFill>
      <xdr:spPr>
        <a:xfrm>
          <a:off x="1490167" y="55027286"/>
          <a:ext cx="3240000" cy="3508163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>
    <xdr:from>
      <xdr:col>0</xdr:col>
      <xdr:colOff>468902</xdr:colOff>
      <xdr:row>663</xdr:row>
      <xdr:rowOff>120858</xdr:rowOff>
    </xdr:from>
    <xdr:to>
      <xdr:col>7</xdr:col>
      <xdr:colOff>354717</xdr:colOff>
      <xdr:row>684</xdr:row>
      <xdr:rowOff>152507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/>
      </xdr:nvGrpSpPr>
      <xdr:grpSpPr>
        <a:xfrm>
          <a:off x="468902" y="112022799"/>
          <a:ext cx="5847344" cy="4267473"/>
          <a:chOff x="381123" y="59632198"/>
          <a:chExt cx="5462438" cy="4395831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81123" y="59632198"/>
            <a:ext cx="5397526" cy="4395831"/>
          </a:xfrm>
          <a:prstGeom prst="rect">
            <a:avLst/>
          </a:prstGeom>
          <a:ln w="9525">
            <a:solidFill>
              <a:schemeClr val="tx1"/>
            </a:solidFill>
          </a:ln>
        </xdr:spPr>
      </xdr:pic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2037182" y="60101366"/>
            <a:ext cx="1195573" cy="938769"/>
          </a:xfrm>
          <a:prstGeom prst="rect">
            <a:avLst/>
          </a:prstGeom>
          <a:noFill/>
          <a:ln w="19050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3261667" y="60101366"/>
            <a:ext cx="1131634" cy="938769"/>
          </a:xfrm>
          <a:prstGeom prst="rect">
            <a:avLst/>
          </a:prstGeom>
          <a:noFill/>
          <a:ln w="19050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8" name="Freeform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/>
        </xdr:nvSpPr>
        <xdr:spPr>
          <a:xfrm>
            <a:off x="4414226" y="60091841"/>
            <a:ext cx="796389" cy="1169622"/>
          </a:xfrm>
          <a:custGeom>
            <a:avLst/>
            <a:gdLst>
              <a:gd name="connsiteX0" fmla="*/ 0 w 819150"/>
              <a:gd name="connsiteY0" fmla="*/ 0 h 1219200"/>
              <a:gd name="connsiteX1" fmla="*/ 819150 w 819150"/>
              <a:gd name="connsiteY1" fmla="*/ 0 h 1219200"/>
              <a:gd name="connsiteX2" fmla="*/ 800100 w 819150"/>
              <a:gd name="connsiteY2" fmla="*/ 1219200 h 1219200"/>
              <a:gd name="connsiteX3" fmla="*/ 257175 w 819150"/>
              <a:gd name="connsiteY3" fmla="*/ 1200150 h 1219200"/>
              <a:gd name="connsiteX4" fmla="*/ 238125 w 819150"/>
              <a:gd name="connsiteY4" fmla="*/ 981075 h 1219200"/>
              <a:gd name="connsiteX5" fmla="*/ 9525 w 819150"/>
              <a:gd name="connsiteY5" fmla="*/ 990600 h 1219200"/>
              <a:gd name="connsiteX6" fmla="*/ 0 w 819150"/>
              <a:gd name="connsiteY6" fmla="*/ 0 h 1219200"/>
              <a:gd name="connsiteX0" fmla="*/ 0 w 819150"/>
              <a:gd name="connsiteY0" fmla="*/ 0 h 1219200"/>
              <a:gd name="connsiteX1" fmla="*/ 819150 w 819150"/>
              <a:gd name="connsiteY1" fmla="*/ 0 h 1219200"/>
              <a:gd name="connsiteX2" fmla="*/ 800100 w 819150"/>
              <a:gd name="connsiteY2" fmla="*/ 1219200 h 1219200"/>
              <a:gd name="connsiteX3" fmla="*/ 257175 w 819150"/>
              <a:gd name="connsiteY3" fmla="*/ 1200150 h 1219200"/>
              <a:gd name="connsiteX4" fmla="*/ 238125 w 819150"/>
              <a:gd name="connsiteY4" fmla="*/ 981075 h 1219200"/>
              <a:gd name="connsiteX5" fmla="*/ 9525 w 819150"/>
              <a:gd name="connsiteY5" fmla="*/ 990600 h 1219200"/>
              <a:gd name="connsiteX6" fmla="*/ 0 w 819150"/>
              <a:gd name="connsiteY6" fmla="*/ 0 h 1219200"/>
              <a:gd name="connsiteX0" fmla="*/ 0 w 819150"/>
              <a:gd name="connsiteY0" fmla="*/ 0 h 1219200"/>
              <a:gd name="connsiteX1" fmla="*/ 819150 w 819150"/>
              <a:gd name="connsiteY1" fmla="*/ 0 h 1219200"/>
              <a:gd name="connsiteX2" fmla="*/ 800100 w 819150"/>
              <a:gd name="connsiteY2" fmla="*/ 1219200 h 1219200"/>
              <a:gd name="connsiteX3" fmla="*/ 257175 w 819150"/>
              <a:gd name="connsiteY3" fmla="*/ 1200150 h 1219200"/>
              <a:gd name="connsiteX4" fmla="*/ 276225 w 819150"/>
              <a:gd name="connsiteY4" fmla="*/ 990600 h 1219200"/>
              <a:gd name="connsiteX5" fmla="*/ 9525 w 819150"/>
              <a:gd name="connsiteY5" fmla="*/ 990600 h 1219200"/>
              <a:gd name="connsiteX6" fmla="*/ 0 w 819150"/>
              <a:gd name="connsiteY6" fmla="*/ 0 h 1219200"/>
              <a:gd name="connsiteX0" fmla="*/ 0 w 819150"/>
              <a:gd name="connsiteY0" fmla="*/ 0 h 1219200"/>
              <a:gd name="connsiteX1" fmla="*/ 819150 w 819150"/>
              <a:gd name="connsiteY1" fmla="*/ 0 h 1219200"/>
              <a:gd name="connsiteX2" fmla="*/ 800100 w 819150"/>
              <a:gd name="connsiteY2" fmla="*/ 1219200 h 1219200"/>
              <a:gd name="connsiteX3" fmla="*/ 257175 w 819150"/>
              <a:gd name="connsiteY3" fmla="*/ 1200150 h 1219200"/>
              <a:gd name="connsiteX4" fmla="*/ 247650 w 819150"/>
              <a:gd name="connsiteY4" fmla="*/ 990600 h 1219200"/>
              <a:gd name="connsiteX5" fmla="*/ 9525 w 819150"/>
              <a:gd name="connsiteY5" fmla="*/ 990600 h 1219200"/>
              <a:gd name="connsiteX6" fmla="*/ 0 w 819150"/>
              <a:gd name="connsiteY6" fmla="*/ 0 h 1219200"/>
              <a:gd name="connsiteX0" fmla="*/ 0 w 819150"/>
              <a:gd name="connsiteY0" fmla="*/ 0 h 1200150"/>
              <a:gd name="connsiteX1" fmla="*/ 819150 w 819150"/>
              <a:gd name="connsiteY1" fmla="*/ 0 h 1200150"/>
              <a:gd name="connsiteX2" fmla="*/ 800100 w 819150"/>
              <a:gd name="connsiteY2" fmla="*/ 1200150 h 1200150"/>
              <a:gd name="connsiteX3" fmla="*/ 257175 w 819150"/>
              <a:gd name="connsiteY3" fmla="*/ 1200150 h 1200150"/>
              <a:gd name="connsiteX4" fmla="*/ 247650 w 819150"/>
              <a:gd name="connsiteY4" fmla="*/ 990600 h 1200150"/>
              <a:gd name="connsiteX5" fmla="*/ 9525 w 819150"/>
              <a:gd name="connsiteY5" fmla="*/ 990600 h 1200150"/>
              <a:gd name="connsiteX6" fmla="*/ 0 w 819150"/>
              <a:gd name="connsiteY6" fmla="*/ 0 h 12001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819150" h="1200150">
                <a:moveTo>
                  <a:pt x="0" y="0"/>
                </a:moveTo>
                <a:lnTo>
                  <a:pt x="819150" y="0"/>
                </a:lnTo>
                <a:lnTo>
                  <a:pt x="800100" y="1200150"/>
                </a:lnTo>
                <a:lnTo>
                  <a:pt x="257175" y="1200150"/>
                </a:lnTo>
                <a:lnTo>
                  <a:pt x="247650" y="990600"/>
                </a:lnTo>
                <a:lnTo>
                  <a:pt x="9525" y="990600"/>
                </a:lnTo>
                <a:lnTo>
                  <a:pt x="0" y="0"/>
                </a:lnTo>
                <a:close/>
              </a:path>
            </a:pathLst>
          </a:custGeom>
          <a:noFill/>
          <a:ln w="19050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9" name="Freeform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4091767" y="61073375"/>
            <a:ext cx="1014074" cy="1071165"/>
          </a:xfrm>
          <a:custGeom>
            <a:avLst/>
            <a:gdLst>
              <a:gd name="connsiteX0" fmla="*/ 9525 w 923925"/>
              <a:gd name="connsiteY0" fmla="*/ 0 h 1095375"/>
              <a:gd name="connsiteX1" fmla="*/ 447675 w 923925"/>
              <a:gd name="connsiteY1" fmla="*/ 9525 h 1095375"/>
              <a:gd name="connsiteX2" fmla="*/ 466725 w 923925"/>
              <a:gd name="connsiteY2" fmla="*/ 228600 h 1095375"/>
              <a:gd name="connsiteX3" fmla="*/ 923925 w 923925"/>
              <a:gd name="connsiteY3" fmla="*/ 228600 h 1095375"/>
              <a:gd name="connsiteX4" fmla="*/ 923925 w 923925"/>
              <a:gd name="connsiteY4" fmla="*/ 1095375 h 1095375"/>
              <a:gd name="connsiteX5" fmla="*/ 0 w 923925"/>
              <a:gd name="connsiteY5" fmla="*/ 1085850 h 1095375"/>
              <a:gd name="connsiteX6" fmla="*/ 9525 w 923925"/>
              <a:gd name="connsiteY6" fmla="*/ 0 h 1095375"/>
              <a:gd name="connsiteX0" fmla="*/ 9525 w 923925"/>
              <a:gd name="connsiteY0" fmla="*/ 6408 h 1101783"/>
              <a:gd name="connsiteX1" fmla="*/ 482388 w 923925"/>
              <a:gd name="connsiteY1" fmla="*/ 0 h 1101783"/>
              <a:gd name="connsiteX2" fmla="*/ 466725 w 923925"/>
              <a:gd name="connsiteY2" fmla="*/ 235008 h 1101783"/>
              <a:gd name="connsiteX3" fmla="*/ 923925 w 923925"/>
              <a:gd name="connsiteY3" fmla="*/ 235008 h 1101783"/>
              <a:gd name="connsiteX4" fmla="*/ 923925 w 923925"/>
              <a:gd name="connsiteY4" fmla="*/ 1101783 h 1101783"/>
              <a:gd name="connsiteX5" fmla="*/ 0 w 923925"/>
              <a:gd name="connsiteY5" fmla="*/ 1092258 h 1101783"/>
              <a:gd name="connsiteX6" fmla="*/ 9525 w 923925"/>
              <a:gd name="connsiteY6" fmla="*/ 6408 h 1101783"/>
              <a:gd name="connsiteX0" fmla="*/ 9525 w 923925"/>
              <a:gd name="connsiteY0" fmla="*/ 0 h 1095375"/>
              <a:gd name="connsiteX1" fmla="*/ 447675 w 923925"/>
              <a:gd name="connsiteY1" fmla="*/ 1558 h 1095375"/>
              <a:gd name="connsiteX2" fmla="*/ 466725 w 923925"/>
              <a:gd name="connsiteY2" fmla="*/ 228600 h 1095375"/>
              <a:gd name="connsiteX3" fmla="*/ 923925 w 923925"/>
              <a:gd name="connsiteY3" fmla="*/ 228600 h 1095375"/>
              <a:gd name="connsiteX4" fmla="*/ 923925 w 923925"/>
              <a:gd name="connsiteY4" fmla="*/ 1095375 h 1095375"/>
              <a:gd name="connsiteX5" fmla="*/ 0 w 923925"/>
              <a:gd name="connsiteY5" fmla="*/ 1085850 h 1095375"/>
              <a:gd name="connsiteX6" fmla="*/ 9525 w 923925"/>
              <a:gd name="connsiteY6" fmla="*/ 0 h 1095375"/>
              <a:gd name="connsiteX0" fmla="*/ 9525 w 923925"/>
              <a:gd name="connsiteY0" fmla="*/ 0 h 1095375"/>
              <a:gd name="connsiteX1" fmla="*/ 447675 w 923925"/>
              <a:gd name="connsiteY1" fmla="*/ 1558 h 1095375"/>
              <a:gd name="connsiteX2" fmla="*/ 466725 w 923925"/>
              <a:gd name="connsiteY2" fmla="*/ 228600 h 1095375"/>
              <a:gd name="connsiteX3" fmla="*/ 923925 w 923925"/>
              <a:gd name="connsiteY3" fmla="*/ 228600 h 1095375"/>
              <a:gd name="connsiteX4" fmla="*/ 923925 w 923925"/>
              <a:gd name="connsiteY4" fmla="*/ 1095375 h 1095375"/>
              <a:gd name="connsiteX5" fmla="*/ 0 w 923925"/>
              <a:gd name="connsiteY5" fmla="*/ 1085850 h 1095375"/>
              <a:gd name="connsiteX6" fmla="*/ 9525 w 923925"/>
              <a:gd name="connsiteY6" fmla="*/ 0 h 1095375"/>
              <a:gd name="connsiteX0" fmla="*/ 9525 w 923925"/>
              <a:gd name="connsiteY0" fmla="*/ 1762 h 1097137"/>
              <a:gd name="connsiteX1" fmla="*/ 465031 w 923925"/>
              <a:gd name="connsiteY1" fmla="*/ 0 h 1097137"/>
              <a:gd name="connsiteX2" fmla="*/ 466725 w 923925"/>
              <a:gd name="connsiteY2" fmla="*/ 230362 h 1097137"/>
              <a:gd name="connsiteX3" fmla="*/ 923925 w 923925"/>
              <a:gd name="connsiteY3" fmla="*/ 230362 h 1097137"/>
              <a:gd name="connsiteX4" fmla="*/ 923925 w 923925"/>
              <a:gd name="connsiteY4" fmla="*/ 1097137 h 1097137"/>
              <a:gd name="connsiteX5" fmla="*/ 0 w 923925"/>
              <a:gd name="connsiteY5" fmla="*/ 1087612 h 1097137"/>
              <a:gd name="connsiteX6" fmla="*/ 9525 w 923925"/>
              <a:gd name="connsiteY6" fmla="*/ 1762 h 1097137"/>
              <a:gd name="connsiteX0" fmla="*/ 9525 w 923925"/>
              <a:gd name="connsiteY0" fmla="*/ 1762 h 1097137"/>
              <a:gd name="connsiteX1" fmla="*/ 465031 w 923925"/>
              <a:gd name="connsiteY1" fmla="*/ 0 h 1097137"/>
              <a:gd name="connsiteX2" fmla="*/ 466725 w 923925"/>
              <a:gd name="connsiteY2" fmla="*/ 230362 h 1097137"/>
              <a:gd name="connsiteX3" fmla="*/ 923925 w 923925"/>
              <a:gd name="connsiteY3" fmla="*/ 230362 h 1097137"/>
              <a:gd name="connsiteX4" fmla="*/ 923925 w 923925"/>
              <a:gd name="connsiteY4" fmla="*/ 1097137 h 1097137"/>
              <a:gd name="connsiteX5" fmla="*/ 0 w 923925"/>
              <a:gd name="connsiteY5" fmla="*/ 1087612 h 1097137"/>
              <a:gd name="connsiteX6" fmla="*/ 9525 w 923925"/>
              <a:gd name="connsiteY6" fmla="*/ 1762 h 1097137"/>
              <a:gd name="connsiteX0" fmla="*/ 9525 w 923925"/>
              <a:gd name="connsiteY0" fmla="*/ 1762 h 1097137"/>
              <a:gd name="connsiteX1" fmla="*/ 465031 w 923925"/>
              <a:gd name="connsiteY1" fmla="*/ 0 h 1097137"/>
              <a:gd name="connsiteX2" fmla="*/ 466725 w 923925"/>
              <a:gd name="connsiteY2" fmla="*/ 230362 h 1097137"/>
              <a:gd name="connsiteX3" fmla="*/ 923925 w 923925"/>
              <a:gd name="connsiteY3" fmla="*/ 230362 h 1097137"/>
              <a:gd name="connsiteX4" fmla="*/ 923925 w 923925"/>
              <a:gd name="connsiteY4" fmla="*/ 1097137 h 1097137"/>
              <a:gd name="connsiteX5" fmla="*/ 0 w 923925"/>
              <a:gd name="connsiteY5" fmla="*/ 1087612 h 1097137"/>
              <a:gd name="connsiteX6" fmla="*/ 9525 w 923925"/>
              <a:gd name="connsiteY6" fmla="*/ 1762 h 1097137"/>
              <a:gd name="connsiteX0" fmla="*/ 9525 w 923925"/>
              <a:gd name="connsiteY0" fmla="*/ 5081 h 1100456"/>
              <a:gd name="connsiteX1" fmla="*/ 459246 w 923925"/>
              <a:gd name="connsiteY1" fmla="*/ 0 h 1100456"/>
              <a:gd name="connsiteX2" fmla="*/ 466725 w 923925"/>
              <a:gd name="connsiteY2" fmla="*/ 233681 h 1100456"/>
              <a:gd name="connsiteX3" fmla="*/ 923925 w 923925"/>
              <a:gd name="connsiteY3" fmla="*/ 233681 h 1100456"/>
              <a:gd name="connsiteX4" fmla="*/ 923925 w 923925"/>
              <a:gd name="connsiteY4" fmla="*/ 1100456 h 1100456"/>
              <a:gd name="connsiteX5" fmla="*/ 0 w 923925"/>
              <a:gd name="connsiteY5" fmla="*/ 1090931 h 1100456"/>
              <a:gd name="connsiteX6" fmla="*/ 9525 w 923925"/>
              <a:gd name="connsiteY6" fmla="*/ 5081 h 110045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923925" h="1100456">
                <a:moveTo>
                  <a:pt x="9525" y="5081"/>
                </a:moveTo>
                <a:lnTo>
                  <a:pt x="459246" y="0"/>
                </a:lnTo>
                <a:cubicBezTo>
                  <a:pt x="463861" y="79000"/>
                  <a:pt x="460375" y="158000"/>
                  <a:pt x="466725" y="233681"/>
                </a:cubicBezTo>
                <a:lnTo>
                  <a:pt x="923925" y="233681"/>
                </a:lnTo>
                <a:lnTo>
                  <a:pt x="923925" y="1100456"/>
                </a:lnTo>
                <a:lnTo>
                  <a:pt x="0" y="1090931"/>
                </a:lnTo>
                <a:lnTo>
                  <a:pt x="9525" y="5081"/>
                </a:lnTo>
                <a:close/>
              </a:path>
            </a:pathLst>
          </a:custGeom>
          <a:noFill/>
          <a:ln w="19050">
            <a:solidFill>
              <a:srgbClr val="CC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10" name="Freeform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3783597" y="62063578"/>
            <a:ext cx="1215563" cy="1071069"/>
          </a:xfrm>
          <a:custGeom>
            <a:avLst/>
            <a:gdLst>
              <a:gd name="connsiteX0" fmla="*/ 47625 w 1228725"/>
              <a:gd name="connsiteY0" fmla="*/ 0 h 1181100"/>
              <a:gd name="connsiteX1" fmla="*/ 276225 w 1228725"/>
              <a:gd name="connsiteY1" fmla="*/ 0 h 1181100"/>
              <a:gd name="connsiteX2" fmla="*/ 285750 w 1228725"/>
              <a:gd name="connsiteY2" fmla="*/ 133350 h 1181100"/>
              <a:gd name="connsiteX3" fmla="*/ 1228725 w 1228725"/>
              <a:gd name="connsiteY3" fmla="*/ 152400 h 1181100"/>
              <a:gd name="connsiteX4" fmla="*/ 1190625 w 1228725"/>
              <a:gd name="connsiteY4" fmla="*/ 1181100 h 1181100"/>
              <a:gd name="connsiteX5" fmla="*/ 0 w 1228725"/>
              <a:gd name="connsiteY5" fmla="*/ 1152525 h 1181100"/>
              <a:gd name="connsiteX6" fmla="*/ 47625 w 1228725"/>
              <a:gd name="connsiteY6" fmla="*/ 0 h 1181100"/>
              <a:gd name="connsiteX0" fmla="*/ 0 w 1238250"/>
              <a:gd name="connsiteY0" fmla="*/ 0 h 1190625"/>
              <a:gd name="connsiteX1" fmla="*/ 285750 w 1238250"/>
              <a:gd name="connsiteY1" fmla="*/ 9525 h 1190625"/>
              <a:gd name="connsiteX2" fmla="*/ 295275 w 1238250"/>
              <a:gd name="connsiteY2" fmla="*/ 142875 h 1190625"/>
              <a:gd name="connsiteX3" fmla="*/ 1238250 w 1238250"/>
              <a:gd name="connsiteY3" fmla="*/ 161925 h 1190625"/>
              <a:gd name="connsiteX4" fmla="*/ 1200150 w 1238250"/>
              <a:gd name="connsiteY4" fmla="*/ 1190625 h 1190625"/>
              <a:gd name="connsiteX5" fmla="*/ 9525 w 1238250"/>
              <a:gd name="connsiteY5" fmla="*/ 1162050 h 1190625"/>
              <a:gd name="connsiteX6" fmla="*/ 0 w 1238250"/>
              <a:gd name="connsiteY6" fmla="*/ 0 h 1190625"/>
              <a:gd name="connsiteX0" fmla="*/ 0 w 1238250"/>
              <a:gd name="connsiteY0" fmla="*/ 19050 h 1181100"/>
              <a:gd name="connsiteX1" fmla="*/ 285750 w 1238250"/>
              <a:gd name="connsiteY1" fmla="*/ 0 h 1181100"/>
              <a:gd name="connsiteX2" fmla="*/ 295275 w 1238250"/>
              <a:gd name="connsiteY2" fmla="*/ 133350 h 1181100"/>
              <a:gd name="connsiteX3" fmla="*/ 1238250 w 1238250"/>
              <a:gd name="connsiteY3" fmla="*/ 152400 h 1181100"/>
              <a:gd name="connsiteX4" fmla="*/ 1200150 w 1238250"/>
              <a:gd name="connsiteY4" fmla="*/ 1181100 h 1181100"/>
              <a:gd name="connsiteX5" fmla="*/ 9525 w 1238250"/>
              <a:gd name="connsiteY5" fmla="*/ 1152525 h 1181100"/>
              <a:gd name="connsiteX6" fmla="*/ 0 w 1238250"/>
              <a:gd name="connsiteY6" fmla="*/ 19050 h 1181100"/>
              <a:gd name="connsiteX0" fmla="*/ 0 w 1238250"/>
              <a:gd name="connsiteY0" fmla="*/ 0 h 1162050"/>
              <a:gd name="connsiteX1" fmla="*/ 285750 w 1238250"/>
              <a:gd name="connsiteY1" fmla="*/ 0 h 1162050"/>
              <a:gd name="connsiteX2" fmla="*/ 295275 w 1238250"/>
              <a:gd name="connsiteY2" fmla="*/ 114300 h 1162050"/>
              <a:gd name="connsiteX3" fmla="*/ 1238250 w 1238250"/>
              <a:gd name="connsiteY3" fmla="*/ 133350 h 1162050"/>
              <a:gd name="connsiteX4" fmla="*/ 1200150 w 1238250"/>
              <a:gd name="connsiteY4" fmla="*/ 1162050 h 1162050"/>
              <a:gd name="connsiteX5" fmla="*/ 9525 w 1238250"/>
              <a:gd name="connsiteY5" fmla="*/ 1133475 h 1162050"/>
              <a:gd name="connsiteX6" fmla="*/ 0 w 1238250"/>
              <a:gd name="connsiteY6" fmla="*/ 0 h 11620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1238250" h="1162050">
                <a:moveTo>
                  <a:pt x="0" y="0"/>
                </a:moveTo>
                <a:lnTo>
                  <a:pt x="285750" y="0"/>
                </a:lnTo>
                <a:lnTo>
                  <a:pt x="295275" y="114300"/>
                </a:lnTo>
                <a:lnTo>
                  <a:pt x="1238250" y="133350"/>
                </a:lnTo>
                <a:lnTo>
                  <a:pt x="1200150" y="1162050"/>
                </a:lnTo>
                <a:lnTo>
                  <a:pt x="9525" y="1133475"/>
                </a:lnTo>
                <a:lnTo>
                  <a:pt x="0" y="0"/>
                </a:lnTo>
                <a:close/>
              </a:path>
            </a:pathLst>
          </a:custGeom>
          <a:noFill/>
          <a:ln w="19050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11" name="TextBox 18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2373538" y="60479063"/>
            <a:ext cx="1359258" cy="253643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00" b="1">
                <a:solidFill>
                  <a:srgbClr val="C00000"/>
                </a:solidFill>
              </a:rPr>
              <a:t>Wing A</a:t>
            </a:r>
            <a:endParaRPr lang="en-IN" sz="1000" b="1">
              <a:solidFill>
                <a:srgbClr val="C00000"/>
              </a:solidFill>
            </a:endParaRPr>
          </a:p>
        </xdr:txBody>
      </xdr:sp>
      <xdr:sp macro="" textlink="">
        <xdr:nvSpPr>
          <xdr:cNvPr id="12" name="TextBox 19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3464316" y="60537041"/>
            <a:ext cx="1351836" cy="2499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00" b="1">
                <a:solidFill>
                  <a:srgbClr val="C00000"/>
                </a:solidFill>
              </a:rPr>
              <a:t>Wing B</a:t>
            </a:r>
            <a:endParaRPr lang="en-IN" sz="1000" b="1">
              <a:solidFill>
                <a:srgbClr val="C00000"/>
              </a:solidFill>
            </a:endParaRPr>
          </a:p>
        </xdr:txBody>
      </xdr:sp>
      <xdr:sp macro="" textlink="">
        <xdr:nvSpPr>
          <xdr:cNvPr id="13" name="TextBox 20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4506569" y="60614984"/>
            <a:ext cx="1336992" cy="2499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00" b="1">
                <a:solidFill>
                  <a:srgbClr val="C00000"/>
                </a:solidFill>
              </a:rPr>
              <a:t>Wing C</a:t>
            </a:r>
            <a:endParaRPr lang="en-IN" sz="1000" b="1">
              <a:solidFill>
                <a:srgbClr val="C00000"/>
              </a:solidFill>
            </a:endParaRPr>
          </a:p>
        </xdr:txBody>
      </xdr:sp>
      <xdr:sp macro="" textlink="">
        <xdr:nvSpPr>
          <xdr:cNvPr id="14" name="TextBox 21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4254514" y="61648217"/>
            <a:ext cx="1336992" cy="2499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00" b="1">
                <a:solidFill>
                  <a:srgbClr val="C00000"/>
                </a:solidFill>
              </a:rPr>
              <a:t>Wing D</a:t>
            </a:r>
            <a:endParaRPr lang="en-IN" sz="1000" b="1">
              <a:solidFill>
                <a:srgbClr val="C00000"/>
              </a:solidFill>
            </a:endParaRPr>
          </a:p>
        </xdr:txBody>
      </xdr:sp>
      <xdr:sp macro="" textlink="">
        <xdr:nvSpPr>
          <xdr:cNvPr id="15" name="TextBox 22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4061052" y="62422207"/>
            <a:ext cx="1348125" cy="2499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00" b="1">
                <a:solidFill>
                  <a:srgbClr val="C00000"/>
                </a:solidFill>
              </a:rPr>
              <a:t>Wing E</a:t>
            </a:r>
            <a:endParaRPr lang="en-IN" sz="1000" b="1">
              <a:solidFill>
                <a:srgbClr val="C00000"/>
              </a:solidFill>
            </a:endParaRPr>
          </a:p>
        </xdr:txBody>
      </xdr:sp>
    </xdr:grpSp>
    <xdr:clientData/>
  </xdr:twoCellAnchor>
  <xdr:twoCellAnchor editAs="oneCell">
    <xdr:from>
      <xdr:col>0</xdr:col>
      <xdr:colOff>493059</xdr:colOff>
      <xdr:row>705</xdr:row>
      <xdr:rowOff>88487</xdr:rowOff>
    </xdr:from>
    <xdr:to>
      <xdr:col>6</xdr:col>
      <xdr:colOff>659912</xdr:colOff>
      <xdr:row>726</xdr:row>
      <xdr:rowOff>157713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2427" t="-201" r="2426" b="18029"/>
        <a:stretch/>
      </xdr:blipFill>
      <xdr:spPr>
        <a:xfrm>
          <a:off x="493059" y="67671163"/>
          <a:ext cx="5400000" cy="4305050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271059</xdr:colOff>
      <xdr:row>688</xdr:row>
      <xdr:rowOff>100853</xdr:rowOff>
    </xdr:from>
    <xdr:to>
      <xdr:col>6</xdr:col>
      <xdr:colOff>119912</xdr:colOff>
      <xdr:row>704</xdr:row>
      <xdr:rowOff>136538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3059" y="91552059"/>
          <a:ext cx="4320000" cy="3262979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>
    <xdr:from>
      <xdr:col>3</xdr:col>
      <xdr:colOff>298261</xdr:colOff>
      <xdr:row>714</xdr:row>
      <xdr:rowOff>106438</xdr:rowOff>
    </xdr:from>
    <xdr:to>
      <xdr:col>5</xdr:col>
      <xdr:colOff>279475</xdr:colOff>
      <xdr:row>720</xdr:row>
      <xdr:rowOff>7659</xdr:rowOff>
    </xdr:to>
    <xdr:sp macro="" textlink="">
      <xdr:nvSpPr>
        <xdr:cNvPr id="28" name="Freeform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 rot="1442337">
          <a:off x="2707526" y="69504467"/>
          <a:ext cx="1684508" cy="1111457"/>
        </a:xfrm>
        <a:custGeom>
          <a:avLst/>
          <a:gdLst>
            <a:gd name="connsiteX0" fmla="*/ 285750 w 4848225"/>
            <a:gd name="connsiteY0" fmla="*/ 57150 h 3276600"/>
            <a:gd name="connsiteX1" fmla="*/ 4848225 w 4848225"/>
            <a:gd name="connsiteY1" fmla="*/ 0 h 3276600"/>
            <a:gd name="connsiteX2" fmla="*/ 4476750 w 4848225"/>
            <a:gd name="connsiteY2" fmla="*/ 3267075 h 3276600"/>
            <a:gd name="connsiteX3" fmla="*/ 0 w 4848225"/>
            <a:gd name="connsiteY3" fmla="*/ 3276600 h 3276600"/>
            <a:gd name="connsiteX4" fmla="*/ 285750 w 4848225"/>
            <a:gd name="connsiteY4" fmla="*/ 57150 h 3276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848225" h="3276600">
              <a:moveTo>
                <a:pt x="285750" y="57150"/>
              </a:moveTo>
              <a:lnTo>
                <a:pt x="4848225" y="0"/>
              </a:lnTo>
              <a:lnTo>
                <a:pt x="4476750" y="3267075"/>
              </a:lnTo>
              <a:lnTo>
                <a:pt x="0" y="3276600"/>
              </a:lnTo>
              <a:lnTo>
                <a:pt x="285750" y="57150"/>
              </a:lnTo>
              <a:close/>
            </a:path>
          </a:pathLst>
        </a:cu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8</xdr:col>
      <xdr:colOff>335448</xdr:colOff>
      <xdr:row>603</xdr:row>
      <xdr:rowOff>12561</xdr:rowOff>
    </xdr:from>
    <xdr:to>
      <xdr:col>15</xdr:col>
      <xdr:colOff>324525</xdr:colOff>
      <xdr:row>635</xdr:row>
      <xdr:rowOff>182610</xdr:rowOff>
    </xdr:to>
    <xdr:grpSp>
      <xdr:nvGrpSpPr>
        <xdr:cNvPr id="2" name="Group 1"/>
        <xdr:cNvGrpSpPr/>
      </xdr:nvGrpSpPr>
      <xdr:grpSpPr>
        <a:xfrm>
          <a:off x="7025360" y="99812149"/>
          <a:ext cx="5984224" cy="6624637"/>
          <a:chOff x="125898" y="98436457"/>
          <a:chExt cx="5981130" cy="6529850"/>
        </a:xfrm>
      </xdr:grpSpPr>
      <xdr:pic>
        <xdr:nvPicPr>
          <xdr:cNvPr id="37" name="Picture 36" descr="https://vsjcllp.vsjadon.com/upload/insp-236325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563718" y="102894847"/>
            <a:ext cx="1543310" cy="206060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8" name="Picture 37" descr="https://vsjcllp.vsjadon.com/upload/insp-236325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943639" y="102898159"/>
            <a:ext cx="1543310" cy="206060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9" name="Picture 38" descr="https://vsjcllp.vsjadon.com/upload/insp-236325-84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98783" y="98438114"/>
            <a:ext cx="2875999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0" name="Picture 39" descr="https://vsjcllp.vsjadon.com/upload/insp-236325-85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02095" y="100669448"/>
            <a:ext cx="2875999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1" name="Picture 40" descr="https://vsjcllp.vsjadon.com/upload/insp-236325-86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145734" y="98436457"/>
            <a:ext cx="2875999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2" name="Picture 41" descr="https://vsjcllp.vsjadon.com/upload/insp-236325-87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149049" y="100667792"/>
            <a:ext cx="2875999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3" name="Picture 42" descr="https://vsjcllp.vsjadon.com/upload/insp-236325-151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25898" y="102905698"/>
            <a:ext cx="2743662" cy="206060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329501</xdr:colOff>
      <xdr:row>603</xdr:row>
      <xdr:rowOff>61271</xdr:rowOff>
    </xdr:from>
    <xdr:to>
      <xdr:col>6</xdr:col>
      <xdr:colOff>571893</xdr:colOff>
      <xdr:row>643</xdr:row>
      <xdr:rowOff>44901</xdr:rowOff>
    </xdr:to>
    <xdr:grpSp>
      <xdr:nvGrpSpPr>
        <xdr:cNvPr id="29" name="Group 28"/>
        <xdr:cNvGrpSpPr/>
      </xdr:nvGrpSpPr>
      <xdr:grpSpPr>
        <a:xfrm>
          <a:off x="329501" y="99860859"/>
          <a:ext cx="5475539" cy="8051866"/>
          <a:chOff x="918318" y="1131902"/>
          <a:chExt cx="4619530" cy="7677988"/>
        </a:xfrm>
      </xdr:grpSpPr>
      <xdr:pic>
        <xdr:nvPicPr>
          <xdr:cNvPr id="30" name="Picture 29" descr="https://vsjcllp.vsjadon.com/upload/insp-246811-928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63287" y="6870465"/>
            <a:ext cx="1433700" cy="19116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" name="Picture 30" descr="https://vsjcllp.vsjadon.com/upload/insp-246811-135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492868" y="6898290"/>
            <a:ext cx="1433701" cy="19116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2" name="Picture 31" descr="https://vsjcllp.vsjadon.com/upload/insp-246811-214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8318" y="4626497"/>
            <a:ext cx="2879007" cy="215925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Picture 32" descr="https://vsjcllp.vsjadon.com/upload/insp-246811-214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016544" y="6898290"/>
            <a:ext cx="1433701" cy="19116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Picture 33" descr="https://vsjcllp.vsjadon.com/upload/insp-246811-21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71096" y="1131902"/>
            <a:ext cx="4566752" cy="342506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5" name="Picture 34" descr="https://vsjcllp.vsjadon.com/upload/insp-246811-214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88110" y="4608320"/>
            <a:ext cx="1620000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2</xdr:row>
      <xdr:rowOff>19050</xdr:rowOff>
    </xdr:from>
    <xdr:to>
      <xdr:col>18</xdr:col>
      <xdr:colOff>276330</xdr:colOff>
      <xdr:row>61</xdr:row>
      <xdr:rowOff>8480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981075" y="400050"/>
          <a:ext cx="10268055" cy="11228930"/>
          <a:chOff x="-2268387" y="-373839"/>
          <a:chExt cx="10268055" cy="1122893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-2265603" y="-373839"/>
            <a:ext cx="5040000" cy="3575903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959668" y="-373838"/>
            <a:ext cx="5040000" cy="3575903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-2268387" y="3463776"/>
            <a:ext cx="5040000" cy="3594209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2959668" y="3463776"/>
            <a:ext cx="5040000" cy="357394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657251" y="7299428"/>
            <a:ext cx="5040000" cy="3555663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493058</xdr:colOff>
      <xdr:row>1</xdr:row>
      <xdr:rowOff>168088</xdr:rowOff>
    </xdr:from>
    <xdr:to>
      <xdr:col>14</xdr:col>
      <xdr:colOff>253521</xdr:colOff>
      <xdr:row>24</xdr:row>
      <xdr:rowOff>95382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269"/>
        <a:stretch/>
      </xdr:blipFill>
      <xdr:spPr>
        <a:xfrm>
          <a:off x="9905999" y="358588"/>
          <a:ext cx="3256698" cy="43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omments" Target="../comments1.xml"/><Relationship Id="rId2" Type="http://schemas.openxmlformats.org/officeDocument/2006/relationships/hyperlink" Target="https://housing.com/in/buy/projects/page/310556-avant-heritage-v-by-avant-group-in-andheri-east" TargetMode="External"/><Relationship Id="rId1" Type="http://schemas.openxmlformats.org/officeDocument/2006/relationships/hyperlink" Target="https://maps.app.goo.gl/6ekvz7Sy18Mvpmxd8" TargetMode="External"/><Relationship Id="rId6" Type="http://schemas.openxmlformats.org/officeDocument/2006/relationships/vmlDrawing" Target="../drawings/vmlDrawing2.v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Z688"/>
  <sheetViews>
    <sheetView tabSelected="1" view="pageBreakPreview" topLeftCell="A574" zoomScale="85" zoomScaleNormal="100" zoomScaleSheetLayoutView="85" zoomScalePageLayoutView="85" workbookViewId="0">
      <selection activeCell="K583" sqref="K583"/>
    </sheetView>
  </sheetViews>
  <sheetFormatPr defaultColWidth="9.140625" defaultRowHeight="15.75" x14ac:dyDescent="0.25"/>
  <cols>
    <col min="1" max="1" width="11.42578125" style="36" customWidth="1"/>
    <col min="2" max="2" width="12" style="36" customWidth="1"/>
    <col min="3" max="3" width="12.7109375" style="36" customWidth="1"/>
    <col min="4" max="4" width="19.5703125" style="36" bestFit="1" customWidth="1"/>
    <col min="5" max="5" width="11.7109375" style="36" customWidth="1"/>
    <col min="6" max="6" width="11.140625" style="36" customWidth="1"/>
    <col min="7" max="8" width="11" style="36" customWidth="1"/>
    <col min="9" max="9" width="17.42578125" style="17" customWidth="1"/>
    <col min="10" max="10" width="11.42578125" style="17" customWidth="1"/>
    <col min="11" max="11" width="10.5703125" style="17" bestFit="1" customWidth="1"/>
    <col min="12" max="12" width="13.85546875" style="17" bestFit="1" customWidth="1"/>
    <col min="13" max="13" width="11.85546875" style="17" customWidth="1"/>
    <col min="14" max="14" width="12.5703125" style="17" customWidth="1"/>
    <col min="15" max="15" width="12.140625" style="17" customWidth="1"/>
    <col min="16" max="16" width="11.7109375" style="17" customWidth="1"/>
    <col min="17" max="18" width="9.140625" style="17"/>
    <col min="19" max="19" width="10.85546875" style="17" bestFit="1" customWidth="1"/>
    <col min="20" max="247" width="9.140625" style="17"/>
    <col min="248" max="248" width="8.7109375" style="17" customWidth="1"/>
    <col min="249" max="249" width="9.85546875" style="17" customWidth="1"/>
    <col min="250" max="250" width="14.42578125" style="17" customWidth="1"/>
    <col min="251" max="251" width="7.28515625" style="17" customWidth="1"/>
    <col min="252" max="252" width="5.5703125" style="17" customWidth="1"/>
    <col min="253" max="253" width="9" style="17" customWidth="1"/>
    <col min="254" max="255" width="9.85546875" style="17" customWidth="1"/>
    <col min="256" max="256" width="11.140625" style="17" customWidth="1"/>
    <col min="257" max="257" width="2.85546875" style="17" customWidth="1"/>
    <col min="258" max="258" width="3.5703125" style="17" customWidth="1"/>
    <col min="259" max="503" width="9.140625" style="17"/>
    <col min="504" max="504" width="8.7109375" style="17" customWidth="1"/>
    <col min="505" max="505" width="9.85546875" style="17" customWidth="1"/>
    <col min="506" max="506" width="14.42578125" style="17" customWidth="1"/>
    <col min="507" max="507" width="7.28515625" style="17" customWidth="1"/>
    <col min="508" max="508" width="5.5703125" style="17" customWidth="1"/>
    <col min="509" max="509" width="9" style="17" customWidth="1"/>
    <col min="510" max="511" width="9.85546875" style="17" customWidth="1"/>
    <col min="512" max="512" width="11.140625" style="17" customWidth="1"/>
    <col min="513" max="513" width="2.85546875" style="17" customWidth="1"/>
    <col min="514" max="514" width="3.5703125" style="17" customWidth="1"/>
    <col min="515" max="759" width="9.140625" style="17"/>
    <col min="760" max="760" width="8.7109375" style="17" customWidth="1"/>
    <col min="761" max="761" width="9.85546875" style="17" customWidth="1"/>
    <col min="762" max="762" width="14.42578125" style="17" customWidth="1"/>
    <col min="763" max="763" width="7.28515625" style="17" customWidth="1"/>
    <col min="764" max="764" width="5.5703125" style="17" customWidth="1"/>
    <col min="765" max="765" width="9" style="17" customWidth="1"/>
    <col min="766" max="767" width="9.85546875" style="17" customWidth="1"/>
    <col min="768" max="768" width="11.140625" style="17" customWidth="1"/>
    <col min="769" max="769" width="2.85546875" style="17" customWidth="1"/>
    <col min="770" max="770" width="3.5703125" style="17" customWidth="1"/>
    <col min="771" max="1015" width="9.140625" style="17"/>
    <col min="1016" max="1016" width="8.7109375" style="17" customWidth="1"/>
    <col min="1017" max="1017" width="9.85546875" style="17" customWidth="1"/>
    <col min="1018" max="1018" width="14.42578125" style="17" customWidth="1"/>
    <col min="1019" max="1019" width="7.28515625" style="17" customWidth="1"/>
    <col min="1020" max="1020" width="5.5703125" style="17" customWidth="1"/>
    <col min="1021" max="1021" width="9" style="17" customWidth="1"/>
    <col min="1022" max="1023" width="9.85546875" style="17" customWidth="1"/>
    <col min="1024" max="1024" width="11.140625" style="17" customWidth="1"/>
    <col min="1025" max="1025" width="2.85546875" style="17" customWidth="1"/>
    <col min="1026" max="1026" width="3.5703125" style="17" customWidth="1"/>
    <col min="1027" max="1271" width="9.140625" style="17"/>
    <col min="1272" max="1272" width="8.7109375" style="17" customWidth="1"/>
    <col min="1273" max="1273" width="9.85546875" style="17" customWidth="1"/>
    <col min="1274" max="1274" width="14.42578125" style="17" customWidth="1"/>
    <col min="1275" max="1275" width="7.28515625" style="17" customWidth="1"/>
    <col min="1276" max="1276" width="5.5703125" style="17" customWidth="1"/>
    <col min="1277" max="1277" width="9" style="17" customWidth="1"/>
    <col min="1278" max="1279" width="9.85546875" style="17" customWidth="1"/>
    <col min="1280" max="1280" width="11.140625" style="17" customWidth="1"/>
    <col min="1281" max="1281" width="2.85546875" style="17" customWidth="1"/>
    <col min="1282" max="1282" width="3.5703125" style="17" customWidth="1"/>
    <col min="1283" max="1527" width="9.140625" style="17"/>
    <col min="1528" max="1528" width="8.7109375" style="17" customWidth="1"/>
    <col min="1529" max="1529" width="9.85546875" style="17" customWidth="1"/>
    <col min="1530" max="1530" width="14.42578125" style="17" customWidth="1"/>
    <col min="1531" max="1531" width="7.28515625" style="17" customWidth="1"/>
    <col min="1532" max="1532" width="5.5703125" style="17" customWidth="1"/>
    <col min="1533" max="1533" width="9" style="17" customWidth="1"/>
    <col min="1534" max="1535" width="9.85546875" style="17" customWidth="1"/>
    <col min="1536" max="1536" width="11.140625" style="17" customWidth="1"/>
    <col min="1537" max="1537" width="2.85546875" style="17" customWidth="1"/>
    <col min="1538" max="1538" width="3.5703125" style="17" customWidth="1"/>
    <col min="1539" max="1783" width="9.140625" style="17"/>
    <col min="1784" max="1784" width="8.7109375" style="17" customWidth="1"/>
    <col min="1785" max="1785" width="9.85546875" style="17" customWidth="1"/>
    <col min="1786" max="1786" width="14.42578125" style="17" customWidth="1"/>
    <col min="1787" max="1787" width="7.28515625" style="17" customWidth="1"/>
    <col min="1788" max="1788" width="5.5703125" style="17" customWidth="1"/>
    <col min="1789" max="1789" width="9" style="17" customWidth="1"/>
    <col min="1790" max="1791" width="9.85546875" style="17" customWidth="1"/>
    <col min="1792" max="1792" width="11.140625" style="17" customWidth="1"/>
    <col min="1793" max="1793" width="2.85546875" style="17" customWidth="1"/>
    <col min="1794" max="1794" width="3.5703125" style="17" customWidth="1"/>
    <col min="1795" max="2039" width="9.140625" style="17"/>
    <col min="2040" max="2040" width="8.7109375" style="17" customWidth="1"/>
    <col min="2041" max="2041" width="9.85546875" style="17" customWidth="1"/>
    <col min="2042" max="2042" width="14.42578125" style="17" customWidth="1"/>
    <col min="2043" max="2043" width="7.28515625" style="17" customWidth="1"/>
    <col min="2044" max="2044" width="5.5703125" style="17" customWidth="1"/>
    <col min="2045" max="2045" width="9" style="17" customWidth="1"/>
    <col min="2046" max="2047" width="9.85546875" style="17" customWidth="1"/>
    <col min="2048" max="2048" width="11.140625" style="17" customWidth="1"/>
    <col min="2049" max="2049" width="2.85546875" style="17" customWidth="1"/>
    <col min="2050" max="2050" width="3.5703125" style="17" customWidth="1"/>
    <col min="2051" max="2295" width="9.140625" style="17"/>
    <col min="2296" max="2296" width="8.7109375" style="17" customWidth="1"/>
    <col min="2297" max="2297" width="9.85546875" style="17" customWidth="1"/>
    <col min="2298" max="2298" width="14.42578125" style="17" customWidth="1"/>
    <col min="2299" max="2299" width="7.28515625" style="17" customWidth="1"/>
    <col min="2300" max="2300" width="5.5703125" style="17" customWidth="1"/>
    <col min="2301" max="2301" width="9" style="17" customWidth="1"/>
    <col min="2302" max="2303" width="9.85546875" style="17" customWidth="1"/>
    <col min="2304" max="2304" width="11.140625" style="17" customWidth="1"/>
    <col min="2305" max="2305" width="2.85546875" style="17" customWidth="1"/>
    <col min="2306" max="2306" width="3.5703125" style="17" customWidth="1"/>
    <col min="2307" max="2551" width="9.140625" style="17"/>
    <col min="2552" max="2552" width="8.7109375" style="17" customWidth="1"/>
    <col min="2553" max="2553" width="9.85546875" style="17" customWidth="1"/>
    <col min="2554" max="2554" width="14.42578125" style="17" customWidth="1"/>
    <col min="2555" max="2555" width="7.28515625" style="17" customWidth="1"/>
    <col min="2556" max="2556" width="5.5703125" style="17" customWidth="1"/>
    <col min="2557" max="2557" width="9" style="17" customWidth="1"/>
    <col min="2558" max="2559" width="9.85546875" style="17" customWidth="1"/>
    <col min="2560" max="2560" width="11.140625" style="17" customWidth="1"/>
    <col min="2561" max="2561" width="2.85546875" style="17" customWidth="1"/>
    <col min="2562" max="2562" width="3.5703125" style="17" customWidth="1"/>
    <col min="2563" max="2807" width="9.140625" style="17"/>
    <col min="2808" max="2808" width="8.7109375" style="17" customWidth="1"/>
    <col min="2809" max="2809" width="9.85546875" style="17" customWidth="1"/>
    <col min="2810" max="2810" width="14.42578125" style="17" customWidth="1"/>
    <col min="2811" max="2811" width="7.28515625" style="17" customWidth="1"/>
    <col min="2812" max="2812" width="5.5703125" style="17" customWidth="1"/>
    <col min="2813" max="2813" width="9" style="17" customWidth="1"/>
    <col min="2814" max="2815" width="9.85546875" style="17" customWidth="1"/>
    <col min="2816" max="2816" width="11.140625" style="17" customWidth="1"/>
    <col min="2817" max="2817" width="2.85546875" style="17" customWidth="1"/>
    <col min="2818" max="2818" width="3.5703125" style="17" customWidth="1"/>
    <col min="2819" max="3063" width="9.140625" style="17"/>
    <col min="3064" max="3064" width="8.7109375" style="17" customWidth="1"/>
    <col min="3065" max="3065" width="9.85546875" style="17" customWidth="1"/>
    <col min="3066" max="3066" width="14.42578125" style="17" customWidth="1"/>
    <col min="3067" max="3067" width="7.28515625" style="17" customWidth="1"/>
    <col min="3068" max="3068" width="5.5703125" style="17" customWidth="1"/>
    <col min="3069" max="3069" width="9" style="17" customWidth="1"/>
    <col min="3070" max="3071" width="9.85546875" style="17" customWidth="1"/>
    <col min="3072" max="3072" width="11.140625" style="17" customWidth="1"/>
    <col min="3073" max="3073" width="2.85546875" style="17" customWidth="1"/>
    <col min="3074" max="3074" width="3.5703125" style="17" customWidth="1"/>
    <col min="3075" max="3319" width="9.140625" style="17"/>
    <col min="3320" max="3320" width="8.7109375" style="17" customWidth="1"/>
    <col min="3321" max="3321" width="9.85546875" style="17" customWidth="1"/>
    <col min="3322" max="3322" width="14.42578125" style="17" customWidth="1"/>
    <col min="3323" max="3323" width="7.28515625" style="17" customWidth="1"/>
    <col min="3324" max="3324" width="5.5703125" style="17" customWidth="1"/>
    <col min="3325" max="3325" width="9" style="17" customWidth="1"/>
    <col min="3326" max="3327" width="9.85546875" style="17" customWidth="1"/>
    <col min="3328" max="3328" width="11.140625" style="17" customWidth="1"/>
    <col min="3329" max="3329" width="2.85546875" style="17" customWidth="1"/>
    <col min="3330" max="3330" width="3.5703125" style="17" customWidth="1"/>
    <col min="3331" max="3575" width="9.140625" style="17"/>
    <col min="3576" max="3576" width="8.7109375" style="17" customWidth="1"/>
    <col min="3577" max="3577" width="9.85546875" style="17" customWidth="1"/>
    <col min="3578" max="3578" width="14.42578125" style="17" customWidth="1"/>
    <col min="3579" max="3579" width="7.28515625" style="17" customWidth="1"/>
    <col min="3580" max="3580" width="5.5703125" style="17" customWidth="1"/>
    <col min="3581" max="3581" width="9" style="17" customWidth="1"/>
    <col min="3582" max="3583" width="9.85546875" style="17" customWidth="1"/>
    <col min="3584" max="3584" width="11.140625" style="17" customWidth="1"/>
    <col min="3585" max="3585" width="2.85546875" style="17" customWidth="1"/>
    <col min="3586" max="3586" width="3.5703125" style="17" customWidth="1"/>
    <col min="3587" max="3831" width="9.140625" style="17"/>
    <col min="3832" max="3832" width="8.7109375" style="17" customWidth="1"/>
    <col min="3833" max="3833" width="9.85546875" style="17" customWidth="1"/>
    <col min="3834" max="3834" width="14.42578125" style="17" customWidth="1"/>
    <col min="3835" max="3835" width="7.28515625" style="17" customWidth="1"/>
    <col min="3836" max="3836" width="5.5703125" style="17" customWidth="1"/>
    <col min="3837" max="3837" width="9" style="17" customWidth="1"/>
    <col min="3838" max="3839" width="9.85546875" style="17" customWidth="1"/>
    <col min="3840" max="3840" width="11.140625" style="17" customWidth="1"/>
    <col min="3841" max="3841" width="2.85546875" style="17" customWidth="1"/>
    <col min="3842" max="3842" width="3.5703125" style="17" customWidth="1"/>
    <col min="3843" max="4087" width="9.140625" style="17"/>
    <col min="4088" max="4088" width="8.7109375" style="17" customWidth="1"/>
    <col min="4089" max="4089" width="9.85546875" style="17" customWidth="1"/>
    <col min="4090" max="4090" width="14.42578125" style="17" customWidth="1"/>
    <col min="4091" max="4091" width="7.28515625" style="17" customWidth="1"/>
    <col min="4092" max="4092" width="5.5703125" style="17" customWidth="1"/>
    <col min="4093" max="4093" width="9" style="17" customWidth="1"/>
    <col min="4094" max="4095" width="9.85546875" style="17" customWidth="1"/>
    <col min="4096" max="4096" width="11.140625" style="17" customWidth="1"/>
    <col min="4097" max="4097" width="2.85546875" style="17" customWidth="1"/>
    <col min="4098" max="4098" width="3.5703125" style="17" customWidth="1"/>
    <col min="4099" max="4343" width="9.140625" style="17"/>
    <col min="4344" max="4344" width="8.7109375" style="17" customWidth="1"/>
    <col min="4345" max="4345" width="9.85546875" style="17" customWidth="1"/>
    <col min="4346" max="4346" width="14.42578125" style="17" customWidth="1"/>
    <col min="4347" max="4347" width="7.28515625" style="17" customWidth="1"/>
    <col min="4348" max="4348" width="5.5703125" style="17" customWidth="1"/>
    <col min="4349" max="4349" width="9" style="17" customWidth="1"/>
    <col min="4350" max="4351" width="9.85546875" style="17" customWidth="1"/>
    <col min="4352" max="4352" width="11.140625" style="17" customWidth="1"/>
    <col min="4353" max="4353" width="2.85546875" style="17" customWidth="1"/>
    <col min="4354" max="4354" width="3.5703125" style="17" customWidth="1"/>
    <col min="4355" max="4599" width="9.140625" style="17"/>
    <col min="4600" max="4600" width="8.7109375" style="17" customWidth="1"/>
    <col min="4601" max="4601" width="9.85546875" style="17" customWidth="1"/>
    <col min="4602" max="4602" width="14.42578125" style="17" customWidth="1"/>
    <col min="4603" max="4603" width="7.28515625" style="17" customWidth="1"/>
    <col min="4604" max="4604" width="5.5703125" style="17" customWidth="1"/>
    <col min="4605" max="4605" width="9" style="17" customWidth="1"/>
    <col min="4606" max="4607" width="9.85546875" style="17" customWidth="1"/>
    <col min="4608" max="4608" width="11.140625" style="17" customWidth="1"/>
    <col min="4609" max="4609" width="2.85546875" style="17" customWidth="1"/>
    <col min="4610" max="4610" width="3.5703125" style="17" customWidth="1"/>
    <col min="4611" max="4855" width="9.140625" style="17"/>
    <col min="4856" max="4856" width="8.7109375" style="17" customWidth="1"/>
    <col min="4857" max="4857" width="9.85546875" style="17" customWidth="1"/>
    <col min="4858" max="4858" width="14.42578125" style="17" customWidth="1"/>
    <col min="4859" max="4859" width="7.28515625" style="17" customWidth="1"/>
    <col min="4860" max="4860" width="5.5703125" style="17" customWidth="1"/>
    <col min="4861" max="4861" width="9" style="17" customWidth="1"/>
    <col min="4862" max="4863" width="9.85546875" style="17" customWidth="1"/>
    <col min="4864" max="4864" width="11.140625" style="17" customWidth="1"/>
    <col min="4865" max="4865" width="2.85546875" style="17" customWidth="1"/>
    <col min="4866" max="4866" width="3.5703125" style="17" customWidth="1"/>
    <col min="4867" max="5111" width="9.140625" style="17"/>
    <col min="5112" max="5112" width="8.7109375" style="17" customWidth="1"/>
    <col min="5113" max="5113" width="9.85546875" style="17" customWidth="1"/>
    <col min="5114" max="5114" width="14.42578125" style="17" customWidth="1"/>
    <col min="5115" max="5115" width="7.28515625" style="17" customWidth="1"/>
    <col min="5116" max="5116" width="5.5703125" style="17" customWidth="1"/>
    <col min="5117" max="5117" width="9" style="17" customWidth="1"/>
    <col min="5118" max="5119" width="9.85546875" style="17" customWidth="1"/>
    <col min="5120" max="5120" width="11.140625" style="17" customWidth="1"/>
    <col min="5121" max="5121" width="2.85546875" style="17" customWidth="1"/>
    <col min="5122" max="5122" width="3.5703125" style="17" customWidth="1"/>
    <col min="5123" max="5367" width="9.140625" style="17"/>
    <col min="5368" max="5368" width="8.7109375" style="17" customWidth="1"/>
    <col min="5369" max="5369" width="9.85546875" style="17" customWidth="1"/>
    <col min="5370" max="5370" width="14.42578125" style="17" customWidth="1"/>
    <col min="5371" max="5371" width="7.28515625" style="17" customWidth="1"/>
    <col min="5372" max="5372" width="5.5703125" style="17" customWidth="1"/>
    <col min="5373" max="5373" width="9" style="17" customWidth="1"/>
    <col min="5374" max="5375" width="9.85546875" style="17" customWidth="1"/>
    <col min="5376" max="5376" width="11.140625" style="17" customWidth="1"/>
    <col min="5377" max="5377" width="2.85546875" style="17" customWidth="1"/>
    <col min="5378" max="5378" width="3.5703125" style="17" customWidth="1"/>
    <col min="5379" max="5623" width="9.140625" style="17"/>
    <col min="5624" max="5624" width="8.7109375" style="17" customWidth="1"/>
    <col min="5625" max="5625" width="9.85546875" style="17" customWidth="1"/>
    <col min="5626" max="5626" width="14.42578125" style="17" customWidth="1"/>
    <col min="5627" max="5627" width="7.28515625" style="17" customWidth="1"/>
    <col min="5628" max="5628" width="5.5703125" style="17" customWidth="1"/>
    <col min="5629" max="5629" width="9" style="17" customWidth="1"/>
    <col min="5630" max="5631" width="9.85546875" style="17" customWidth="1"/>
    <col min="5632" max="5632" width="11.140625" style="17" customWidth="1"/>
    <col min="5633" max="5633" width="2.85546875" style="17" customWidth="1"/>
    <col min="5634" max="5634" width="3.5703125" style="17" customWidth="1"/>
    <col min="5635" max="5879" width="9.140625" style="17"/>
    <col min="5880" max="5880" width="8.7109375" style="17" customWidth="1"/>
    <col min="5881" max="5881" width="9.85546875" style="17" customWidth="1"/>
    <col min="5882" max="5882" width="14.42578125" style="17" customWidth="1"/>
    <col min="5883" max="5883" width="7.28515625" style="17" customWidth="1"/>
    <col min="5884" max="5884" width="5.5703125" style="17" customWidth="1"/>
    <col min="5885" max="5885" width="9" style="17" customWidth="1"/>
    <col min="5886" max="5887" width="9.85546875" style="17" customWidth="1"/>
    <col min="5888" max="5888" width="11.140625" style="17" customWidth="1"/>
    <col min="5889" max="5889" width="2.85546875" style="17" customWidth="1"/>
    <col min="5890" max="5890" width="3.5703125" style="17" customWidth="1"/>
    <col min="5891" max="6135" width="9.140625" style="17"/>
    <col min="6136" max="6136" width="8.7109375" style="17" customWidth="1"/>
    <col min="6137" max="6137" width="9.85546875" style="17" customWidth="1"/>
    <col min="6138" max="6138" width="14.42578125" style="17" customWidth="1"/>
    <col min="6139" max="6139" width="7.28515625" style="17" customWidth="1"/>
    <col min="6140" max="6140" width="5.5703125" style="17" customWidth="1"/>
    <col min="6141" max="6141" width="9" style="17" customWidth="1"/>
    <col min="6142" max="6143" width="9.85546875" style="17" customWidth="1"/>
    <col min="6144" max="6144" width="11.140625" style="17" customWidth="1"/>
    <col min="6145" max="6145" width="2.85546875" style="17" customWidth="1"/>
    <col min="6146" max="6146" width="3.5703125" style="17" customWidth="1"/>
    <col min="6147" max="6391" width="9.140625" style="17"/>
    <col min="6392" max="6392" width="8.7109375" style="17" customWidth="1"/>
    <col min="6393" max="6393" width="9.85546875" style="17" customWidth="1"/>
    <col min="6394" max="6394" width="14.42578125" style="17" customWidth="1"/>
    <col min="6395" max="6395" width="7.28515625" style="17" customWidth="1"/>
    <col min="6396" max="6396" width="5.5703125" style="17" customWidth="1"/>
    <col min="6397" max="6397" width="9" style="17" customWidth="1"/>
    <col min="6398" max="6399" width="9.85546875" style="17" customWidth="1"/>
    <col min="6400" max="6400" width="11.140625" style="17" customWidth="1"/>
    <col min="6401" max="6401" width="2.85546875" style="17" customWidth="1"/>
    <col min="6402" max="6402" width="3.5703125" style="17" customWidth="1"/>
    <col min="6403" max="6647" width="9.140625" style="17"/>
    <col min="6648" max="6648" width="8.7109375" style="17" customWidth="1"/>
    <col min="6649" max="6649" width="9.85546875" style="17" customWidth="1"/>
    <col min="6650" max="6650" width="14.42578125" style="17" customWidth="1"/>
    <col min="6651" max="6651" width="7.28515625" style="17" customWidth="1"/>
    <col min="6652" max="6652" width="5.5703125" style="17" customWidth="1"/>
    <col min="6653" max="6653" width="9" style="17" customWidth="1"/>
    <col min="6654" max="6655" width="9.85546875" style="17" customWidth="1"/>
    <col min="6656" max="6656" width="11.140625" style="17" customWidth="1"/>
    <col min="6657" max="6657" width="2.85546875" style="17" customWidth="1"/>
    <col min="6658" max="6658" width="3.5703125" style="17" customWidth="1"/>
    <col min="6659" max="6903" width="9.140625" style="17"/>
    <col min="6904" max="6904" width="8.7109375" style="17" customWidth="1"/>
    <col min="6905" max="6905" width="9.85546875" style="17" customWidth="1"/>
    <col min="6906" max="6906" width="14.42578125" style="17" customWidth="1"/>
    <col min="6907" max="6907" width="7.28515625" style="17" customWidth="1"/>
    <col min="6908" max="6908" width="5.5703125" style="17" customWidth="1"/>
    <col min="6909" max="6909" width="9" style="17" customWidth="1"/>
    <col min="6910" max="6911" width="9.85546875" style="17" customWidth="1"/>
    <col min="6912" max="6912" width="11.140625" style="17" customWidth="1"/>
    <col min="6913" max="6913" width="2.85546875" style="17" customWidth="1"/>
    <col min="6914" max="6914" width="3.5703125" style="17" customWidth="1"/>
    <col min="6915" max="7159" width="9.140625" style="17"/>
    <col min="7160" max="7160" width="8.7109375" style="17" customWidth="1"/>
    <col min="7161" max="7161" width="9.85546875" style="17" customWidth="1"/>
    <col min="7162" max="7162" width="14.42578125" style="17" customWidth="1"/>
    <col min="7163" max="7163" width="7.28515625" style="17" customWidth="1"/>
    <col min="7164" max="7164" width="5.5703125" style="17" customWidth="1"/>
    <col min="7165" max="7165" width="9" style="17" customWidth="1"/>
    <col min="7166" max="7167" width="9.85546875" style="17" customWidth="1"/>
    <col min="7168" max="7168" width="11.140625" style="17" customWidth="1"/>
    <col min="7169" max="7169" width="2.85546875" style="17" customWidth="1"/>
    <col min="7170" max="7170" width="3.5703125" style="17" customWidth="1"/>
    <col min="7171" max="7415" width="9.140625" style="17"/>
    <col min="7416" max="7416" width="8.7109375" style="17" customWidth="1"/>
    <col min="7417" max="7417" width="9.85546875" style="17" customWidth="1"/>
    <col min="7418" max="7418" width="14.42578125" style="17" customWidth="1"/>
    <col min="7419" max="7419" width="7.28515625" style="17" customWidth="1"/>
    <col min="7420" max="7420" width="5.5703125" style="17" customWidth="1"/>
    <col min="7421" max="7421" width="9" style="17" customWidth="1"/>
    <col min="7422" max="7423" width="9.85546875" style="17" customWidth="1"/>
    <col min="7424" max="7424" width="11.140625" style="17" customWidth="1"/>
    <col min="7425" max="7425" width="2.85546875" style="17" customWidth="1"/>
    <col min="7426" max="7426" width="3.5703125" style="17" customWidth="1"/>
    <col min="7427" max="7671" width="9.140625" style="17"/>
    <col min="7672" max="7672" width="8.7109375" style="17" customWidth="1"/>
    <col min="7673" max="7673" width="9.85546875" style="17" customWidth="1"/>
    <col min="7674" max="7674" width="14.42578125" style="17" customWidth="1"/>
    <col min="7675" max="7675" width="7.28515625" style="17" customWidth="1"/>
    <col min="7676" max="7676" width="5.5703125" style="17" customWidth="1"/>
    <col min="7677" max="7677" width="9" style="17" customWidth="1"/>
    <col min="7678" max="7679" width="9.85546875" style="17" customWidth="1"/>
    <col min="7680" max="7680" width="11.140625" style="17" customWidth="1"/>
    <col min="7681" max="7681" width="2.85546875" style="17" customWidth="1"/>
    <col min="7682" max="7682" width="3.5703125" style="17" customWidth="1"/>
    <col min="7683" max="7927" width="9.140625" style="17"/>
    <col min="7928" max="7928" width="8.7109375" style="17" customWidth="1"/>
    <col min="7929" max="7929" width="9.85546875" style="17" customWidth="1"/>
    <col min="7930" max="7930" width="14.42578125" style="17" customWidth="1"/>
    <col min="7931" max="7931" width="7.28515625" style="17" customWidth="1"/>
    <col min="7932" max="7932" width="5.5703125" style="17" customWidth="1"/>
    <col min="7933" max="7933" width="9" style="17" customWidth="1"/>
    <col min="7934" max="7935" width="9.85546875" style="17" customWidth="1"/>
    <col min="7936" max="7936" width="11.140625" style="17" customWidth="1"/>
    <col min="7937" max="7937" width="2.85546875" style="17" customWidth="1"/>
    <col min="7938" max="7938" width="3.5703125" style="17" customWidth="1"/>
    <col min="7939" max="8183" width="9.140625" style="17"/>
    <col min="8184" max="8184" width="8.7109375" style="17" customWidth="1"/>
    <col min="8185" max="8185" width="9.85546875" style="17" customWidth="1"/>
    <col min="8186" max="8186" width="14.42578125" style="17" customWidth="1"/>
    <col min="8187" max="8187" width="7.28515625" style="17" customWidth="1"/>
    <col min="8188" max="8188" width="5.5703125" style="17" customWidth="1"/>
    <col min="8189" max="8189" width="9" style="17" customWidth="1"/>
    <col min="8190" max="8191" width="9.85546875" style="17" customWidth="1"/>
    <col min="8192" max="8192" width="11.140625" style="17" customWidth="1"/>
    <col min="8193" max="8193" width="2.85546875" style="17" customWidth="1"/>
    <col min="8194" max="8194" width="3.5703125" style="17" customWidth="1"/>
    <col min="8195" max="8439" width="9.140625" style="17"/>
    <col min="8440" max="8440" width="8.7109375" style="17" customWidth="1"/>
    <col min="8441" max="8441" width="9.85546875" style="17" customWidth="1"/>
    <col min="8442" max="8442" width="14.42578125" style="17" customWidth="1"/>
    <col min="8443" max="8443" width="7.28515625" style="17" customWidth="1"/>
    <col min="8444" max="8444" width="5.5703125" style="17" customWidth="1"/>
    <col min="8445" max="8445" width="9" style="17" customWidth="1"/>
    <col min="8446" max="8447" width="9.85546875" style="17" customWidth="1"/>
    <col min="8448" max="8448" width="11.140625" style="17" customWidth="1"/>
    <col min="8449" max="8449" width="2.85546875" style="17" customWidth="1"/>
    <col min="8450" max="8450" width="3.5703125" style="17" customWidth="1"/>
    <col min="8451" max="8695" width="9.140625" style="17"/>
    <col min="8696" max="8696" width="8.7109375" style="17" customWidth="1"/>
    <col min="8697" max="8697" width="9.85546875" style="17" customWidth="1"/>
    <col min="8698" max="8698" width="14.42578125" style="17" customWidth="1"/>
    <col min="8699" max="8699" width="7.28515625" style="17" customWidth="1"/>
    <col min="8700" max="8700" width="5.5703125" style="17" customWidth="1"/>
    <col min="8701" max="8701" width="9" style="17" customWidth="1"/>
    <col min="8702" max="8703" width="9.85546875" style="17" customWidth="1"/>
    <col min="8704" max="8704" width="11.140625" style="17" customWidth="1"/>
    <col min="8705" max="8705" width="2.85546875" style="17" customWidth="1"/>
    <col min="8706" max="8706" width="3.5703125" style="17" customWidth="1"/>
    <col min="8707" max="8951" width="9.140625" style="17"/>
    <col min="8952" max="8952" width="8.7109375" style="17" customWidth="1"/>
    <col min="8953" max="8953" width="9.85546875" style="17" customWidth="1"/>
    <col min="8954" max="8954" width="14.42578125" style="17" customWidth="1"/>
    <col min="8955" max="8955" width="7.28515625" style="17" customWidth="1"/>
    <col min="8956" max="8956" width="5.5703125" style="17" customWidth="1"/>
    <col min="8957" max="8957" width="9" style="17" customWidth="1"/>
    <col min="8958" max="8959" width="9.85546875" style="17" customWidth="1"/>
    <col min="8960" max="8960" width="11.140625" style="17" customWidth="1"/>
    <col min="8961" max="8961" width="2.85546875" style="17" customWidth="1"/>
    <col min="8962" max="8962" width="3.5703125" style="17" customWidth="1"/>
    <col min="8963" max="9207" width="9.140625" style="17"/>
    <col min="9208" max="9208" width="8.7109375" style="17" customWidth="1"/>
    <col min="9209" max="9209" width="9.85546875" style="17" customWidth="1"/>
    <col min="9210" max="9210" width="14.42578125" style="17" customWidth="1"/>
    <col min="9211" max="9211" width="7.28515625" style="17" customWidth="1"/>
    <col min="9212" max="9212" width="5.5703125" style="17" customWidth="1"/>
    <col min="9213" max="9213" width="9" style="17" customWidth="1"/>
    <col min="9214" max="9215" width="9.85546875" style="17" customWidth="1"/>
    <col min="9216" max="9216" width="11.140625" style="17" customWidth="1"/>
    <col min="9217" max="9217" width="2.85546875" style="17" customWidth="1"/>
    <col min="9218" max="9218" width="3.5703125" style="17" customWidth="1"/>
    <col min="9219" max="9463" width="9.140625" style="17"/>
    <col min="9464" max="9464" width="8.7109375" style="17" customWidth="1"/>
    <col min="9465" max="9465" width="9.85546875" style="17" customWidth="1"/>
    <col min="9466" max="9466" width="14.42578125" style="17" customWidth="1"/>
    <col min="9467" max="9467" width="7.28515625" style="17" customWidth="1"/>
    <col min="9468" max="9468" width="5.5703125" style="17" customWidth="1"/>
    <col min="9469" max="9469" width="9" style="17" customWidth="1"/>
    <col min="9470" max="9471" width="9.85546875" style="17" customWidth="1"/>
    <col min="9472" max="9472" width="11.140625" style="17" customWidth="1"/>
    <col min="9473" max="9473" width="2.85546875" style="17" customWidth="1"/>
    <col min="9474" max="9474" width="3.5703125" style="17" customWidth="1"/>
    <col min="9475" max="9719" width="9.140625" style="17"/>
    <col min="9720" max="9720" width="8.7109375" style="17" customWidth="1"/>
    <col min="9721" max="9721" width="9.85546875" style="17" customWidth="1"/>
    <col min="9722" max="9722" width="14.42578125" style="17" customWidth="1"/>
    <col min="9723" max="9723" width="7.28515625" style="17" customWidth="1"/>
    <col min="9724" max="9724" width="5.5703125" style="17" customWidth="1"/>
    <col min="9725" max="9725" width="9" style="17" customWidth="1"/>
    <col min="9726" max="9727" width="9.85546875" style="17" customWidth="1"/>
    <col min="9728" max="9728" width="11.140625" style="17" customWidth="1"/>
    <col min="9729" max="9729" width="2.85546875" style="17" customWidth="1"/>
    <col min="9730" max="9730" width="3.5703125" style="17" customWidth="1"/>
    <col min="9731" max="9975" width="9.140625" style="17"/>
    <col min="9976" max="9976" width="8.7109375" style="17" customWidth="1"/>
    <col min="9977" max="9977" width="9.85546875" style="17" customWidth="1"/>
    <col min="9978" max="9978" width="14.42578125" style="17" customWidth="1"/>
    <col min="9979" max="9979" width="7.28515625" style="17" customWidth="1"/>
    <col min="9980" max="9980" width="5.5703125" style="17" customWidth="1"/>
    <col min="9981" max="9981" width="9" style="17" customWidth="1"/>
    <col min="9982" max="9983" width="9.85546875" style="17" customWidth="1"/>
    <col min="9984" max="9984" width="11.140625" style="17" customWidth="1"/>
    <col min="9985" max="9985" width="2.85546875" style="17" customWidth="1"/>
    <col min="9986" max="9986" width="3.5703125" style="17" customWidth="1"/>
    <col min="9987" max="10231" width="9.140625" style="17"/>
    <col min="10232" max="10232" width="8.7109375" style="17" customWidth="1"/>
    <col min="10233" max="10233" width="9.85546875" style="17" customWidth="1"/>
    <col min="10234" max="10234" width="14.42578125" style="17" customWidth="1"/>
    <col min="10235" max="10235" width="7.28515625" style="17" customWidth="1"/>
    <col min="10236" max="10236" width="5.5703125" style="17" customWidth="1"/>
    <col min="10237" max="10237" width="9" style="17" customWidth="1"/>
    <col min="10238" max="10239" width="9.85546875" style="17" customWidth="1"/>
    <col min="10240" max="10240" width="11.140625" style="17" customWidth="1"/>
    <col min="10241" max="10241" width="2.85546875" style="17" customWidth="1"/>
    <col min="10242" max="10242" width="3.5703125" style="17" customWidth="1"/>
    <col min="10243" max="10487" width="9.140625" style="17"/>
    <col min="10488" max="10488" width="8.7109375" style="17" customWidth="1"/>
    <col min="10489" max="10489" width="9.85546875" style="17" customWidth="1"/>
    <col min="10490" max="10490" width="14.42578125" style="17" customWidth="1"/>
    <col min="10491" max="10491" width="7.28515625" style="17" customWidth="1"/>
    <col min="10492" max="10492" width="5.5703125" style="17" customWidth="1"/>
    <col min="10493" max="10493" width="9" style="17" customWidth="1"/>
    <col min="10494" max="10495" width="9.85546875" style="17" customWidth="1"/>
    <col min="10496" max="10496" width="11.140625" style="17" customWidth="1"/>
    <col min="10497" max="10497" width="2.85546875" style="17" customWidth="1"/>
    <col min="10498" max="10498" width="3.5703125" style="17" customWidth="1"/>
    <col min="10499" max="10743" width="9.140625" style="17"/>
    <col min="10744" max="10744" width="8.7109375" style="17" customWidth="1"/>
    <col min="10745" max="10745" width="9.85546875" style="17" customWidth="1"/>
    <col min="10746" max="10746" width="14.42578125" style="17" customWidth="1"/>
    <col min="10747" max="10747" width="7.28515625" style="17" customWidth="1"/>
    <col min="10748" max="10748" width="5.5703125" style="17" customWidth="1"/>
    <col min="10749" max="10749" width="9" style="17" customWidth="1"/>
    <col min="10750" max="10751" width="9.85546875" style="17" customWidth="1"/>
    <col min="10752" max="10752" width="11.140625" style="17" customWidth="1"/>
    <col min="10753" max="10753" width="2.85546875" style="17" customWidth="1"/>
    <col min="10754" max="10754" width="3.5703125" style="17" customWidth="1"/>
    <col min="10755" max="10999" width="9.140625" style="17"/>
    <col min="11000" max="11000" width="8.7109375" style="17" customWidth="1"/>
    <col min="11001" max="11001" width="9.85546875" style="17" customWidth="1"/>
    <col min="11002" max="11002" width="14.42578125" style="17" customWidth="1"/>
    <col min="11003" max="11003" width="7.28515625" style="17" customWidth="1"/>
    <col min="11004" max="11004" width="5.5703125" style="17" customWidth="1"/>
    <col min="11005" max="11005" width="9" style="17" customWidth="1"/>
    <col min="11006" max="11007" width="9.85546875" style="17" customWidth="1"/>
    <col min="11008" max="11008" width="11.140625" style="17" customWidth="1"/>
    <col min="11009" max="11009" width="2.85546875" style="17" customWidth="1"/>
    <col min="11010" max="11010" width="3.5703125" style="17" customWidth="1"/>
    <col min="11011" max="11255" width="9.140625" style="17"/>
    <col min="11256" max="11256" width="8.7109375" style="17" customWidth="1"/>
    <col min="11257" max="11257" width="9.85546875" style="17" customWidth="1"/>
    <col min="11258" max="11258" width="14.42578125" style="17" customWidth="1"/>
    <col min="11259" max="11259" width="7.28515625" style="17" customWidth="1"/>
    <col min="11260" max="11260" width="5.5703125" style="17" customWidth="1"/>
    <col min="11261" max="11261" width="9" style="17" customWidth="1"/>
    <col min="11262" max="11263" width="9.85546875" style="17" customWidth="1"/>
    <col min="11264" max="11264" width="11.140625" style="17" customWidth="1"/>
    <col min="11265" max="11265" width="2.85546875" style="17" customWidth="1"/>
    <col min="11266" max="11266" width="3.5703125" style="17" customWidth="1"/>
    <col min="11267" max="11511" width="9.140625" style="17"/>
    <col min="11512" max="11512" width="8.7109375" style="17" customWidth="1"/>
    <col min="11513" max="11513" width="9.85546875" style="17" customWidth="1"/>
    <col min="11514" max="11514" width="14.42578125" style="17" customWidth="1"/>
    <col min="11515" max="11515" width="7.28515625" style="17" customWidth="1"/>
    <col min="11516" max="11516" width="5.5703125" style="17" customWidth="1"/>
    <col min="11517" max="11517" width="9" style="17" customWidth="1"/>
    <col min="11518" max="11519" width="9.85546875" style="17" customWidth="1"/>
    <col min="11520" max="11520" width="11.140625" style="17" customWidth="1"/>
    <col min="11521" max="11521" width="2.85546875" style="17" customWidth="1"/>
    <col min="11522" max="11522" width="3.5703125" style="17" customWidth="1"/>
    <col min="11523" max="11767" width="9.140625" style="17"/>
    <col min="11768" max="11768" width="8.7109375" style="17" customWidth="1"/>
    <col min="11769" max="11769" width="9.85546875" style="17" customWidth="1"/>
    <col min="11770" max="11770" width="14.42578125" style="17" customWidth="1"/>
    <col min="11771" max="11771" width="7.28515625" style="17" customWidth="1"/>
    <col min="11772" max="11772" width="5.5703125" style="17" customWidth="1"/>
    <col min="11773" max="11773" width="9" style="17" customWidth="1"/>
    <col min="11774" max="11775" width="9.85546875" style="17" customWidth="1"/>
    <col min="11776" max="11776" width="11.140625" style="17" customWidth="1"/>
    <col min="11777" max="11777" width="2.85546875" style="17" customWidth="1"/>
    <col min="11778" max="11778" width="3.5703125" style="17" customWidth="1"/>
    <col min="11779" max="12023" width="9.140625" style="17"/>
    <col min="12024" max="12024" width="8.7109375" style="17" customWidth="1"/>
    <col min="12025" max="12025" width="9.85546875" style="17" customWidth="1"/>
    <col min="12026" max="12026" width="14.42578125" style="17" customWidth="1"/>
    <col min="12027" max="12027" width="7.28515625" style="17" customWidth="1"/>
    <col min="12028" max="12028" width="5.5703125" style="17" customWidth="1"/>
    <col min="12029" max="12029" width="9" style="17" customWidth="1"/>
    <col min="12030" max="12031" width="9.85546875" style="17" customWidth="1"/>
    <col min="12032" max="12032" width="11.140625" style="17" customWidth="1"/>
    <col min="12033" max="12033" width="2.85546875" style="17" customWidth="1"/>
    <col min="12034" max="12034" width="3.5703125" style="17" customWidth="1"/>
    <col min="12035" max="12279" width="9.140625" style="17"/>
    <col min="12280" max="12280" width="8.7109375" style="17" customWidth="1"/>
    <col min="12281" max="12281" width="9.85546875" style="17" customWidth="1"/>
    <col min="12282" max="12282" width="14.42578125" style="17" customWidth="1"/>
    <col min="12283" max="12283" width="7.28515625" style="17" customWidth="1"/>
    <col min="12284" max="12284" width="5.5703125" style="17" customWidth="1"/>
    <col min="12285" max="12285" width="9" style="17" customWidth="1"/>
    <col min="12286" max="12287" width="9.85546875" style="17" customWidth="1"/>
    <col min="12288" max="12288" width="11.140625" style="17" customWidth="1"/>
    <col min="12289" max="12289" width="2.85546875" style="17" customWidth="1"/>
    <col min="12290" max="12290" width="3.5703125" style="17" customWidth="1"/>
    <col min="12291" max="12535" width="9.140625" style="17"/>
    <col min="12536" max="12536" width="8.7109375" style="17" customWidth="1"/>
    <col min="12537" max="12537" width="9.85546875" style="17" customWidth="1"/>
    <col min="12538" max="12538" width="14.42578125" style="17" customWidth="1"/>
    <col min="12539" max="12539" width="7.28515625" style="17" customWidth="1"/>
    <col min="12540" max="12540" width="5.5703125" style="17" customWidth="1"/>
    <col min="12541" max="12541" width="9" style="17" customWidth="1"/>
    <col min="12542" max="12543" width="9.85546875" style="17" customWidth="1"/>
    <col min="12544" max="12544" width="11.140625" style="17" customWidth="1"/>
    <col min="12545" max="12545" width="2.85546875" style="17" customWidth="1"/>
    <col min="12546" max="12546" width="3.5703125" style="17" customWidth="1"/>
    <col min="12547" max="12791" width="9.140625" style="17"/>
    <col min="12792" max="12792" width="8.7109375" style="17" customWidth="1"/>
    <col min="12793" max="12793" width="9.85546875" style="17" customWidth="1"/>
    <col min="12794" max="12794" width="14.42578125" style="17" customWidth="1"/>
    <col min="12795" max="12795" width="7.28515625" style="17" customWidth="1"/>
    <col min="12796" max="12796" width="5.5703125" style="17" customWidth="1"/>
    <col min="12797" max="12797" width="9" style="17" customWidth="1"/>
    <col min="12798" max="12799" width="9.85546875" style="17" customWidth="1"/>
    <col min="12800" max="12800" width="11.140625" style="17" customWidth="1"/>
    <col min="12801" max="12801" width="2.85546875" style="17" customWidth="1"/>
    <col min="12802" max="12802" width="3.5703125" style="17" customWidth="1"/>
    <col min="12803" max="13047" width="9.140625" style="17"/>
    <col min="13048" max="13048" width="8.7109375" style="17" customWidth="1"/>
    <col min="13049" max="13049" width="9.85546875" style="17" customWidth="1"/>
    <col min="13050" max="13050" width="14.42578125" style="17" customWidth="1"/>
    <col min="13051" max="13051" width="7.28515625" style="17" customWidth="1"/>
    <col min="13052" max="13052" width="5.5703125" style="17" customWidth="1"/>
    <col min="13053" max="13053" width="9" style="17" customWidth="1"/>
    <col min="13054" max="13055" width="9.85546875" style="17" customWidth="1"/>
    <col min="13056" max="13056" width="11.140625" style="17" customWidth="1"/>
    <col min="13057" max="13057" width="2.85546875" style="17" customWidth="1"/>
    <col min="13058" max="13058" width="3.5703125" style="17" customWidth="1"/>
    <col min="13059" max="13303" width="9.140625" style="17"/>
    <col min="13304" max="13304" width="8.7109375" style="17" customWidth="1"/>
    <col min="13305" max="13305" width="9.85546875" style="17" customWidth="1"/>
    <col min="13306" max="13306" width="14.42578125" style="17" customWidth="1"/>
    <col min="13307" max="13307" width="7.28515625" style="17" customWidth="1"/>
    <col min="13308" max="13308" width="5.5703125" style="17" customWidth="1"/>
    <col min="13309" max="13309" width="9" style="17" customWidth="1"/>
    <col min="13310" max="13311" width="9.85546875" style="17" customWidth="1"/>
    <col min="13312" max="13312" width="11.140625" style="17" customWidth="1"/>
    <col min="13313" max="13313" width="2.85546875" style="17" customWidth="1"/>
    <col min="13314" max="13314" width="3.5703125" style="17" customWidth="1"/>
    <col min="13315" max="13559" width="9.140625" style="17"/>
    <col min="13560" max="13560" width="8.7109375" style="17" customWidth="1"/>
    <col min="13561" max="13561" width="9.85546875" style="17" customWidth="1"/>
    <col min="13562" max="13562" width="14.42578125" style="17" customWidth="1"/>
    <col min="13563" max="13563" width="7.28515625" style="17" customWidth="1"/>
    <col min="13564" max="13564" width="5.5703125" style="17" customWidth="1"/>
    <col min="13565" max="13565" width="9" style="17" customWidth="1"/>
    <col min="13566" max="13567" width="9.85546875" style="17" customWidth="1"/>
    <col min="13568" max="13568" width="11.140625" style="17" customWidth="1"/>
    <col min="13569" max="13569" width="2.85546875" style="17" customWidth="1"/>
    <col min="13570" max="13570" width="3.5703125" style="17" customWidth="1"/>
    <col min="13571" max="13815" width="9.140625" style="17"/>
    <col min="13816" max="13816" width="8.7109375" style="17" customWidth="1"/>
    <col min="13817" max="13817" width="9.85546875" style="17" customWidth="1"/>
    <col min="13818" max="13818" width="14.42578125" style="17" customWidth="1"/>
    <col min="13819" max="13819" width="7.28515625" style="17" customWidth="1"/>
    <col min="13820" max="13820" width="5.5703125" style="17" customWidth="1"/>
    <col min="13821" max="13821" width="9" style="17" customWidth="1"/>
    <col min="13822" max="13823" width="9.85546875" style="17" customWidth="1"/>
    <col min="13824" max="13824" width="11.140625" style="17" customWidth="1"/>
    <col min="13825" max="13825" width="2.85546875" style="17" customWidth="1"/>
    <col min="13826" max="13826" width="3.5703125" style="17" customWidth="1"/>
    <col min="13827" max="14071" width="9.140625" style="17"/>
    <col min="14072" max="14072" width="8.7109375" style="17" customWidth="1"/>
    <col min="14073" max="14073" width="9.85546875" style="17" customWidth="1"/>
    <col min="14074" max="14074" width="14.42578125" style="17" customWidth="1"/>
    <col min="14075" max="14075" width="7.28515625" style="17" customWidth="1"/>
    <col min="14076" max="14076" width="5.5703125" style="17" customWidth="1"/>
    <col min="14077" max="14077" width="9" style="17" customWidth="1"/>
    <col min="14078" max="14079" width="9.85546875" style="17" customWidth="1"/>
    <col min="14080" max="14080" width="11.140625" style="17" customWidth="1"/>
    <col min="14081" max="14081" width="2.85546875" style="17" customWidth="1"/>
    <col min="14082" max="14082" width="3.5703125" style="17" customWidth="1"/>
    <col min="14083" max="14327" width="9.140625" style="17"/>
    <col min="14328" max="14328" width="8.7109375" style="17" customWidth="1"/>
    <col min="14329" max="14329" width="9.85546875" style="17" customWidth="1"/>
    <col min="14330" max="14330" width="14.42578125" style="17" customWidth="1"/>
    <col min="14331" max="14331" width="7.28515625" style="17" customWidth="1"/>
    <col min="14332" max="14332" width="5.5703125" style="17" customWidth="1"/>
    <col min="14333" max="14333" width="9" style="17" customWidth="1"/>
    <col min="14334" max="14335" width="9.85546875" style="17" customWidth="1"/>
    <col min="14336" max="14336" width="11.140625" style="17" customWidth="1"/>
    <col min="14337" max="14337" width="2.85546875" style="17" customWidth="1"/>
    <col min="14338" max="14338" width="3.5703125" style="17" customWidth="1"/>
    <col min="14339" max="14583" width="9.140625" style="17"/>
    <col min="14584" max="14584" width="8.7109375" style="17" customWidth="1"/>
    <col min="14585" max="14585" width="9.85546875" style="17" customWidth="1"/>
    <col min="14586" max="14586" width="14.42578125" style="17" customWidth="1"/>
    <col min="14587" max="14587" width="7.28515625" style="17" customWidth="1"/>
    <col min="14588" max="14588" width="5.5703125" style="17" customWidth="1"/>
    <col min="14589" max="14589" width="9" style="17" customWidth="1"/>
    <col min="14590" max="14591" width="9.85546875" style="17" customWidth="1"/>
    <col min="14592" max="14592" width="11.140625" style="17" customWidth="1"/>
    <col min="14593" max="14593" width="2.85546875" style="17" customWidth="1"/>
    <col min="14594" max="14594" width="3.5703125" style="17" customWidth="1"/>
    <col min="14595" max="14839" width="9.140625" style="17"/>
    <col min="14840" max="14840" width="8.7109375" style="17" customWidth="1"/>
    <col min="14841" max="14841" width="9.85546875" style="17" customWidth="1"/>
    <col min="14842" max="14842" width="14.42578125" style="17" customWidth="1"/>
    <col min="14843" max="14843" width="7.28515625" style="17" customWidth="1"/>
    <col min="14844" max="14844" width="5.5703125" style="17" customWidth="1"/>
    <col min="14845" max="14845" width="9" style="17" customWidth="1"/>
    <col min="14846" max="14847" width="9.85546875" style="17" customWidth="1"/>
    <col min="14848" max="14848" width="11.140625" style="17" customWidth="1"/>
    <col min="14849" max="14849" width="2.85546875" style="17" customWidth="1"/>
    <col min="14850" max="14850" width="3.5703125" style="17" customWidth="1"/>
    <col min="14851" max="15095" width="9.140625" style="17"/>
    <col min="15096" max="15096" width="8.7109375" style="17" customWidth="1"/>
    <col min="15097" max="15097" width="9.85546875" style="17" customWidth="1"/>
    <col min="15098" max="15098" width="14.42578125" style="17" customWidth="1"/>
    <col min="15099" max="15099" width="7.28515625" style="17" customWidth="1"/>
    <col min="15100" max="15100" width="5.5703125" style="17" customWidth="1"/>
    <col min="15101" max="15101" width="9" style="17" customWidth="1"/>
    <col min="15102" max="15103" width="9.85546875" style="17" customWidth="1"/>
    <col min="15104" max="15104" width="11.140625" style="17" customWidth="1"/>
    <col min="15105" max="15105" width="2.85546875" style="17" customWidth="1"/>
    <col min="15106" max="15106" width="3.5703125" style="17" customWidth="1"/>
    <col min="15107" max="15351" width="9.140625" style="17"/>
    <col min="15352" max="15352" width="8.7109375" style="17" customWidth="1"/>
    <col min="15353" max="15353" width="9.85546875" style="17" customWidth="1"/>
    <col min="15354" max="15354" width="14.42578125" style="17" customWidth="1"/>
    <col min="15355" max="15355" width="7.28515625" style="17" customWidth="1"/>
    <col min="15356" max="15356" width="5.5703125" style="17" customWidth="1"/>
    <col min="15357" max="15357" width="9" style="17" customWidth="1"/>
    <col min="15358" max="15359" width="9.85546875" style="17" customWidth="1"/>
    <col min="15360" max="15360" width="11.140625" style="17" customWidth="1"/>
    <col min="15361" max="15361" width="2.85546875" style="17" customWidth="1"/>
    <col min="15362" max="15362" width="3.5703125" style="17" customWidth="1"/>
    <col min="15363" max="15607" width="9.140625" style="17"/>
    <col min="15608" max="15608" width="8.7109375" style="17" customWidth="1"/>
    <col min="15609" max="15609" width="9.85546875" style="17" customWidth="1"/>
    <col min="15610" max="15610" width="14.42578125" style="17" customWidth="1"/>
    <col min="15611" max="15611" width="7.28515625" style="17" customWidth="1"/>
    <col min="15612" max="15612" width="5.5703125" style="17" customWidth="1"/>
    <col min="15613" max="15613" width="9" style="17" customWidth="1"/>
    <col min="15614" max="15615" width="9.85546875" style="17" customWidth="1"/>
    <col min="15616" max="15616" width="11.140625" style="17" customWidth="1"/>
    <col min="15617" max="15617" width="2.85546875" style="17" customWidth="1"/>
    <col min="15618" max="15618" width="3.5703125" style="17" customWidth="1"/>
    <col min="15619" max="15863" width="9.140625" style="17"/>
    <col min="15864" max="15864" width="8.7109375" style="17" customWidth="1"/>
    <col min="15865" max="15865" width="9.85546875" style="17" customWidth="1"/>
    <col min="15866" max="15866" width="14.42578125" style="17" customWidth="1"/>
    <col min="15867" max="15867" width="7.28515625" style="17" customWidth="1"/>
    <col min="15868" max="15868" width="5.5703125" style="17" customWidth="1"/>
    <col min="15869" max="15869" width="9" style="17" customWidth="1"/>
    <col min="15870" max="15871" width="9.85546875" style="17" customWidth="1"/>
    <col min="15872" max="15872" width="11.140625" style="17" customWidth="1"/>
    <col min="15873" max="15873" width="2.85546875" style="17" customWidth="1"/>
    <col min="15874" max="15874" width="3.5703125" style="17" customWidth="1"/>
    <col min="15875" max="16119" width="9.140625" style="17"/>
    <col min="16120" max="16120" width="8.7109375" style="17" customWidth="1"/>
    <col min="16121" max="16121" width="9.85546875" style="17" customWidth="1"/>
    <col min="16122" max="16122" width="14.42578125" style="17" customWidth="1"/>
    <col min="16123" max="16123" width="7.28515625" style="17" customWidth="1"/>
    <col min="16124" max="16124" width="5.5703125" style="17" customWidth="1"/>
    <col min="16125" max="16125" width="9" style="17" customWidth="1"/>
    <col min="16126" max="16127" width="9.85546875" style="17" customWidth="1"/>
    <col min="16128" max="16128" width="11.140625" style="17" customWidth="1"/>
    <col min="16129" max="16129" width="2.85546875" style="17" customWidth="1"/>
    <col min="16130" max="16130" width="3.5703125" style="17" customWidth="1"/>
    <col min="16131" max="16384" width="9.140625" style="17"/>
  </cols>
  <sheetData>
    <row r="1" spans="1:26" ht="46.5" customHeight="1" x14ac:dyDescent="0.25">
      <c r="A1" s="181" t="s">
        <v>162</v>
      </c>
      <c r="B1" s="181"/>
      <c r="C1" s="181"/>
      <c r="D1" s="181"/>
      <c r="E1" s="181"/>
      <c r="F1" s="181"/>
      <c r="G1" s="181"/>
      <c r="H1" s="181"/>
    </row>
    <row r="2" spans="1:26" ht="16.5" customHeight="1" x14ac:dyDescent="0.25">
      <c r="A2" s="182" t="s">
        <v>0</v>
      </c>
      <c r="B2" s="182"/>
      <c r="C2" s="182"/>
      <c r="D2" s="182"/>
      <c r="E2" s="182"/>
      <c r="F2" s="182"/>
      <c r="G2" s="182"/>
      <c r="H2" s="182"/>
    </row>
    <row r="3" spans="1:26" x14ac:dyDescent="0.25">
      <c r="A3" s="128" t="s">
        <v>1</v>
      </c>
      <c r="B3" s="128"/>
      <c r="C3" s="128"/>
      <c r="D3" s="128"/>
      <c r="E3" s="128" t="str">
        <f ca="1">TEXT(TODAY(),"DD/MM/YYYY")</f>
        <v>11/09/2025</v>
      </c>
      <c r="F3" s="128"/>
      <c r="G3" s="128"/>
      <c r="H3" s="128"/>
      <c r="K3" s="49" t="s">
        <v>234</v>
      </c>
      <c r="L3" s="48" t="s">
        <v>232</v>
      </c>
      <c r="M3" s="48" t="s">
        <v>237</v>
      </c>
      <c r="N3" s="48" t="s">
        <v>235</v>
      </c>
      <c r="O3" s="48" t="s">
        <v>236</v>
      </c>
      <c r="P3" s="48" t="s">
        <v>238</v>
      </c>
    </row>
    <row r="4" spans="1:26" ht="15" customHeight="1" x14ac:dyDescent="0.25">
      <c r="A4" s="128" t="s">
        <v>231</v>
      </c>
      <c r="B4" s="128"/>
      <c r="C4" s="128"/>
      <c r="D4" s="128"/>
      <c r="E4" s="128" t="s">
        <v>232</v>
      </c>
      <c r="F4" s="128"/>
      <c r="G4" s="128"/>
      <c r="H4" s="128"/>
      <c r="K4" s="47" t="s">
        <v>233</v>
      </c>
      <c r="L4" s="48" t="s">
        <v>168</v>
      </c>
      <c r="M4" s="48" t="s">
        <v>242</v>
      </c>
      <c r="N4" s="48" t="s">
        <v>244</v>
      </c>
      <c r="O4" s="48" t="s">
        <v>246</v>
      </c>
      <c r="P4" s="48"/>
    </row>
    <row r="5" spans="1:26" ht="15" customHeight="1" x14ac:dyDescent="0.25">
      <c r="A5" s="128" t="s">
        <v>2</v>
      </c>
      <c r="B5" s="128"/>
      <c r="C5" s="128"/>
      <c r="D5" s="128"/>
      <c r="E5" s="128" t="s">
        <v>168</v>
      </c>
      <c r="F5" s="128"/>
      <c r="G5" s="128"/>
      <c r="H5" s="128"/>
      <c r="K5" s="47"/>
      <c r="L5" s="48" t="s">
        <v>239</v>
      </c>
      <c r="M5" s="48" t="s">
        <v>243</v>
      </c>
      <c r="N5" s="48" t="s">
        <v>245</v>
      </c>
      <c r="O5" s="48" t="s">
        <v>247</v>
      </c>
      <c r="P5" s="48"/>
    </row>
    <row r="6" spans="1:26" x14ac:dyDescent="0.25">
      <c r="A6" s="128" t="s">
        <v>3</v>
      </c>
      <c r="B6" s="128"/>
      <c r="C6" s="128"/>
      <c r="D6" s="128"/>
      <c r="E6" s="184">
        <v>45908</v>
      </c>
      <c r="F6" s="128"/>
      <c r="G6" s="128"/>
      <c r="H6" s="128"/>
      <c r="K6" s="47"/>
      <c r="L6" s="48" t="s">
        <v>240</v>
      </c>
      <c r="M6" s="48"/>
      <c r="N6" s="48"/>
      <c r="O6" s="48" t="s">
        <v>248</v>
      </c>
      <c r="P6" s="48"/>
    </row>
    <row r="7" spans="1:26" ht="16.5" customHeight="1" x14ac:dyDescent="0.25">
      <c r="A7" s="128" t="s">
        <v>4</v>
      </c>
      <c r="B7" s="128"/>
      <c r="C7" s="128"/>
      <c r="D7" s="128"/>
      <c r="E7" s="128" t="s">
        <v>281</v>
      </c>
      <c r="F7" s="128"/>
      <c r="G7" s="128"/>
      <c r="H7" s="128"/>
      <c r="K7" s="47"/>
      <c r="L7" s="48" t="s">
        <v>241</v>
      </c>
      <c r="M7" s="48"/>
      <c r="N7" s="48"/>
      <c r="O7" s="48" t="s">
        <v>248</v>
      </c>
      <c r="P7" s="48"/>
    </row>
    <row r="8" spans="1:26" ht="15" customHeight="1" x14ac:dyDescent="0.25">
      <c r="A8" s="128" t="s">
        <v>5</v>
      </c>
      <c r="B8" s="128"/>
      <c r="C8" s="128"/>
      <c r="D8" s="128"/>
      <c r="E8" s="128" t="str">
        <f>E7</f>
        <v>Abhishek Properties (I) Pvt Ltd</v>
      </c>
      <c r="F8" s="128"/>
      <c r="G8" s="128"/>
      <c r="H8" s="128"/>
      <c r="K8" s="47"/>
      <c r="L8" s="48"/>
      <c r="M8" s="48"/>
      <c r="N8" s="48"/>
      <c r="O8" s="48" t="s">
        <v>249</v>
      </c>
      <c r="P8" s="48"/>
    </row>
    <row r="9" spans="1:26" x14ac:dyDescent="0.25">
      <c r="A9" s="128" t="s">
        <v>6</v>
      </c>
      <c r="B9" s="128"/>
      <c r="C9" s="128"/>
      <c r="D9" s="128"/>
      <c r="E9" s="183" t="s">
        <v>328</v>
      </c>
      <c r="F9" s="93"/>
      <c r="G9" s="93"/>
      <c r="H9" s="93"/>
      <c r="K9" s="47"/>
      <c r="L9" s="48"/>
      <c r="M9" s="48"/>
      <c r="N9" s="48"/>
      <c r="O9" s="48" t="s">
        <v>250</v>
      </c>
      <c r="P9" s="48"/>
    </row>
    <row r="10" spans="1:26" x14ac:dyDescent="0.25">
      <c r="A10" s="128" t="s">
        <v>165</v>
      </c>
      <c r="B10" s="128"/>
      <c r="C10" s="128"/>
      <c r="D10" s="128"/>
      <c r="E10" s="137">
        <v>8828400172</v>
      </c>
      <c r="F10" s="128"/>
      <c r="G10" s="128"/>
      <c r="H10" s="128"/>
      <c r="K10" s="47"/>
      <c r="L10" s="48"/>
      <c r="M10" s="48"/>
      <c r="N10" s="48"/>
      <c r="O10" s="48"/>
      <c r="P10" s="48"/>
    </row>
    <row r="11" spans="1:26" x14ac:dyDescent="0.25">
      <c r="A11" s="128" t="s">
        <v>166</v>
      </c>
      <c r="B11" s="128"/>
      <c r="C11" s="128"/>
      <c r="D11" s="128"/>
      <c r="E11" s="128" t="s">
        <v>367</v>
      </c>
      <c r="F11" s="128"/>
      <c r="G11" s="128"/>
      <c r="H11" s="128"/>
    </row>
    <row r="12" spans="1:26" x14ac:dyDescent="0.25">
      <c r="A12" s="128" t="s">
        <v>7</v>
      </c>
      <c r="B12" s="128"/>
      <c r="C12" s="128"/>
      <c r="D12" s="128"/>
      <c r="E12" s="128" t="s">
        <v>282</v>
      </c>
      <c r="F12" s="128"/>
      <c r="G12" s="128"/>
      <c r="H12" s="128"/>
    </row>
    <row r="13" spans="1:26" x14ac:dyDescent="0.25">
      <c r="A13" s="128" t="s">
        <v>169</v>
      </c>
      <c r="B13" s="128"/>
      <c r="C13" s="128"/>
      <c r="D13" s="128"/>
      <c r="E13" s="128" t="s">
        <v>353</v>
      </c>
      <c r="F13" s="128"/>
      <c r="G13" s="128"/>
      <c r="H13" s="128"/>
      <c r="S13" s="48" t="s">
        <v>177</v>
      </c>
      <c r="T13" s="48" t="s">
        <v>187</v>
      </c>
      <c r="U13" s="48" t="s">
        <v>170</v>
      </c>
      <c r="V13" s="48" t="s">
        <v>192</v>
      </c>
      <c r="W13" s="48" t="s">
        <v>210</v>
      </c>
      <c r="X13"/>
      <c r="Y13" t="s">
        <v>192</v>
      </c>
      <c r="Z13" t="e">
        <f ca="1">OFFSET($S$13,1,MATCH($G20,$S$13:$W$13,0)-1,15,1)</f>
        <v>#VALUE!</v>
      </c>
    </row>
    <row r="14" spans="1:26" x14ac:dyDescent="0.25">
      <c r="A14" s="124" t="s">
        <v>277</v>
      </c>
      <c r="B14" s="124"/>
      <c r="C14" s="124"/>
      <c r="D14" s="124"/>
      <c r="E14" s="137" t="s">
        <v>327</v>
      </c>
      <c r="F14" s="137"/>
      <c r="G14" s="137"/>
      <c r="H14" s="137"/>
      <c r="S14" s="48" t="s">
        <v>178</v>
      </c>
      <c r="T14" s="48" t="s">
        <v>185</v>
      </c>
      <c r="U14" s="48" t="s">
        <v>207</v>
      </c>
      <c r="V14" s="48" t="s">
        <v>193</v>
      </c>
      <c r="W14" s="48" t="s">
        <v>211</v>
      </c>
      <c r="X14"/>
      <c r="Y14"/>
      <c r="Z14"/>
    </row>
    <row r="15" spans="1:26" x14ac:dyDescent="0.25">
      <c r="A15" s="124" t="s">
        <v>8</v>
      </c>
      <c r="B15" s="124"/>
      <c r="C15" s="124"/>
      <c r="D15" s="124"/>
      <c r="E15" s="137" t="s">
        <v>283</v>
      </c>
      <c r="F15" s="128"/>
      <c r="G15" s="128"/>
      <c r="H15" s="128"/>
      <c r="I15" s="120" t="e">
        <f ca="1">OFFSET($D$5,1,MATCH($J13,$D$5:$H$5,0)-1,15,1)</f>
        <v>#N/A</v>
      </c>
      <c r="J15" s="121"/>
      <c r="K15" s="121"/>
      <c r="L15" s="121"/>
      <c r="M15" s="121"/>
      <c r="N15" s="121"/>
      <c r="O15" s="121"/>
      <c r="P15" s="121"/>
      <c r="S15" s="48" t="s">
        <v>179</v>
      </c>
      <c r="T15" s="48" t="s">
        <v>186</v>
      </c>
      <c r="U15" s="48" t="s">
        <v>208</v>
      </c>
      <c r="V15" s="48" t="s">
        <v>194</v>
      </c>
      <c r="W15" s="48" t="s">
        <v>224</v>
      </c>
      <c r="X15"/>
      <c r="Y15"/>
      <c r="Z15"/>
    </row>
    <row r="16" spans="1:26" ht="48.75" customHeight="1" x14ac:dyDescent="0.25">
      <c r="A16" s="129" t="s">
        <v>9</v>
      </c>
      <c r="B16" s="129"/>
      <c r="C16" s="129" t="str">
        <f>CONCATENATE((IF(OR(E9="",E9="NA"),"",E9)),", ",(IF(OR(A17="",A17="NA"),"",A17)),".",(IF(OR(C17="",C17="NA"),"",C17)),", near ",(IF(OR(C22="",C22="NA"),"",C22)),", ",(IF(OR(C19="",C19="NA"),"",C19)),", ",(IF(OR(C18="",C18="NA"),"",C18)),", ",(IF(OR(G19="",G19="NA"),"",G19)),", ",(IF(OR(C20="",C20="NA"),"",C20)),", ",(IF(OR(C21="",C21="NA"),"",C21)),", ",(IF(OR(G20="",G20="NA"),"",G20))," - ",(IF(OR(G21="",G21="NA"),"",G21)),".")</f>
        <v>Avant Heritage V, CTS No.154, 154/1 to 134 &amp; 155, 155/1 to 113, near Vrindavan Babubhai Morwala Co-operative Housing Society, Majas Road, Samarth Nagar, Majas, Jogeshwari East, Andheri, Mumbai - 400060.</v>
      </c>
      <c r="D16" s="129"/>
      <c r="E16" s="129"/>
      <c r="F16" s="129"/>
      <c r="G16" s="129"/>
      <c r="H16" s="129"/>
      <c r="S16" s="48" t="s">
        <v>180</v>
      </c>
      <c r="T16" s="48" t="s">
        <v>188</v>
      </c>
      <c r="U16" s="48" t="s">
        <v>209</v>
      </c>
      <c r="V16" s="48" t="s">
        <v>195</v>
      </c>
      <c r="W16" s="48" t="s">
        <v>212</v>
      </c>
      <c r="X16"/>
      <c r="Y16"/>
      <c r="Z16"/>
    </row>
    <row r="17" spans="1:26" x14ac:dyDescent="0.25">
      <c r="A17" s="137" t="s">
        <v>173</v>
      </c>
      <c r="B17" s="137"/>
      <c r="C17" s="137" t="s">
        <v>284</v>
      </c>
      <c r="D17" s="137"/>
      <c r="E17" s="137"/>
      <c r="F17" s="137"/>
      <c r="G17" s="137"/>
      <c r="H17" s="137"/>
      <c r="S17" s="48" t="s">
        <v>181</v>
      </c>
      <c r="T17" s="48" t="s">
        <v>189</v>
      </c>
      <c r="U17" s="48" t="s">
        <v>170</v>
      </c>
      <c r="V17" s="48" t="s">
        <v>196</v>
      </c>
      <c r="W17" s="48" t="s">
        <v>213</v>
      </c>
      <c r="X17"/>
      <c r="Y17"/>
      <c r="Z17"/>
    </row>
    <row r="18" spans="1:26" ht="15.75" customHeight="1" x14ac:dyDescent="0.25">
      <c r="A18" s="137" t="s">
        <v>160</v>
      </c>
      <c r="B18" s="137"/>
      <c r="C18" s="137" t="s">
        <v>289</v>
      </c>
      <c r="D18" s="137"/>
      <c r="E18" s="137"/>
      <c r="F18" s="137"/>
      <c r="G18" s="137"/>
      <c r="H18" s="137"/>
      <c r="S18" s="48" t="s">
        <v>182</v>
      </c>
      <c r="T18" s="48" t="s">
        <v>187</v>
      </c>
      <c r="U18" s="48"/>
      <c r="V18" s="48" t="s">
        <v>197</v>
      </c>
      <c r="W18" s="48" t="s">
        <v>214</v>
      </c>
      <c r="X18"/>
      <c r="Y18"/>
      <c r="Z18"/>
    </row>
    <row r="19" spans="1:26" ht="15.75" customHeight="1" x14ac:dyDescent="0.25">
      <c r="A19" s="129" t="s">
        <v>10</v>
      </c>
      <c r="B19" s="129"/>
      <c r="C19" s="185" t="s">
        <v>290</v>
      </c>
      <c r="D19" s="185"/>
      <c r="E19" s="186" t="s">
        <v>70</v>
      </c>
      <c r="F19" s="186"/>
      <c r="G19" s="137" t="s">
        <v>291</v>
      </c>
      <c r="H19" s="137"/>
      <c r="S19" s="48" t="s">
        <v>183</v>
      </c>
      <c r="T19" s="48" t="s">
        <v>190</v>
      </c>
      <c r="U19" s="48"/>
      <c r="V19" s="48" t="s">
        <v>198</v>
      </c>
      <c r="W19" s="48" t="s">
        <v>215</v>
      </c>
      <c r="X19"/>
      <c r="Y19"/>
      <c r="Z19"/>
    </row>
    <row r="20" spans="1:26" x14ac:dyDescent="0.25">
      <c r="A20" s="124" t="s">
        <v>12</v>
      </c>
      <c r="B20" s="124"/>
      <c r="C20" s="186" t="s">
        <v>288</v>
      </c>
      <c r="D20" s="186"/>
      <c r="E20" s="186" t="s">
        <v>11</v>
      </c>
      <c r="F20" s="186"/>
      <c r="G20" s="187" t="s">
        <v>170</v>
      </c>
      <c r="H20" s="187"/>
      <c r="S20" s="48" t="s">
        <v>184</v>
      </c>
      <c r="T20" s="48" t="s">
        <v>191</v>
      </c>
      <c r="U20" s="48"/>
      <c r="V20" s="48" t="s">
        <v>199</v>
      </c>
      <c r="W20" s="48" t="s">
        <v>216</v>
      </c>
      <c r="X20"/>
      <c r="Y20"/>
      <c r="Z20"/>
    </row>
    <row r="21" spans="1:26" x14ac:dyDescent="0.25">
      <c r="A21" s="124" t="s">
        <v>71</v>
      </c>
      <c r="B21" s="124"/>
      <c r="C21" s="186" t="s">
        <v>207</v>
      </c>
      <c r="D21" s="186"/>
      <c r="E21" s="186" t="s">
        <v>13</v>
      </c>
      <c r="F21" s="186"/>
      <c r="G21" s="137">
        <v>400060</v>
      </c>
      <c r="H21" s="137"/>
      <c r="S21" s="48"/>
      <c r="T21" s="48"/>
      <c r="U21" s="48"/>
      <c r="V21" s="48" t="s">
        <v>200</v>
      </c>
      <c r="W21" s="48" t="s">
        <v>217</v>
      </c>
      <c r="X21"/>
      <c r="Y21"/>
      <c r="Z21"/>
    </row>
    <row r="22" spans="1:26" ht="54" customHeight="1" x14ac:dyDescent="0.25">
      <c r="A22" s="124" t="s">
        <v>119</v>
      </c>
      <c r="B22" s="124"/>
      <c r="C22" s="137" t="s">
        <v>292</v>
      </c>
      <c r="D22" s="137"/>
      <c r="E22" s="129" t="s">
        <v>14</v>
      </c>
      <c r="F22" s="129"/>
      <c r="G22" s="186" t="s">
        <v>287</v>
      </c>
      <c r="H22" s="186"/>
      <c r="S22" s="48"/>
      <c r="T22" s="48"/>
      <c r="U22" s="48"/>
      <c r="V22" s="48" t="s">
        <v>201</v>
      </c>
      <c r="W22" s="48" t="s">
        <v>218</v>
      </c>
      <c r="X22"/>
      <c r="Y22"/>
      <c r="Z22"/>
    </row>
    <row r="23" spans="1:26" ht="15" customHeight="1" x14ac:dyDescent="0.25">
      <c r="A23" s="129" t="s">
        <v>73</v>
      </c>
      <c r="B23" s="129"/>
      <c r="C23" s="129"/>
      <c r="D23" s="129"/>
      <c r="E23" s="128" t="s">
        <v>15</v>
      </c>
      <c r="F23" s="128"/>
      <c r="G23" s="128"/>
      <c r="H23" s="128"/>
      <c r="S23" s="48"/>
      <c r="T23" s="48"/>
      <c r="U23" s="48"/>
      <c r="V23" s="48" t="s">
        <v>202</v>
      </c>
      <c r="W23" s="48" t="s">
        <v>219</v>
      </c>
      <c r="X23"/>
      <c r="Y23"/>
      <c r="Z23"/>
    </row>
    <row r="24" spans="1:26" ht="18.75" customHeight="1" x14ac:dyDescent="0.25">
      <c r="A24" s="129"/>
      <c r="B24" s="129"/>
      <c r="C24" s="129"/>
      <c r="D24" s="129"/>
      <c r="E24" s="128"/>
      <c r="F24" s="128"/>
      <c r="G24" s="128"/>
      <c r="H24" s="128"/>
      <c r="S24" s="48"/>
      <c r="T24" s="48"/>
      <c r="U24" s="48"/>
      <c r="V24" s="48" t="s">
        <v>203</v>
      </c>
      <c r="W24" s="48" t="s">
        <v>220</v>
      </c>
      <c r="X24"/>
      <c r="Y24"/>
      <c r="Z24"/>
    </row>
    <row r="25" spans="1:26" ht="15" customHeight="1" x14ac:dyDescent="0.25">
      <c r="A25" s="129" t="s">
        <v>16</v>
      </c>
      <c r="B25" s="129"/>
      <c r="C25" s="129"/>
      <c r="D25" s="129"/>
      <c r="E25" s="137" t="s">
        <v>17</v>
      </c>
      <c r="F25" s="137"/>
      <c r="G25" s="137"/>
      <c r="H25" s="137"/>
      <c r="S25" s="48"/>
      <c r="T25" s="48"/>
      <c r="U25" s="48"/>
      <c r="V25" s="48" t="s">
        <v>204</v>
      </c>
      <c r="W25" s="48" t="s">
        <v>221</v>
      </c>
      <c r="X25"/>
      <c r="Y25"/>
      <c r="Z25"/>
    </row>
    <row r="26" spans="1:26" ht="15" customHeight="1" x14ac:dyDescent="0.25">
      <c r="A26" s="124" t="s">
        <v>18</v>
      </c>
      <c r="B26" s="124"/>
      <c r="C26" s="124"/>
      <c r="D26" s="124"/>
      <c r="E26" s="137" t="str">
        <f>IF(AND(G20="Mumbai"),"Upper Class","Middle Class")</f>
        <v>Upper Class</v>
      </c>
      <c r="F26" s="137"/>
      <c r="G26" s="137"/>
      <c r="H26" s="137"/>
      <c r="S26" s="48"/>
      <c r="T26" s="48"/>
      <c r="U26" s="48"/>
      <c r="V26" s="48" t="s">
        <v>205</v>
      </c>
      <c r="W26" s="48" t="s">
        <v>222</v>
      </c>
      <c r="X26"/>
      <c r="Y26"/>
      <c r="Z26"/>
    </row>
    <row r="27" spans="1:26" x14ac:dyDescent="0.25">
      <c r="A27" s="124" t="s">
        <v>19</v>
      </c>
      <c r="B27" s="124"/>
      <c r="C27" s="124"/>
      <c r="D27" s="124"/>
      <c r="E27" s="137" t="s">
        <v>20</v>
      </c>
      <c r="F27" s="137"/>
      <c r="G27" s="137"/>
      <c r="H27" s="137"/>
      <c r="S27" s="48"/>
      <c r="T27" s="48"/>
      <c r="U27" s="48"/>
      <c r="V27" s="48" t="s">
        <v>206</v>
      </c>
      <c r="W27" s="48" t="s">
        <v>223</v>
      </c>
      <c r="X27"/>
      <c r="Y27"/>
      <c r="Z27"/>
    </row>
    <row r="28" spans="1:26" ht="15.75" customHeight="1" x14ac:dyDescent="0.25">
      <c r="A28" s="124" t="s">
        <v>21</v>
      </c>
      <c r="B28" s="124"/>
      <c r="C28" s="124"/>
      <c r="D28" s="124"/>
      <c r="E28" s="137" t="str">
        <f>IF(AND(G20="Mumbai"),"Developed","Developing")</f>
        <v>Developed</v>
      </c>
      <c r="F28" s="137"/>
      <c r="G28" s="137"/>
      <c r="H28" s="137"/>
    </row>
    <row r="29" spans="1:26" x14ac:dyDescent="0.25">
      <c r="A29" s="124" t="s">
        <v>22</v>
      </c>
      <c r="B29" s="124"/>
      <c r="C29" s="124"/>
      <c r="D29" s="124"/>
      <c r="E29" s="137" t="s">
        <v>23</v>
      </c>
      <c r="F29" s="137"/>
      <c r="G29" s="137"/>
      <c r="H29" s="137"/>
    </row>
    <row r="30" spans="1:26" ht="15.75" customHeight="1" x14ac:dyDescent="0.25">
      <c r="A30" s="124" t="s">
        <v>78</v>
      </c>
      <c r="B30" s="124"/>
      <c r="C30" s="124"/>
      <c r="D30" s="124"/>
      <c r="E30" s="137" t="s">
        <v>79</v>
      </c>
      <c r="F30" s="137"/>
      <c r="G30" s="137"/>
      <c r="H30" s="137"/>
    </row>
    <row r="31" spans="1:26" ht="15" customHeight="1" x14ac:dyDescent="0.25">
      <c r="A31" s="124" t="s">
        <v>30</v>
      </c>
      <c r="B31" s="124"/>
      <c r="C31" s="124"/>
      <c r="D31" s="124"/>
      <c r="E31" s="137" t="str">
        <f>IF(AND(ISNUMBER(SEARCH("Flat",D57)),ISNUMBER(SEARCH("Shop",D57)),ISNUMBER(SEARCH("Office",D57))),"Residential + Commercial",IF(AND(ISNUMBER(SEARCH("Flat",D57)),ISNUMBER(SEARCH("Shop",D57))),"Residential + Commercial",IF(AND(ISNUMBER(SEARCH("Flat",D57)),ISNUMBER(SEARCH("Office",D57))),"Residential + Commercial",IF(AND(ISNUMBER(SEARCH("Shop",D57)),ISNUMBER(SEARCH("Office",D57))),"Commercial",IF(ISNUMBER(SEARCH("Shop",D57)),"Commercial",IF(ISNUMBER(SEARCH("Office",D57)),"Commercial",IF(ISNUMBER(SEARCH("Flat",D57)),"Residential")))))))</f>
        <v>Residential + Commercial</v>
      </c>
      <c r="F31" s="137"/>
      <c r="G31" s="137"/>
      <c r="H31" s="137"/>
    </row>
    <row r="32" spans="1:26" ht="15.75" customHeight="1" x14ac:dyDescent="0.25">
      <c r="A32" s="124" t="s">
        <v>89</v>
      </c>
      <c r="B32" s="124"/>
      <c r="C32" s="124"/>
      <c r="D32" s="124"/>
      <c r="E32" s="137" t="s">
        <v>31</v>
      </c>
      <c r="F32" s="137"/>
      <c r="G32" s="137"/>
      <c r="H32" s="137"/>
    </row>
    <row r="33" spans="1:19" s="18" customFormat="1" x14ac:dyDescent="0.25">
      <c r="A33" s="196" t="s">
        <v>90</v>
      </c>
      <c r="B33" s="196"/>
      <c r="C33" s="192" t="s">
        <v>171</v>
      </c>
      <c r="D33" s="193"/>
      <c r="E33" s="194"/>
      <c r="F33" s="192" t="s">
        <v>29</v>
      </c>
      <c r="G33" s="193"/>
      <c r="H33" s="194"/>
      <c r="S33" s="18" t="e">
        <f ca="1">OFFSET($S$13,1,MATCH($G20,$S$13:$W$13,0)-1,15,1)</f>
        <v>#VALUE!</v>
      </c>
    </row>
    <row r="34" spans="1:19" s="18" customFormat="1" x14ac:dyDescent="0.25">
      <c r="A34" s="195" t="s">
        <v>24</v>
      </c>
      <c r="B34" s="195" t="s">
        <v>28</v>
      </c>
      <c r="C34" s="171" t="s">
        <v>297</v>
      </c>
      <c r="D34" s="172"/>
      <c r="E34" s="173"/>
      <c r="F34" s="171" t="s">
        <v>290</v>
      </c>
      <c r="G34" s="172"/>
      <c r="H34" s="173"/>
    </row>
    <row r="35" spans="1:19" ht="35.25" customHeight="1" x14ac:dyDescent="0.25">
      <c r="A35" s="188" t="s">
        <v>25</v>
      </c>
      <c r="B35" s="188" t="s">
        <v>28</v>
      </c>
      <c r="C35" s="189" t="s">
        <v>298</v>
      </c>
      <c r="D35" s="190"/>
      <c r="E35" s="191"/>
      <c r="F35" s="174" t="s">
        <v>292</v>
      </c>
      <c r="G35" s="175"/>
      <c r="H35" s="176"/>
    </row>
    <row r="36" spans="1:19" s="18" customFormat="1" ht="35.25" customHeight="1" x14ac:dyDescent="0.25">
      <c r="A36" s="188" t="s">
        <v>27</v>
      </c>
      <c r="B36" s="188" t="s">
        <v>28</v>
      </c>
      <c r="C36" s="189" t="s">
        <v>295</v>
      </c>
      <c r="D36" s="190"/>
      <c r="E36" s="191"/>
      <c r="F36" s="189" t="s">
        <v>293</v>
      </c>
      <c r="G36" s="190"/>
      <c r="H36" s="191"/>
    </row>
    <row r="37" spans="1:19" x14ac:dyDescent="0.25">
      <c r="A37" s="195" t="s">
        <v>26</v>
      </c>
      <c r="B37" s="195" t="s">
        <v>28</v>
      </c>
      <c r="C37" s="171" t="s">
        <v>296</v>
      </c>
      <c r="D37" s="172"/>
      <c r="E37" s="173"/>
      <c r="F37" s="171" t="s">
        <v>294</v>
      </c>
      <c r="G37" s="172"/>
      <c r="H37" s="173"/>
    </row>
    <row r="38" spans="1:19" x14ac:dyDescent="0.25">
      <c r="A38" s="124" t="s">
        <v>278</v>
      </c>
      <c r="B38" s="124"/>
      <c r="C38" s="124"/>
      <c r="D38" s="124"/>
      <c r="E38" s="124"/>
      <c r="F38" s="124"/>
      <c r="G38" s="124"/>
      <c r="H38" s="124"/>
    </row>
    <row r="39" spans="1:19" ht="15.75" customHeight="1" x14ac:dyDescent="0.25">
      <c r="A39" s="124" t="s">
        <v>163</v>
      </c>
      <c r="B39" s="124"/>
      <c r="C39" s="180" t="s">
        <v>285</v>
      </c>
      <c r="D39" s="180"/>
      <c r="E39" s="180"/>
      <c r="F39" s="180"/>
      <c r="G39" s="180"/>
      <c r="H39" s="180"/>
    </row>
    <row r="40" spans="1:19" x14ac:dyDescent="0.25">
      <c r="A40" s="124" t="s">
        <v>159</v>
      </c>
      <c r="B40" s="124"/>
      <c r="C40" s="201" t="s">
        <v>286</v>
      </c>
      <c r="D40" s="137"/>
      <c r="E40" s="137"/>
      <c r="F40" s="137"/>
      <c r="G40" s="137"/>
      <c r="H40" s="137"/>
    </row>
    <row r="41" spans="1:19" x14ac:dyDescent="0.25">
      <c r="A41" s="180" t="s">
        <v>32</v>
      </c>
      <c r="B41" s="180"/>
      <c r="C41" s="180"/>
      <c r="D41" s="180"/>
      <c r="E41" s="180"/>
      <c r="F41" s="180"/>
      <c r="G41" s="180"/>
      <c r="H41" s="180"/>
    </row>
    <row r="42" spans="1:19" x14ac:dyDescent="0.25">
      <c r="A42" s="124" t="s">
        <v>33</v>
      </c>
      <c r="B42" s="124"/>
      <c r="C42" s="124"/>
      <c r="D42" s="124"/>
      <c r="E42" s="197">
        <v>5718.05</v>
      </c>
      <c r="F42" s="197"/>
      <c r="G42" s="197"/>
      <c r="H42" s="197"/>
    </row>
    <row r="43" spans="1:19" x14ac:dyDescent="0.25">
      <c r="A43" s="124" t="s">
        <v>34</v>
      </c>
      <c r="B43" s="124"/>
      <c r="C43" s="124"/>
      <c r="D43" s="124"/>
      <c r="E43" s="131">
        <v>4</v>
      </c>
      <c r="F43" s="131"/>
      <c r="G43" s="131"/>
      <c r="H43" s="131"/>
      <c r="I43" s="17">
        <f>25019.2/E42</f>
        <v>4.3754776540953646</v>
      </c>
    </row>
    <row r="44" spans="1:19" x14ac:dyDescent="0.25">
      <c r="A44" s="124" t="s">
        <v>35</v>
      </c>
      <c r="B44" s="124"/>
      <c r="C44" s="124"/>
      <c r="D44" s="124"/>
      <c r="E44" s="131">
        <f>E46/E42-E43</f>
        <v>1.8428083000323534</v>
      </c>
      <c r="F44" s="131"/>
      <c r="G44" s="131"/>
      <c r="H44" s="131"/>
    </row>
    <row r="45" spans="1:19" x14ac:dyDescent="0.25">
      <c r="A45" s="124" t="s">
        <v>36</v>
      </c>
      <c r="B45" s="124"/>
      <c r="C45" s="124"/>
      <c r="D45" s="124"/>
      <c r="E45" s="131">
        <f>E43+E44</f>
        <v>5.8428083000323534</v>
      </c>
      <c r="F45" s="131"/>
      <c r="G45" s="131"/>
      <c r="H45" s="131"/>
    </row>
    <row r="46" spans="1:19" x14ac:dyDescent="0.25">
      <c r="A46" s="124" t="s">
        <v>88</v>
      </c>
      <c r="B46" s="124"/>
      <c r="C46" s="124"/>
      <c r="D46" s="124"/>
      <c r="E46" s="200">
        <v>33409.47</v>
      </c>
      <c r="F46" s="200"/>
      <c r="G46" s="200"/>
      <c r="H46" s="200"/>
    </row>
    <row r="47" spans="1:19" x14ac:dyDescent="0.25">
      <c r="A47" s="128" t="s">
        <v>37</v>
      </c>
      <c r="B47" s="128"/>
      <c r="C47" s="128"/>
      <c r="D47" s="128"/>
      <c r="E47" s="185" t="s">
        <v>299</v>
      </c>
      <c r="F47" s="185"/>
      <c r="G47" s="185"/>
      <c r="H47" s="185"/>
    </row>
    <row r="48" spans="1:19" x14ac:dyDescent="0.25">
      <c r="A48" s="180" t="s">
        <v>38</v>
      </c>
      <c r="B48" s="180"/>
      <c r="C48" s="180"/>
      <c r="D48" s="180"/>
      <c r="E48" s="180"/>
      <c r="F48" s="180"/>
      <c r="G48" s="180"/>
      <c r="H48" s="180"/>
    </row>
    <row r="49" spans="1:23" ht="33.75" customHeight="1" x14ac:dyDescent="0.25">
      <c r="A49" s="132" t="s">
        <v>148</v>
      </c>
      <c r="B49" s="133"/>
      <c r="C49" s="202" t="s">
        <v>252</v>
      </c>
      <c r="D49" s="203"/>
      <c r="E49" s="203"/>
      <c r="F49" s="203"/>
      <c r="G49" s="203"/>
      <c r="H49" s="204"/>
      <c r="R49" t="s">
        <v>251</v>
      </c>
      <c r="S49" t="s">
        <v>170</v>
      </c>
      <c r="T49" t="s">
        <v>177</v>
      </c>
      <c r="U49" t="s">
        <v>192</v>
      </c>
      <c r="V49" t="s">
        <v>187</v>
      </c>
    </row>
    <row r="50" spans="1:23" x14ac:dyDescent="0.25">
      <c r="A50" s="132" t="s">
        <v>39</v>
      </c>
      <c r="B50" s="133"/>
      <c r="C50" s="132" t="s">
        <v>301</v>
      </c>
      <c r="D50" s="134"/>
      <c r="E50" s="133"/>
      <c r="F50" s="16" t="s">
        <v>40</v>
      </c>
      <c r="G50" s="135">
        <v>45621</v>
      </c>
      <c r="H50" s="133"/>
      <c r="R50"/>
      <c r="S50" t="s">
        <v>252</v>
      </c>
      <c r="T50" t="s">
        <v>257</v>
      </c>
      <c r="U50" t="s">
        <v>268</v>
      </c>
      <c r="V50" t="s">
        <v>273</v>
      </c>
    </row>
    <row r="51" spans="1:23" x14ac:dyDescent="0.25">
      <c r="A51" s="132" t="s">
        <v>41</v>
      </c>
      <c r="B51" s="133"/>
      <c r="C51" s="132" t="str">
        <f>C50</f>
        <v>KE/PVT/0120/20060131/AP/C</v>
      </c>
      <c r="D51" s="134"/>
      <c r="E51" s="133"/>
      <c r="F51" s="16" t="s">
        <v>40</v>
      </c>
      <c r="G51" s="135">
        <f>G50</f>
        <v>45621</v>
      </c>
      <c r="H51" s="133"/>
      <c r="R51"/>
      <c r="S51" t="s">
        <v>253</v>
      </c>
      <c r="T51" t="s">
        <v>279</v>
      </c>
      <c r="U51" t="s">
        <v>266</v>
      </c>
      <c r="V51" t="s">
        <v>274</v>
      </c>
      <c r="W51" s="50" t="s">
        <v>280</v>
      </c>
    </row>
    <row r="52" spans="1:23" s="19" customFormat="1" ht="15.75" customHeight="1" x14ac:dyDescent="0.25">
      <c r="A52" s="141" t="s">
        <v>152</v>
      </c>
      <c r="B52" s="142"/>
      <c r="C52" s="132" t="s">
        <v>301</v>
      </c>
      <c r="D52" s="134"/>
      <c r="E52" s="133"/>
      <c r="F52" s="16" t="s">
        <v>40</v>
      </c>
      <c r="G52" s="135">
        <v>45527</v>
      </c>
      <c r="H52" s="133"/>
      <c r="R52"/>
      <c r="S52" t="s">
        <v>254</v>
      </c>
      <c r="T52" t="s">
        <v>259</v>
      </c>
      <c r="U52" t="s">
        <v>256</v>
      </c>
      <c r="V52" t="s">
        <v>275</v>
      </c>
    </row>
    <row r="53" spans="1:23" s="19" customFormat="1" x14ac:dyDescent="0.25">
      <c r="A53" s="143"/>
      <c r="B53" s="144"/>
      <c r="C53" s="132" t="s">
        <v>333</v>
      </c>
      <c r="D53" s="134"/>
      <c r="E53" s="134"/>
      <c r="F53" s="134"/>
      <c r="G53" s="134"/>
      <c r="H53" s="133"/>
      <c r="R53"/>
      <c r="S53" t="s">
        <v>255</v>
      </c>
      <c r="T53" t="s">
        <v>262</v>
      </c>
      <c r="U53" t="s">
        <v>269</v>
      </c>
    </row>
    <row r="54" spans="1:23" x14ac:dyDescent="0.25">
      <c r="A54" s="125" t="s">
        <v>42</v>
      </c>
      <c r="B54" s="126"/>
      <c r="C54" s="125" t="s">
        <v>102</v>
      </c>
      <c r="D54" s="127"/>
      <c r="E54" s="126"/>
      <c r="F54" s="40" t="s">
        <v>40</v>
      </c>
      <c r="G54" s="139" t="s">
        <v>28</v>
      </c>
      <c r="H54" s="140"/>
      <c r="R54"/>
      <c r="S54" t="s">
        <v>256</v>
      </c>
      <c r="T54" t="s">
        <v>260</v>
      </c>
      <c r="U54" t="s">
        <v>270</v>
      </c>
    </row>
    <row r="55" spans="1:23" x14ac:dyDescent="0.25">
      <c r="A55" s="136" t="s">
        <v>44</v>
      </c>
      <c r="B55" s="136"/>
      <c r="C55" s="136"/>
      <c r="D55" s="136"/>
      <c r="E55" s="136"/>
      <c r="F55" s="136"/>
      <c r="G55" s="136"/>
      <c r="H55" s="136"/>
      <c r="T55" t="s">
        <v>261</v>
      </c>
      <c r="U55" t="s">
        <v>271</v>
      </c>
    </row>
    <row r="56" spans="1:23" ht="30.75" customHeight="1" x14ac:dyDescent="0.25">
      <c r="A56" s="129" t="s">
        <v>300</v>
      </c>
      <c r="B56" s="129"/>
      <c r="C56" s="129"/>
      <c r="D56" s="128">
        <f>4840.17+4695.46+4165.36+4402.75+2678.09</f>
        <v>20781.830000000002</v>
      </c>
      <c r="E56" s="128"/>
      <c r="F56" s="128"/>
      <c r="G56" s="128"/>
      <c r="H56" s="128"/>
      <c r="R56"/>
      <c r="T56" t="s">
        <v>263</v>
      </c>
      <c r="U56" t="s">
        <v>272</v>
      </c>
    </row>
    <row r="57" spans="1:23" x14ac:dyDescent="0.25">
      <c r="A57" s="137" t="s">
        <v>45</v>
      </c>
      <c r="B57" s="128"/>
      <c r="C57" s="128"/>
      <c r="D57" s="138" t="s">
        <v>364</v>
      </c>
      <c r="E57" s="138"/>
      <c r="F57" s="138"/>
      <c r="G57" s="138"/>
      <c r="H57" s="138"/>
      <c r="I57" s="20"/>
      <c r="R57"/>
      <c r="T57" t="s">
        <v>264</v>
      </c>
    </row>
    <row r="58" spans="1:23" ht="34.5" customHeight="1" x14ac:dyDescent="0.25">
      <c r="A58" s="147" t="s">
        <v>46</v>
      </c>
      <c r="B58" s="148"/>
      <c r="C58" s="207"/>
      <c r="D58" s="153" t="s">
        <v>363</v>
      </c>
      <c r="E58" s="206"/>
      <c r="F58" s="206"/>
      <c r="G58" s="206"/>
      <c r="H58" s="206"/>
      <c r="R58"/>
      <c r="T58" t="s">
        <v>265</v>
      </c>
    </row>
    <row r="59" spans="1:23" ht="15.75" customHeight="1" x14ac:dyDescent="0.25">
      <c r="A59" s="147" t="s">
        <v>86</v>
      </c>
      <c r="B59" s="148"/>
      <c r="C59" s="148"/>
      <c r="D59" s="145" t="s">
        <v>365</v>
      </c>
      <c r="E59" s="146"/>
      <c r="F59" s="146"/>
      <c r="G59" s="146"/>
      <c r="H59" s="146"/>
      <c r="R59"/>
      <c r="T59" t="s">
        <v>267</v>
      </c>
    </row>
    <row r="60" spans="1:23" ht="15.75" hidden="1" customHeight="1" x14ac:dyDescent="0.25">
      <c r="A60" s="149"/>
      <c r="B60" s="150"/>
      <c r="C60" s="150"/>
      <c r="D60" s="145" t="s">
        <v>306</v>
      </c>
      <c r="E60" s="146"/>
      <c r="F60" s="146"/>
      <c r="G60" s="146"/>
      <c r="H60" s="146"/>
      <c r="R60"/>
      <c r="T60" t="s">
        <v>276</v>
      </c>
    </row>
    <row r="61" spans="1:23" ht="15.75" hidden="1" customHeight="1" x14ac:dyDescent="0.25">
      <c r="A61" s="149"/>
      <c r="B61" s="150"/>
      <c r="C61" s="150"/>
      <c r="D61" s="145" t="s">
        <v>307</v>
      </c>
      <c r="E61" s="146"/>
      <c r="F61" s="146"/>
      <c r="G61" s="146"/>
      <c r="H61" s="146"/>
      <c r="R61"/>
      <c r="T61"/>
    </row>
    <row r="62" spans="1:23" ht="15.75" hidden="1" customHeight="1" x14ac:dyDescent="0.25">
      <c r="A62" s="149"/>
      <c r="B62" s="150"/>
      <c r="C62" s="150"/>
      <c r="D62" s="145" t="s">
        <v>308</v>
      </c>
      <c r="E62" s="146"/>
      <c r="F62" s="146"/>
      <c r="G62" s="146"/>
      <c r="H62" s="146"/>
      <c r="R62"/>
      <c r="T62"/>
    </row>
    <row r="63" spans="1:23" ht="15.75" customHeight="1" x14ac:dyDescent="0.25">
      <c r="A63" s="151"/>
      <c r="B63" s="152"/>
      <c r="C63" s="152"/>
      <c r="D63" s="145" t="s">
        <v>366</v>
      </c>
      <c r="E63" s="146"/>
      <c r="F63" s="146"/>
      <c r="G63" s="146"/>
      <c r="H63" s="146"/>
      <c r="S63"/>
    </row>
    <row r="64" spans="1:23" ht="15.75" customHeight="1" x14ac:dyDescent="0.25">
      <c r="A64" s="124" t="s">
        <v>43</v>
      </c>
      <c r="B64" s="124"/>
      <c r="C64" s="124"/>
      <c r="D64" s="198" t="s">
        <v>302</v>
      </c>
      <c r="E64" s="198"/>
      <c r="F64" s="198"/>
      <c r="G64" s="198"/>
      <c r="H64" s="198"/>
      <c r="J64" s="21"/>
      <c r="K64" s="20"/>
      <c r="N64" s="20"/>
      <c r="S64"/>
    </row>
    <row r="65" spans="1:19" ht="15.75" customHeight="1" x14ac:dyDescent="0.25">
      <c r="A65" s="124" t="s">
        <v>84</v>
      </c>
      <c r="B65" s="124"/>
      <c r="C65" s="124"/>
      <c r="D65" s="199" t="str">
        <f>(IF(G54="NA","60 Years After Completion",IF(G54&lt;&gt;"NA",""&amp;60-ROUNDDOWN((E3-G54)/360,0)&amp;" Years"," ")))</f>
        <v>60 Years After Completion</v>
      </c>
      <c r="E65" s="199"/>
      <c r="F65" s="199"/>
      <c r="G65" s="199"/>
      <c r="H65" s="199"/>
      <c r="I65" s="205" t="s">
        <v>305</v>
      </c>
      <c r="J65" s="121"/>
      <c r="K65" s="121"/>
      <c r="L65" s="121"/>
      <c r="M65" s="121"/>
      <c r="N65" s="121"/>
      <c r="S65"/>
    </row>
    <row r="66" spans="1:19" ht="15.75" customHeight="1" x14ac:dyDescent="0.25">
      <c r="A66" s="185" t="s">
        <v>85</v>
      </c>
      <c r="B66" s="185"/>
      <c r="C66" s="185"/>
      <c r="D66" s="186" t="s">
        <v>23</v>
      </c>
      <c r="E66" s="186"/>
      <c r="F66" s="186"/>
      <c r="G66" s="186"/>
      <c r="H66" s="186"/>
      <c r="I66" s="120"/>
      <c r="J66" s="121"/>
      <c r="K66" s="121"/>
      <c r="L66" s="121"/>
      <c r="M66" s="121"/>
      <c r="N66" s="121"/>
      <c r="S66"/>
    </row>
    <row r="67" spans="1:19" ht="66" customHeight="1" x14ac:dyDescent="0.25">
      <c r="A67" s="185" t="s">
        <v>303</v>
      </c>
      <c r="B67" s="185"/>
      <c r="C67" s="185"/>
      <c r="D67" s="186" t="s">
        <v>304</v>
      </c>
      <c r="E67" s="186"/>
      <c r="F67" s="186"/>
      <c r="G67" s="186"/>
      <c r="H67" s="186"/>
      <c r="I67" s="120"/>
      <c r="J67" s="121"/>
      <c r="K67" s="121"/>
      <c r="L67" s="121"/>
      <c r="M67" s="121"/>
      <c r="N67" s="121"/>
      <c r="S67"/>
    </row>
    <row r="68" spans="1:19" x14ac:dyDescent="0.25">
      <c r="A68" s="129" t="s">
        <v>145</v>
      </c>
      <c r="B68" s="129"/>
      <c r="C68" s="129"/>
      <c r="D68" s="129" t="s">
        <v>28</v>
      </c>
      <c r="E68" s="129"/>
      <c r="F68" s="129"/>
      <c r="G68" s="129"/>
      <c r="H68" s="129"/>
      <c r="I68" s="23"/>
      <c r="J68" s="23"/>
      <c r="K68" s="23"/>
      <c r="L68" s="23"/>
      <c r="M68" s="23"/>
      <c r="N68" s="23"/>
    </row>
    <row r="69" spans="1:19" ht="15.75" customHeight="1" x14ac:dyDescent="0.25">
      <c r="A69" s="130" t="s">
        <v>83</v>
      </c>
      <c r="B69" s="130"/>
      <c r="C69" s="130"/>
      <c r="D69" s="153" t="str">
        <f ca="1">(IF(G75&gt;95%,"Nothing",IF(G75&gt;0%,"Cement, Aggregate, Steel, etc",IF(G75=0%,"Work not yet Started"))))</f>
        <v>Cement, Aggregate, Steel, etc</v>
      </c>
      <c r="E69" s="153"/>
      <c r="F69" s="153"/>
      <c r="G69" s="153"/>
      <c r="H69" s="153"/>
      <c r="J69" s="22"/>
      <c r="S69"/>
    </row>
    <row r="70" spans="1:19" ht="33.75" customHeight="1" thickBot="1" x14ac:dyDescent="0.3">
      <c r="A70" s="214" t="s">
        <v>115</v>
      </c>
      <c r="B70" s="214"/>
      <c r="C70" s="214"/>
      <c r="D70" s="153" t="str">
        <f ca="1">(IF(D69="Nothing","Yes",IF(D69="Cement, Aggregate, Steel, etc","Under Construction",IF(D69="Work not yet Started","Work not yet Started"))))</f>
        <v>Under Construction</v>
      </c>
      <c r="E70" s="153"/>
      <c r="F70" s="153" t="str">
        <f ca="1">(IF(D69="Nothing","Yes",IF(D69="Cement, Aggregate, Steel, etc","Under Construction",IF(D69="Work not yet Started","Work not yet Started"))))</f>
        <v>Under Construction</v>
      </c>
      <c r="G70" s="153"/>
      <c r="H70" s="153"/>
      <c r="S70"/>
    </row>
    <row r="71" spans="1:19" ht="15.75" customHeight="1" x14ac:dyDescent="0.25">
      <c r="A71" s="87" t="s">
        <v>137</v>
      </c>
      <c r="B71" s="88"/>
      <c r="C71" s="89" t="str">
        <f>D59</f>
        <v xml:space="preserve">Wing A to D = Gr + 1st to 23rd Floor
</v>
      </c>
      <c r="D71" s="90"/>
      <c r="E71" s="90"/>
      <c r="F71" s="90"/>
      <c r="G71" s="90"/>
      <c r="H71" s="91"/>
      <c r="I71" s="43" t="str">
        <f ca="1">IF(D84=100%,"All work Completed. Possession granted to the Building.",IF(D83=100%,"All work Completed, Waiting for OC",I72&amp;""&amp;I73&amp;""&amp;J72&amp;""&amp;J71&amp;" "&amp;J73))</f>
        <v xml:space="preserve">Excavation, Plinth Completed </v>
      </c>
      <c r="J71" s="44" t="str">
        <f ca="1">(IF(C77=(D72+F72+H72),"",IF(C77&gt;0,", RCC upto "&amp;C77&amp;" Slab","")))&amp;(IF(C78=H72,"",IF(C78&gt;0,", Brickwork upto "&amp;C78&amp;" Floor","")))&amp;(IF(C79=H72,"",IF(C79&gt;0,", Internal Plaster upto "&amp;C79&amp;" Floor","")))&amp;(IF(C80=H72,"",IF(C80&gt;0,", External Plaster upto "&amp;C80&amp;" Floor","")))&amp;(IF(C81=H72,"",IF(C81&gt;0,", Flooring upto "&amp;C81&amp;" Floor","")))&amp;(IF(C82=H72,"",IF(C82&gt;0,", Painting upto "&amp;C82&amp;" Floor","")))&amp;(IF(C83=H72,"",IF(C83&gt;0,", Finishing upto "&amp;C83&amp;" Floor","")))&amp;(IF(C84=H72,"",IF(C84&gt;0,", Possession upto "&amp;C84&amp;" Floor","")))</f>
        <v/>
      </c>
      <c r="S71"/>
    </row>
    <row r="72" spans="1:19" x14ac:dyDescent="0.25">
      <c r="A72" s="15" t="s">
        <v>139</v>
      </c>
      <c r="B72" s="42">
        <f>IF(AND(ISNUMBER(SEARCH("1B",C71))),1,IF(AND(ISNUMBER(SEARCH("2B",C71))),2,IF(AND(ISNUMBER(SEARCH("3B",C71))),3,IF(AND(ISNUMBER(SEARCH("4B",C71))),4,IF(ISNUMBER(SEARCH("5B",C71)),5,0)))))</f>
        <v>0</v>
      </c>
      <c r="C72" s="51" t="s">
        <v>69</v>
      </c>
      <c r="D72" s="51">
        <v>1</v>
      </c>
      <c r="E72" s="51" t="s">
        <v>68</v>
      </c>
      <c r="F72" s="51">
        <v>0</v>
      </c>
      <c r="G72" s="51" t="s">
        <v>77</v>
      </c>
      <c r="H72" s="52">
        <f ca="1">--TRIM(RIGHT(SUBSTITUTE(LEFT(C71,_xlfn.AGGREGATE(16,6,FIND({0,1,2,3,4,5,6,7,8,9},C71,ROW(INDIRECT("1:"&amp;LEN(C71)))),1))," ",REPT(" ",LEN(C71))),LEN(C71)))</f>
        <v>23</v>
      </c>
      <c r="I72" s="45" t="str">
        <f ca="1">IF(D75=100%,"Excavation","")&amp;IF(D76=100%,", Plinth","")&amp;IF(D77=100%,", RCC Slab","")&amp;IF(D78=100%,", Brickwork","")&amp;IF(D79=100%,", Internal Plaster","")&amp;IF(D80=100%,", External Plaster","")&amp;IF(D81=100%,", Flooring","")&amp;IF(D82=100%,", Painting","")&amp;IF(D83=100%,", Building common Amenities","")</f>
        <v>Excavation, Plinth</v>
      </c>
      <c r="J72" s="46" t="str">
        <f ca="1">(IF(C75=0,"Work not yet Started.",IF(D75=25%,"Piling work in process",IF(D75=50%,"Excavation work in process",IF(D75=100%,"","0")))))&amp;(IF(C76=0%,"",IF(C76=J77,", Footing work is process",IF(C76=J78,", Footing work Completed",IF(C76=J79,", 1st Basement Completed",IF(C76=J80,", 1st &amp; 2nd Basement Completed",IF(C76=J81,", 1st to 3rd Basement Completed",IF(C76=J82,", 1st to 4th Basement Completed",IF(C76=J83,", Plinth work is process",IF(C76=J84,"","0"))))))))))</f>
        <v/>
      </c>
      <c r="S72"/>
    </row>
    <row r="73" spans="1:19" x14ac:dyDescent="0.25">
      <c r="A73" s="92" t="s">
        <v>87</v>
      </c>
      <c r="B73" s="93"/>
      <c r="C73" s="94" t="str">
        <f ca="1">I71</f>
        <v xml:space="preserve">Excavation, Plinth Completed </v>
      </c>
      <c r="D73" s="94"/>
      <c r="E73" s="94"/>
      <c r="F73" s="94"/>
      <c r="G73" s="94"/>
      <c r="H73" s="95"/>
      <c r="I73" s="45" t="str">
        <f ca="1">IF(I72&lt;&gt;""," Completed","")</f>
        <v xml:space="preserve"> Completed</v>
      </c>
      <c r="J73" s="46" t="str">
        <f ca="1">IF(J71&lt;&gt;"","Completed","")</f>
        <v/>
      </c>
      <c r="S73"/>
    </row>
    <row r="74" spans="1:19" ht="15.75" customHeight="1" x14ac:dyDescent="0.25">
      <c r="A74" s="96" t="s">
        <v>47</v>
      </c>
      <c r="B74" s="97"/>
      <c r="C74" s="39" t="s">
        <v>136</v>
      </c>
      <c r="D74" s="39" t="s">
        <v>80</v>
      </c>
      <c r="E74" s="97" t="s">
        <v>82</v>
      </c>
      <c r="F74" s="97"/>
      <c r="G74" s="97" t="s">
        <v>81</v>
      </c>
      <c r="H74" s="98"/>
      <c r="I74" s="13" t="s">
        <v>138</v>
      </c>
      <c r="J74" s="24">
        <f ca="1">H72*25%</f>
        <v>5.75</v>
      </c>
      <c r="S74"/>
    </row>
    <row r="75" spans="1:19" x14ac:dyDescent="0.25">
      <c r="A75" s="96" t="s">
        <v>125</v>
      </c>
      <c r="B75" s="97"/>
      <c r="C75" s="56">
        <f ca="1">J76</f>
        <v>23</v>
      </c>
      <c r="D75" s="57">
        <f ca="1">((100/H72)*C75)/100</f>
        <v>1</v>
      </c>
      <c r="E75" s="99">
        <f ca="1">(((C76/H72*10)+(40/(D72+F72+H72)*C77)+(7.5/(H72)*C78)+(7.5/(H72)*C79)+(10/H72*C80)+(10/H72*C81)+(5/H72*C82)+(5/H72*C83)+(5/H72*C84))/100)</f>
        <v>0.1</v>
      </c>
      <c r="F75" s="100"/>
      <c r="G75" s="99">
        <f ca="1">((((C75/H72)*20)+((C76/H72)*25)+(30/(H72+F72+D72)*C77)+(5/H72*C78)+(5/H72*C79)+(5/H72*C80)+(5/H72*C81)+(0/H72*C82)+(0/H72*C83)+(5/H72*C84))/100)</f>
        <v>0.45</v>
      </c>
      <c r="H75" s="105"/>
      <c r="I75" s="13" t="s">
        <v>97</v>
      </c>
      <c r="J75" s="25">
        <f ca="1">H72*50%</f>
        <v>11.5</v>
      </c>
    </row>
    <row r="76" spans="1:19" x14ac:dyDescent="0.25">
      <c r="A76" s="96" t="s">
        <v>48</v>
      </c>
      <c r="B76" s="97"/>
      <c r="C76" s="60">
        <f ca="1">J84</f>
        <v>23</v>
      </c>
      <c r="D76" s="57">
        <f ca="1">((100/H72)*C76)/100</f>
        <v>1</v>
      </c>
      <c r="E76" s="101"/>
      <c r="F76" s="102"/>
      <c r="G76" s="101"/>
      <c r="H76" s="106"/>
      <c r="I76" s="13" t="s">
        <v>98</v>
      </c>
      <c r="J76" s="25">
        <f ca="1">H72</f>
        <v>23</v>
      </c>
      <c r="S76"/>
    </row>
    <row r="77" spans="1:19" ht="15.75" customHeight="1" x14ac:dyDescent="0.25">
      <c r="A77" s="96" t="s">
        <v>126</v>
      </c>
      <c r="B77" s="97"/>
      <c r="C77" s="56">
        <v>0</v>
      </c>
      <c r="D77" s="57">
        <f ca="1">((100/(D72+F72+H72))*C77)/100</f>
        <v>0</v>
      </c>
      <c r="E77" s="101"/>
      <c r="F77" s="102"/>
      <c r="G77" s="101"/>
      <c r="H77" s="106"/>
      <c r="I77" s="13" t="s">
        <v>99</v>
      </c>
      <c r="J77" s="26">
        <f ca="1">(IF(B72&gt;1,(H72/(B72+2)),H72/4))</f>
        <v>5.75</v>
      </c>
      <c r="S77"/>
    </row>
    <row r="78" spans="1:19" ht="15.75" customHeight="1" x14ac:dyDescent="0.25">
      <c r="A78" s="96" t="s">
        <v>133</v>
      </c>
      <c r="B78" s="97" t="s">
        <v>127</v>
      </c>
      <c r="C78" s="56">
        <v>0</v>
      </c>
      <c r="D78" s="57">
        <f ca="1">((100/H72)*C78)/100</f>
        <v>0</v>
      </c>
      <c r="E78" s="101"/>
      <c r="F78" s="102"/>
      <c r="G78" s="101"/>
      <c r="H78" s="106"/>
      <c r="I78" s="13" t="s">
        <v>100</v>
      </c>
      <c r="J78" s="26">
        <f ca="1">(IF(B72&gt;1,(H72/(B72+2)+J77),H72/4+J77))</f>
        <v>11.5</v>
      </c>
    </row>
    <row r="79" spans="1:19" ht="15.75" customHeight="1" x14ac:dyDescent="0.25">
      <c r="A79" s="96" t="s">
        <v>134</v>
      </c>
      <c r="B79" s="97" t="s">
        <v>127</v>
      </c>
      <c r="C79" s="56">
        <v>0</v>
      </c>
      <c r="D79" s="57">
        <f ca="1">((100/H72)*C79)/100</f>
        <v>0</v>
      </c>
      <c r="E79" s="101"/>
      <c r="F79" s="102"/>
      <c r="G79" s="101"/>
      <c r="H79" s="106"/>
      <c r="I79" s="13" t="s">
        <v>143</v>
      </c>
      <c r="J79" s="26">
        <f>(IF(B72&gt;1,(H72/(B72+2)+J78),0))</f>
        <v>0</v>
      </c>
    </row>
    <row r="80" spans="1:19" ht="15" customHeight="1" x14ac:dyDescent="0.25">
      <c r="A80" s="96" t="s">
        <v>132</v>
      </c>
      <c r="B80" s="97" t="s">
        <v>129</v>
      </c>
      <c r="C80" s="56">
        <v>0</v>
      </c>
      <c r="D80" s="57">
        <f ca="1">((100/(H72))*C80)/100</f>
        <v>0</v>
      </c>
      <c r="E80" s="101"/>
      <c r="F80" s="102"/>
      <c r="G80" s="101"/>
      <c r="H80" s="106"/>
      <c r="I80" s="13" t="s">
        <v>140</v>
      </c>
      <c r="J80" s="26">
        <f>(IF(B72&gt;2,(H72/(B72+2)+J79),0))</f>
        <v>0</v>
      </c>
    </row>
    <row r="81" spans="1:19" ht="15.75" customHeight="1" x14ac:dyDescent="0.25">
      <c r="A81" s="96" t="s">
        <v>128</v>
      </c>
      <c r="B81" s="97" t="s">
        <v>128</v>
      </c>
      <c r="C81" s="56">
        <v>0</v>
      </c>
      <c r="D81" s="57">
        <f ca="1">((100/H72)*C81)/100</f>
        <v>0</v>
      </c>
      <c r="E81" s="101"/>
      <c r="F81" s="102"/>
      <c r="G81" s="101"/>
      <c r="H81" s="106"/>
      <c r="I81" s="13" t="s">
        <v>141</v>
      </c>
      <c r="J81" s="27">
        <f>(IF(B72&gt;3,(H72/(B72+2)+J80),0))</f>
        <v>0</v>
      </c>
    </row>
    <row r="82" spans="1:19" ht="15.75" customHeight="1" x14ac:dyDescent="0.25">
      <c r="A82" s="96" t="s">
        <v>135</v>
      </c>
      <c r="B82" s="97"/>
      <c r="C82" s="56">
        <v>0</v>
      </c>
      <c r="D82" s="57">
        <f ca="1">((100/H72)*C82)/100</f>
        <v>0</v>
      </c>
      <c r="E82" s="101"/>
      <c r="F82" s="102"/>
      <c r="G82" s="101"/>
      <c r="H82" s="106"/>
      <c r="I82" s="13" t="s">
        <v>142</v>
      </c>
      <c r="J82" s="26">
        <f>(IF(B72&gt;4,(H72/(B72+2)+J81),0))</f>
        <v>0</v>
      </c>
    </row>
    <row r="83" spans="1:19" ht="15.75" customHeight="1" x14ac:dyDescent="0.25">
      <c r="A83" s="96" t="s">
        <v>130</v>
      </c>
      <c r="B83" s="97" t="s">
        <v>130</v>
      </c>
      <c r="C83" s="56">
        <v>0</v>
      </c>
      <c r="D83" s="57">
        <f ca="1">((100/(H72))*C83)/100</f>
        <v>0</v>
      </c>
      <c r="E83" s="101"/>
      <c r="F83" s="102"/>
      <c r="G83" s="101"/>
      <c r="H83" s="106"/>
      <c r="I83" s="13" t="s">
        <v>144</v>
      </c>
      <c r="J83" s="26">
        <f ca="1">(IF(B72=1,(H72/(B72+3)+J78),IF(B72=0,(H72/4+J78),IF(B72&gt;1,0))))</f>
        <v>17.25</v>
      </c>
    </row>
    <row r="84" spans="1:19" ht="16.5" thickBot="1" x14ac:dyDescent="0.3">
      <c r="A84" s="108" t="s">
        <v>131</v>
      </c>
      <c r="B84" s="109"/>
      <c r="C84" s="58">
        <v>0</v>
      </c>
      <c r="D84" s="59">
        <f ca="1">((100/(H72))*C84)/100</f>
        <v>0</v>
      </c>
      <c r="E84" s="103"/>
      <c r="F84" s="104"/>
      <c r="G84" s="103"/>
      <c r="H84" s="107"/>
      <c r="I84" s="14" t="s">
        <v>101</v>
      </c>
      <c r="J84" s="28">
        <f ca="1">(IF(B72&gt;1.5,(H72/(B72+2)+J78+MAX(0,J79-J78)+MAX(0,J80-J79)+MAX(0,J81-J80)+MAX(0,J82-J81)+MAX(0,J83-J82)),IF(B72=1,(H72/(B72+3)+J83),IF(B72=0,H72/4+J83))))</f>
        <v>23</v>
      </c>
    </row>
    <row r="85" spans="1:19" ht="15.75" customHeight="1" x14ac:dyDescent="0.25">
      <c r="A85" s="87" t="s">
        <v>137</v>
      </c>
      <c r="B85" s="88"/>
      <c r="C85" s="89" t="str">
        <f>D63</f>
        <v xml:space="preserve">Wing E =  Gr + 1st to 23rd Floor
</v>
      </c>
      <c r="D85" s="90"/>
      <c r="E85" s="90"/>
      <c r="F85" s="90"/>
      <c r="G85" s="90"/>
      <c r="H85" s="91"/>
      <c r="I85" s="43" t="str">
        <f ca="1">IF(D98=100%,"All work Completed. Possession granted to the Building.",IF(D97=100%,"All work Completed, Waiting for OC",I86&amp;""&amp;I87&amp;""&amp;J86&amp;""&amp;J85&amp;" "&amp;J87))</f>
        <v xml:space="preserve">Excavation, Plinth Completed </v>
      </c>
      <c r="J85" s="44" t="str">
        <f ca="1">(IF(C91=(D86+F86+H86),"",IF(C91&gt;0,", RCC upto "&amp;C91&amp;" Slab","")))&amp;(IF(C92=H86,"",IF(C92&gt;0,", Brickwork upto "&amp;C92&amp;" Floor","")))&amp;(IF(C93=H86,"",IF(C93&gt;0,", Internal Plaster upto "&amp;C93&amp;" Floor","")))&amp;(IF(C94=H86,"",IF(C94&gt;0,", External Plaster upto "&amp;C94&amp;" Floor","")))&amp;(IF(C95=H86,"",IF(C95&gt;0,", Flooring upto "&amp;C95&amp;" Floor","")))&amp;(IF(C96=H86,"",IF(C96&gt;0,", Painting upto "&amp;C96&amp;" Floor","")))&amp;(IF(C97=H86,"",IF(C97&gt;0,", Finishing upto "&amp;C97&amp;" Floor","")))&amp;(IF(C98=H86,"",IF(C98&gt;0,", Possession upto "&amp;C98&amp;" Floor","")))</f>
        <v/>
      </c>
      <c r="S85"/>
    </row>
    <row r="86" spans="1:19" x14ac:dyDescent="0.25">
      <c r="A86" s="15" t="s">
        <v>139</v>
      </c>
      <c r="B86" s="42">
        <f>IF(AND(ISNUMBER(SEARCH("1B",C85))),1,IF(AND(ISNUMBER(SEARCH("2B",C85))),2,IF(AND(ISNUMBER(SEARCH("3B",C85))),3,IF(AND(ISNUMBER(SEARCH("4B",C85))),4,IF(ISNUMBER(SEARCH("5B",C85)),5,0)))))</f>
        <v>0</v>
      </c>
      <c r="C86" s="51" t="s">
        <v>69</v>
      </c>
      <c r="D86" s="51">
        <v>1</v>
      </c>
      <c r="E86" s="51" t="s">
        <v>68</v>
      </c>
      <c r="F86" s="51">
        <v>0</v>
      </c>
      <c r="G86" s="51" t="s">
        <v>77</v>
      </c>
      <c r="H86" s="52">
        <f ca="1">--TRIM(RIGHT(SUBSTITUTE(LEFT(C85,_xlfn.AGGREGATE(16,6,FIND({0,1,2,3,4,5,6,7,8,9},C85,ROW(INDIRECT("1:"&amp;LEN(C85)))),1))," ",REPT(" ",LEN(C85))),LEN(C85)))</f>
        <v>23</v>
      </c>
      <c r="I86" s="45" t="str">
        <f ca="1">IF(D89=100%,"Excavation","")&amp;IF(D90=100%,", Plinth","")&amp;IF(D91=100%,", RCC Slab","")&amp;IF(D92=100%,", Brickwork","")&amp;IF(D93=100%,", Internal Plaster","")&amp;IF(D94=100%,", External Plaster","")&amp;IF(D95=100%,", Flooring","")&amp;IF(D96=100%,", Painting","")&amp;IF(D97=100%,", Building common Amenities","")</f>
        <v>Excavation, Plinth</v>
      </c>
      <c r="J86" s="46" t="str">
        <f ca="1">(IF(C89=0,"Work not yet Started.",IF(D89=25%,"Piling work in process",IF(D89=50%,"Excavation work in process",IF(D89=100%,"","0")))))&amp;(IF(C90=0%,"",IF(C90=J91,", Footing work is process",IF(C90=J92,", Footing work Completed",IF(C90=J93,", 1st Basement Completed",IF(C90=J94,", 1st &amp; 2nd Basement Completed",IF(C90=J95,", 1st to 3rd Basement Completed",IF(C90=J96,", 1st to 4th Basement Completed",IF(C90=J97,", Plinth work is process",IF(C90=J98,"","0"))))))))))</f>
        <v/>
      </c>
      <c r="S86"/>
    </row>
    <row r="87" spans="1:19" x14ac:dyDescent="0.25">
      <c r="A87" s="92" t="s">
        <v>87</v>
      </c>
      <c r="B87" s="93"/>
      <c r="C87" s="94" t="str">
        <f ca="1">I85</f>
        <v xml:space="preserve">Excavation, Plinth Completed </v>
      </c>
      <c r="D87" s="94"/>
      <c r="E87" s="94"/>
      <c r="F87" s="94"/>
      <c r="G87" s="94"/>
      <c r="H87" s="95"/>
      <c r="I87" s="45" t="str">
        <f ca="1">IF(I86&lt;&gt;""," Completed","")</f>
        <v xml:space="preserve"> Completed</v>
      </c>
      <c r="J87" s="46" t="str">
        <f ca="1">IF(J85&lt;&gt;"","Completed","")</f>
        <v/>
      </c>
      <c r="S87"/>
    </row>
    <row r="88" spans="1:19" ht="15.75" customHeight="1" x14ac:dyDescent="0.25">
      <c r="A88" s="96" t="s">
        <v>47</v>
      </c>
      <c r="B88" s="97"/>
      <c r="C88" s="39" t="s">
        <v>136</v>
      </c>
      <c r="D88" s="39" t="s">
        <v>80</v>
      </c>
      <c r="E88" s="97" t="s">
        <v>82</v>
      </c>
      <c r="F88" s="97"/>
      <c r="G88" s="97" t="s">
        <v>81</v>
      </c>
      <c r="H88" s="98"/>
      <c r="I88" s="13" t="s">
        <v>138</v>
      </c>
      <c r="J88" s="24">
        <f ca="1">H86*25%</f>
        <v>5.75</v>
      </c>
      <c r="S88"/>
    </row>
    <row r="89" spans="1:19" x14ac:dyDescent="0.25">
      <c r="A89" s="96" t="s">
        <v>125</v>
      </c>
      <c r="B89" s="97"/>
      <c r="C89" s="56">
        <f ca="1">J90</f>
        <v>23</v>
      </c>
      <c r="D89" s="57">
        <f ca="1">((100/H86)*C89)/100</f>
        <v>1</v>
      </c>
      <c r="E89" s="99">
        <f ca="1">(((C90/H86*10)+(40/(D86+F86+H86)*C91)+(7.5/(H86)*C92)+(7.5/(H86)*C93)+(10/H86*C94)+(10/H86*C95)+(5/H86*C96)+(5/H86*C97)+(5/H86*C98))/100)</f>
        <v>0.1</v>
      </c>
      <c r="F89" s="100"/>
      <c r="G89" s="99">
        <f ca="1">((((C89/H86)*20)+((C90/H86)*25)+(30/(H86+F86+D86)*C91)+(5/H86*C92)+(5/H86*C93)+(5/H86*C94)+(5/H86*C95)+(0/H86*C96)+(0/H86*C97)+(5/H86*C98))/100)</f>
        <v>0.45</v>
      </c>
      <c r="H89" s="105"/>
      <c r="I89" s="13" t="s">
        <v>97</v>
      </c>
      <c r="J89" s="25">
        <f ca="1">H86*50%</f>
        <v>11.5</v>
      </c>
    </row>
    <row r="90" spans="1:19" x14ac:dyDescent="0.25">
      <c r="A90" s="96" t="s">
        <v>48</v>
      </c>
      <c r="B90" s="97"/>
      <c r="C90" s="60">
        <f ca="1">J98</f>
        <v>23</v>
      </c>
      <c r="D90" s="57">
        <f ca="1">((100/H86)*C90)/100</f>
        <v>1</v>
      </c>
      <c r="E90" s="101"/>
      <c r="F90" s="102"/>
      <c r="G90" s="101"/>
      <c r="H90" s="106"/>
      <c r="I90" s="13" t="s">
        <v>98</v>
      </c>
      <c r="J90" s="25">
        <f ca="1">H86</f>
        <v>23</v>
      </c>
      <c r="S90"/>
    </row>
    <row r="91" spans="1:19" ht="15.75" customHeight="1" x14ac:dyDescent="0.25">
      <c r="A91" s="96" t="s">
        <v>126</v>
      </c>
      <c r="B91" s="97"/>
      <c r="C91" s="56">
        <v>0</v>
      </c>
      <c r="D91" s="57">
        <f ca="1">((100/(D86+F86+H86))*C91)/100</f>
        <v>0</v>
      </c>
      <c r="E91" s="101"/>
      <c r="F91" s="102"/>
      <c r="G91" s="101"/>
      <c r="H91" s="106"/>
      <c r="I91" s="13" t="s">
        <v>99</v>
      </c>
      <c r="J91" s="26">
        <f ca="1">(IF(B86&gt;1,(H86/(B86+2)),H86/4))</f>
        <v>5.75</v>
      </c>
      <c r="S91"/>
    </row>
    <row r="92" spans="1:19" ht="15.75" customHeight="1" x14ac:dyDescent="0.25">
      <c r="A92" s="96" t="s">
        <v>133</v>
      </c>
      <c r="B92" s="97" t="s">
        <v>127</v>
      </c>
      <c r="C92" s="56">
        <v>0</v>
      </c>
      <c r="D92" s="57">
        <f ca="1">((100/H86)*C92)/100</f>
        <v>0</v>
      </c>
      <c r="E92" s="101"/>
      <c r="F92" s="102"/>
      <c r="G92" s="101"/>
      <c r="H92" s="106"/>
      <c r="I92" s="13" t="s">
        <v>100</v>
      </c>
      <c r="J92" s="26">
        <f ca="1">(IF(B86&gt;1,(H86/(B86+2)+J91),H86/4+J91))</f>
        <v>11.5</v>
      </c>
    </row>
    <row r="93" spans="1:19" ht="15.75" customHeight="1" x14ac:dyDescent="0.25">
      <c r="A93" s="96" t="s">
        <v>134</v>
      </c>
      <c r="B93" s="97" t="s">
        <v>127</v>
      </c>
      <c r="C93" s="56">
        <v>0</v>
      </c>
      <c r="D93" s="57">
        <f ca="1">((100/H86)*C93)/100</f>
        <v>0</v>
      </c>
      <c r="E93" s="101"/>
      <c r="F93" s="102"/>
      <c r="G93" s="101"/>
      <c r="H93" s="106"/>
      <c r="I93" s="13" t="s">
        <v>143</v>
      </c>
      <c r="J93" s="26">
        <f>(IF(B86&gt;1,(H86/(B86+2)+J92),0))</f>
        <v>0</v>
      </c>
    </row>
    <row r="94" spans="1:19" ht="15" customHeight="1" x14ac:dyDescent="0.25">
      <c r="A94" s="96" t="s">
        <v>132</v>
      </c>
      <c r="B94" s="97" t="s">
        <v>129</v>
      </c>
      <c r="C94" s="56">
        <v>0</v>
      </c>
      <c r="D94" s="57">
        <f ca="1">((100/(H86))*C94)/100</f>
        <v>0</v>
      </c>
      <c r="E94" s="101"/>
      <c r="F94" s="102"/>
      <c r="G94" s="101"/>
      <c r="H94" s="106"/>
      <c r="I94" s="13" t="s">
        <v>140</v>
      </c>
      <c r="J94" s="26">
        <f>(IF(B86&gt;2,(H86/(B86+2)+J93),0))</f>
        <v>0</v>
      </c>
    </row>
    <row r="95" spans="1:19" ht="15.75" customHeight="1" x14ac:dyDescent="0.25">
      <c r="A95" s="96" t="s">
        <v>128</v>
      </c>
      <c r="B95" s="97" t="s">
        <v>128</v>
      </c>
      <c r="C95" s="56">
        <v>0</v>
      </c>
      <c r="D95" s="57">
        <f ca="1">((100/H86)*C95)/100</f>
        <v>0</v>
      </c>
      <c r="E95" s="101"/>
      <c r="F95" s="102"/>
      <c r="G95" s="101"/>
      <c r="H95" s="106"/>
      <c r="I95" s="13" t="s">
        <v>141</v>
      </c>
      <c r="J95" s="27">
        <f>(IF(B86&gt;3,(H86/(B86+2)+J94),0))</f>
        <v>0</v>
      </c>
    </row>
    <row r="96" spans="1:19" ht="15.75" customHeight="1" x14ac:dyDescent="0.25">
      <c r="A96" s="96" t="s">
        <v>135</v>
      </c>
      <c r="B96" s="97"/>
      <c r="C96" s="56">
        <v>0</v>
      </c>
      <c r="D96" s="57">
        <f ca="1">((100/H86)*C96)/100</f>
        <v>0</v>
      </c>
      <c r="E96" s="101"/>
      <c r="F96" s="102"/>
      <c r="G96" s="101"/>
      <c r="H96" s="106"/>
      <c r="I96" s="13" t="s">
        <v>142</v>
      </c>
      <c r="J96" s="26">
        <f>(IF(B86&gt;4,(H86/(B86+2)+J95),0))</f>
        <v>0</v>
      </c>
    </row>
    <row r="97" spans="1:10" ht="15.75" customHeight="1" x14ac:dyDescent="0.25">
      <c r="A97" s="96" t="s">
        <v>130</v>
      </c>
      <c r="B97" s="97" t="s">
        <v>130</v>
      </c>
      <c r="C97" s="56">
        <v>0</v>
      </c>
      <c r="D97" s="57">
        <f ca="1">((100/(H86))*C97)/100</f>
        <v>0</v>
      </c>
      <c r="E97" s="101"/>
      <c r="F97" s="102"/>
      <c r="G97" s="101"/>
      <c r="H97" s="106"/>
      <c r="I97" s="13" t="s">
        <v>144</v>
      </c>
      <c r="J97" s="26">
        <f ca="1">(IF(B86=1,(H86/(B86+3)+J92),IF(B86=0,(H86/4+J92),IF(B86&gt;1,0))))</f>
        <v>17.25</v>
      </c>
    </row>
    <row r="98" spans="1:10" ht="16.5" thickBot="1" x14ac:dyDescent="0.3">
      <c r="A98" s="108" t="s">
        <v>131</v>
      </c>
      <c r="B98" s="109"/>
      <c r="C98" s="58">
        <v>0</v>
      </c>
      <c r="D98" s="59">
        <f ca="1">((100/(H86))*C98)/100</f>
        <v>0</v>
      </c>
      <c r="E98" s="103"/>
      <c r="F98" s="104"/>
      <c r="G98" s="103"/>
      <c r="H98" s="107"/>
      <c r="I98" s="14" t="s">
        <v>101</v>
      </c>
      <c r="J98" s="28">
        <f ca="1">(IF(B86&gt;1.5,(H86/(B86+2)+J92+MAX(0,J93-J92)+MAX(0,J94-J93)+MAX(0,J95-J94)+MAX(0,J96-J95)+MAX(0,J97-J96)),IF(B86=1,(H86/(B86+3)+J97),IF(B86=0,H86/4+J97))))</f>
        <v>23</v>
      </c>
    </row>
    <row r="99" spans="1:10" x14ac:dyDescent="0.25">
      <c r="A99" s="215" t="s">
        <v>154</v>
      </c>
      <c r="B99" s="215"/>
      <c r="C99" s="215"/>
      <c r="D99" s="215"/>
      <c r="E99" s="215"/>
      <c r="F99" s="170" t="s">
        <v>158</v>
      </c>
      <c r="G99" s="170"/>
      <c r="H99" s="170"/>
    </row>
    <row r="100" spans="1:10" x14ac:dyDescent="0.25">
      <c r="A100" s="124" t="s">
        <v>156</v>
      </c>
      <c r="B100" s="124"/>
      <c r="C100" s="124"/>
      <c r="D100" s="124"/>
      <c r="E100" s="124"/>
      <c r="F100" s="122">
        <v>15000</v>
      </c>
      <c r="G100" s="122"/>
      <c r="H100" s="122"/>
    </row>
    <row r="101" spans="1:10" x14ac:dyDescent="0.25">
      <c r="A101" s="124" t="s">
        <v>155</v>
      </c>
      <c r="B101" s="124"/>
      <c r="C101" s="124"/>
      <c r="D101" s="124"/>
      <c r="E101" s="124"/>
      <c r="F101" s="122">
        <v>25000</v>
      </c>
      <c r="G101" s="122"/>
      <c r="H101" s="122"/>
    </row>
    <row r="102" spans="1:10" hidden="1" x14ac:dyDescent="0.25">
      <c r="A102" s="124" t="s">
        <v>157</v>
      </c>
      <c r="B102" s="124"/>
      <c r="C102" s="124"/>
      <c r="D102" s="124"/>
      <c r="E102" s="124"/>
      <c r="F102" s="122"/>
      <c r="G102" s="122"/>
      <c r="H102" s="122"/>
    </row>
    <row r="103" spans="1:10" s="29" customFormat="1" hidden="1" x14ac:dyDescent="0.25">
      <c r="A103" s="124" t="s">
        <v>172</v>
      </c>
      <c r="B103" s="124"/>
      <c r="C103" s="124"/>
      <c r="D103" s="124"/>
      <c r="E103" s="124"/>
      <c r="F103" s="122"/>
      <c r="G103" s="122"/>
      <c r="H103" s="122"/>
    </row>
    <row r="104" spans="1:10" s="29" customFormat="1" hidden="1" x14ac:dyDescent="0.25">
      <c r="A104" s="124" t="s">
        <v>91</v>
      </c>
      <c r="B104" s="124"/>
      <c r="C104" s="124"/>
      <c r="D104" s="124"/>
      <c r="E104" s="124"/>
      <c r="F104" s="122"/>
      <c r="G104" s="122"/>
      <c r="H104" s="122"/>
    </row>
    <row r="105" spans="1:10" s="29" customFormat="1" hidden="1" x14ac:dyDescent="0.25">
      <c r="A105" s="124" t="s">
        <v>92</v>
      </c>
      <c r="B105" s="124"/>
      <c r="C105" s="124"/>
      <c r="D105" s="124"/>
      <c r="E105" s="124"/>
      <c r="F105" s="122"/>
      <c r="G105" s="122"/>
      <c r="H105" s="122"/>
    </row>
    <row r="106" spans="1:10" s="29" customFormat="1" hidden="1" x14ac:dyDescent="0.25">
      <c r="A106" s="124" t="s">
        <v>93</v>
      </c>
      <c r="B106" s="124"/>
      <c r="C106" s="124"/>
      <c r="D106" s="124"/>
      <c r="E106" s="124"/>
      <c r="F106" s="122"/>
      <c r="G106" s="122"/>
      <c r="H106" s="122"/>
    </row>
    <row r="107" spans="1:10" s="29" customFormat="1" hidden="1" x14ac:dyDescent="0.25">
      <c r="A107" s="124" t="s">
        <v>94</v>
      </c>
      <c r="B107" s="124"/>
      <c r="C107" s="124"/>
      <c r="D107" s="124"/>
      <c r="E107" s="124"/>
      <c r="F107" s="122"/>
      <c r="G107" s="122"/>
      <c r="H107" s="122"/>
    </row>
    <row r="108" spans="1:10" s="29" customFormat="1" hidden="1" x14ac:dyDescent="0.25">
      <c r="A108" s="124" t="s">
        <v>95</v>
      </c>
      <c r="B108" s="124"/>
      <c r="C108" s="124"/>
      <c r="D108" s="124"/>
      <c r="E108" s="124"/>
      <c r="F108" s="122"/>
      <c r="G108" s="122"/>
      <c r="H108" s="122"/>
    </row>
    <row r="109" spans="1:10" s="29" customFormat="1" hidden="1" x14ac:dyDescent="0.25">
      <c r="A109" s="124" t="s">
        <v>96</v>
      </c>
      <c r="B109" s="124"/>
      <c r="C109" s="124"/>
      <c r="D109" s="124"/>
      <c r="E109" s="124"/>
      <c r="F109" s="122"/>
      <c r="G109" s="122"/>
      <c r="H109" s="122"/>
    </row>
    <row r="110" spans="1:10" x14ac:dyDescent="0.25">
      <c r="A110" s="124" t="s">
        <v>49</v>
      </c>
      <c r="B110" s="124"/>
      <c r="C110" s="124"/>
      <c r="D110" s="124"/>
      <c r="E110" s="124"/>
      <c r="F110" s="122">
        <v>800000</v>
      </c>
      <c r="G110" s="122"/>
      <c r="H110" s="122"/>
    </row>
    <row r="111" spans="1:10" s="30" customFormat="1" x14ac:dyDescent="0.25">
      <c r="A111" s="180" t="s">
        <v>50</v>
      </c>
      <c r="B111" s="180"/>
      <c r="C111" s="180"/>
      <c r="D111" s="180"/>
      <c r="E111" s="180"/>
      <c r="F111" s="122">
        <f>F100*0.8</f>
        <v>12000</v>
      </c>
      <c r="G111" s="122"/>
      <c r="H111" s="122"/>
    </row>
    <row r="112" spans="1:10" s="31" customFormat="1" ht="15.75" customHeight="1" x14ac:dyDescent="0.25">
      <c r="A112" s="113" t="s">
        <v>72</v>
      </c>
      <c r="B112" s="113"/>
      <c r="C112" s="113"/>
      <c r="D112" s="113"/>
      <c r="E112" s="113"/>
      <c r="F112" s="113"/>
      <c r="G112" s="113"/>
      <c r="H112" s="113"/>
    </row>
    <row r="113" spans="1:8" s="31" customFormat="1" ht="15.75" customHeight="1" x14ac:dyDescent="0.25">
      <c r="A113" s="118" t="s">
        <v>51</v>
      </c>
      <c r="B113" s="118"/>
      <c r="C113" s="115" t="s">
        <v>75</v>
      </c>
      <c r="D113" s="115"/>
      <c r="E113" s="117" t="s">
        <v>52</v>
      </c>
      <c r="F113" s="117"/>
      <c r="G113" s="118" t="s">
        <v>53</v>
      </c>
      <c r="H113" s="118"/>
    </row>
    <row r="114" spans="1:8" s="31" customFormat="1" ht="15.75" customHeight="1" x14ac:dyDescent="0.25">
      <c r="A114" s="111" t="s">
        <v>311</v>
      </c>
      <c r="B114" s="111"/>
      <c r="C114" s="110">
        <f>COUNT(D136:D139)</f>
        <v>4</v>
      </c>
      <c r="D114" s="112"/>
      <c r="E114" s="110">
        <f t="shared" ref="E114" si="0">SUM(F136:F139)</f>
        <v>1067.5735199999999</v>
      </c>
      <c r="F114" s="112"/>
      <c r="G114" s="110">
        <f t="shared" ref="G114" si="1">SUM(H136:H139)</f>
        <v>1654.7389559999997</v>
      </c>
      <c r="H114" s="112"/>
    </row>
    <row r="115" spans="1:8" s="31" customFormat="1" ht="15.75" customHeight="1" x14ac:dyDescent="0.25">
      <c r="A115" s="111" t="s">
        <v>313</v>
      </c>
      <c r="B115" s="111"/>
      <c r="C115" s="110">
        <f>COUNT(D143:D148)</f>
        <v>6</v>
      </c>
      <c r="D115" s="112"/>
      <c r="E115" s="110">
        <f t="shared" ref="E115" si="2">SUM(F143:F148)</f>
        <v>1563.9015599999998</v>
      </c>
      <c r="F115" s="112"/>
      <c r="G115" s="110">
        <f t="shared" ref="G115" si="3">SUM(H143:H148)</f>
        <v>2424.0474180000001</v>
      </c>
      <c r="H115" s="112"/>
    </row>
    <row r="116" spans="1:8" s="31" customFormat="1" x14ac:dyDescent="0.25">
      <c r="A116" s="111" t="s">
        <v>314</v>
      </c>
      <c r="B116" s="111"/>
      <c r="C116" s="110">
        <f>COUNT(D152:D159)</f>
        <v>8</v>
      </c>
      <c r="D116" s="112"/>
      <c r="E116" s="110">
        <f t="shared" ref="E116" si="4">SUM(F152:F159)</f>
        <v>2253.2012100000002</v>
      </c>
      <c r="F116" s="112"/>
      <c r="G116" s="110">
        <f t="shared" ref="G116" si="5">SUM(H152:H159)</f>
        <v>3492.4618755000001</v>
      </c>
      <c r="H116" s="112"/>
    </row>
    <row r="117" spans="1:8" s="31" customFormat="1" x14ac:dyDescent="0.25">
      <c r="A117" s="111" t="s">
        <v>315</v>
      </c>
      <c r="B117" s="111"/>
      <c r="C117" s="110">
        <f>COUNT(D163:D168)</f>
        <v>6</v>
      </c>
      <c r="D117" s="112"/>
      <c r="E117" s="110">
        <f t="shared" ref="E117" si="6">SUM(F163:F168)</f>
        <v>1030.1147999999998</v>
      </c>
      <c r="F117" s="112"/>
      <c r="G117" s="110">
        <f t="shared" ref="G117" si="7">SUM(H163:H168)</f>
        <v>1596.67794</v>
      </c>
      <c r="H117" s="112"/>
    </row>
    <row r="118" spans="1:8" s="31" customFormat="1" x14ac:dyDescent="0.25">
      <c r="A118" s="111" t="s">
        <v>316</v>
      </c>
      <c r="B118" s="111"/>
      <c r="C118" s="110">
        <f>COUNT(D172:D174)</f>
        <v>3</v>
      </c>
      <c r="D118" s="112"/>
      <c r="E118" s="110">
        <f t="shared" ref="E118" si="8">SUM(F172:F174)</f>
        <v>515.05739999999992</v>
      </c>
      <c r="F118" s="112"/>
      <c r="G118" s="110">
        <f t="shared" ref="G118" si="9">SUM(H172:H174)</f>
        <v>798.3389699999999</v>
      </c>
      <c r="H118" s="112"/>
    </row>
    <row r="119" spans="1:8" s="31" customFormat="1" x14ac:dyDescent="0.25">
      <c r="A119" s="113" t="s">
        <v>147</v>
      </c>
      <c r="B119" s="113"/>
      <c r="C119" s="114">
        <f t="shared" ref="C119:G119" si="10">SUM(C114:D118)</f>
        <v>27</v>
      </c>
      <c r="D119" s="115"/>
      <c r="E119" s="116">
        <f t="shared" si="10"/>
        <v>6429.8484899999985</v>
      </c>
      <c r="F119" s="117"/>
      <c r="G119" s="118">
        <f t="shared" si="10"/>
        <v>9966.2651595000007</v>
      </c>
      <c r="H119" s="118"/>
    </row>
    <row r="120" spans="1:8" s="31" customFormat="1" x14ac:dyDescent="0.25">
      <c r="A120" s="113" t="s">
        <v>67</v>
      </c>
      <c r="B120" s="113"/>
      <c r="C120" s="113"/>
      <c r="D120" s="113"/>
      <c r="E120" s="113"/>
      <c r="F120" s="113"/>
      <c r="G120" s="113"/>
      <c r="H120" s="113"/>
    </row>
    <row r="121" spans="1:8" s="31" customFormat="1" ht="15.75" customHeight="1" x14ac:dyDescent="0.25">
      <c r="A121" s="118" t="s">
        <v>51</v>
      </c>
      <c r="B121" s="118"/>
      <c r="C121" s="115" t="s">
        <v>75</v>
      </c>
      <c r="D121" s="115"/>
      <c r="E121" s="117" t="s">
        <v>52</v>
      </c>
      <c r="F121" s="117"/>
      <c r="G121" s="118" t="s">
        <v>53</v>
      </c>
      <c r="H121" s="118"/>
    </row>
    <row r="122" spans="1:8" s="31" customFormat="1" ht="15.75" customHeight="1" x14ac:dyDescent="0.25">
      <c r="A122" s="111" t="s">
        <v>311</v>
      </c>
      <c r="B122" s="111"/>
      <c r="C122" s="110">
        <f>COUNT(D317:D320)+COUNT(D322,D325)+COUNT(D327:D330)*6+COUNT(D332:D335)*2+COUNT(D337:D340)+COUNT(D342:D345)*4+COUNT(D347:D350)*3+COUNT(D352:D355,D357:D360,D367:D370)+COUNT(D362:D365)*2</f>
        <v>90</v>
      </c>
      <c r="D122" s="110"/>
      <c r="E122" s="110">
        <f>SUM(F317:F320)+SUM(F322,F325)+SUM(F327:F330)*6+SUM(F332:F335)*2+SUM(F337:F340)+SUM(F342:F345)*4+SUM(F347:F350)*3+SUM(F352:F355,F357:F360,F367:F370)+SUM(F362:F365)*2</f>
        <v>72450.546480000005</v>
      </c>
      <c r="F122" s="110"/>
      <c r="G122" s="110">
        <f>SUM(H317:H320)+SUM(H322,H325)+SUM(H327:H330)*6+SUM(H332:H335)*2+SUM(H337:H340)+SUM(H342:H345)*4+SUM(H347:H350)*3+SUM(H352:H355,H357:H360,H367:H370)+SUM(H362:H365)*2</f>
        <v>108675.81971999997</v>
      </c>
      <c r="H122" s="110"/>
    </row>
    <row r="123" spans="1:8" s="31" customFormat="1" ht="15.75" customHeight="1" x14ac:dyDescent="0.25">
      <c r="A123" s="111" t="s">
        <v>313</v>
      </c>
      <c r="B123" s="111"/>
      <c r="C123" s="110">
        <f>COUNT(D373:D376)+COUNT(D378,D381)+COUNT(D383:D386)*6+COUNT(D388:D391)*2+COUNT(D393:D396)+COUNT(D398:D401)*4+COUNT(D403:D406)*3+COUNT(D408:D411,D413:D416,D423:D426)+COUNT(D418:D421)*2</f>
        <v>90</v>
      </c>
      <c r="D123" s="110"/>
      <c r="E123" s="110">
        <f>SUM(F373:F376)+SUM(F378,F381)+SUM(F383:F386)*6+SUM(F388:F391)*2+SUM(F393:F396)+SUM(F398:F401)*4+SUM(F403:F406)*3+SUM(F408:F411,F413:F416,F423:F426)+SUM(F418:F421)*2</f>
        <v>67755.558779999992</v>
      </c>
      <c r="F123" s="110"/>
      <c r="G123" s="110">
        <f>SUM(H373:H376)+SUM(H378,H381)+SUM(H383:H386)*6+SUM(H388:H391)*2+SUM(H393:H396)+SUM(H398:H401)*4+SUM(H403:H406)*3+SUM(H408:H411,H413:H416,H423:H426)+SUM(H418:H421)*2</f>
        <v>101633.33816999997</v>
      </c>
      <c r="H123" s="110"/>
    </row>
    <row r="124" spans="1:8" s="31" customFormat="1" ht="15.75" customHeight="1" x14ac:dyDescent="0.25">
      <c r="A124" s="111" t="s">
        <v>314</v>
      </c>
      <c r="B124" s="111"/>
      <c r="C124" s="110">
        <f>COUNT(D429:D431)+COUNT(D434:D435)+COUNT(D437:D439)*6+COUNT(D441:D443)*2+COUNT(D445:D447)+COUNT(D449:D451)*4+COUNT(D453:D455)*3+COUNT(D457:D459,D461:D463,D469:D471)+COUNT(D465:D467)*2</f>
        <v>68</v>
      </c>
      <c r="D124" s="110"/>
      <c r="E124" s="110">
        <f>SUM(F429:F431)+SUM(F434:F435)+SUM(F437:F439)*6+SUM(F441:F443)*2+SUM(F445:F447)+SUM(F449:F451)*4+SUM(F453:F455)*3+SUM(F457:F459,F461:F463,F469:F471)+SUM(F465:F467)*2</f>
        <v>59053.053149999985</v>
      </c>
      <c r="F124" s="110"/>
      <c r="G124" s="110">
        <f>SUM(H429:H431)+SUM(H434:H435)+SUM(H437:H439)*6+SUM(H441:H443)*2+SUM(H445:H447)+SUM(H449:H451)*4+SUM(H453:H455)*3+SUM(H457:H459,H461:H463,H469:H471)+SUM(H465:H467)*2</f>
        <v>88579.579724999974</v>
      </c>
      <c r="H124" s="110"/>
    </row>
    <row r="125" spans="1:8" s="31" customFormat="1" x14ac:dyDescent="0.25">
      <c r="A125" s="111" t="s">
        <v>315</v>
      </c>
      <c r="B125" s="111"/>
      <c r="C125" s="110">
        <f>COUNT(D474:D477)+COUNT(D479,D482)+COUNT(D484:D487)*6+COUNT(D489:D492)*2+COUNT(D494:D497)+COUNT(D499:D502)*4+COUNT(D504:D507)*3+COUNT(D509:D512,D514:D517,D524:D527)+COUNT(D519:D522)*2</f>
        <v>90</v>
      </c>
      <c r="D125" s="110"/>
      <c r="E125" s="110">
        <f>SUM(F474:F477)+SUM(F479,F482)+SUM(F484:F487)*6+SUM(F489:F492)*2+SUM(F494:F497)+SUM(F499:F502)*4+SUM(F504:F507)*3+SUM(F509:F512,F514:F517,F524:F527)+SUM(F519:F522)*2</f>
        <v>63009.038429999986</v>
      </c>
      <c r="F125" s="110"/>
      <c r="G125" s="110">
        <f>SUM(H474:H477)+SUM(H479,H482)+SUM(H484:H487)*6+SUM(H489:H492)*2+SUM(H494:H497)+SUM(H499:H502)*4+SUM(H504:H507)*3+SUM(H509:H512,H514:H517,H524:H527)+SUM(H519:H522)*2</f>
        <v>94513.557645000008</v>
      </c>
      <c r="H125" s="110"/>
    </row>
    <row r="126" spans="1:8" s="31" customFormat="1" x14ac:dyDescent="0.25">
      <c r="A126" s="111" t="s">
        <v>316</v>
      </c>
      <c r="B126" s="111"/>
      <c r="C126" s="110">
        <f>COUNT(D532:D534)+COUNT(D536:D537,D540)+COUNT(D542:D546)*6+COUNT(D548:D552)*2+COUNT(D554:D558)+COUNT(D560:D564)*4+COUNT(D566:D570)*3+COUNT(D572:D576)</f>
        <v>91</v>
      </c>
      <c r="D126" s="110"/>
      <c r="E126" s="110">
        <f>SUM(F532:F534)+SUM(F536:F537,F540)+SUM(F542:F546)*6+SUM(F548:F552)*2+SUM(F554:F558)+SUM(F560:F564)*4+SUM(F566:F570)*3+SUM(F572:F576)</f>
        <v>57584.59059599998</v>
      </c>
      <c r="F126" s="110"/>
      <c r="G126" s="110">
        <f>SUM(H532:H534)+SUM(H536:H537,H540)+SUM(H542:H546)*6+SUM(H548:H552)*2+SUM(H554:H558)+SUM(H560:H564)*4+SUM(H566:H570)*3+SUM(H572:H576)</f>
        <v>86376.885893999977</v>
      </c>
      <c r="H126" s="110"/>
    </row>
    <row r="127" spans="1:8" s="31" customFormat="1" ht="16.5" thickBot="1" x14ac:dyDescent="0.3">
      <c r="A127" s="216" t="s">
        <v>147</v>
      </c>
      <c r="B127" s="216"/>
      <c r="C127" s="157">
        <f>SUM(C122:D126)</f>
        <v>429</v>
      </c>
      <c r="D127" s="158"/>
      <c r="E127" s="217">
        <f t="shared" ref="E127:G127" si="11">SUM(E122:F126)</f>
        <v>319852.78743599996</v>
      </c>
      <c r="F127" s="217"/>
      <c r="G127" s="169">
        <f t="shared" si="11"/>
        <v>479779.18115399987</v>
      </c>
      <c r="H127" s="169"/>
    </row>
    <row r="128" spans="1:8" s="31" customFormat="1" ht="16.5" thickBot="1" x14ac:dyDescent="0.3">
      <c r="A128" s="162" t="s">
        <v>164</v>
      </c>
      <c r="B128" s="163"/>
      <c r="C128" s="164">
        <f>C119+C127</f>
        <v>456</v>
      </c>
      <c r="D128" s="165"/>
      <c r="E128" s="166">
        <f>E119+E127</f>
        <v>326282.63592599996</v>
      </c>
      <c r="F128" s="166"/>
      <c r="G128" s="210">
        <f>G119+G127</f>
        <v>489745.44631349988</v>
      </c>
      <c r="H128" s="211"/>
    </row>
    <row r="129" spans="1:10" s="30" customFormat="1" x14ac:dyDescent="0.25">
      <c r="A129" s="170" t="s">
        <v>54</v>
      </c>
      <c r="B129" s="170"/>
      <c r="C129" s="170"/>
      <c r="D129" s="170"/>
      <c r="E129" s="170"/>
      <c r="F129" s="170"/>
      <c r="G129" s="170"/>
      <c r="H129" s="170"/>
    </row>
    <row r="130" spans="1:10" x14ac:dyDescent="0.25">
      <c r="A130" s="123" t="s">
        <v>309</v>
      </c>
      <c r="B130" s="123"/>
      <c r="C130" s="123"/>
      <c r="D130" s="123"/>
      <c r="E130" s="123"/>
      <c r="F130" s="123"/>
      <c r="G130" s="123"/>
      <c r="H130" s="123"/>
    </row>
    <row r="131" spans="1:10" ht="47.25" customHeight="1" x14ac:dyDescent="0.25">
      <c r="A131" s="155" t="s">
        <v>117</v>
      </c>
      <c r="B131" s="155" t="s">
        <v>174</v>
      </c>
      <c r="C131" s="155" t="s">
        <v>55</v>
      </c>
      <c r="D131" s="155" t="s">
        <v>230</v>
      </c>
      <c r="E131" s="208" t="s">
        <v>153</v>
      </c>
      <c r="F131" s="155" t="s">
        <v>56</v>
      </c>
      <c r="G131" s="208" t="s">
        <v>57</v>
      </c>
      <c r="H131" s="53" t="s">
        <v>146</v>
      </c>
    </row>
    <row r="132" spans="1:10" s="33" customFormat="1" x14ac:dyDescent="0.25">
      <c r="A132" s="156"/>
      <c r="B132" s="156"/>
      <c r="C132" s="156"/>
      <c r="D132" s="156"/>
      <c r="E132" s="209"/>
      <c r="F132" s="156"/>
      <c r="G132" s="209"/>
      <c r="H132" s="54">
        <v>0.55000000000000004</v>
      </c>
    </row>
    <row r="133" spans="1:10" s="33" customFormat="1" ht="15.75" customHeight="1" x14ac:dyDescent="0.25">
      <c r="A133" s="78" t="s">
        <v>310</v>
      </c>
      <c r="B133" s="79"/>
      <c r="C133" s="79"/>
      <c r="D133" s="79"/>
      <c r="E133" s="79"/>
      <c r="F133" s="79"/>
      <c r="G133" s="79"/>
      <c r="H133" s="80"/>
      <c r="I133" s="32"/>
    </row>
    <row r="134" spans="1:10" s="33" customFormat="1" ht="15.75" customHeight="1" x14ac:dyDescent="0.25">
      <c r="A134" s="78" t="s">
        <v>354</v>
      </c>
      <c r="B134" s="79"/>
      <c r="C134" s="79"/>
      <c r="D134" s="79"/>
      <c r="E134" s="79"/>
      <c r="F134" s="79"/>
      <c r="G134" s="79"/>
      <c r="H134" s="80"/>
      <c r="I134" s="33" t="s">
        <v>336</v>
      </c>
    </row>
    <row r="135" spans="1:10" s="33" customFormat="1" ht="15.75" customHeight="1" x14ac:dyDescent="0.25">
      <c r="A135" s="78" t="s">
        <v>355</v>
      </c>
      <c r="B135" s="79"/>
      <c r="C135" s="79"/>
      <c r="D135" s="79"/>
      <c r="E135" s="79"/>
      <c r="F135" s="79"/>
      <c r="G135" s="79"/>
      <c r="H135" s="80"/>
      <c r="I135" s="32"/>
    </row>
    <row r="136" spans="1:10" s="33" customFormat="1" x14ac:dyDescent="0.25">
      <c r="A136" s="67">
        <v>1</v>
      </c>
      <c r="B136" s="68"/>
      <c r="C136" s="38" t="s">
        <v>312</v>
      </c>
      <c r="D136" s="55">
        <f>(2.9*7.95)*10.764</f>
        <v>248.16401999999999</v>
      </c>
      <c r="E136" s="38">
        <v>0</v>
      </c>
      <c r="F136" s="38">
        <f>D136+E136</f>
        <v>248.16401999999999</v>
      </c>
      <c r="G136" s="38">
        <v>0</v>
      </c>
      <c r="H136" s="38">
        <f>(D136+E136)*(($H$132)+1)</f>
        <v>384.65423099999998</v>
      </c>
      <c r="I136" s="32"/>
      <c r="J136" s="55">
        <v>10.763999999999999</v>
      </c>
    </row>
    <row r="137" spans="1:10" s="33" customFormat="1" ht="15.75" customHeight="1" x14ac:dyDescent="0.25">
      <c r="A137" s="67">
        <f>A136+1</f>
        <v>2</v>
      </c>
      <c r="B137" s="68"/>
      <c r="C137" s="38" t="s">
        <v>312</v>
      </c>
      <c r="D137" s="55">
        <f>(2.9*8.75)*10.764</f>
        <v>273.13649999999996</v>
      </c>
      <c r="E137" s="38">
        <v>0</v>
      </c>
      <c r="F137" s="38">
        <f>D137+E137</f>
        <v>273.13649999999996</v>
      </c>
      <c r="G137" s="38">
        <v>0</v>
      </c>
      <c r="H137" s="38">
        <f>(D137+E137)*(($H$132)+1)</f>
        <v>423.36157499999996</v>
      </c>
      <c r="I137" s="32"/>
    </row>
    <row r="138" spans="1:10" s="33" customFormat="1" ht="15.75" customHeight="1" x14ac:dyDescent="0.25">
      <c r="A138" s="67">
        <f>A137+1</f>
        <v>3</v>
      </c>
      <c r="B138" s="68"/>
      <c r="C138" s="38" t="s">
        <v>312</v>
      </c>
      <c r="D138" s="55">
        <f>(2.9*8.75)*10.764</f>
        <v>273.13649999999996</v>
      </c>
      <c r="E138" s="38">
        <v>0</v>
      </c>
      <c r="F138" s="38">
        <f>D138+E138</f>
        <v>273.13649999999996</v>
      </c>
      <c r="G138" s="38">
        <v>0</v>
      </c>
      <c r="H138" s="38">
        <f>(D138+E138)*(($H$132)+1)</f>
        <v>423.36157499999996</v>
      </c>
      <c r="I138" s="32"/>
    </row>
    <row r="139" spans="1:10" s="33" customFormat="1" ht="15.75" customHeight="1" x14ac:dyDescent="0.25">
      <c r="A139" s="67">
        <f>A138+1</f>
        <v>4</v>
      </c>
      <c r="B139" s="68"/>
      <c r="C139" s="38" t="s">
        <v>312</v>
      </c>
      <c r="D139" s="55">
        <f>(2.9*8.75)*10.764</f>
        <v>273.13649999999996</v>
      </c>
      <c r="E139" s="38">
        <v>0</v>
      </c>
      <c r="F139" s="38">
        <f>D139+E139</f>
        <v>273.13649999999996</v>
      </c>
      <c r="G139" s="38">
        <v>0</v>
      </c>
      <c r="H139" s="38">
        <f>(D139+E139)*(($H$132)+1)</f>
        <v>423.36157499999996</v>
      </c>
      <c r="I139" s="32"/>
    </row>
    <row r="140" spans="1:10" s="33" customFormat="1" ht="15.75" customHeight="1" x14ac:dyDescent="0.25">
      <c r="A140" s="78" t="s">
        <v>313</v>
      </c>
      <c r="B140" s="79"/>
      <c r="C140" s="79"/>
      <c r="D140" s="79"/>
      <c r="E140" s="79"/>
      <c r="F140" s="79"/>
      <c r="G140" s="79"/>
      <c r="H140" s="80"/>
      <c r="I140" s="32"/>
    </row>
    <row r="141" spans="1:10" s="33" customFormat="1" ht="15.75" customHeight="1" x14ac:dyDescent="0.25">
      <c r="A141" s="78" t="s">
        <v>354</v>
      </c>
      <c r="B141" s="79"/>
      <c r="C141" s="79"/>
      <c r="D141" s="79"/>
      <c r="E141" s="79"/>
      <c r="F141" s="79"/>
      <c r="G141" s="79"/>
      <c r="H141" s="80"/>
      <c r="I141" s="33" t="s">
        <v>336</v>
      </c>
    </row>
    <row r="142" spans="1:10" s="33" customFormat="1" ht="15.75" customHeight="1" x14ac:dyDescent="0.25">
      <c r="A142" s="78" t="s">
        <v>355</v>
      </c>
      <c r="B142" s="79"/>
      <c r="C142" s="79"/>
      <c r="D142" s="79"/>
      <c r="E142" s="79"/>
      <c r="F142" s="79"/>
      <c r="G142" s="79"/>
      <c r="H142" s="80"/>
      <c r="I142" s="32"/>
    </row>
    <row r="143" spans="1:10" s="33" customFormat="1" ht="15.75" customHeight="1" x14ac:dyDescent="0.25">
      <c r="A143" s="67">
        <f>A139+1</f>
        <v>5</v>
      </c>
      <c r="B143" s="68"/>
      <c r="C143" s="38" t="s">
        <v>312</v>
      </c>
      <c r="D143" s="55">
        <f>(2.9*8.75)*10.764</f>
        <v>273.13649999999996</v>
      </c>
      <c r="E143" s="38">
        <v>0</v>
      </c>
      <c r="F143" s="38">
        <f t="shared" ref="F143:F147" si="12">D143+E143</f>
        <v>273.13649999999996</v>
      </c>
      <c r="G143" s="38">
        <v>0</v>
      </c>
      <c r="H143" s="38">
        <f t="shared" ref="H143:H147" si="13">(D143+E143)*(($H$132)+1)</f>
        <v>423.36157499999996</v>
      </c>
      <c r="I143" s="32"/>
    </row>
    <row r="144" spans="1:10" s="33" customFormat="1" ht="15.75" customHeight="1" x14ac:dyDescent="0.25">
      <c r="A144" s="67">
        <f t="shared" ref="A144:A147" si="14">A143+1</f>
        <v>6</v>
      </c>
      <c r="B144" s="68"/>
      <c r="C144" s="38" t="s">
        <v>312</v>
      </c>
      <c r="D144" s="55">
        <f>(2.9*8.75)*10.764</f>
        <v>273.13649999999996</v>
      </c>
      <c r="E144" s="38">
        <v>0</v>
      </c>
      <c r="F144" s="38">
        <f t="shared" si="12"/>
        <v>273.13649999999996</v>
      </c>
      <c r="G144" s="38">
        <v>0</v>
      </c>
      <c r="H144" s="38">
        <f t="shared" si="13"/>
        <v>423.36157499999996</v>
      </c>
      <c r="I144" s="32"/>
    </row>
    <row r="145" spans="1:9" s="33" customFormat="1" ht="15.75" customHeight="1" x14ac:dyDescent="0.25">
      <c r="A145" s="67">
        <f t="shared" si="14"/>
        <v>7</v>
      </c>
      <c r="B145" s="68"/>
      <c r="C145" s="38" t="s">
        <v>312</v>
      </c>
      <c r="D145" s="55">
        <f>(2.9*8.75)*10.764</f>
        <v>273.13649999999996</v>
      </c>
      <c r="E145" s="38">
        <v>0</v>
      </c>
      <c r="F145" s="38">
        <f t="shared" si="12"/>
        <v>273.13649999999996</v>
      </c>
      <c r="G145" s="38">
        <v>0</v>
      </c>
      <c r="H145" s="38">
        <f t="shared" si="13"/>
        <v>423.36157499999996</v>
      </c>
      <c r="I145" s="32"/>
    </row>
    <row r="146" spans="1:9" s="33" customFormat="1" ht="15.75" customHeight="1" x14ac:dyDescent="0.25">
      <c r="A146" s="67">
        <f t="shared" si="14"/>
        <v>8</v>
      </c>
      <c r="B146" s="68"/>
      <c r="C146" s="38" t="s">
        <v>312</v>
      </c>
      <c r="D146" s="55">
        <f>(2.9*7.95)*10.764</f>
        <v>248.16401999999999</v>
      </c>
      <c r="E146" s="38">
        <v>0</v>
      </c>
      <c r="F146" s="38">
        <f t="shared" si="12"/>
        <v>248.16401999999999</v>
      </c>
      <c r="G146" s="38">
        <v>0</v>
      </c>
      <c r="H146" s="38">
        <f t="shared" si="13"/>
        <v>384.65423099999998</v>
      </c>
      <c r="I146" s="32"/>
    </row>
    <row r="147" spans="1:9" s="33" customFormat="1" ht="15.75" customHeight="1" x14ac:dyDescent="0.25">
      <c r="A147" s="67">
        <f t="shared" si="14"/>
        <v>9</v>
      </c>
      <c r="B147" s="68"/>
      <c r="C147" s="38" t="s">
        <v>312</v>
      </c>
      <c r="D147" s="55">
        <f>(2.9*7.95)*10.764</f>
        <v>248.16401999999999</v>
      </c>
      <c r="E147" s="38">
        <v>0</v>
      </c>
      <c r="F147" s="38">
        <f t="shared" si="12"/>
        <v>248.16401999999999</v>
      </c>
      <c r="G147" s="38">
        <v>0</v>
      </c>
      <c r="H147" s="38">
        <f t="shared" si="13"/>
        <v>384.65423099999998</v>
      </c>
      <c r="I147" s="32"/>
    </row>
    <row r="148" spans="1:9" s="33" customFormat="1" ht="15.75" customHeight="1" x14ac:dyDescent="0.25">
      <c r="A148" s="67">
        <f t="shared" ref="A148:A157" si="15">A147+1</f>
        <v>10</v>
      </c>
      <c r="B148" s="68"/>
      <c r="C148" s="38" t="s">
        <v>312</v>
      </c>
      <c r="D148" s="55">
        <f>(2.9*7.95)*10.764</f>
        <v>248.16401999999999</v>
      </c>
      <c r="E148" s="38">
        <v>0</v>
      </c>
      <c r="F148" s="38">
        <f t="shared" ref="F148:F157" si="16">D148+E148</f>
        <v>248.16401999999999</v>
      </c>
      <c r="G148" s="38">
        <v>0</v>
      </c>
      <c r="H148" s="38">
        <f t="shared" ref="H148:H157" si="17">(D148+E148)*(($H$132)+1)</f>
        <v>384.65423099999998</v>
      </c>
      <c r="I148" s="32"/>
    </row>
    <row r="149" spans="1:9" s="33" customFormat="1" ht="15.75" customHeight="1" x14ac:dyDescent="0.25">
      <c r="A149" s="78" t="s">
        <v>314</v>
      </c>
      <c r="B149" s="79"/>
      <c r="C149" s="79"/>
      <c r="D149" s="79"/>
      <c r="E149" s="79"/>
      <c r="F149" s="79"/>
      <c r="G149" s="79"/>
      <c r="H149" s="80"/>
      <c r="I149" s="32"/>
    </row>
    <row r="150" spans="1:9" s="33" customFormat="1" ht="15.75" customHeight="1" x14ac:dyDescent="0.25">
      <c r="A150" s="78" t="s">
        <v>334</v>
      </c>
      <c r="B150" s="79"/>
      <c r="C150" s="79"/>
      <c r="D150" s="79"/>
      <c r="E150" s="79"/>
      <c r="F150" s="79"/>
      <c r="G150" s="79"/>
      <c r="H150" s="80"/>
      <c r="I150" s="33" t="s">
        <v>336</v>
      </c>
    </row>
    <row r="151" spans="1:9" s="33" customFormat="1" ht="15.75" customHeight="1" x14ac:dyDescent="0.25">
      <c r="A151" s="78" t="s">
        <v>355</v>
      </c>
      <c r="B151" s="79"/>
      <c r="C151" s="79"/>
      <c r="D151" s="79"/>
      <c r="E151" s="79"/>
      <c r="F151" s="79"/>
      <c r="G151" s="79"/>
      <c r="H151" s="80"/>
      <c r="I151" s="32"/>
    </row>
    <row r="152" spans="1:9" s="33" customFormat="1" ht="15.75" customHeight="1" x14ac:dyDescent="0.25">
      <c r="A152" s="67">
        <f>A148+1</f>
        <v>11</v>
      </c>
      <c r="B152" s="68"/>
      <c r="C152" s="38" t="s">
        <v>312</v>
      </c>
      <c r="D152" s="55">
        <f>(2.9*7.95)*10.764</f>
        <v>248.16401999999999</v>
      </c>
      <c r="E152" s="38">
        <v>0</v>
      </c>
      <c r="F152" s="38">
        <f t="shared" si="16"/>
        <v>248.16401999999999</v>
      </c>
      <c r="G152" s="38">
        <v>0</v>
      </c>
      <c r="H152" s="38">
        <f t="shared" si="17"/>
        <v>384.65423099999998</v>
      </c>
      <c r="I152" s="32"/>
    </row>
    <row r="153" spans="1:9" s="33" customFormat="1" ht="15.75" customHeight="1" x14ac:dyDescent="0.25">
      <c r="A153" s="67">
        <f t="shared" si="15"/>
        <v>12</v>
      </c>
      <c r="B153" s="68"/>
      <c r="C153" s="38" t="s">
        <v>312</v>
      </c>
      <c r="D153" s="55">
        <f>(2.9*7.95)*10.764</f>
        <v>248.16401999999999</v>
      </c>
      <c r="E153" s="38">
        <v>0</v>
      </c>
      <c r="F153" s="38">
        <f t="shared" si="16"/>
        <v>248.16401999999999</v>
      </c>
      <c r="G153" s="38">
        <v>0</v>
      </c>
      <c r="H153" s="38">
        <f t="shared" si="17"/>
        <v>384.65423099999998</v>
      </c>
      <c r="I153" s="32"/>
    </row>
    <row r="154" spans="1:9" s="33" customFormat="1" ht="15.75" customHeight="1" x14ac:dyDescent="0.25">
      <c r="A154" s="67">
        <f t="shared" si="15"/>
        <v>13</v>
      </c>
      <c r="B154" s="68"/>
      <c r="C154" s="38" t="s">
        <v>312</v>
      </c>
      <c r="D154" s="55">
        <f>(2.9*8.35+1.7*0.7)*10.764</f>
        <v>273.45942000000002</v>
      </c>
      <c r="E154" s="38">
        <v>0</v>
      </c>
      <c r="F154" s="38">
        <f t="shared" si="16"/>
        <v>273.45942000000002</v>
      </c>
      <c r="G154" s="38">
        <v>0</v>
      </c>
      <c r="H154" s="38">
        <f t="shared" si="17"/>
        <v>423.86210100000005</v>
      </c>
      <c r="I154" s="32"/>
    </row>
    <row r="155" spans="1:9" s="33" customFormat="1" ht="15.75" customHeight="1" x14ac:dyDescent="0.25">
      <c r="A155" s="67">
        <f t="shared" si="15"/>
        <v>14</v>
      </c>
      <c r="B155" s="68"/>
      <c r="C155" s="38" t="s">
        <v>312</v>
      </c>
      <c r="D155" s="55">
        <f>(3.05*6.05+3.6*3)*10.764</f>
        <v>314.87390999999997</v>
      </c>
      <c r="E155" s="38">
        <v>0</v>
      </c>
      <c r="F155" s="38">
        <f t="shared" si="16"/>
        <v>314.87390999999997</v>
      </c>
      <c r="G155" s="38">
        <v>0</v>
      </c>
      <c r="H155" s="38">
        <f t="shared" si="17"/>
        <v>488.05456049999998</v>
      </c>
      <c r="I155" s="32"/>
    </row>
    <row r="156" spans="1:9" s="33" customFormat="1" ht="15.75" customHeight="1" x14ac:dyDescent="0.25">
      <c r="A156" s="67">
        <f t="shared" si="15"/>
        <v>15</v>
      </c>
      <c r="B156" s="68"/>
      <c r="C156" s="38" t="s">
        <v>312</v>
      </c>
      <c r="D156" s="55">
        <f>(5*9.05)*10.764</f>
        <v>487.07099999999997</v>
      </c>
      <c r="E156" s="38">
        <v>0</v>
      </c>
      <c r="F156" s="38">
        <f t="shared" si="16"/>
        <v>487.07099999999997</v>
      </c>
      <c r="G156" s="38">
        <v>0</v>
      </c>
      <c r="H156" s="38">
        <f t="shared" si="17"/>
        <v>754.96005000000002</v>
      </c>
      <c r="I156" s="32"/>
    </row>
    <row r="157" spans="1:9" s="33" customFormat="1" ht="15.75" customHeight="1" x14ac:dyDescent="0.25">
      <c r="A157" s="67">
        <f t="shared" si="15"/>
        <v>16</v>
      </c>
      <c r="B157" s="68"/>
      <c r="C157" s="38" t="s">
        <v>312</v>
      </c>
      <c r="D157" s="55">
        <f>(5.1*2.15)*10.764</f>
        <v>118.02725999999997</v>
      </c>
      <c r="E157" s="38">
        <v>0</v>
      </c>
      <c r="F157" s="38">
        <f t="shared" si="16"/>
        <v>118.02725999999997</v>
      </c>
      <c r="G157" s="38">
        <v>0</v>
      </c>
      <c r="H157" s="38">
        <f t="shared" si="17"/>
        <v>182.94225299999997</v>
      </c>
      <c r="I157" s="32"/>
    </row>
    <row r="158" spans="1:9" s="33" customFormat="1" ht="15.75" customHeight="1" x14ac:dyDescent="0.25">
      <c r="A158" s="67">
        <f t="shared" ref="A158:A159" si="18">A157+1</f>
        <v>17</v>
      </c>
      <c r="B158" s="68"/>
      <c r="C158" s="38" t="s">
        <v>312</v>
      </c>
      <c r="D158" s="55">
        <f>(9.05*2.9)*10.764</f>
        <v>282.50117999999998</v>
      </c>
      <c r="E158" s="38">
        <v>0</v>
      </c>
      <c r="F158" s="38">
        <f t="shared" ref="F158:F159" si="19">D158+E158</f>
        <v>282.50117999999998</v>
      </c>
      <c r="G158" s="38">
        <v>0</v>
      </c>
      <c r="H158" s="38">
        <f t="shared" ref="H158:H159" si="20">(D158+E158)*(($H$132)+1)</f>
        <v>437.87682899999999</v>
      </c>
      <c r="I158" s="32"/>
    </row>
    <row r="159" spans="1:9" s="33" customFormat="1" ht="15.75" customHeight="1" x14ac:dyDescent="0.25">
      <c r="A159" s="67">
        <f t="shared" si="18"/>
        <v>18</v>
      </c>
      <c r="B159" s="68"/>
      <c r="C159" s="38" t="s">
        <v>312</v>
      </c>
      <c r="D159" s="55">
        <f>(9*2.9)*10.764</f>
        <v>280.94039999999995</v>
      </c>
      <c r="E159" s="38">
        <v>0</v>
      </c>
      <c r="F159" s="38">
        <f t="shared" si="19"/>
        <v>280.94039999999995</v>
      </c>
      <c r="G159" s="38">
        <v>0</v>
      </c>
      <c r="H159" s="38">
        <f t="shared" si="20"/>
        <v>435.45761999999996</v>
      </c>
      <c r="I159" s="32"/>
    </row>
    <row r="160" spans="1:9" s="33" customFormat="1" ht="15.75" customHeight="1" x14ac:dyDescent="0.25">
      <c r="A160" s="78" t="s">
        <v>315</v>
      </c>
      <c r="B160" s="79"/>
      <c r="C160" s="79"/>
      <c r="D160" s="79"/>
      <c r="E160" s="79"/>
      <c r="F160" s="79"/>
      <c r="G160" s="79"/>
      <c r="H160" s="80"/>
      <c r="I160" s="32"/>
    </row>
    <row r="161" spans="1:9" s="33" customFormat="1" ht="15.75" customHeight="1" x14ac:dyDescent="0.25">
      <c r="A161" s="78" t="s">
        <v>334</v>
      </c>
      <c r="B161" s="79"/>
      <c r="C161" s="79"/>
      <c r="D161" s="79"/>
      <c r="E161" s="79"/>
      <c r="F161" s="79"/>
      <c r="G161" s="79"/>
      <c r="H161" s="80"/>
      <c r="I161" s="32"/>
    </row>
    <row r="162" spans="1:9" s="33" customFormat="1" ht="15.75" customHeight="1" x14ac:dyDescent="0.25">
      <c r="A162" s="78" t="s">
        <v>335</v>
      </c>
      <c r="B162" s="79"/>
      <c r="C162" s="79"/>
      <c r="D162" s="79"/>
      <c r="E162" s="79"/>
      <c r="F162" s="79"/>
      <c r="G162" s="79"/>
      <c r="H162" s="80"/>
      <c r="I162" s="32"/>
    </row>
    <row r="163" spans="1:9" s="33" customFormat="1" x14ac:dyDescent="0.25">
      <c r="A163" s="67">
        <v>19</v>
      </c>
      <c r="B163" s="68"/>
      <c r="C163" s="38" t="s">
        <v>312</v>
      </c>
      <c r="D163" s="55">
        <f t="shared" ref="D163:D168" si="21">(2.9*5.5)*10.764</f>
        <v>171.68579999999997</v>
      </c>
      <c r="E163" s="38">
        <v>0</v>
      </c>
      <c r="F163" s="38">
        <f>D163+E163</f>
        <v>171.68579999999997</v>
      </c>
      <c r="G163" s="38">
        <v>0</v>
      </c>
      <c r="H163" s="38">
        <f>(D163+E163)*(($H$132)+1)</f>
        <v>266.11298999999997</v>
      </c>
      <c r="I163" s="32"/>
    </row>
    <row r="164" spans="1:9" s="33" customFormat="1" ht="15.75" customHeight="1" x14ac:dyDescent="0.25">
      <c r="A164" s="67">
        <f>A163+1</f>
        <v>20</v>
      </c>
      <c r="B164" s="68"/>
      <c r="C164" s="38" t="s">
        <v>312</v>
      </c>
      <c r="D164" s="55">
        <f t="shared" si="21"/>
        <v>171.68579999999997</v>
      </c>
      <c r="E164" s="38">
        <v>0</v>
      </c>
      <c r="F164" s="38">
        <f>D164+E164</f>
        <v>171.68579999999997</v>
      </c>
      <c r="G164" s="38">
        <v>0</v>
      </c>
      <c r="H164" s="38">
        <f>(D164+E164)*(($H$132)+1)</f>
        <v>266.11298999999997</v>
      </c>
      <c r="I164" s="32"/>
    </row>
    <row r="165" spans="1:9" s="33" customFormat="1" ht="15.75" customHeight="1" x14ac:dyDescent="0.25">
      <c r="A165" s="67">
        <f>A164+1</f>
        <v>21</v>
      </c>
      <c r="B165" s="68"/>
      <c r="C165" s="38" t="s">
        <v>312</v>
      </c>
      <c r="D165" s="55">
        <f t="shared" si="21"/>
        <v>171.68579999999997</v>
      </c>
      <c r="E165" s="38">
        <v>0</v>
      </c>
      <c r="F165" s="38">
        <f>D165+E165</f>
        <v>171.68579999999997</v>
      </c>
      <c r="G165" s="38">
        <v>0</v>
      </c>
      <c r="H165" s="38">
        <f>(D165+E165)*(($H$132)+1)</f>
        <v>266.11298999999997</v>
      </c>
      <c r="I165" s="32"/>
    </row>
    <row r="166" spans="1:9" s="33" customFormat="1" ht="15.75" customHeight="1" x14ac:dyDescent="0.25">
      <c r="A166" s="67">
        <f>A165+1</f>
        <v>22</v>
      </c>
      <c r="B166" s="68"/>
      <c r="C166" s="38" t="s">
        <v>312</v>
      </c>
      <c r="D166" s="55">
        <f t="shared" si="21"/>
        <v>171.68579999999997</v>
      </c>
      <c r="E166" s="38">
        <v>0</v>
      </c>
      <c r="F166" s="38">
        <f>D166+E166</f>
        <v>171.68579999999997</v>
      </c>
      <c r="G166" s="38">
        <v>0</v>
      </c>
      <c r="H166" s="38">
        <f>(D166+E166)*(($H$132)+1)</f>
        <v>266.11298999999997</v>
      </c>
      <c r="I166" s="32"/>
    </row>
    <row r="167" spans="1:9" s="33" customFormat="1" ht="15.75" customHeight="1" x14ac:dyDescent="0.25">
      <c r="A167" s="67">
        <f t="shared" ref="A167:A174" si="22">A166+1</f>
        <v>23</v>
      </c>
      <c r="B167" s="68"/>
      <c r="C167" s="38" t="s">
        <v>312</v>
      </c>
      <c r="D167" s="55">
        <f t="shared" si="21"/>
        <v>171.68579999999997</v>
      </c>
      <c r="E167" s="38">
        <v>0</v>
      </c>
      <c r="F167" s="38">
        <f t="shared" ref="F167:F174" si="23">D167+E167</f>
        <v>171.68579999999997</v>
      </c>
      <c r="G167" s="38">
        <v>0</v>
      </c>
      <c r="H167" s="38">
        <f t="shared" ref="H167:H174" si="24">(D167+E167)*(($H$132)+1)</f>
        <v>266.11298999999997</v>
      </c>
      <c r="I167" s="32"/>
    </row>
    <row r="168" spans="1:9" s="33" customFormat="1" ht="15.75" customHeight="1" x14ac:dyDescent="0.25">
      <c r="A168" s="67">
        <f t="shared" si="22"/>
        <v>24</v>
      </c>
      <c r="B168" s="68"/>
      <c r="C168" s="38" t="s">
        <v>312</v>
      </c>
      <c r="D168" s="55">
        <f t="shared" si="21"/>
        <v>171.68579999999997</v>
      </c>
      <c r="E168" s="38">
        <v>0</v>
      </c>
      <c r="F168" s="38">
        <f t="shared" si="23"/>
        <v>171.68579999999997</v>
      </c>
      <c r="G168" s="38">
        <v>0</v>
      </c>
      <c r="H168" s="38">
        <f t="shared" si="24"/>
        <v>266.11298999999997</v>
      </c>
      <c r="I168" s="32"/>
    </row>
    <row r="169" spans="1:9" s="33" customFormat="1" ht="15.75" customHeight="1" x14ac:dyDescent="0.25">
      <c r="A169" s="78" t="s">
        <v>316</v>
      </c>
      <c r="B169" s="79"/>
      <c r="C169" s="79"/>
      <c r="D169" s="79"/>
      <c r="E169" s="79"/>
      <c r="F169" s="79"/>
      <c r="G169" s="79"/>
      <c r="H169" s="80"/>
      <c r="I169" s="32"/>
    </row>
    <row r="170" spans="1:9" s="33" customFormat="1" ht="15.75" customHeight="1" x14ac:dyDescent="0.25">
      <c r="A170" s="78" t="s">
        <v>334</v>
      </c>
      <c r="B170" s="79"/>
      <c r="C170" s="79"/>
      <c r="D170" s="79"/>
      <c r="E170" s="79"/>
      <c r="F170" s="79"/>
      <c r="G170" s="79"/>
      <c r="H170" s="80"/>
      <c r="I170" s="32"/>
    </row>
    <row r="171" spans="1:9" s="33" customFormat="1" ht="15.75" customHeight="1" x14ac:dyDescent="0.25">
      <c r="A171" s="78" t="s">
        <v>335</v>
      </c>
      <c r="B171" s="79"/>
      <c r="C171" s="79"/>
      <c r="D171" s="79"/>
      <c r="E171" s="79"/>
      <c r="F171" s="79"/>
      <c r="G171" s="79"/>
      <c r="H171" s="80"/>
      <c r="I171" s="32"/>
    </row>
    <row r="172" spans="1:9" s="33" customFormat="1" ht="15.75" customHeight="1" x14ac:dyDescent="0.25">
      <c r="A172" s="67">
        <f>A168+1</f>
        <v>25</v>
      </c>
      <c r="B172" s="68"/>
      <c r="C172" s="38" t="s">
        <v>312</v>
      </c>
      <c r="D172" s="55">
        <f>(2.9*5.5)*10.764</f>
        <v>171.68579999999997</v>
      </c>
      <c r="E172" s="38">
        <v>0</v>
      </c>
      <c r="F172" s="38">
        <f t="shared" si="23"/>
        <v>171.68579999999997</v>
      </c>
      <c r="G172" s="38">
        <v>0</v>
      </c>
      <c r="H172" s="38">
        <f t="shared" si="24"/>
        <v>266.11298999999997</v>
      </c>
      <c r="I172" s="32"/>
    </row>
    <row r="173" spans="1:9" s="33" customFormat="1" ht="15.75" customHeight="1" x14ac:dyDescent="0.25">
      <c r="A173" s="67">
        <f t="shared" si="22"/>
        <v>26</v>
      </c>
      <c r="B173" s="68"/>
      <c r="C173" s="38" t="s">
        <v>312</v>
      </c>
      <c r="D173" s="55">
        <f>(2.9*5.5)*10.764</f>
        <v>171.68579999999997</v>
      </c>
      <c r="E173" s="38">
        <v>0</v>
      </c>
      <c r="F173" s="38">
        <f t="shared" si="23"/>
        <v>171.68579999999997</v>
      </c>
      <c r="G173" s="38">
        <v>0</v>
      </c>
      <c r="H173" s="38">
        <f t="shared" si="24"/>
        <v>266.11298999999997</v>
      </c>
      <c r="I173" s="32"/>
    </row>
    <row r="174" spans="1:9" s="33" customFormat="1" ht="15.75" customHeight="1" x14ac:dyDescent="0.25">
      <c r="A174" s="67">
        <f t="shared" si="22"/>
        <v>27</v>
      </c>
      <c r="B174" s="68"/>
      <c r="C174" s="38" t="s">
        <v>312</v>
      </c>
      <c r="D174" s="55">
        <f>(2.9*5.5)*10.764</f>
        <v>171.68579999999997</v>
      </c>
      <c r="E174" s="38">
        <v>0</v>
      </c>
      <c r="F174" s="38">
        <f t="shared" si="23"/>
        <v>171.68579999999997</v>
      </c>
      <c r="G174" s="38">
        <v>0</v>
      </c>
      <c r="H174" s="38">
        <f t="shared" si="24"/>
        <v>266.11298999999997</v>
      </c>
      <c r="I174" s="32"/>
    </row>
    <row r="175" spans="1:9" s="33" customFormat="1" ht="15.75" customHeight="1" x14ac:dyDescent="0.25">
      <c r="A175" s="67"/>
      <c r="B175" s="168"/>
      <c r="C175" s="168"/>
      <c r="D175" s="168"/>
      <c r="E175" s="168"/>
      <c r="F175" s="168"/>
      <c r="G175" s="168"/>
      <c r="H175" s="68"/>
      <c r="I175" s="32"/>
    </row>
    <row r="176" spans="1:9" s="33" customFormat="1" ht="48.75" customHeight="1" x14ac:dyDescent="0.25">
      <c r="A176" s="212" t="s">
        <v>118</v>
      </c>
      <c r="B176" s="155" t="s">
        <v>175</v>
      </c>
      <c r="C176" s="155" t="s">
        <v>55</v>
      </c>
      <c r="D176" s="155" t="s">
        <v>230</v>
      </c>
      <c r="E176" s="155" t="s">
        <v>337</v>
      </c>
      <c r="F176" s="155" t="s">
        <v>56</v>
      </c>
      <c r="G176" s="208" t="s">
        <v>57</v>
      </c>
      <c r="H176" s="61" t="s">
        <v>146</v>
      </c>
      <c r="I176" s="32"/>
    </row>
    <row r="177" spans="1:8" s="31" customFormat="1" x14ac:dyDescent="0.25">
      <c r="A177" s="213"/>
      <c r="B177" s="156"/>
      <c r="C177" s="156"/>
      <c r="D177" s="156"/>
      <c r="E177" s="156"/>
      <c r="F177" s="156"/>
      <c r="G177" s="209"/>
      <c r="H177" s="62">
        <v>0.5</v>
      </c>
    </row>
    <row r="178" spans="1:8" s="31" customFormat="1" hidden="1" x14ac:dyDescent="0.25">
      <c r="A178" s="84" t="s">
        <v>310</v>
      </c>
      <c r="B178" s="85"/>
      <c r="C178" s="85"/>
      <c r="D178" s="85"/>
      <c r="E178" s="85"/>
      <c r="F178" s="85"/>
      <c r="G178" s="85"/>
      <c r="H178" s="86"/>
    </row>
    <row r="179" spans="1:8" s="31" customFormat="1" hidden="1" x14ac:dyDescent="0.25">
      <c r="A179" s="78" t="s">
        <v>317</v>
      </c>
      <c r="B179" s="79"/>
      <c r="C179" s="79"/>
      <c r="D179" s="79"/>
      <c r="E179" s="79"/>
      <c r="F179" s="79"/>
      <c r="G179" s="79"/>
      <c r="H179" s="80"/>
    </row>
    <row r="180" spans="1:8" s="31" customFormat="1" hidden="1" x14ac:dyDescent="0.25">
      <c r="A180" s="67">
        <v>1</v>
      </c>
      <c r="B180" s="68"/>
      <c r="C180" s="38" t="s">
        <v>319</v>
      </c>
      <c r="D180" s="55">
        <f>(2.9*5.15+1.35*2.5+2.3*1.1+3*2.15+2.9*3.05+2.9*4.2+2.3*1.35+2.15*1.35+1.9*1)*10.764</f>
        <v>605.17899</v>
      </c>
      <c r="E180" s="55">
        <v>0</v>
      </c>
      <c r="F180" s="38">
        <f>D180+E180</f>
        <v>605.17899</v>
      </c>
      <c r="G180" s="38">
        <v>0</v>
      </c>
      <c r="H180" s="38">
        <f>F180*(($H$177)+1)+(IF(G180&lt;101,G180,IF(G180&lt;201,G180/2,IF(G180&lt;=301,G180/3,G180/4))))</f>
        <v>907.76848500000006</v>
      </c>
    </row>
    <row r="181" spans="1:8" s="31" customFormat="1" ht="47.25" hidden="1" x14ac:dyDescent="0.25">
      <c r="A181" s="67">
        <f>A180+1</f>
        <v>2</v>
      </c>
      <c r="B181" s="68"/>
      <c r="C181" s="38" t="s">
        <v>329</v>
      </c>
      <c r="D181" s="55">
        <f>((3.05*5.25+1.95*1.05+1.4*1.5+3.2*1+2.9*3.05+3.05*3.75+2.45*1.35+2.15*1.35)+(2.75*2.15+0.6*1+3.05*3.75+2.9*3.05+2.15*1.35+2.45*1.35+6.2*1+1.5*2.5))*10.764</f>
        <v>998.97992999999985</v>
      </c>
      <c r="E181" s="55">
        <v>0</v>
      </c>
      <c r="F181" s="38">
        <f>D181+E181</f>
        <v>998.97992999999985</v>
      </c>
      <c r="G181" s="38">
        <v>0</v>
      </c>
      <c r="H181" s="38">
        <f>F181*(($H$177)+1)+(IF(G181&lt;101,G181,IF(G181&lt;201,G181/2,IF(G181&lt;=301,G181/3,G181/4))))</f>
        <v>1498.4698949999997</v>
      </c>
    </row>
    <row r="182" spans="1:8" s="31" customFormat="1" hidden="1" x14ac:dyDescent="0.25">
      <c r="A182" s="119" t="s">
        <v>116</v>
      </c>
      <c r="B182" s="119"/>
      <c r="C182" s="119"/>
      <c r="D182" s="119"/>
      <c r="E182" s="119"/>
      <c r="F182" s="119"/>
      <c r="G182" s="119"/>
      <c r="H182" s="119"/>
    </row>
    <row r="183" spans="1:8" s="31" customFormat="1" hidden="1" x14ac:dyDescent="0.25">
      <c r="A183" s="67">
        <v>1</v>
      </c>
      <c r="B183" s="68"/>
      <c r="C183" s="38" t="s">
        <v>319</v>
      </c>
      <c r="D183" s="55">
        <f>(2.9*5.15+1.35*2.5+2.3*1.1+3*2.15+2.9*3.05+2.9*4.2+2.3*1.35+2.15*1.35+1.9*1)*10.764</f>
        <v>605.17899</v>
      </c>
      <c r="E183" s="55">
        <v>0</v>
      </c>
      <c r="F183" s="38">
        <f>D183+E183</f>
        <v>605.17899</v>
      </c>
      <c r="G183" s="38">
        <v>0</v>
      </c>
      <c r="H183" s="38">
        <f>F183*(($H$177)+1)+(IF(G183&lt;101,G183,IF(G183&lt;201,G183/2,IF(G183&lt;=301,G183/3,G183/4))))</f>
        <v>907.76848500000006</v>
      </c>
    </row>
    <row r="184" spans="1:8" s="31" customFormat="1" hidden="1" x14ac:dyDescent="0.25">
      <c r="A184" s="67">
        <f>A183+1</f>
        <v>2</v>
      </c>
      <c r="B184" s="68"/>
      <c r="C184" s="67" t="s">
        <v>321</v>
      </c>
      <c r="D184" s="168"/>
      <c r="E184" s="168"/>
      <c r="F184" s="168"/>
      <c r="G184" s="168"/>
      <c r="H184" s="68"/>
    </row>
    <row r="185" spans="1:8" s="31" customFormat="1" hidden="1" x14ac:dyDescent="0.25">
      <c r="A185" s="67">
        <v>3</v>
      </c>
      <c r="B185" s="68"/>
      <c r="C185" s="38" t="s">
        <v>319</v>
      </c>
      <c r="D185" s="55">
        <f>(3.05*5.7+2.35*1+1.4*2.5+2.2*2.8+2.9*3.05+3.05*4.2+2.4*1.35+2.15*1.35+1.5*1)*10.764</f>
        <v>631.7660699999999</v>
      </c>
      <c r="E185" s="55">
        <v>0</v>
      </c>
      <c r="F185" s="38">
        <f>D185+E185</f>
        <v>631.7660699999999</v>
      </c>
      <c r="G185" s="38">
        <v>0</v>
      </c>
      <c r="H185" s="38">
        <f>F185*(($H$177)+1)+(IF(G185&lt;101,G185,IF(G185&lt;201,G185/2,IF(G185&lt;=301,G185/3,G185/4))))</f>
        <v>947.64910499999985</v>
      </c>
    </row>
    <row r="186" spans="1:8" s="31" customFormat="1" hidden="1" x14ac:dyDescent="0.25">
      <c r="A186" s="67">
        <f>A185+1</f>
        <v>4</v>
      </c>
      <c r="B186" s="68"/>
      <c r="C186" s="38" t="s">
        <v>319</v>
      </c>
      <c r="D186" s="55">
        <f>(2.9*5.7+1.25*2.5+1.8*3.3+2.9*3.05+2.9*4.15+2.4*1.35+2.15*1.35+1.9*1)*10.764</f>
        <v>586.82636999999988</v>
      </c>
      <c r="E186" s="55">
        <v>0</v>
      </c>
      <c r="F186" s="38">
        <f>D186+E186</f>
        <v>586.82636999999988</v>
      </c>
      <c r="G186" s="38">
        <v>0</v>
      </c>
      <c r="H186" s="38">
        <f>F186*(($H$177)+1)+(IF(G186&lt;101,G186,IF(G186&lt;201,G186/2,IF(G186&lt;=301,G186/3,G186/4))))</f>
        <v>880.23955499999988</v>
      </c>
    </row>
    <row r="187" spans="1:8" s="31" customFormat="1" hidden="1" x14ac:dyDescent="0.25">
      <c r="A187" s="119" t="s">
        <v>323</v>
      </c>
      <c r="B187" s="119"/>
      <c r="C187" s="119"/>
      <c r="D187" s="119"/>
      <c r="E187" s="119"/>
      <c r="F187" s="119"/>
      <c r="G187" s="119"/>
      <c r="H187" s="119"/>
    </row>
    <row r="188" spans="1:8" s="31" customFormat="1" hidden="1" x14ac:dyDescent="0.25">
      <c r="A188" s="67">
        <v>1</v>
      </c>
      <c r="B188" s="68"/>
      <c r="C188" s="38" t="s">
        <v>319</v>
      </c>
      <c r="D188" s="55">
        <f>(2.9*5.15+1.35*2.5+2.3*1.1+3*2.15+2.9*3.05+2.9*4.2+2.3*1.35+2.15*1.35+1.9*1)*10.764</f>
        <v>605.17899</v>
      </c>
      <c r="E188" s="55">
        <v>0</v>
      </c>
      <c r="F188" s="38">
        <f>D188+E188</f>
        <v>605.17899</v>
      </c>
      <c r="G188" s="38">
        <v>0</v>
      </c>
      <c r="H188" s="38">
        <f>F188*(($H$177)+1)+(IF(G188&lt;101,G188,IF(G188&lt;201,G188/2,IF(G188&lt;=301,G188/3,G188/4))))</f>
        <v>907.76848500000006</v>
      </c>
    </row>
    <row r="189" spans="1:8" s="31" customFormat="1" hidden="1" x14ac:dyDescent="0.25">
      <c r="A189" s="67">
        <f>A188+1</f>
        <v>2</v>
      </c>
      <c r="B189" s="68"/>
      <c r="C189" s="38" t="s">
        <v>319</v>
      </c>
      <c r="D189" s="55">
        <f>(3.05*5.25+1.35*2.5+1.95*1.05+2.75*2.15+2.9*3.05+3.05*3.75+2.15*1.35+2.45*1.35+1.35*1)*10.764</f>
        <v>594.06515999999999</v>
      </c>
      <c r="E189" s="55">
        <v>0</v>
      </c>
      <c r="F189" s="38">
        <f>D189+E189</f>
        <v>594.06515999999999</v>
      </c>
      <c r="G189" s="38">
        <v>0</v>
      </c>
      <c r="H189" s="38">
        <f>F189*(($H$177)+1)+(IF(G189&lt;101,G189,IF(G189&lt;201,G189/2,IF(G189&lt;=301,G189/3,G189/4))))</f>
        <v>891.09773999999993</v>
      </c>
    </row>
    <row r="190" spans="1:8" ht="15.75" hidden="1" customHeight="1" x14ac:dyDescent="0.25">
      <c r="A190" s="67">
        <f>A189+1</f>
        <v>3</v>
      </c>
      <c r="B190" s="68"/>
      <c r="C190" s="38" t="s">
        <v>319</v>
      </c>
      <c r="D190" s="55">
        <f>(3.05*5.7+2.35*1+1.4*2.5+2.2*2.8+2.9*3.05+3.05*4.2+2.4*1.35+2.15*1.35+1.5*1)*10.764</f>
        <v>631.7660699999999</v>
      </c>
      <c r="E190" s="55">
        <v>0</v>
      </c>
      <c r="F190" s="38">
        <f>D190+E190</f>
        <v>631.7660699999999</v>
      </c>
      <c r="G190" s="38">
        <v>0</v>
      </c>
      <c r="H190" s="38">
        <f>F190*(($H$177)+1)+(IF(G190&lt;101,G190,IF(G190&lt;201,G190/2,IF(G190&lt;=301,G190/3,G190/4))))</f>
        <v>947.64910499999985</v>
      </c>
    </row>
    <row r="191" spans="1:8" ht="15.75" hidden="1" customHeight="1" x14ac:dyDescent="0.25">
      <c r="A191" s="67">
        <v>4</v>
      </c>
      <c r="B191" s="68"/>
      <c r="C191" s="38" t="s">
        <v>319</v>
      </c>
      <c r="D191" s="55">
        <f>(2.9*5.7+1.25*2.5+1.8*3.3+2.9*3.05+2.9*4.15+2.4*1.35+2.15*1.35+1.9*1)*10.764</f>
        <v>586.82636999999988</v>
      </c>
      <c r="E191" s="55">
        <v>0</v>
      </c>
      <c r="F191" s="38">
        <f>D191+E191</f>
        <v>586.82636999999988</v>
      </c>
      <c r="G191" s="38">
        <v>0</v>
      </c>
      <c r="H191" s="38">
        <f>F191*(($H$177)+1)+(IF(G191&lt;101,G191,IF(G191&lt;201,G191/2,IF(G191&lt;=301,G191/3,G191/4))))</f>
        <v>880.23955499999988</v>
      </c>
    </row>
    <row r="192" spans="1:8" ht="15.75" hidden="1" customHeight="1" x14ac:dyDescent="0.25">
      <c r="A192" s="119" t="s">
        <v>324</v>
      </c>
      <c r="B192" s="119"/>
      <c r="C192" s="119"/>
      <c r="D192" s="119"/>
      <c r="E192" s="119"/>
      <c r="F192" s="119"/>
      <c r="G192" s="119"/>
      <c r="H192" s="119"/>
    </row>
    <row r="193" spans="1:8" ht="15.75" hidden="1" customHeight="1" x14ac:dyDescent="0.25">
      <c r="A193" s="67">
        <v>1</v>
      </c>
      <c r="B193" s="68"/>
      <c r="C193" s="38" t="s">
        <v>319</v>
      </c>
      <c r="D193" s="55">
        <f>(2.9*5.15+1.35*2.5+2.3*1.1+3*2.15+2.9*3.05+2.9*4.2+2.3*1.35+2.15*1.35+1.9*1)*10.764</f>
        <v>605.17899</v>
      </c>
      <c r="E193" s="55">
        <v>0</v>
      </c>
      <c r="F193" s="38">
        <f>D193+E193</f>
        <v>605.17899</v>
      </c>
      <c r="G193" s="38">
        <v>0</v>
      </c>
      <c r="H193" s="38">
        <f>F193*(($H$177)+1)+(IF(G193&lt;101,G193,IF(G193&lt;201,G193/2,IF(G193&lt;=301,G193/3,G193/4))))</f>
        <v>907.76848500000006</v>
      </c>
    </row>
    <row r="194" spans="1:8" ht="15.75" hidden="1" customHeight="1" x14ac:dyDescent="0.25">
      <c r="A194" s="67">
        <f>A193+1</f>
        <v>2</v>
      </c>
      <c r="B194" s="68"/>
      <c r="C194" s="38" t="s">
        <v>319</v>
      </c>
      <c r="D194" s="55">
        <f>(3.05*5.25+1.35*2.5+1.95*1.05+2.75*2.15+2.9*3.05+3.05*3.75+2.15*1.35+2.45*1.35+3.2*1)*10.764</f>
        <v>613.9785599999999</v>
      </c>
      <c r="E194" s="55">
        <v>0</v>
      </c>
      <c r="F194" s="38">
        <f>D194+E194</f>
        <v>613.9785599999999</v>
      </c>
      <c r="G194" s="38">
        <v>0</v>
      </c>
      <c r="H194" s="38">
        <f>F194*(($H$177)+1)+(IF(G194&lt;101,G194,IF(G194&lt;201,G194/2,IF(G194&lt;=301,G194/3,G194/4))))</f>
        <v>920.9678399999998</v>
      </c>
    </row>
    <row r="195" spans="1:8" ht="15.75" hidden="1" customHeight="1" x14ac:dyDescent="0.25">
      <c r="A195" s="67">
        <f>A194+1</f>
        <v>3</v>
      </c>
      <c r="B195" s="68"/>
      <c r="C195" s="38" t="s">
        <v>319</v>
      </c>
      <c r="D195" s="55">
        <f>(3.05*5.7+2.35*1+1.4*2.5+2.2*2.8+2.9*3.05+3.05*4.2+2.4*1.35+2.15*1.35+1.5*1)*10.764</f>
        <v>631.7660699999999</v>
      </c>
      <c r="E195" s="55">
        <v>0</v>
      </c>
      <c r="F195" s="38">
        <f>D195+E195</f>
        <v>631.7660699999999</v>
      </c>
      <c r="G195" s="38">
        <v>0</v>
      </c>
      <c r="H195" s="38">
        <f>F195*(($H$177)+1)+(IF(G195&lt;101,G195,IF(G195&lt;201,G195/2,IF(G195&lt;=301,G195/3,G195/4))))</f>
        <v>947.64910499999985</v>
      </c>
    </row>
    <row r="196" spans="1:8" ht="15.75" hidden="1" customHeight="1" x14ac:dyDescent="0.25">
      <c r="A196" s="67">
        <v>4</v>
      </c>
      <c r="B196" s="68"/>
      <c r="C196" s="38" t="s">
        <v>319</v>
      </c>
      <c r="D196" s="55">
        <f>(2.9*5.7+1.25*2.5+1.8*3.3+2.9*3.05+2.9*4.15+2.4*1.35+2.15*1.35+1.9*1)*10.764</f>
        <v>586.82636999999988</v>
      </c>
      <c r="E196" s="55">
        <v>0</v>
      </c>
      <c r="F196" s="38">
        <f>D196+E196</f>
        <v>586.82636999999988</v>
      </c>
      <c r="G196" s="38">
        <v>0</v>
      </c>
      <c r="H196" s="38">
        <f>F196*(($H$177)+1)+(IF(G196&lt;101,G196,IF(G196&lt;201,G196/2,IF(G196&lt;=301,G196/3,G196/4))))</f>
        <v>880.23955499999988</v>
      </c>
    </row>
    <row r="197" spans="1:8" ht="15.75" hidden="1" customHeight="1" x14ac:dyDescent="0.25">
      <c r="A197" s="119" t="s">
        <v>325</v>
      </c>
      <c r="B197" s="119"/>
      <c r="C197" s="119"/>
      <c r="D197" s="119"/>
      <c r="E197" s="119"/>
      <c r="F197" s="119"/>
      <c r="G197" s="119"/>
      <c r="H197" s="119"/>
    </row>
    <row r="198" spans="1:8" ht="15.75" hidden="1" customHeight="1" x14ac:dyDescent="0.25">
      <c r="A198" s="67">
        <v>1</v>
      </c>
      <c r="B198" s="68"/>
      <c r="C198" s="38" t="s">
        <v>319</v>
      </c>
      <c r="D198" s="55">
        <f>(2.9*5.15+1.35*2.5+2.3*1.1+3*2.15+2.9*3.05+2.9*4.2+2.3*1.35+2.15*1.35+1.9*1)*10.764</f>
        <v>605.17899</v>
      </c>
      <c r="E198" s="55">
        <v>0</v>
      </c>
      <c r="F198" s="38">
        <f>D198+E198</f>
        <v>605.17899</v>
      </c>
      <c r="G198" s="38">
        <v>0</v>
      </c>
      <c r="H198" s="38">
        <f>F198*(($H$177)+1)+(IF(G198&lt;101,G198,IF(G198&lt;201,G198/2,IF(G198&lt;=301,G198/3,G198/4))))</f>
        <v>907.76848500000006</v>
      </c>
    </row>
    <row r="199" spans="1:8" hidden="1" x14ac:dyDescent="0.25">
      <c r="A199" s="67">
        <f>A198+1</f>
        <v>2</v>
      </c>
      <c r="B199" s="68"/>
      <c r="C199" s="38" t="s">
        <v>319</v>
      </c>
      <c r="D199" s="55">
        <f>(3.05*5.25+1.35*2.5+1.95*1.05+2.75*2.15+2.9*3.05+3.05*3.75+2.15*1.35+2.45*1.35+3.2*1)*10.764</f>
        <v>613.9785599999999</v>
      </c>
      <c r="E199" s="55">
        <v>0</v>
      </c>
      <c r="F199" s="38">
        <f>D199+E199</f>
        <v>613.9785599999999</v>
      </c>
      <c r="G199" s="38">
        <v>0</v>
      </c>
      <c r="H199" s="38">
        <f>F199*(($H$177)+1)+(IF(G199&lt;101,G199,IF(G199&lt;201,G199/2,IF(G199&lt;=301,G199/3,G199/4))))</f>
        <v>920.9678399999998</v>
      </c>
    </row>
    <row r="200" spans="1:8" hidden="1" x14ac:dyDescent="0.25">
      <c r="A200" s="67">
        <f>A199+1</f>
        <v>3</v>
      </c>
      <c r="B200" s="68"/>
      <c r="C200" s="38" t="s">
        <v>319</v>
      </c>
      <c r="D200" s="55">
        <f>(3.05*5.7+2.35*1+1.4*2.5+2.2*2.8+2.9*3.05+3.05*4.2+2.4*1.35+2.15*1.35+1.5*1)*10.764</f>
        <v>631.7660699999999</v>
      </c>
      <c r="E200" s="55">
        <v>0</v>
      </c>
      <c r="F200" s="38">
        <f>D200+E200</f>
        <v>631.7660699999999</v>
      </c>
      <c r="G200" s="38">
        <v>0</v>
      </c>
      <c r="H200" s="38">
        <f>F200*(($H$177)+1)+(IF(G200&lt;101,G200,IF(G200&lt;201,G200/2,IF(G200&lt;=301,G200/3,G200/4))))</f>
        <v>947.64910499999985</v>
      </c>
    </row>
    <row r="201" spans="1:8" hidden="1" x14ac:dyDescent="0.25">
      <c r="A201" s="67">
        <v>4</v>
      </c>
      <c r="B201" s="68"/>
      <c r="C201" s="38" t="s">
        <v>319</v>
      </c>
      <c r="D201" s="55">
        <f>(2.9*5.7+1.25*2.5+1.8*3.3+2.9*3.05+2.9*4.15+2.4*1.35+2.15*1.35+1.9*1)*10.764</f>
        <v>586.82636999999988</v>
      </c>
      <c r="E201" s="55">
        <v>0</v>
      </c>
      <c r="F201" s="38">
        <f>D201+E201</f>
        <v>586.82636999999988</v>
      </c>
      <c r="G201" s="38">
        <v>0</v>
      </c>
      <c r="H201" s="38">
        <f>F201*(($H$177)+1)+(IF(G201&lt;101,G201,IF(G201&lt;201,G201/2,IF(G201&lt;=301,G201/3,G201/4))))</f>
        <v>880.23955499999988</v>
      </c>
    </row>
    <row r="202" spans="1:8" hidden="1" x14ac:dyDescent="0.25">
      <c r="A202" s="119" t="s">
        <v>326</v>
      </c>
      <c r="B202" s="119"/>
      <c r="C202" s="119"/>
      <c r="D202" s="119"/>
      <c r="E202" s="119"/>
      <c r="F202" s="119"/>
      <c r="G202" s="119"/>
      <c r="H202" s="119"/>
    </row>
    <row r="203" spans="1:8" hidden="1" x14ac:dyDescent="0.25">
      <c r="A203" s="67">
        <v>1</v>
      </c>
      <c r="B203" s="68"/>
      <c r="C203" s="38" t="s">
        <v>319</v>
      </c>
      <c r="D203" s="55">
        <f>(2.9*5.15+1.35*2.5+2.3*1.1+3*2.15+2.9*3.05+2.9*4.2+2.3*1.35+2.15*1.35+1.9*1)*10.764</f>
        <v>605.17899</v>
      </c>
      <c r="E203" s="55">
        <v>0</v>
      </c>
      <c r="F203" s="38">
        <f>D203+E203</f>
        <v>605.17899</v>
      </c>
      <c r="G203" s="38">
        <v>0</v>
      </c>
      <c r="H203" s="38">
        <f>F203*(($H$177)+1)+(IF(G203&lt;101,G203,IF(G203&lt;201,G203/2,IF(G203&lt;=301,G203/3,G203/4))))</f>
        <v>907.76848500000006</v>
      </c>
    </row>
    <row r="204" spans="1:8" hidden="1" x14ac:dyDescent="0.25">
      <c r="A204" s="67">
        <f>A203+1</f>
        <v>2</v>
      </c>
      <c r="B204" s="68"/>
      <c r="C204" s="38" t="s">
        <v>319</v>
      </c>
      <c r="D204" s="55">
        <f>(3.05*5.25+1.35*2.5+1.95*1.05+2.75*2.15+2.9*3.05+3.05*3.75+2.15*1.35+2.45*1.35+3.2*1)*10.764</f>
        <v>613.9785599999999</v>
      </c>
      <c r="E204" s="55">
        <v>0</v>
      </c>
      <c r="F204" s="38">
        <f>D204+E204</f>
        <v>613.9785599999999</v>
      </c>
      <c r="G204" s="38">
        <v>0</v>
      </c>
      <c r="H204" s="38">
        <f>F204*(($H$177)+1)+(IF(G204&lt;101,G204,IF(G204&lt;201,G204/2,IF(G204&lt;=301,G204/3,G204/4))))</f>
        <v>920.9678399999998</v>
      </c>
    </row>
    <row r="205" spans="1:8" ht="15.75" hidden="1" customHeight="1" x14ac:dyDescent="0.25">
      <c r="A205" s="67">
        <f>A204+1</f>
        <v>3</v>
      </c>
      <c r="B205" s="68"/>
      <c r="C205" s="38" t="s">
        <v>319</v>
      </c>
      <c r="D205" s="55">
        <f>(3.05*5.7+2.35*1+1.4*2.5+2.2*2.8+2.9*3.05+3.05*4.2+2.4*1.35+2.15*1.35+1.5*1)*10.764</f>
        <v>631.7660699999999</v>
      </c>
      <c r="E205" s="55">
        <v>0</v>
      </c>
      <c r="F205" s="38">
        <f>D205+E205</f>
        <v>631.7660699999999</v>
      </c>
      <c r="G205" s="38">
        <v>0</v>
      </c>
      <c r="H205" s="38">
        <f>F205*(($H$177)+1)+(IF(G205&lt;101,G205,IF(G205&lt;201,G205/2,IF(G205&lt;=301,G205/3,G205/4))))</f>
        <v>947.64910499999985</v>
      </c>
    </row>
    <row r="206" spans="1:8" hidden="1" x14ac:dyDescent="0.25">
      <c r="A206" s="67">
        <v>4</v>
      </c>
      <c r="B206" s="68"/>
      <c r="C206" s="38" t="s">
        <v>319</v>
      </c>
      <c r="D206" s="55">
        <f>(2.9*5.7+1.25*2.5+1.8*3.3+2.9*3.05+2.9*4.15+2.4*1.35+2.15*1.35+1.9*1)*10.764</f>
        <v>586.82636999999988</v>
      </c>
      <c r="E206" s="55">
        <v>0</v>
      </c>
      <c r="F206" s="38">
        <f>D206+E206</f>
        <v>586.82636999999988</v>
      </c>
      <c r="G206" s="38">
        <v>0</v>
      </c>
      <c r="H206" s="38">
        <f>F206*(($H$177)+1)+(IF(G206&lt;101,G206,IF(G206&lt;201,G206/2,IF(G206&lt;=301,G206/3,G206/4))))</f>
        <v>880.23955499999988</v>
      </c>
    </row>
    <row r="207" spans="1:8" hidden="1" x14ac:dyDescent="0.25">
      <c r="A207" s="84" t="s">
        <v>313</v>
      </c>
      <c r="B207" s="85"/>
      <c r="C207" s="85"/>
      <c r="D207" s="85"/>
      <c r="E207" s="85"/>
      <c r="F207" s="85"/>
      <c r="G207" s="85"/>
      <c r="H207" s="86"/>
    </row>
    <row r="208" spans="1:8" hidden="1" x14ac:dyDescent="0.25">
      <c r="A208" s="78" t="s">
        <v>317</v>
      </c>
      <c r="B208" s="79"/>
      <c r="C208" s="79"/>
      <c r="D208" s="79"/>
      <c r="E208" s="79"/>
      <c r="F208" s="79"/>
      <c r="G208" s="79"/>
      <c r="H208" s="80"/>
    </row>
    <row r="209" spans="1:8" hidden="1" x14ac:dyDescent="0.25">
      <c r="A209" s="67">
        <v>1</v>
      </c>
      <c r="B209" s="68"/>
      <c r="C209" s="38" t="s">
        <v>319</v>
      </c>
      <c r="D209" s="55">
        <f>(2.9*5.15+1.35*2.5+2.3*1.1+3*2.15+2.9*3.05+2.9*4.2+2.3*1.35+2.15*1.35+1.9*1)*10.764</f>
        <v>605.17899</v>
      </c>
      <c r="E209" s="55">
        <v>0</v>
      </c>
      <c r="F209" s="38">
        <f>D209+E209</f>
        <v>605.17899</v>
      </c>
      <c r="G209" s="38">
        <v>0</v>
      </c>
      <c r="H209" s="38">
        <f>F209*(($H$177)+1)+(IF(G209&lt;101,G209,IF(G209&lt;201,G209/2,IF(G209&lt;=301,G209/3,G209/4))))</f>
        <v>907.76848500000006</v>
      </c>
    </row>
    <row r="210" spans="1:8" ht="47.25" hidden="1" x14ac:dyDescent="0.25">
      <c r="A210" s="67">
        <f>A209+1</f>
        <v>2</v>
      </c>
      <c r="B210" s="68"/>
      <c r="C210" s="38" t="s">
        <v>330</v>
      </c>
      <c r="D210" s="55">
        <f>((2.9*5.05+1*1.4+2.4*1+2.45*2.55+2.45*2.3+2.9*3.7+0.4*1+2.1*1.2+2.3*1.2)+(2.45*2.3+2.45*2.55+2.9*3.7+0.4*1+2.3*1.2+2.1*1.2+1.35*1.55+2.55*1.4+5.2*1+1.4*1.2+1.7*1))*10.764</f>
        <v>960.92918999999983</v>
      </c>
      <c r="E210" s="55">
        <v>0</v>
      </c>
      <c r="F210" s="38">
        <f>D210+E210</f>
        <v>960.92918999999983</v>
      </c>
      <c r="G210" s="38">
        <v>0</v>
      </c>
      <c r="H210" s="38">
        <f>F210*(($H$177)+1)+(IF(G210&lt;101,G210,IF(G210&lt;201,G210/2,IF(G210&lt;=301,G210/3,G210/4))))</f>
        <v>1441.3937849999998</v>
      </c>
    </row>
    <row r="211" spans="1:8" ht="47.25" hidden="1" x14ac:dyDescent="0.25">
      <c r="A211" s="67">
        <f>A210+1</f>
        <v>3</v>
      </c>
      <c r="B211" s="68"/>
      <c r="C211" s="38" t="s">
        <v>329</v>
      </c>
      <c r="D211" s="55">
        <f>((3.05*5.25+1.95*1.05+1.4*1.5+3.2*1+2.9*3.05+3.05*3.75+2.45*1.35+2.15*1.35)+(4.25*2.15+2.9*3.05+3.05*3.75+2.4*1.35+2.15*1.35+1.4*1.5+6.2*1))*10.764</f>
        <v>1008.74826</v>
      </c>
      <c r="E211" s="55">
        <v>0</v>
      </c>
      <c r="F211" s="38">
        <f>D211+E211</f>
        <v>1008.74826</v>
      </c>
      <c r="G211" s="38">
        <v>0</v>
      </c>
      <c r="H211" s="38">
        <f>F211*(($H$177)+1)+(IF(G211&lt;101,G211,IF(G211&lt;201,G211/2,IF(G211&lt;=301,G211/3,G211/4))))</f>
        <v>1513.12239</v>
      </c>
    </row>
    <row r="212" spans="1:8" hidden="1" x14ac:dyDescent="0.25">
      <c r="A212" s="67">
        <f>A211+1</f>
        <v>4</v>
      </c>
      <c r="B212" s="68"/>
      <c r="C212" s="38" t="s">
        <v>319</v>
      </c>
      <c r="D212" s="55">
        <f>(2.9*5.15+1.35*2.5+2.3*1.1+3*2.15+2.9*3.05+2.9*4.2+2.3*1.35+2.15*1.35+1.9*1)*10.764</f>
        <v>605.17899</v>
      </c>
      <c r="E212" s="55">
        <v>0</v>
      </c>
      <c r="F212" s="38">
        <f>D212+E212</f>
        <v>605.17899</v>
      </c>
      <c r="G212" s="38">
        <v>0</v>
      </c>
      <c r="H212" s="38">
        <f>F212*(($H$177)+1)+(IF(G212&lt;101,G212,IF(G212&lt;201,G212/2,IF(G212&lt;=301,G212/3,G212/4))))</f>
        <v>907.76848500000006</v>
      </c>
    </row>
    <row r="213" spans="1:8" hidden="1" x14ac:dyDescent="0.25">
      <c r="A213" s="119" t="s">
        <v>116</v>
      </c>
      <c r="B213" s="119"/>
      <c r="C213" s="119"/>
      <c r="D213" s="119"/>
      <c r="E213" s="119"/>
      <c r="F213" s="119"/>
      <c r="G213" s="119"/>
      <c r="H213" s="119"/>
    </row>
    <row r="214" spans="1:8" hidden="1" x14ac:dyDescent="0.25">
      <c r="A214" s="67">
        <v>1</v>
      </c>
      <c r="B214" s="68"/>
      <c r="C214" s="38" t="s">
        <v>319</v>
      </c>
      <c r="D214" s="55">
        <f>(2.9*5.15+1.35*2.5+2.3*1.1+3*2.15+2.9*3.05+2.9*4.2+2.3*1.35+2.15*1.35+1.9*1)*10.764</f>
        <v>605.17899</v>
      </c>
      <c r="E214" s="55">
        <v>0</v>
      </c>
      <c r="F214" s="38">
        <f>D214+E214</f>
        <v>605.17899</v>
      </c>
      <c r="G214" s="38">
        <v>0</v>
      </c>
      <c r="H214" s="38">
        <f>F214*(($H$177)+1)+(IF(G214&lt;101,G214,IF(G214&lt;201,G214/2,IF(G214&lt;=301,G214/3,G214/4))))</f>
        <v>907.76848500000006</v>
      </c>
    </row>
    <row r="215" spans="1:8" hidden="1" x14ac:dyDescent="0.25">
      <c r="A215" s="67">
        <f>A214+1</f>
        <v>2</v>
      </c>
      <c r="B215" s="68"/>
      <c r="C215" s="67" t="s">
        <v>321</v>
      </c>
      <c r="D215" s="168"/>
      <c r="E215" s="168"/>
      <c r="F215" s="168"/>
      <c r="G215" s="168"/>
      <c r="H215" s="68"/>
    </row>
    <row r="216" spans="1:8" hidden="1" x14ac:dyDescent="0.25">
      <c r="A216" s="67">
        <f>A215+1</f>
        <v>3</v>
      </c>
      <c r="B216" s="68"/>
      <c r="C216" s="67" t="s">
        <v>321</v>
      </c>
      <c r="D216" s="168"/>
      <c r="E216" s="168"/>
      <c r="F216" s="168"/>
      <c r="G216" s="168"/>
      <c r="H216" s="68"/>
    </row>
    <row r="217" spans="1:8" hidden="1" x14ac:dyDescent="0.25">
      <c r="A217" s="67">
        <f>A216+1</f>
        <v>4</v>
      </c>
      <c r="B217" s="68"/>
      <c r="C217" s="38" t="s">
        <v>319</v>
      </c>
      <c r="D217" s="55">
        <f>(2.9*5.25+1.35*2.5+2.3*1.1+3*2.15+2.9*3.05+2.9*4.2+2.3*1.35+2.15*1.35+1.9*1)*10.764</f>
        <v>608.30054999999993</v>
      </c>
      <c r="E217" s="55">
        <v>0</v>
      </c>
      <c r="F217" s="38">
        <f>D217+E217</f>
        <v>608.30054999999993</v>
      </c>
      <c r="G217" s="38">
        <v>0</v>
      </c>
      <c r="H217" s="38">
        <f>F217*(($H$177)+1)+(IF(G217&lt;101,G217,IF(G217&lt;201,G217/2,IF(G217&lt;=301,G217/3,G217/4))))</f>
        <v>912.4508249999999</v>
      </c>
    </row>
    <row r="218" spans="1:8" ht="15.75" hidden="1" customHeight="1" x14ac:dyDescent="0.25">
      <c r="A218" s="119" t="s">
        <v>323</v>
      </c>
      <c r="B218" s="119"/>
      <c r="C218" s="119"/>
      <c r="D218" s="119"/>
      <c r="E218" s="119"/>
      <c r="F218" s="119"/>
      <c r="G218" s="119"/>
      <c r="H218" s="119"/>
    </row>
    <row r="219" spans="1:8" ht="15.75" hidden="1" customHeight="1" x14ac:dyDescent="0.25">
      <c r="A219" s="67">
        <v>1</v>
      </c>
      <c r="B219" s="68"/>
      <c r="C219" s="38" t="s">
        <v>319</v>
      </c>
      <c r="D219" s="55">
        <f>(2.9*5.15+1.35*2.5+2.3*1.1+3*2.15+2.9*3.05+2.9*4.2+2.3*1.35+2.15*1.35+1.9*1)*10.764</f>
        <v>605.17899</v>
      </c>
      <c r="E219" s="55">
        <v>0</v>
      </c>
      <c r="F219" s="38">
        <f>D219+E219</f>
        <v>605.17899</v>
      </c>
      <c r="G219" s="38">
        <v>0</v>
      </c>
      <c r="H219" s="38">
        <f>F219*(($H$177)+1)+(IF(G219&lt;101,G219,IF(G219&lt;201,G219/2,IF(G219&lt;=301,G219/3,G219/4))))</f>
        <v>907.76848500000006</v>
      </c>
    </row>
    <row r="220" spans="1:8" ht="15.75" hidden="1" customHeight="1" x14ac:dyDescent="0.25">
      <c r="A220" s="67">
        <v>2</v>
      </c>
      <c r="B220" s="68"/>
      <c r="C220" s="38" t="s">
        <v>320</v>
      </c>
      <c r="D220" s="55">
        <f>(2.9*5.05+0.95*2.35+2.45*2.3+2.45*2.55+2.9*3.7+0.4*1+2.1*1.2+2.3*1.2+1.25*1)*10.764</f>
        <v>499.66487999999993</v>
      </c>
      <c r="E220" s="55">
        <v>0</v>
      </c>
      <c r="F220" s="38">
        <f>D220+E220</f>
        <v>499.66487999999993</v>
      </c>
      <c r="G220" s="38">
        <v>0</v>
      </c>
      <c r="H220" s="38">
        <f>F220*(($H$177)+1)+(IF(G220&lt;101,G220,IF(G220&lt;201,G220/2,IF(G220&lt;=301,G220/3,G220/4))))</f>
        <v>749.49731999999995</v>
      </c>
    </row>
    <row r="221" spans="1:8" ht="15" hidden="1" customHeight="1" x14ac:dyDescent="0.25">
      <c r="A221" s="67">
        <v>3</v>
      </c>
      <c r="B221" s="68"/>
      <c r="C221" s="38" t="s">
        <v>319</v>
      </c>
      <c r="D221" s="55">
        <f>(3.05*5.25+1.4*2.5+2.3*1.1+2.75*2.15+2.9*3.05+3.05*3.75+2.4*1.35+2.15*1.35+1.9*1)*10.764</f>
        <v>605.79791999999986</v>
      </c>
      <c r="E221" s="55">
        <v>0</v>
      </c>
      <c r="F221" s="38">
        <f>D221+E221</f>
        <v>605.79791999999986</v>
      </c>
      <c r="G221" s="38">
        <v>0</v>
      </c>
      <c r="H221" s="38">
        <f>F221*(($H$177)+1)+(IF(G221&lt;101,G221,IF(G221&lt;201,G221/2,IF(G221&lt;=301,G221/3,G221/4))))</f>
        <v>908.69687999999974</v>
      </c>
    </row>
    <row r="222" spans="1:8" hidden="1" x14ac:dyDescent="0.25">
      <c r="A222" s="67">
        <f>A221+1</f>
        <v>4</v>
      </c>
      <c r="B222" s="68"/>
      <c r="C222" s="38" t="s">
        <v>319</v>
      </c>
      <c r="D222" s="55">
        <f>(2.9*5.25+1.35*2.5+2.3*1.1+3*2.15+2.9*3.05+2.9*4.2+2.3*1.35+2.15*1.35+1.9*1)*10.764</f>
        <v>608.30054999999993</v>
      </c>
      <c r="E222" s="55">
        <v>0</v>
      </c>
      <c r="F222" s="38">
        <f>D222+E222</f>
        <v>608.30054999999993</v>
      </c>
      <c r="G222" s="38">
        <v>0</v>
      </c>
      <c r="H222" s="38">
        <f>F222*(($H$177)+1)+(IF(G222&lt;101,G222,IF(G222&lt;201,G222/2,IF(G222&lt;=301,G222/3,G222/4))))</f>
        <v>912.4508249999999</v>
      </c>
    </row>
    <row r="223" spans="1:8" ht="15.75" hidden="1" customHeight="1" x14ac:dyDescent="0.25">
      <c r="A223" s="119" t="s">
        <v>324</v>
      </c>
      <c r="B223" s="119"/>
      <c r="C223" s="119"/>
      <c r="D223" s="119"/>
      <c r="E223" s="119"/>
      <c r="F223" s="119"/>
      <c r="G223" s="119"/>
      <c r="H223" s="119"/>
    </row>
    <row r="224" spans="1:8" hidden="1" x14ac:dyDescent="0.25">
      <c r="A224" s="67">
        <v>1</v>
      </c>
      <c r="B224" s="68"/>
      <c r="C224" s="38" t="s">
        <v>319</v>
      </c>
      <c r="D224" s="55">
        <f>(2.9*5.15+1.35*2.5+2.3*1.1+3*2.15+2.9*3.05+2.9*4.2+2.3*1.35+2.15*1.35+1.9*1)*10.764</f>
        <v>605.17899</v>
      </c>
      <c r="E224" s="55">
        <v>0</v>
      </c>
      <c r="F224" s="38">
        <f>D224+E224</f>
        <v>605.17899</v>
      </c>
      <c r="G224" s="38">
        <v>0</v>
      </c>
      <c r="H224" s="38">
        <f>F224*(($H$177)+1)+(IF(G224&lt;101,G224,IF(G224&lt;201,G224/2,IF(G224&lt;=301,G224/3,G224/4))))</f>
        <v>907.76848500000006</v>
      </c>
    </row>
    <row r="225" spans="1:8" hidden="1" x14ac:dyDescent="0.25">
      <c r="A225" s="67">
        <v>2</v>
      </c>
      <c r="B225" s="68"/>
      <c r="C225" s="38" t="s">
        <v>320</v>
      </c>
      <c r="D225" s="55">
        <f>(2.9*5.05+0.95*2.35+2.45*2.3+2.45*2.55+2.9*3.7+0.4*1+2.1*1.2+2.3*1.2+1.25*1)*10.764</f>
        <v>499.66487999999993</v>
      </c>
      <c r="E225" s="55">
        <v>0</v>
      </c>
      <c r="F225" s="38">
        <f>D225+E225</f>
        <v>499.66487999999993</v>
      </c>
      <c r="G225" s="38">
        <v>0</v>
      </c>
      <c r="H225" s="38">
        <f>F225*(($H$177)+1)+(IF(G225&lt;101,G225,IF(G225&lt;201,G225/2,IF(G225&lt;=301,G225/3,G225/4))))</f>
        <v>749.49731999999995</v>
      </c>
    </row>
    <row r="226" spans="1:8" hidden="1" x14ac:dyDescent="0.25">
      <c r="A226" s="67">
        <v>3</v>
      </c>
      <c r="B226" s="68"/>
      <c r="C226" s="38" t="s">
        <v>319</v>
      </c>
      <c r="D226" s="55">
        <f>(3.05*5.25+1.4*2.5+2.3*1.1+2.75*2.15+2.9*3.05+3.05*3.75+2.4*1.35+2.15*1.35+1.9*1)*10.764</f>
        <v>605.79791999999986</v>
      </c>
      <c r="E226" s="55">
        <v>0</v>
      </c>
      <c r="F226" s="38">
        <f>D226+E226</f>
        <v>605.79791999999986</v>
      </c>
      <c r="G226" s="38">
        <v>0</v>
      </c>
      <c r="H226" s="38">
        <f>F226*(($H$177)+1)+(IF(G226&lt;101,G226,IF(G226&lt;201,G226/2,IF(G226&lt;=301,G226/3,G226/4))))</f>
        <v>908.69687999999974</v>
      </c>
    </row>
    <row r="227" spans="1:8" hidden="1" x14ac:dyDescent="0.25">
      <c r="A227" s="67">
        <f>A226+1</f>
        <v>4</v>
      </c>
      <c r="B227" s="68"/>
      <c r="C227" s="38" t="s">
        <v>319</v>
      </c>
      <c r="D227" s="55">
        <f>(2.9*5.25+1.35*2.5+2.3*1.1+3*2.15+2.9*3.05+2.9*4.2+2.3*1.35+2.15*1.35+1.9*1)*10.764</f>
        <v>608.30054999999993</v>
      </c>
      <c r="E227" s="55">
        <v>0</v>
      </c>
      <c r="F227" s="38">
        <f>D227+E227</f>
        <v>608.30054999999993</v>
      </c>
      <c r="G227" s="38">
        <v>0</v>
      </c>
      <c r="H227" s="38">
        <f>F227*(($H$177)+1)+(IF(G227&lt;101,G227,IF(G227&lt;201,G227/2,IF(G227&lt;=301,G227/3,G227/4))))</f>
        <v>912.4508249999999</v>
      </c>
    </row>
    <row r="228" spans="1:8" hidden="1" x14ac:dyDescent="0.25">
      <c r="A228" s="119" t="s">
        <v>325</v>
      </c>
      <c r="B228" s="119"/>
      <c r="C228" s="119"/>
      <c r="D228" s="119"/>
      <c r="E228" s="119"/>
      <c r="F228" s="119"/>
      <c r="G228" s="119"/>
      <c r="H228" s="119"/>
    </row>
    <row r="229" spans="1:8" hidden="1" x14ac:dyDescent="0.25">
      <c r="A229" s="67">
        <v>1</v>
      </c>
      <c r="B229" s="68"/>
      <c r="C229" s="38" t="s">
        <v>319</v>
      </c>
      <c r="D229" s="55">
        <f>(2.9*5.15+1.35*2.5+2.3*1.1+3*2.15+2.9*3.05+2.9*4.2+2.3*1.35+2.15*1.35+1.9*1)*10.764</f>
        <v>605.17899</v>
      </c>
      <c r="E229" s="55">
        <v>0</v>
      </c>
      <c r="F229" s="38">
        <f>D229+E229</f>
        <v>605.17899</v>
      </c>
      <c r="G229" s="38">
        <v>0</v>
      </c>
      <c r="H229" s="38">
        <f>F229*(($H$177)+1)+(IF(G229&lt;101,G229,IF(G229&lt;201,G229/2,IF(G229&lt;=301,G229/3,G229/4))))</f>
        <v>907.76848500000006</v>
      </c>
    </row>
    <row r="230" spans="1:8" hidden="1" x14ac:dyDescent="0.25">
      <c r="A230" s="67">
        <v>2</v>
      </c>
      <c r="B230" s="68"/>
      <c r="C230" s="38" t="s">
        <v>320</v>
      </c>
      <c r="D230" s="55">
        <f>(2.9*5.05+0.95*2.35+2.45*2.3+2.45*2.55+2.9*3.7+0.4*1+2.1*1.2+2.3*1.2+1.25*1)*10.764</f>
        <v>499.66487999999993</v>
      </c>
      <c r="E230" s="55">
        <v>0</v>
      </c>
      <c r="F230" s="38">
        <f>D230+E230</f>
        <v>499.66487999999993</v>
      </c>
      <c r="G230" s="38">
        <v>0</v>
      </c>
      <c r="H230" s="38">
        <f>F230*(($H$177)+1)+(IF(G230&lt;101,G230,IF(G230&lt;201,G230/2,IF(G230&lt;=301,G230/3,G230/4))))</f>
        <v>749.49731999999995</v>
      </c>
    </row>
    <row r="231" spans="1:8" hidden="1" x14ac:dyDescent="0.25">
      <c r="A231" s="67">
        <v>3</v>
      </c>
      <c r="B231" s="68"/>
      <c r="C231" s="38" t="s">
        <v>319</v>
      </c>
      <c r="D231" s="55">
        <f>(3.05*5.25+1.4*2.5+2.3*1.1+2.75*2.15+2.9*3.05+3.05*3.75+2.4*1.35+2.15*1.35+1.9*1)*10.764</f>
        <v>605.79791999999986</v>
      </c>
      <c r="E231" s="55">
        <v>0</v>
      </c>
      <c r="F231" s="38">
        <f>D231+E231</f>
        <v>605.79791999999986</v>
      </c>
      <c r="G231" s="38">
        <v>0</v>
      </c>
      <c r="H231" s="38">
        <f>F231*(($H$177)+1)+(IF(G231&lt;101,G231,IF(G231&lt;201,G231/2,IF(G231&lt;=301,G231/3,G231/4))))</f>
        <v>908.69687999999974</v>
      </c>
    </row>
    <row r="232" spans="1:8" hidden="1" x14ac:dyDescent="0.25">
      <c r="A232" s="67">
        <f>A231+1</f>
        <v>4</v>
      </c>
      <c r="B232" s="68"/>
      <c r="C232" s="38" t="s">
        <v>319</v>
      </c>
      <c r="D232" s="55">
        <f>(2.9*5.25+1.35*2.5+2.3*1.1+3*2.15+2.9*3.05+2.9*4.2+2.3*1.35+2.15*1.35+1.9*1)*10.764</f>
        <v>608.30054999999993</v>
      </c>
      <c r="E232" s="55">
        <v>0</v>
      </c>
      <c r="F232" s="38">
        <f>D232+E232</f>
        <v>608.30054999999993</v>
      </c>
      <c r="G232" s="38">
        <v>0</v>
      </c>
      <c r="H232" s="38">
        <f>F232*(($H$177)+1)+(IF(G232&lt;101,G232,IF(G232&lt;201,G232/2,IF(G232&lt;=301,G232/3,G232/4))))</f>
        <v>912.4508249999999</v>
      </c>
    </row>
    <row r="233" spans="1:8" hidden="1" x14ac:dyDescent="0.25">
      <c r="A233" s="119" t="s">
        <v>326</v>
      </c>
      <c r="B233" s="119"/>
      <c r="C233" s="119"/>
      <c r="D233" s="119"/>
      <c r="E233" s="119"/>
      <c r="F233" s="119"/>
      <c r="G233" s="119"/>
      <c r="H233" s="119"/>
    </row>
    <row r="234" spans="1:8" hidden="1" x14ac:dyDescent="0.25">
      <c r="A234" s="67">
        <v>1</v>
      </c>
      <c r="B234" s="68"/>
      <c r="C234" s="38" t="s">
        <v>319</v>
      </c>
      <c r="D234" s="55">
        <f>(2.9*5.15+1.35*2.5+2.3*1.1+3*2.15+2.9*3.05+2.9*4.2+2.3*1.35+2.15*1.35+1.9*1)*10.764</f>
        <v>605.17899</v>
      </c>
      <c r="E234" s="55">
        <v>0</v>
      </c>
      <c r="F234" s="38">
        <f>D234+E234</f>
        <v>605.17899</v>
      </c>
      <c r="G234" s="38">
        <v>0</v>
      </c>
      <c r="H234" s="38">
        <f>F234*(($H$177)+1)+(IF(G234&lt;101,G234,IF(G234&lt;201,G234/2,IF(G234&lt;=301,G234/3,G234/4))))</f>
        <v>907.76848500000006</v>
      </c>
    </row>
    <row r="235" spans="1:8" hidden="1" x14ac:dyDescent="0.25">
      <c r="A235" s="67">
        <v>2</v>
      </c>
      <c r="B235" s="68"/>
      <c r="C235" s="38" t="s">
        <v>320</v>
      </c>
      <c r="D235" s="55">
        <f>(2.9*5.05+0.95*2.35+2.45*2.3+2.45*2.55+2.9*3.7+0.4*1+2.1*1.2+2.3*1.2+1.25*1)*10.764</f>
        <v>499.66487999999993</v>
      </c>
      <c r="E235" s="55">
        <v>0</v>
      </c>
      <c r="F235" s="38">
        <f>D235+E235</f>
        <v>499.66487999999993</v>
      </c>
      <c r="G235" s="38">
        <v>0</v>
      </c>
      <c r="H235" s="38">
        <f>F235*(($H$177)+1)+(IF(G235&lt;101,G235,IF(G235&lt;201,G235/2,IF(G235&lt;=301,G235/3,G235/4))))</f>
        <v>749.49731999999995</v>
      </c>
    </row>
    <row r="236" spans="1:8" hidden="1" x14ac:dyDescent="0.25">
      <c r="A236" s="67">
        <v>3</v>
      </c>
      <c r="B236" s="68"/>
      <c r="C236" s="38" t="s">
        <v>319</v>
      </c>
      <c r="D236" s="55">
        <f>(3.05*5.25+1.4*2.5+2.3*1.1+2.75*2.15+2.9*3.05+3.05*3.75+2.4*1.35+2.15*1.35+1.9*1)*10.764</f>
        <v>605.79791999999986</v>
      </c>
      <c r="E236" s="55">
        <v>0</v>
      </c>
      <c r="F236" s="38">
        <f>D236+E236</f>
        <v>605.79791999999986</v>
      </c>
      <c r="G236" s="38">
        <v>0</v>
      </c>
      <c r="H236" s="38">
        <f>F236*(($H$177)+1)+(IF(G236&lt;101,G236,IF(G236&lt;201,G236/2,IF(G236&lt;=301,G236/3,G236/4))))</f>
        <v>908.69687999999974</v>
      </c>
    </row>
    <row r="237" spans="1:8" hidden="1" x14ac:dyDescent="0.25">
      <c r="A237" s="67">
        <f>A236+1</f>
        <v>4</v>
      </c>
      <c r="B237" s="68"/>
      <c r="C237" s="38" t="s">
        <v>319</v>
      </c>
      <c r="D237" s="55">
        <f>(2.9*5.25+1.35*2.5+2.3*1.1+3*2.15+2.9*3.05+2.9*4.2+2.3*1.35+2.15*1.35+1.9*1)*10.764</f>
        <v>608.30054999999993</v>
      </c>
      <c r="E237" s="55">
        <v>0</v>
      </c>
      <c r="F237" s="38">
        <f>D237+E237</f>
        <v>608.30054999999993</v>
      </c>
      <c r="G237" s="38">
        <v>0</v>
      </c>
      <c r="H237" s="38">
        <f>F237*(($H$177)+1)+(IF(G237&lt;101,G237,IF(G237&lt;201,G237/2,IF(G237&lt;=301,G237/3,G237/4))))</f>
        <v>912.4508249999999</v>
      </c>
    </row>
    <row r="238" spans="1:8" hidden="1" x14ac:dyDescent="0.25">
      <c r="A238" s="84" t="s">
        <v>314</v>
      </c>
      <c r="B238" s="85"/>
      <c r="C238" s="85"/>
      <c r="D238" s="85"/>
      <c r="E238" s="85"/>
      <c r="F238" s="85"/>
      <c r="G238" s="85"/>
      <c r="H238" s="86"/>
    </row>
    <row r="239" spans="1:8" hidden="1" x14ac:dyDescent="0.25">
      <c r="A239" s="78" t="s">
        <v>317</v>
      </c>
      <c r="B239" s="79"/>
      <c r="C239" s="79"/>
      <c r="D239" s="79"/>
      <c r="E239" s="79"/>
      <c r="F239" s="79"/>
      <c r="G239" s="79"/>
      <c r="H239" s="80"/>
    </row>
    <row r="240" spans="1:8" hidden="1" x14ac:dyDescent="0.25">
      <c r="A240" s="67">
        <v>1</v>
      </c>
      <c r="B240" s="68"/>
      <c r="C240" s="38" t="s">
        <v>320</v>
      </c>
      <c r="D240" s="55">
        <f>(2.9*4.55+0.95*2.5+2.35*1+2.7*2.15+2.9*3.05+0.6*1+2.45*2.45+2.3*1.35+2.1*1.35+1.05*1)*10.764</f>
        <v>496.89314999999993</v>
      </c>
      <c r="E240" s="55">
        <v>0</v>
      </c>
      <c r="F240" s="38">
        <f>D240+E240</f>
        <v>496.89314999999993</v>
      </c>
      <c r="G240" s="38">
        <v>0</v>
      </c>
      <c r="H240" s="38">
        <f>F240*(($H$177)+1)+(IF(G240&lt;101,G240,IF(G240&lt;201,G240/2,IF(G240&lt;=301,G240/3,G240/4))))</f>
        <v>745.33972499999993</v>
      </c>
    </row>
    <row r="241" spans="1:8" hidden="1" x14ac:dyDescent="0.25">
      <c r="A241" s="67">
        <f>A240+1</f>
        <v>2</v>
      </c>
      <c r="B241" s="68"/>
      <c r="C241" s="38" t="s">
        <v>319</v>
      </c>
      <c r="D241" s="55">
        <f>(3.05*5.95+0.5*3.3+2.35*1+3.05*2.15+3.05*3.3+0.6*1+3.55*3.3+1.5*1+2.15*1.35+2.15*1.35+1.5*1+0.9*1)*10.764</f>
        <v>654.34355999999991</v>
      </c>
      <c r="E241" s="55">
        <v>0</v>
      </c>
      <c r="F241" s="38">
        <f>D241+E241</f>
        <v>654.34355999999991</v>
      </c>
      <c r="G241" s="38">
        <v>0</v>
      </c>
      <c r="H241" s="38">
        <f>F241*(($H$177)+1)+(IF(G241&lt;101,G241,IF(G241&lt;201,G241/2,IF(G241&lt;=301,G241/3,G241/4))))</f>
        <v>981.51533999999992</v>
      </c>
    </row>
    <row r="242" spans="1:8" hidden="1" x14ac:dyDescent="0.25">
      <c r="A242" s="67">
        <f>A241+1</f>
        <v>3</v>
      </c>
      <c r="B242" s="68"/>
      <c r="C242" s="38" t="s">
        <v>319</v>
      </c>
      <c r="D242" s="55">
        <f>(5.15*2.9+2.35*1+2.5*1.25+2.15*3+3.05*2.9+4.2*2.9+1*0.6+2.4*1.35+2.15*1.35+1.35*1)*10.764</f>
        <v>602.54180999999994</v>
      </c>
      <c r="E242" s="55">
        <v>0</v>
      </c>
      <c r="F242" s="38">
        <f>D242+E242</f>
        <v>602.54180999999994</v>
      </c>
      <c r="G242" s="38">
        <v>0</v>
      </c>
      <c r="H242" s="38">
        <f>F242*(($H$177)+1)+(IF(G242&lt;101,G242,IF(G242&lt;201,G242/2,IF(G242&lt;=301,G242/3,G242/4))))</f>
        <v>903.81271499999991</v>
      </c>
    </row>
    <row r="243" spans="1:8" ht="15.75" hidden="1" customHeight="1" x14ac:dyDescent="0.25">
      <c r="A243" s="119" t="s">
        <v>116</v>
      </c>
      <c r="B243" s="119"/>
      <c r="C243" s="119"/>
      <c r="D243" s="119"/>
      <c r="E243" s="119"/>
      <c r="F243" s="119"/>
      <c r="G243" s="119"/>
      <c r="H243" s="119"/>
    </row>
    <row r="244" spans="1:8" hidden="1" x14ac:dyDescent="0.25">
      <c r="A244" s="67">
        <v>1</v>
      </c>
      <c r="B244" s="68"/>
      <c r="C244" s="38" t="s">
        <v>320</v>
      </c>
      <c r="D244" s="55">
        <f>(2.9*4.55+0.95*2.5+2.35*1+2.7*2.15+2.9*3.05+0.6*1+2.45*2.45+2.3*1.35+2.1*1.35+1.05*1)*10.764</f>
        <v>496.89314999999993</v>
      </c>
      <c r="E244" s="55">
        <v>0</v>
      </c>
      <c r="F244" s="38">
        <f>D244+E244</f>
        <v>496.89314999999993</v>
      </c>
      <c r="G244" s="38">
        <v>0</v>
      </c>
      <c r="H244" s="38">
        <f>F244*(($H$177)+1)+(IF(G244&lt;101,G244,IF(G244&lt;201,G244/2,IF(G244&lt;=301,G244/3,G244/4))))</f>
        <v>745.33972499999993</v>
      </c>
    </row>
    <row r="245" spans="1:8" hidden="1" x14ac:dyDescent="0.25">
      <c r="A245" s="67">
        <f>A244+1</f>
        <v>2</v>
      </c>
      <c r="B245" s="68"/>
      <c r="C245" s="38" t="s">
        <v>319</v>
      </c>
      <c r="D245" s="55">
        <f>(3.05*5.95+0.5*3.3+2.35*1+3.05*2.15+3.05*3.3+0.6*1+3.55*3.3+1.5*1+2.15*1.35+2.15*1.35+1.5*1+0.9*1)*10.764</f>
        <v>654.34355999999991</v>
      </c>
      <c r="E245" s="55">
        <v>0</v>
      </c>
      <c r="F245" s="38">
        <f>D245+E245</f>
        <v>654.34355999999991</v>
      </c>
      <c r="G245" s="38">
        <v>0</v>
      </c>
      <c r="H245" s="38">
        <f>F245*(($H$177)+1)+(IF(G245&lt;101,G245,IF(G245&lt;201,G245/2,IF(G245&lt;=301,G245/3,G245/4))))</f>
        <v>981.51533999999992</v>
      </c>
    </row>
    <row r="246" spans="1:8" hidden="1" x14ac:dyDescent="0.25">
      <c r="A246" s="67">
        <f>A245+1</f>
        <v>3</v>
      </c>
      <c r="B246" s="68"/>
      <c r="C246" s="38" t="s">
        <v>319</v>
      </c>
      <c r="D246" s="55">
        <f>(5.15*2.9+2.35*1+2.5*1.25+2.15*3+3.05*2.9+4.2*2.9+1*0.6+2.4*1.35+2.15*1.35+1.35*1)*10.764</f>
        <v>602.54180999999994</v>
      </c>
      <c r="E246" s="55">
        <v>0</v>
      </c>
      <c r="F246" s="38">
        <f>D246+E246</f>
        <v>602.54180999999994</v>
      </c>
      <c r="G246" s="38">
        <v>0</v>
      </c>
      <c r="H246" s="38">
        <f>F246*(($H$177)+1)+(IF(G246&lt;101,G246,IF(G246&lt;201,G246/2,IF(G246&lt;=301,G246/3,G246/4))))</f>
        <v>903.81271499999991</v>
      </c>
    </row>
    <row r="247" spans="1:8" hidden="1" x14ac:dyDescent="0.25">
      <c r="A247" s="119" t="s">
        <v>323</v>
      </c>
      <c r="B247" s="119"/>
      <c r="C247" s="119"/>
      <c r="D247" s="119"/>
      <c r="E247" s="119"/>
      <c r="F247" s="119"/>
      <c r="G247" s="119"/>
      <c r="H247" s="119"/>
    </row>
    <row r="248" spans="1:8" hidden="1" x14ac:dyDescent="0.25">
      <c r="A248" s="67">
        <v>1</v>
      </c>
      <c r="B248" s="68"/>
      <c r="C248" s="38" t="s">
        <v>320</v>
      </c>
      <c r="D248" s="55">
        <f>(2.9*4.55+0.95*2.5+2.35*1+2.7*2.15+2.9*3.05+0.6*1+2.45*2.45+2.3*1.35+2.1*1.35+1.05*1)*10.764</f>
        <v>496.89314999999993</v>
      </c>
      <c r="E248" s="55">
        <v>0</v>
      </c>
      <c r="F248" s="38">
        <f>D248+E248</f>
        <v>496.89314999999993</v>
      </c>
      <c r="G248" s="38">
        <v>0</v>
      </c>
      <c r="H248" s="38">
        <f>F248*(($H$177)+1)+(IF(G248&lt;101,G248,IF(G248&lt;201,G248/2,IF(G248&lt;=301,G248/3,G248/4))))</f>
        <v>745.33972499999993</v>
      </c>
    </row>
    <row r="249" spans="1:8" hidden="1" x14ac:dyDescent="0.25">
      <c r="A249" s="67">
        <f>A248+1</f>
        <v>2</v>
      </c>
      <c r="B249" s="68"/>
      <c r="C249" s="38" t="s">
        <v>319</v>
      </c>
      <c r="D249" s="55">
        <f>(3.05*5.95+0.5*3.3+2.35*1+3.05*2.15+3.05*3.3+0.6*1+3.55*3.3+1.5*1+2.15*1.35+2.15*1.35+1.5*1+0.9*1)*10.764</f>
        <v>654.34355999999991</v>
      </c>
      <c r="E249" s="55">
        <v>0</v>
      </c>
      <c r="F249" s="38">
        <f>D249+E249</f>
        <v>654.34355999999991</v>
      </c>
      <c r="G249" s="38">
        <v>0</v>
      </c>
      <c r="H249" s="38">
        <f>F249*(($H$177)+1)+(IF(G249&lt;101,G249,IF(G249&lt;201,G249/2,IF(G249&lt;=301,G249/3,G249/4))))</f>
        <v>981.51533999999992</v>
      </c>
    </row>
    <row r="250" spans="1:8" ht="15.75" hidden="1" customHeight="1" x14ac:dyDescent="0.25">
      <c r="A250" s="67">
        <f>A249+1</f>
        <v>3</v>
      </c>
      <c r="B250" s="68"/>
      <c r="C250" s="38" t="s">
        <v>319</v>
      </c>
      <c r="D250" s="55">
        <f>(5.15*2.9+2.35*1+2.5*1.25+2.15*3+3.05*2.9+4.2*2.9+1*0.6+2.4*1.35+2.15*1.35+1.35*1)*10.764</f>
        <v>602.54180999999994</v>
      </c>
      <c r="E250" s="55">
        <v>0</v>
      </c>
      <c r="F250" s="38">
        <f>D250+E250</f>
        <v>602.54180999999994</v>
      </c>
      <c r="G250" s="38">
        <v>0</v>
      </c>
      <c r="H250" s="38">
        <f>F250*(($H$177)+1)+(IF(G250&lt;101,G250,IF(G250&lt;201,G250/2,IF(G250&lt;=301,G250/3,G250/4))))</f>
        <v>903.81271499999991</v>
      </c>
    </row>
    <row r="251" spans="1:8" ht="15.75" hidden="1" customHeight="1" x14ac:dyDescent="0.25">
      <c r="A251" s="119" t="s">
        <v>324</v>
      </c>
      <c r="B251" s="119"/>
      <c r="C251" s="119"/>
      <c r="D251" s="119"/>
      <c r="E251" s="119"/>
      <c r="F251" s="119"/>
      <c r="G251" s="119"/>
      <c r="H251" s="119"/>
    </row>
    <row r="252" spans="1:8" hidden="1" x14ac:dyDescent="0.25">
      <c r="A252" s="67">
        <v>1</v>
      </c>
      <c r="B252" s="68"/>
      <c r="C252" s="38" t="s">
        <v>320</v>
      </c>
      <c r="D252" s="55">
        <f>(2.9*4.55+0.95*2.5+2.35*1+2.7*2.15+2.9*3.05+0.6*1+2.45*2.45+2.3*1.35+2.1*1.35+1.05*1)*10.764</f>
        <v>496.89314999999993</v>
      </c>
      <c r="E252" s="55">
        <v>0</v>
      </c>
      <c r="F252" s="38">
        <f>D252+E252</f>
        <v>496.89314999999993</v>
      </c>
      <c r="G252" s="38">
        <v>0</v>
      </c>
      <c r="H252" s="38">
        <f>F252*(($H$177)+1)+(IF(G252&lt;101,G252,IF(G252&lt;201,G252/2,IF(G252&lt;=301,G252/3,G252/4))))</f>
        <v>745.33972499999993</v>
      </c>
    </row>
    <row r="253" spans="1:8" hidden="1" x14ac:dyDescent="0.25">
      <c r="A253" s="67">
        <f>A252+1</f>
        <v>2</v>
      </c>
      <c r="B253" s="68"/>
      <c r="C253" s="38" t="s">
        <v>319</v>
      </c>
      <c r="D253" s="55">
        <f>(3.05*5.95+0.5*3.3+2.35*1+3.05*2.15+3.05*3.3+0.6*1+3.55*3.3+1.5*1+2.15*1.35+2.15*1.35+1.5*1+0.9*1)*10.764</f>
        <v>654.34355999999991</v>
      </c>
      <c r="E253" s="55">
        <v>0</v>
      </c>
      <c r="F253" s="38">
        <f>D253+E253</f>
        <v>654.34355999999991</v>
      </c>
      <c r="G253" s="38">
        <v>0</v>
      </c>
      <c r="H253" s="38">
        <f>F253*(($H$177)+1)+(IF(G253&lt;101,G253,IF(G253&lt;201,G253/2,IF(G253&lt;=301,G253/3,G253/4))))</f>
        <v>981.51533999999992</v>
      </c>
    </row>
    <row r="254" spans="1:8" hidden="1" x14ac:dyDescent="0.25">
      <c r="A254" s="67">
        <f>A253+1</f>
        <v>3</v>
      </c>
      <c r="B254" s="68"/>
      <c r="C254" s="38" t="s">
        <v>319</v>
      </c>
      <c r="D254" s="55">
        <f>(5.15*2.9+2.35*1+2.5*1.25+2.15*3+3.05*2.9+4.2*2.9+1*0.6+2.4*1.35+2.15*1.35+1.35*1)*10.764</f>
        <v>602.54180999999994</v>
      </c>
      <c r="E254" s="55">
        <v>0</v>
      </c>
      <c r="F254" s="38">
        <f>D254+E254</f>
        <v>602.54180999999994</v>
      </c>
      <c r="G254" s="38">
        <v>0</v>
      </c>
      <c r="H254" s="38">
        <f>F254*(($H$177)+1)+(IF(G254&lt;101,G254,IF(G254&lt;201,G254/2,IF(G254&lt;=301,G254/3,G254/4))))</f>
        <v>903.81271499999991</v>
      </c>
    </row>
    <row r="255" spans="1:8" ht="15.75" hidden="1" customHeight="1" x14ac:dyDescent="0.25">
      <c r="A255" s="119" t="s">
        <v>325</v>
      </c>
      <c r="B255" s="119"/>
      <c r="C255" s="119"/>
      <c r="D255" s="119"/>
      <c r="E255" s="119"/>
      <c r="F255" s="119"/>
      <c r="G255" s="119"/>
      <c r="H255" s="119"/>
    </row>
    <row r="256" spans="1:8" ht="15.75" hidden="1" customHeight="1" x14ac:dyDescent="0.25">
      <c r="A256" s="67">
        <v>1</v>
      </c>
      <c r="B256" s="68"/>
      <c r="C256" s="38" t="s">
        <v>320</v>
      </c>
      <c r="D256" s="55">
        <f>(2.9*4.55+0.95*2.5+2.35*1+2.7*2.15+2.9*3.05+0.6*1+2.45*2.45+2.3*1.35+2.1*1.35+1.05*1)*10.764</f>
        <v>496.89314999999993</v>
      </c>
      <c r="E256" s="55">
        <v>0</v>
      </c>
      <c r="F256" s="38">
        <f>D256+E256</f>
        <v>496.89314999999993</v>
      </c>
      <c r="G256" s="38">
        <v>0</v>
      </c>
      <c r="H256" s="38">
        <f>F256*(($H$177)+1)+(IF(G256&lt;101,G256,IF(G256&lt;201,G256/2,IF(G256&lt;=301,G256/3,G256/4))))</f>
        <v>745.33972499999993</v>
      </c>
    </row>
    <row r="257" spans="1:8" ht="15.75" hidden="1" customHeight="1" x14ac:dyDescent="0.25">
      <c r="A257" s="67">
        <f>A256+1</f>
        <v>2</v>
      </c>
      <c r="B257" s="68"/>
      <c r="C257" s="38" t="s">
        <v>319</v>
      </c>
      <c r="D257" s="55">
        <f>(3.05*5.95+0.5*3.3+2.35*1+3.05*2.15+3.05*3.3+0.6*1+3.55*3.3+1.5*1+2.15*1.35+2.15*1.35+1.5*1+0.9*1)*10.764</f>
        <v>654.34355999999991</v>
      </c>
      <c r="E257" s="55">
        <v>0</v>
      </c>
      <c r="F257" s="38">
        <f>D257+E257</f>
        <v>654.34355999999991</v>
      </c>
      <c r="G257" s="38">
        <v>0</v>
      </c>
      <c r="H257" s="38">
        <f>F257*(($H$177)+1)+(IF(G257&lt;101,G257,IF(G257&lt;201,G257/2,IF(G257&lt;=301,G257/3,G257/4))))</f>
        <v>981.51533999999992</v>
      </c>
    </row>
    <row r="258" spans="1:8" ht="15.75" hidden="1" customHeight="1" x14ac:dyDescent="0.25">
      <c r="A258" s="67">
        <f>A257+1</f>
        <v>3</v>
      </c>
      <c r="B258" s="68"/>
      <c r="C258" s="38" t="s">
        <v>319</v>
      </c>
      <c r="D258" s="55">
        <f>(5.15*2.9+2.35*1+2.5*1.25+2.15*3+3.05*2.9+4.2*2.9+1*0.6+2.4*1.35+2.15*1.35+1.35*1)*10.764</f>
        <v>602.54180999999994</v>
      </c>
      <c r="E258" s="55">
        <v>0</v>
      </c>
      <c r="F258" s="38">
        <f>D258+E258</f>
        <v>602.54180999999994</v>
      </c>
      <c r="G258" s="38">
        <v>0</v>
      </c>
      <c r="H258" s="38">
        <f>F258*(($H$177)+1)+(IF(G258&lt;101,G258,IF(G258&lt;201,G258/2,IF(G258&lt;=301,G258/3,G258/4))))</f>
        <v>903.81271499999991</v>
      </c>
    </row>
    <row r="259" spans="1:8" ht="15.75" hidden="1" customHeight="1" x14ac:dyDescent="0.25">
      <c r="A259" s="119" t="s">
        <v>326</v>
      </c>
      <c r="B259" s="119"/>
      <c r="C259" s="119"/>
      <c r="D259" s="119"/>
      <c r="E259" s="119"/>
      <c r="F259" s="119"/>
      <c r="G259" s="119"/>
      <c r="H259" s="119"/>
    </row>
    <row r="260" spans="1:8" ht="15.75" hidden="1" customHeight="1" x14ac:dyDescent="0.25">
      <c r="A260" s="67">
        <v>1</v>
      </c>
      <c r="B260" s="68"/>
      <c r="C260" s="38" t="s">
        <v>320</v>
      </c>
      <c r="D260" s="55">
        <f>(2.9*4.55+0.95*2.5+2.35*1+2.7*2.15+2.9*3.05+0.6*1+2.45*2.45+2.3*1.35+2.1*1.35+1.05*1)*10.764</f>
        <v>496.89314999999993</v>
      </c>
      <c r="E260" s="55">
        <v>0</v>
      </c>
      <c r="F260" s="38">
        <f>D260+E260</f>
        <v>496.89314999999993</v>
      </c>
      <c r="G260" s="38">
        <v>0</v>
      </c>
      <c r="H260" s="38">
        <f>F260*(($H$177)+1)+(IF(G260&lt;101,G260,IF(G260&lt;201,G260/2,IF(G260&lt;=301,G260/3,G260/4))))</f>
        <v>745.33972499999993</v>
      </c>
    </row>
    <row r="261" spans="1:8" ht="15.75" hidden="1" customHeight="1" x14ac:dyDescent="0.25">
      <c r="A261" s="67">
        <f>A260+1</f>
        <v>2</v>
      </c>
      <c r="B261" s="68"/>
      <c r="C261" s="38" t="s">
        <v>319</v>
      </c>
      <c r="D261" s="55">
        <f>(3.05*5.95+0.5*3.3+2.35*1+3.05*2.15+3.05*3.3+0.6*1+3.55*3.3+1.5*1+2.15*1.35+2.15*1.35+1.5*1+0.9*1)*10.764</f>
        <v>654.34355999999991</v>
      </c>
      <c r="E261" s="55">
        <v>0</v>
      </c>
      <c r="F261" s="38">
        <f>D261+E261</f>
        <v>654.34355999999991</v>
      </c>
      <c r="G261" s="38">
        <v>0</v>
      </c>
      <c r="H261" s="38">
        <f>F261*(($H$177)+1)+(IF(G261&lt;101,G261,IF(G261&lt;201,G261/2,IF(G261&lt;=301,G261/3,G261/4))))</f>
        <v>981.51533999999992</v>
      </c>
    </row>
    <row r="262" spans="1:8" hidden="1" x14ac:dyDescent="0.25">
      <c r="A262" s="67">
        <f>A261+1</f>
        <v>3</v>
      </c>
      <c r="B262" s="68"/>
      <c r="C262" s="38" t="s">
        <v>319</v>
      </c>
      <c r="D262" s="55">
        <f>(5.15*2.9+2.35*1+2.5*1.25+2.15*3+3.05*2.9+4.2*2.9+1*0.6+2.4*1.35+2.15*1.35+1.35*1)*10.764</f>
        <v>602.54180999999994</v>
      </c>
      <c r="E262" s="55">
        <v>0</v>
      </c>
      <c r="F262" s="38">
        <f>D262+E262</f>
        <v>602.54180999999994</v>
      </c>
      <c r="G262" s="38">
        <v>0</v>
      </c>
      <c r="H262" s="38">
        <f>F262*(($H$177)+1)+(IF(G262&lt;101,G262,IF(G262&lt;201,G262/2,IF(G262&lt;=301,G262/3,G262/4))))</f>
        <v>903.81271499999991</v>
      </c>
    </row>
    <row r="263" spans="1:8" ht="15.75" hidden="1" customHeight="1" x14ac:dyDescent="0.25">
      <c r="A263" s="84" t="s">
        <v>315</v>
      </c>
      <c r="B263" s="85"/>
      <c r="C263" s="85"/>
      <c r="D263" s="85"/>
      <c r="E263" s="85"/>
      <c r="F263" s="85"/>
      <c r="G263" s="85"/>
      <c r="H263" s="86"/>
    </row>
    <row r="264" spans="1:8" hidden="1" x14ac:dyDescent="0.25">
      <c r="A264" s="78" t="s">
        <v>317</v>
      </c>
      <c r="B264" s="79"/>
      <c r="C264" s="79"/>
      <c r="D264" s="79"/>
      <c r="E264" s="79"/>
      <c r="F264" s="79"/>
      <c r="G264" s="79"/>
      <c r="H264" s="80"/>
    </row>
    <row r="265" spans="1:8" hidden="1" x14ac:dyDescent="0.25">
      <c r="A265" s="67">
        <v>1</v>
      </c>
      <c r="B265" s="68"/>
      <c r="C265" s="38" t="s">
        <v>318</v>
      </c>
      <c r="D265" s="55">
        <f>(4.8*3+2.2*1.05+2.6*0.45+2.05*2.25+3*3.2+1.85*1.2+1.85*1.25+1.25*0.9)*10.764</f>
        <v>406.34099999999995</v>
      </c>
      <c r="E265" s="55">
        <v>0</v>
      </c>
      <c r="F265" s="38">
        <f>D265+E265</f>
        <v>406.34099999999995</v>
      </c>
      <c r="G265" s="38">
        <v>0</v>
      </c>
      <c r="H265" s="38">
        <f>F265*(($H$177)+1)+(IF(G265&lt;101,G265,IF(G265&lt;201,G265/2,IF(G265&lt;=301,G265/3,G265/4))))</f>
        <v>609.51149999999996</v>
      </c>
    </row>
    <row r="266" spans="1:8" hidden="1" x14ac:dyDescent="0.25">
      <c r="A266" s="67">
        <f>A265+1</f>
        <v>2</v>
      </c>
      <c r="B266" s="68"/>
      <c r="C266" s="38" t="s">
        <v>318</v>
      </c>
      <c r="D266" s="55">
        <f>(4.65*2.9+1.75*0.9+1.9*2.3+3.25*3+2.1*1.2*2+1.7*1.05)*10.764</f>
        <v>387.55781999999994</v>
      </c>
      <c r="E266" s="55">
        <v>0</v>
      </c>
      <c r="F266" s="38">
        <f>D266+E266</f>
        <v>387.55781999999994</v>
      </c>
      <c r="G266" s="38">
        <v>0</v>
      </c>
      <c r="H266" s="38">
        <f>F266*(($H$177)+1)+(IF(G266&lt;101,G266,IF(G266&lt;201,G266/2,IF(G266&lt;=301,G266/3,G266/4))))</f>
        <v>581.33672999999987</v>
      </c>
    </row>
    <row r="267" spans="1:8" ht="47.25" hidden="1" x14ac:dyDescent="0.25">
      <c r="A267" s="67">
        <v>4</v>
      </c>
      <c r="B267" s="68"/>
      <c r="C267" s="38" t="s">
        <v>331</v>
      </c>
      <c r="D267" s="55">
        <f>((4.65*4.85+2.45*3.4+2.4*3.4+2.2*2.15+1.85*1.25+3.2*3+0.75*1.1+3.55*2.9+2.4*2.45+2.2*2.15+1.95*1.2+2.15*1.2+2.1*1.2+2.6*1+1.75*0.9)+(3.55*2.9+2.4*2.6+2.35*1.4+1.3*0.6+1*5+3.3*1+1.7*1.1+2.2*2.4+3.25*4.15+3.9*1.15+2.2*2.15+1.85*1.25+2.1*1.2+2.15*1.2))*10.764</f>
        <v>1670.5728000000001</v>
      </c>
      <c r="E267" s="55">
        <v>0</v>
      </c>
      <c r="F267" s="38">
        <f>D267+E267</f>
        <v>1670.5728000000001</v>
      </c>
      <c r="G267" s="38">
        <v>0</v>
      </c>
      <c r="H267" s="38">
        <f>F267*(($H$177)+1)+(IF(G267&lt;101,G267,IF(G267&lt;201,G267/2,IF(G267&lt;=301,G267/3,G267/4))))</f>
        <v>2505.8592000000003</v>
      </c>
    </row>
    <row r="268" spans="1:8" hidden="1" x14ac:dyDescent="0.25">
      <c r="A268" s="119" t="s">
        <v>116</v>
      </c>
      <c r="B268" s="119"/>
      <c r="C268" s="119"/>
      <c r="D268" s="119"/>
      <c r="E268" s="119"/>
      <c r="F268" s="119"/>
      <c r="G268" s="119"/>
      <c r="H268" s="119"/>
    </row>
    <row r="269" spans="1:8" hidden="1" x14ac:dyDescent="0.25">
      <c r="A269" s="67">
        <v>1</v>
      </c>
      <c r="B269" s="68"/>
      <c r="C269" s="38" t="s">
        <v>318</v>
      </c>
      <c r="D269" s="55">
        <f>(4.8*3+2.2*1.05+2.6*0.45+2.05*2.25+3*3.2+1.85*1.2+1.85*1.25+1.25*0.9)*10.764</f>
        <v>406.34099999999995</v>
      </c>
      <c r="E269" s="55">
        <v>0</v>
      </c>
      <c r="F269" s="38">
        <f>D269+E269</f>
        <v>406.34099999999995</v>
      </c>
      <c r="G269" s="38">
        <v>0</v>
      </c>
      <c r="H269" s="38">
        <f>F269*(($H$177)+1)+(IF(G269&lt;101,G269,IF(G269&lt;201,G269/2,IF(G269&lt;=301,G269/3,G269/4))))</f>
        <v>609.51149999999996</v>
      </c>
    </row>
    <row r="270" spans="1:8" hidden="1" x14ac:dyDescent="0.25">
      <c r="A270" s="67">
        <f>A269+1</f>
        <v>2</v>
      </c>
      <c r="B270" s="68"/>
      <c r="C270" s="38" t="s">
        <v>318</v>
      </c>
      <c r="D270" s="55">
        <f>(4.65*2.9+1.75*0.9+1.9*2.3+3.25*3+2.1*1.2*2+1.7*1.05)*10.764</f>
        <v>387.55781999999994</v>
      </c>
      <c r="E270" s="55">
        <v>0</v>
      </c>
      <c r="F270" s="38">
        <f>D270+E270</f>
        <v>387.55781999999994</v>
      </c>
      <c r="G270" s="38">
        <v>0</v>
      </c>
      <c r="H270" s="38">
        <f>F270*(($H$177)+1)+(IF(G270&lt;101,G270,IF(G270&lt;201,G270/2,IF(G270&lt;=301,G270/3,G270/4))))</f>
        <v>581.33672999999987</v>
      </c>
    </row>
    <row r="271" spans="1:8" hidden="1" x14ac:dyDescent="0.25">
      <c r="A271" s="67">
        <v>4</v>
      </c>
      <c r="B271" s="68"/>
      <c r="C271" s="67" t="s">
        <v>321</v>
      </c>
      <c r="D271" s="168"/>
      <c r="E271" s="168"/>
      <c r="F271" s="168"/>
      <c r="G271" s="168"/>
      <c r="H271" s="68"/>
    </row>
    <row r="272" spans="1:8" hidden="1" x14ac:dyDescent="0.25">
      <c r="A272" s="119" t="s">
        <v>323</v>
      </c>
      <c r="B272" s="119"/>
      <c r="C272" s="119"/>
      <c r="D272" s="119"/>
      <c r="E272" s="119"/>
      <c r="F272" s="119"/>
      <c r="G272" s="119"/>
      <c r="H272" s="119"/>
    </row>
    <row r="273" spans="1:8" ht="15.75" hidden="1" customHeight="1" x14ac:dyDescent="0.25">
      <c r="A273" s="67">
        <v>1</v>
      </c>
      <c r="B273" s="68"/>
      <c r="C273" s="38" t="s">
        <v>318</v>
      </c>
      <c r="D273" s="55">
        <f>(4.8*3+2.2*1.05+2.6*0.45+2.05*2.25+3*3.2+1.85*1.2+1.85*1.25+1.25*0.9)*10.764</f>
        <v>406.34099999999995</v>
      </c>
      <c r="E273" s="55">
        <v>0</v>
      </c>
      <c r="F273" s="38">
        <f>D273+E273</f>
        <v>406.34099999999995</v>
      </c>
      <c r="G273" s="38">
        <v>0</v>
      </c>
      <c r="H273" s="38">
        <f>F273*(($H$177)+1)+(IF(G273&lt;101,G273,IF(G273&lt;201,G273/2,IF(G273&lt;=301,G273/3,G273/4))))</f>
        <v>609.51149999999996</v>
      </c>
    </row>
    <row r="274" spans="1:8" hidden="1" x14ac:dyDescent="0.25">
      <c r="A274" s="67">
        <f>A273+1</f>
        <v>2</v>
      </c>
      <c r="B274" s="68"/>
      <c r="C274" s="38" t="s">
        <v>318</v>
      </c>
      <c r="D274" s="55">
        <f>(4.65*2.9+1.75*0.9+1.9*2.3+3.25*3+2.1*1.2*2+1.7*1.05)*10.764</f>
        <v>387.55781999999994</v>
      </c>
      <c r="E274" s="55">
        <v>0</v>
      </c>
      <c r="F274" s="38">
        <f>D274+E274</f>
        <v>387.55781999999994</v>
      </c>
      <c r="G274" s="38">
        <v>0</v>
      </c>
      <c r="H274" s="38">
        <f>F274*(($H$177)+1)+(IF(G274&lt;101,G274,IF(G274&lt;201,G274/2,IF(G274&lt;=301,G274/3,G274/4))))</f>
        <v>581.33672999999987</v>
      </c>
    </row>
    <row r="275" spans="1:8" hidden="1" x14ac:dyDescent="0.25">
      <c r="A275" s="67">
        <f>A274+1</f>
        <v>3</v>
      </c>
      <c r="B275" s="68"/>
      <c r="C275" s="38" t="s">
        <v>320</v>
      </c>
      <c r="D275" s="55">
        <f>(4.65*2.9+3.25*0.55+2.2*2.15+3.25*3+0.6*1.1+2.2*1.6+1.7*1.25+2.1*1.2+1.75*0.9)*10.764</f>
        <v>432.2015100000001</v>
      </c>
      <c r="E275" s="55">
        <v>0</v>
      </c>
      <c r="F275" s="38">
        <f>D275+E275</f>
        <v>432.2015100000001</v>
      </c>
      <c r="G275" s="38">
        <v>0</v>
      </c>
      <c r="H275" s="38">
        <f>F275*(($H$177)+1)+(IF(G275&lt;101,G275,IF(G275&lt;201,G275/2,IF(G275&lt;=301,G275/3,G275/4))))</f>
        <v>648.30226500000015</v>
      </c>
    </row>
    <row r="276" spans="1:8" hidden="1" x14ac:dyDescent="0.25">
      <c r="A276" s="67">
        <f>A275+1</f>
        <v>4</v>
      </c>
      <c r="B276" s="68"/>
      <c r="C276" s="38" t="s">
        <v>320</v>
      </c>
      <c r="D276" s="55">
        <f>(4.65*2.9+2.1*2.3+2.4*2.15+3.55*2.9+2.4*2.45+2.15*1.2+1.95*1.2+2.6*1)*10.764</f>
        <v>507.73788000000008</v>
      </c>
      <c r="E276" s="55">
        <v>0</v>
      </c>
      <c r="F276" s="38">
        <f>D276+E276</f>
        <v>507.73788000000008</v>
      </c>
      <c r="G276" s="38">
        <v>0</v>
      </c>
      <c r="H276" s="38">
        <f>F276*(($H$177)+1)+(IF(G276&lt;101,G276,IF(G276&lt;201,G276/2,IF(G276&lt;=301,G276/3,G276/4))))</f>
        <v>761.60682000000008</v>
      </c>
    </row>
    <row r="277" spans="1:8" hidden="1" x14ac:dyDescent="0.25">
      <c r="A277" s="119" t="s">
        <v>324</v>
      </c>
      <c r="B277" s="119"/>
      <c r="C277" s="119"/>
      <c r="D277" s="119"/>
      <c r="E277" s="119"/>
      <c r="F277" s="119"/>
      <c r="G277" s="119"/>
      <c r="H277" s="119"/>
    </row>
    <row r="278" spans="1:8" hidden="1" x14ac:dyDescent="0.25">
      <c r="A278" s="67">
        <v>1</v>
      </c>
      <c r="B278" s="68"/>
      <c r="C278" s="38" t="s">
        <v>318</v>
      </c>
      <c r="D278" s="55">
        <f>(4.8*3+2.2*1.05+2.6*0.45+2.05*2.25+3*3.2+1.85*1.2+1.85*1.25+1.25*0.9)*10.764</f>
        <v>406.34099999999995</v>
      </c>
      <c r="E278" s="55">
        <v>0</v>
      </c>
      <c r="F278" s="38">
        <f>D278+E278</f>
        <v>406.34099999999995</v>
      </c>
      <c r="G278" s="38">
        <v>0</v>
      </c>
      <c r="H278" s="38">
        <f>F278*(($H$177)+1)+(IF(G278&lt;101,G278,IF(G278&lt;201,G278/2,IF(G278&lt;=301,G278/3,G278/4))))</f>
        <v>609.51149999999996</v>
      </c>
    </row>
    <row r="279" spans="1:8" hidden="1" x14ac:dyDescent="0.25">
      <c r="A279" s="67">
        <f>A278+1</f>
        <v>2</v>
      </c>
      <c r="B279" s="68"/>
      <c r="C279" s="38" t="s">
        <v>318</v>
      </c>
      <c r="D279" s="55">
        <f>(4.65*2.9+1.75*0.9+1.9*2.3+3.25*3+2.1*1.2*2+1.7*1.05)*10.764</f>
        <v>387.55781999999994</v>
      </c>
      <c r="E279" s="55">
        <v>0</v>
      </c>
      <c r="F279" s="38">
        <f>D279+E279</f>
        <v>387.55781999999994</v>
      </c>
      <c r="G279" s="38">
        <v>0</v>
      </c>
      <c r="H279" s="38">
        <f>F279*(($H$177)+1)+(IF(G279&lt;101,G279,IF(G279&lt;201,G279/2,IF(G279&lt;=301,G279/3,G279/4))))</f>
        <v>581.33672999999987</v>
      </c>
    </row>
    <row r="280" spans="1:8" hidden="1" x14ac:dyDescent="0.25">
      <c r="A280" s="67">
        <f>A279+1</f>
        <v>3</v>
      </c>
      <c r="B280" s="68"/>
      <c r="C280" s="38" t="s">
        <v>320</v>
      </c>
      <c r="D280" s="55">
        <f>(4.65*2.9+3.25*0.55+2.2*2.15+3.25*3+0.6*1.1+2.2*1.6+1.7*1.25+2.1*1.2+1.75*0.9)*10.764</f>
        <v>432.2015100000001</v>
      </c>
      <c r="E280" s="55">
        <v>0</v>
      </c>
      <c r="F280" s="38">
        <f>D280+E280</f>
        <v>432.2015100000001</v>
      </c>
      <c r="G280" s="38">
        <v>0</v>
      </c>
      <c r="H280" s="38">
        <f>F280*(($H$177)+1)+(IF(G280&lt;101,G280,IF(G280&lt;201,G280/2,IF(G280&lt;=301,G280/3,G280/4))))</f>
        <v>648.30226500000015</v>
      </c>
    </row>
    <row r="281" spans="1:8" hidden="1" x14ac:dyDescent="0.25">
      <c r="A281" s="67">
        <f>A280+1</f>
        <v>4</v>
      </c>
      <c r="B281" s="68"/>
      <c r="C281" s="38" t="s">
        <v>320</v>
      </c>
      <c r="D281" s="55">
        <f>(4.65*2.9+2.1*2.3+2.4*2.15+3.55*2.9+2.4*2.45+2.15*1.2+1.95*1.2+2.6*1)*10.764</f>
        <v>507.73788000000008</v>
      </c>
      <c r="E281" s="55">
        <v>0</v>
      </c>
      <c r="F281" s="38">
        <f>D281+E281</f>
        <v>507.73788000000008</v>
      </c>
      <c r="G281" s="38">
        <v>0</v>
      </c>
      <c r="H281" s="38">
        <f>F281*(($H$177)+1)+(IF(G281&lt;101,G281,IF(G281&lt;201,G281/2,IF(G281&lt;=301,G281/3,G281/4))))</f>
        <v>761.60682000000008</v>
      </c>
    </row>
    <row r="282" spans="1:8" hidden="1" x14ac:dyDescent="0.25">
      <c r="A282" s="119" t="s">
        <v>325</v>
      </c>
      <c r="B282" s="119"/>
      <c r="C282" s="119"/>
      <c r="D282" s="119"/>
      <c r="E282" s="119"/>
      <c r="F282" s="119"/>
      <c r="G282" s="119"/>
      <c r="H282" s="119"/>
    </row>
    <row r="283" spans="1:8" hidden="1" x14ac:dyDescent="0.25">
      <c r="A283" s="67">
        <v>1</v>
      </c>
      <c r="B283" s="68"/>
      <c r="C283" s="38" t="s">
        <v>318</v>
      </c>
      <c r="D283" s="55">
        <f>(4.8*3+2.2*1.05+2.6*0.45+2.05*2.25+3*3.2+1.85*1.2+1.85*1.25+1.25*0.9)*10.764</f>
        <v>406.34099999999995</v>
      </c>
      <c r="E283" s="55">
        <v>0</v>
      </c>
      <c r="F283" s="38">
        <f>D283+E283</f>
        <v>406.34099999999995</v>
      </c>
      <c r="G283" s="38">
        <v>0</v>
      </c>
      <c r="H283" s="38">
        <f>F283*(($H$177)+1)+(IF(G283&lt;101,G283,IF(G283&lt;201,G283/2,IF(G283&lt;=301,G283/3,G283/4))))</f>
        <v>609.51149999999996</v>
      </c>
    </row>
    <row r="284" spans="1:8" hidden="1" x14ac:dyDescent="0.25">
      <c r="A284" s="67">
        <f>A283+1</f>
        <v>2</v>
      </c>
      <c r="B284" s="68"/>
      <c r="C284" s="38" t="s">
        <v>318</v>
      </c>
      <c r="D284" s="55">
        <f>(4.65*2.9+1.75*0.9+1.9*2.3+3.25*3+2.1*1.2*2+1.7*1.05)*10.764</f>
        <v>387.55781999999994</v>
      </c>
      <c r="E284" s="55">
        <v>0</v>
      </c>
      <c r="F284" s="38">
        <f>D284+E284</f>
        <v>387.55781999999994</v>
      </c>
      <c r="G284" s="38">
        <v>0</v>
      </c>
      <c r="H284" s="38">
        <f>F284*(($H$177)+1)+(IF(G284&lt;101,G284,IF(G284&lt;201,G284/2,IF(G284&lt;=301,G284/3,G284/4))))</f>
        <v>581.33672999999987</v>
      </c>
    </row>
    <row r="285" spans="1:8" hidden="1" x14ac:dyDescent="0.25">
      <c r="A285" s="67">
        <f>A284+1</f>
        <v>3</v>
      </c>
      <c r="B285" s="68"/>
      <c r="C285" s="38" t="s">
        <v>320</v>
      </c>
      <c r="D285" s="55">
        <f>(4.65*2.9+3.25*0.55+2.2*2.15+3.25*3+0.6*1.1+2.2*1.6+1.7*1.25+2.1*1.2+1.75*0.9)*10.764</f>
        <v>432.2015100000001</v>
      </c>
      <c r="E285" s="55">
        <v>0</v>
      </c>
      <c r="F285" s="38">
        <f>D285+E285</f>
        <v>432.2015100000001</v>
      </c>
      <c r="G285" s="38">
        <v>0</v>
      </c>
      <c r="H285" s="38">
        <f>F285*(($H$177)+1)+(IF(G285&lt;101,G285,IF(G285&lt;201,G285/2,IF(G285&lt;=301,G285/3,G285/4))))</f>
        <v>648.30226500000015</v>
      </c>
    </row>
    <row r="286" spans="1:8" hidden="1" x14ac:dyDescent="0.25">
      <c r="A286" s="67">
        <f>A285+1</f>
        <v>4</v>
      </c>
      <c r="B286" s="68"/>
      <c r="C286" s="38" t="s">
        <v>320</v>
      </c>
      <c r="D286" s="55">
        <f>(4.65*2.9+2.1*2.3+2.4*2.15+3.55*2.9+2.4*2.45+2.15*1.2+1.95*1.2+2.6*1)*10.764</f>
        <v>507.73788000000008</v>
      </c>
      <c r="E286" s="55">
        <v>0</v>
      </c>
      <c r="F286" s="38">
        <f>D286+E286</f>
        <v>507.73788000000008</v>
      </c>
      <c r="G286" s="38">
        <v>0</v>
      </c>
      <c r="H286" s="38">
        <f>F286*(($H$177)+1)+(IF(G286&lt;101,G286,IF(G286&lt;201,G286/2,IF(G286&lt;=301,G286/3,G286/4))))</f>
        <v>761.60682000000008</v>
      </c>
    </row>
    <row r="287" spans="1:8" hidden="1" x14ac:dyDescent="0.25">
      <c r="A287" s="119" t="s">
        <v>326</v>
      </c>
      <c r="B287" s="119"/>
      <c r="C287" s="119"/>
      <c r="D287" s="119"/>
      <c r="E287" s="119"/>
      <c r="F287" s="119"/>
      <c r="G287" s="119"/>
      <c r="H287" s="119"/>
    </row>
    <row r="288" spans="1:8" hidden="1" x14ac:dyDescent="0.25">
      <c r="A288" s="67">
        <v>1</v>
      </c>
      <c r="B288" s="68"/>
      <c r="C288" s="38" t="s">
        <v>318</v>
      </c>
      <c r="D288" s="55">
        <f>(4.8*3+2.2*1.05+2.6*0.45+2.05*2.25+3*3.2+1.85*1.2+1.85*1.25+1.25*0.9)*10.764</f>
        <v>406.34099999999995</v>
      </c>
      <c r="E288" s="55">
        <v>0</v>
      </c>
      <c r="F288" s="38">
        <f>D288+E288</f>
        <v>406.34099999999995</v>
      </c>
      <c r="G288" s="38">
        <v>0</v>
      </c>
      <c r="H288" s="38">
        <f>F288*(($H$177)+1)+(IF(G288&lt;101,G288,IF(G288&lt;201,G288/2,IF(G288&lt;=301,G288/3,G288/4))))</f>
        <v>609.51149999999996</v>
      </c>
    </row>
    <row r="289" spans="1:8" hidden="1" x14ac:dyDescent="0.25">
      <c r="A289" s="67">
        <f>A288+1</f>
        <v>2</v>
      </c>
      <c r="B289" s="68"/>
      <c r="C289" s="38" t="s">
        <v>318</v>
      </c>
      <c r="D289" s="55">
        <f>(4.65*2.9+1.75*0.9+1.9*2.3+3.25*3+2.1*1.2*2+1.7*1.05)*10.764</f>
        <v>387.55781999999994</v>
      </c>
      <c r="E289" s="55">
        <v>0</v>
      </c>
      <c r="F289" s="38">
        <f>D289+E289</f>
        <v>387.55781999999994</v>
      </c>
      <c r="G289" s="38">
        <v>0</v>
      </c>
      <c r="H289" s="38">
        <f>F289*(($H$177)+1)+(IF(G289&lt;101,G289,IF(G289&lt;201,G289/2,IF(G289&lt;=301,G289/3,G289/4))))</f>
        <v>581.33672999999987</v>
      </c>
    </row>
    <row r="290" spans="1:8" hidden="1" x14ac:dyDescent="0.25">
      <c r="A290" s="67">
        <f>A289+1</f>
        <v>3</v>
      </c>
      <c r="B290" s="68"/>
      <c r="C290" s="38" t="s">
        <v>320</v>
      </c>
      <c r="D290" s="55">
        <f>(4.65*2.9+3.25*0.55+2.2*2.15+3.25*3+0.6*1.1+2.2*1.6+1.7*1.25+2.1*1.2+1.75*0.9)*10.764</f>
        <v>432.2015100000001</v>
      </c>
      <c r="E290" s="55">
        <v>0</v>
      </c>
      <c r="F290" s="38">
        <f>D290+E290</f>
        <v>432.2015100000001</v>
      </c>
      <c r="G290" s="38">
        <v>0</v>
      </c>
      <c r="H290" s="38">
        <f>F290*(($H$177)+1)+(IF(G290&lt;101,G290,IF(G290&lt;201,G290/2,IF(G290&lt;=301,G290/3,G290/4))))</f>
        <v>648.30226500000015</v>
      </c>
    </row>
    <row r="291" spans="1:8" hidden="1" x14ac:dyDescent="0.25">
      <c r="A291" s="67">
        <f>A290+1</f>
        <v>4</v>
      </c>
      <c r="B291" s="68"/>
      <c r="C291" s="38" t="s">
        <v>320</v>
      </c>
      <c r="D291" s="55">
        <f>(4.65*2.9+2.1*2.3+2.4*2.15+3.55*2.9+2.4*2.45+2.15*1.2+1.95*1.2+2.6*1)*10.764</f>
        <v>507.73788000000008</v>
      </c>
      <c r="E291" s="55">
        <v>0</v>
      </c>
      <c r="F291" s="38">
        <f>D291+E291</f>
        <v>507.73788000000008</v>
      </c>
      <c r="G291" s="38">
        <v>0</v>
      </c>
      <c r="H291" s="38">
        <f>F291*(($H$177)+1)+(IF(G291&lt;101,G291,IF(G291&lt;201,G291/2,IF(G291&lt;=301,G291/3,G291/4))))</f>
        <v>761.60682000000008</v>
      </c>
    </row>
    <row r="292" spans="1:8" hidden="1" x14ac:dyDescent="0.25">
      <c r="A292" s="84" t="s">
        <v>316</v>
      </c>
      <c r="B292" s="85"/>
      <c r="C292" s="85"/>
      <c r="D292" s="85"/>
      <c r="E292" s="85"/>
      <c r="F292" s="85"/>
      <c r="G292" s="85"/>
      <c r="H292" s="86"/>
    </row>
    <row r="293" spans="1:8" hidden="1" x14ac:dyDescent="0.25">
      <c r="A293" s="78" t="s">
        <v>317</v>
      </c>
      <c r="B293" s="79"/>
      <c r="C293" s="79"/>
      <c r="D293" s="79"/>
      <c r="E293" s="79"/>
      <c r="F293" s="79"/>
      <c r="G293" s="79"/>
      <c r="H293" s="80"/>
    </row>
    <row r="294" spans="1:8" hidden="1" x14ac:dyDescent="0.25">
      <c r="A294" s="67">
        <v>1</v>
      </c>
      <c r="B294" s="68"/>
      <c r="C294" s="38" t="s">
        <v>320</v>
      </c>
      <c r="D294" s="55">
        <f>(5.15*3.45+2.05*3.25+3.05*3.25+1.7*0.9+2.15*2.2+2.2*1.5*2+3.05*2.9)*10.764</f>
        <v>603.29529000000002</v>
      </c>
      <c r="E294" s="55">
        <v>0</v>
      </c>
      <c r="F294" s="38">
        <f>D294+E294</f>
        <v>603.29529000000002</v>
      </c>
      <c r="G294" s="38">
        <v>0</v>
      </c>
      <c r="H294" s="38">
        <f>F294*(($H$177)+1)+(IF(G294&lt;101,G294,IF(G294&lt;201,G294/2,IF(G294&lt;=301,G294/3,G294/4))))</f>
        <v>904.94293500000003</v>
      </c>
    </row>
    <row r="295" spans="1:8" hidden="1" x14ac:dyDescent="0.25">
      <c r="A295" s="67">
        <f>A294+1</f>
        <v>2</v>
      </c>
      <c r="B295" s="68"/>
      <c r="C295" s="38" t="s">
        <v>318</v>
      </c>
      <c r="D295" s="55">
        <f>(4.6*3.05+2.15*1+1.4*0.4+2*2.3+3.1*3.8+2.15*1.25+2*1.2)*10.764</f>
        <v>411.26552999999996</v>
      </c>
      <c r="E295" s="55">
        <v>0</v>
      </c>
      <c r="F295" s="38">
        <f>D295+E295</f>
        <v>411.26552999999996</v>
      </c>
      <c r="G295" s="38">
        <v>0</v>
      </c>
      <c r="H295" s="38">
        <f>F295*(($H$177)+1)+(IF(G295&lt;101,G295,IF(G295&lt;201,G295/2,IF(G295&lt;=301,G295/3,G295/4))))</f>
        <v>616.89829499999996</v>
      </c>
    </row>
    <row r="296" spans="1:8" hidden="1" x14ac:dyDescent="0.25">
      <c r="A296" s="67">
        <v>3</v>
      </c>
      <c r="B296" s="68"/>
      <c r="C296" s="38" t="s">
        <v>318</v>
      </c>
      <c r="D296" s="55">
        <f>(2.9*5.5+0.8*3.2+2.15*2.15+2.8*3.2+0.7*0.9+2.55*1.2+2.15*1.35+0.9*0.9)*10.764</f>
        <v>425.12418000000002</v>
      </c>
      <c r="E296" s="55">
        <v>0</v>
      </c>
      <c r="F296" s="38">
        <f>D296+E296</f>
        <v>425.12418000000002</v>
      </c>
      <c r="G296" s="38">
        <v>0</v>
      </c>
      <c r="H296" s="38">
        <f>F296*(($H$177)+1)+(IF(G296&lt;101,G296,IF(G296&lt;201,G296/2,IF(G296&lt;=301,G296/3,G296/4))))</f>
        <v>637.68627000000004</v>
      </c>
    </row>
    <row r="297" spans="1:8" ht="47.25" hidden="1" x14ac:dyDescent="0.25">
      <c r="A297" s="67">
        <v>5</v>
      </c>
      <c r="B297" s="68"/>
      <c r="C297" s="38" t="s">
        <v>331</v>
      </c>
      <c r="D297" s="55">
        <f>((6.9*5.3+2*0.35+3*3.2+2.7*2.9+3.3*2.9+0.45*2.3+3.65*3.45+1.8*0.9+2.6*2.45+2.1*1.2+2*1+2.4*1.65+1.4*1.2+0.9*1.3)+(3.65*4.6+3.4*0.9+2.7*1+2.9*3.6+1.6*0.9+2.7*4.15+0.3*1.6+1.7*1.5+1.35*1.3+0.9*1+3.55*2.9+1*2+1.8*0.4+4.2*1.1+1.8*4.1+2.1*1.2+2.4*1.2+2.4*1.05))*10.764</f>
        <v>1953.3699899999995</v>
      </c>
      <c r="E297" s="55">
        <v>0</v>
      </c>
      <c r="F297" s="38">
        <f>D297+E297</f>
        <v>1953.3699899999995</v>
      </c>
      <c r="G297" s="38">
        <v>0</v>
      </c>
      <c r="H297" s="38">
        <f>F297*(($H$177)+1)+(IF(G297&lt;101,G297,IF(G297&lt;201,G297/2,IF(G297&lt;=301,G297/3,G297/4))))</f>
        <v>2930.0549849999993</v>
      </c>
    </row>
    <row r="298" spans="1:8" hidden="1" x14ac:dyDescent="0.25">
      <c r="A298" s="119" t="s">
        <v>116</v>
      </c>
      <c r="B298" s="119"/>
      <c r="C298" s="119"/>
      <c r="D298" s="119"/>
      <c r="E298" s="119"/>
      <c r="F298" s="119"/>
      <c r="G298" s="119"/>
      <c r="H298" s="119"/>
    </row>
    <row r="299" spans="1:8" hidden="1" x14ac:dyDescent="0.25">
      <c r="A299" s="67">
        <v>1</v>
      </c>
      <c r="B299" s="68"/>
      <c r="C299" s="38" t="s">
        <v>320</v>
      </c>
      <c r="D299" s="55">
        <f>(5.15*3.45+2.05*3.25+3.05*3.25+1.7*0.9+2.15*2.2+2.2*1.5*2+3.05*2.9)*10.764</f>
        <v>603.29529000000002</v>
      </c>
      <c r="E299" s="55">
        <v>0</v>
      </c>
      <c r="F299" s="38">
        <f>D299+E299</f>
        <v>603.29529000000002</v>
      </c>
      <c r="G299" s="38">
        <v>0</v>
      </c>
      <c r="H299" s="38">
        <f>F299*(($H$177)+1)+(IF(G299&lt;101,G299,IF(G299&lt;201,G299/2,IF(G299&lt;=301,G299/3,G299/4))))</f>
        <v>904.94293500000003</v>
      </c>
    </row>
    <row r="300" spans="1:8" hidden="1" x14ac:dyDescent="0.25">
      <c r="A300" s="67">
        <f>A299+1</f>
        <v>2</v>
      </c>
      <c r="B300" s="68"/>
      <c r="C300" s="38" t="s">
        <v>318</v>
      </c>
      <c r="D300" s="55">
        <f>(4.6*3.05+2.15*1+1.4*0.4+2*2.3+3.1*3.8+2.15*1.25+2*1.2)*10.764</f>
        <v>411.26552999999996</v>
      </c>
      <c r="E300" s="55">
        <v>0</v>
      </c>
      <c r="F300" s="38">
        <f>D300+E300</f>
        <v>411.26552999999996</v>
      </c>
      <c r="G300" s="38">
        <v>0</v>
      </c>
      <c r="H300" s="38">
        <f>F300*(($H$177)+1)+(IF(G300&lt;101,G300,IF(G300&lt;201,G300/2,IF(G300&lt;=301,G300/3,G300/4))))</f>
        <v>616.89829499999996</v>
      </c>
    </row>
    <row r="301" spans="1:8" hidden="1" x14ac:dyDescent="0.25">
      <c r="A301" s="67">
        <v>3</v>
      </c>
      <c r="B301" s="68"/>
      <c r="C301" s="38" t="s">
        <v>318</v>
      </c>
      <c r="D301" s="55">
        <f>(2.9*5.5+0.8*3.2+2.15*2.15+2.8*3.2+0.7*0.9+2.55*1.2+2.15*1.35+0.9*0.9)*10.764</f>
        <v>425.12418000000002</v>
      </c>
      <c r="E301" s="55">
        <v>0</v>
      </c>
      <c r="F301" s="38">
        <f>D301+E301</f>
        <v>425.12418000000002</v>
      </c>
      <c r="G301" s="38">
        <v>0</v>
      </c>
      <c r="H301" s="38">
        <f>F301*(($H$177)+1)+(IF(G301&lt;101,G301,IF(G301&lt;201,G301/2,IF(G301&lt;=301,G301/3,G301/4))))</f>
        <v>637.68627000000004</v>
      </c>
    </row>
    <row r="302" spans="1:8" hidden="1" x14ac:dyDescent="0.25">
      <c r="A302" s="67">
        <v>5</v>
      </c>
      <c r="B302" s="68"/>
      <c r="C302" s="67" t="s">
        <v>332</v>
      </c>
      <c r="D302" s="168"/>
      <c r="E302" s="168"/>
      <c r="F302" s="168"/>
      <c r="G302" s="168"/>
      <c r="H302" s="68"/>
    </row>
    <row r="303" spans="1:8" hidden="1" x14ac:dyDescent="0.25">
      <c r="A303" s="119" t="s">
        <v>323</v>
      </c>
      <c r="B303" s="119"/>
      <c r="C303" s="119"/>
      <c r="D303" s="119"/>
      <c r="E303" s="119"/>
      <c r="F303" s="119"/>
      <c r="G303" s="119"/>
      <c r="H303" s="119"/>
    </row>
    <row r="304" spans="1:8" hidden="1" x14ac:dyDescent="0.25">
      <c r="A304" s="67">
        <v>1</v>
      </c>
      <c r="B304" s="68"/>
      <c r="C304" s="38" t="s">
        <v>320</v>
      </c>
      <c r="D304" s="55">
        <f>(5.15*3.45+2.05*3.25+3.05*3.25+1.7*0.9+2.15*2.2+2.2*1.5*2+3.05*2.9)*10.764</f>
        <v>603.29529000000002</v>
      </c>
      <c r="E304" s="55">
        <v>0</v>
      </c>
      <c r="F304" s="38">
        <f>D304+E304</f>
        <v>603.29529000000002</v>
      </c>
      <c r="G304" s="38">
        <v>0</v>
      </c>
      <c r="H304" s="38">
        <f>F304*(($H$177)+1)+(IF(G304&lt;101,G304,IF(G304&lt;201,G304/2,IF(G304&lt;=301,G304/3,G304/4))))</f>
        <v>904.94293500000003</v>
      </c>
    </row>
    <row r="305" spans="1:9" hidden="1" x14ac:dyDescent="0.25">
      <c r="A305" s="67">
        <f>A304+1</f>
        <v>2</v>
      </c>
      <c r="B305" s="68"/>
      <c r="C305" s="38" t="s">
        <v>318</v>
      </c>
      <c r="D305" s="55">
        <f>(4.6*3.05+2.15*1+1.4*0.4+2*2.3+3.1*3.8+2.15*1.25+2*1.2)*10.764</f>
        <v>411.26552999999996</v>
      </c>
      <c r="E305" s="55">
        <v>0</v>
      </c>
      <c r="F305" s="38">
        <f>D305+E305</f>
        <v>411.26552999999996</v>
      </c>
      <c r="G305" s="38">
        <v>0</v>
      </c>
      <c r="H305" s="38">
        <f>F305*(($H$177)+1)+(IF(G305&lt;101,G305,IF(G305&lt;201,G305/2,IF(G305&lt;=301,G305/3,G305/4))))</f>
        <v>616.89829499999996</v>
      </c>
    </row>
    <row r="306" spans="1:9" hidden="1" x14ac:dyDescent="0.25">
      <c r="A306" s="67">
        <v>3</v>
      </c>
      <c r="B306" s="68"/>
      <c r="C306" s="38" t="s">
        <v>318</v>
      </c>
      <c r="D306" s="55">
        <f>(2.9*5.5+0.8*3.2+2.15*2.15+2.8*3.2+0.7*0.9+2.55*1.2+2.15*1.35+0.9*0.9)*10.764</f>
        <v>425.12418000000002</v>
      </c>
      <c r="E306" s="55">
        <v>0</v>
      </c>
      <c r="F306" s="38">
        <f>D306+E306</f>
        <v>425.12418000000002</v>
      </c>
      <c r="G306" s="38">
        <v>0</v>
      </c>
      <c r="H306" s="38">
        <f>F306*(($H$177)+1)+(IF(G306&lt;101,G306,IF(G306&lt;201,G306/2,IF(G306&lt;=301,G306/3,G306/4))))</f>
        <v>637.68627000000004</v>
      </c>
    </row>
    <row r="307" spans="1:9" hidden="1" x14ac:dyDescent="0.25">
      <c r="A307" s="67">
        <v>4</v>
      </c>
      <c r="B307" s="68"/>
      <c r="C307" s="38" t="s">
        <v>320</v>
      </c>
      <c r="D307" s="55">
        <f>(4.45*2.9+1.4*1.95+2.4*1.2+2.75*2.4+3.3*2.9+0.45*2.3+2.6*2.45+2.1*1.2*2+0.9*1)*10.764</f>
        <v>516.99491999999998</v>
      </c>
      <c r="E307" s="55">
        <v>0</v>
      </c>
      <c r="F307" s="38">
        <f>D307+E307</f>
        <v>516.99491999999998</v>
      </c>
      <c r="G307" s="38">
        <v>0</v>
      </c>
      <c r="H307" s="38">
        <f>F307*(($H$177)+1)+(IF(G307&lt;101,G307,IF(G307&lt;201,G307/2,IF(G307&lt;=301,G307/3,G307/4))))</f>
        <v>775.49237999999991</v>
      </c>
    </row>
    <row r="308" spans="1:9" hidden="1" x14ac:dyDescent="0.25">
      <c r="A308" s="67">
        <v>5</v>
      </c>
      <c r="B308" s="68"/>
      <c r="C308" s="38" t="s">
        <v>318</v>
      </c>
      <c r="D308" s="55">
        <f>(5.1*2.9+2.4*1.05+2*3.25+2.9*3.6+2.4*1.2+2.4*1.05)*10.764</f>
        <v>426.79260000000005</v>
      </c>
      <c r="E308" s="55">
        <v>0</v>
      </c>
      <c r="F308" s="38">
        <f>D308+E308</f>
        <v>426.79260000000005</v>
      </c>
      <c r="G308" s="38">
        <v>0</v>
      </c>
      <c r="H308" s="38">
        <f>F308*(($H$177)+1)+(IF(G308&lt;101,G308,IF(G308&lt;201,G308/2,IF(G308&lt;=301,G308/3,G308/4))))</f>
        <v>640.1889000000001</v>
      </c>
    </row>
    <row r="309" spans="1:9" hidden="1" x14ac:dyDescent="0.25">
      <c r="A309" s="119" t="s">
        <v>324</v>
      </c>
      <c r="B309" s="119"/>
      <c r="C309" s="119"/>
      <c r="D309" s="119"/>
      <c r="E309" s="119"/>
      <c r="F309" s="119"/>
      <c r="G309" s="119"/>
      <c r="H309" s="119"/>
    </row>
    <row r="310" spans="1:9" hidden="1" x14ac:dyDescent="0.25">
      <c r="A310" s="67">
        <v>1</v>
      </c>
      <c r="B310" s="68"/>
      <c r="C310" s="38" t="s">
        <v>320</v>
      </c>
      <c r="D310" s="55">
        <f>(5.15*3.45+2.05*3.25+3.05*3.25+1.7*0.9+2.15*2.2+2.2*1.5*2+3.05*2.9)*10.764</f>
        <v>603.29529000000002</v>
      </c>
      <c r="E310" s="55">
        <v>0</v>
      </c>
      <c r="F310" s="38">
        <f>D310+E310</f>
        <v>603.29529000000002</v>
      </c>
      <c r="G310" s="38">
        <v>0</v>
      </c>
      <c r="H310" s="38">
        <f>F310*(($H$177)+1)+(IF(G310&lt;101,G310,IF(G310&lt;201,G310/2,IF(G310&lt;=301,G310/3,G310/4))))</f>
        <v>904.94293500000003</v>
      </c>
    </row>
    <row r="311" spans="1:9" hidden="1" x14ac:dyDescent="0.25">
      <c r="A311" s="67">
        <f>A310+1</f>
        <v>2</v>
      </c>
      <c r="B311" s="68"/>
      <c r="C311" s="38" t="s">
        <v>318</v>
      </c>
      <c r="D311" s="55">
        <f>(4.6*3.05+2.15*1+1.4*0.4+2*2.3+3.1*3.8+2.15*1.25+2*1.2)*10.764</f>
        <v>411.26552999999996</v>
      </c>
      <c r="E311" s="55">
        <v>0</v>
      </c>
      <c r="F311" s="38">
        <f>D311+E311</f>
        <v>411.26552999999996</v>
      </c>
      <c r="G311" s="38">
        <v>0</v>
      </c>
      <c r="H311" s="38">
        <f>F311*(($H$177)+1)+(IF(G311&lt;101,G311,IF(G311&lt;201,G311/2,IF(G311&lt;=301,G311/3,G311/4))))</f>
        <v>616.89829499999996</v>
      </c>
    </row>
    <row r="312" spans="1:9" hidden="1" x14ac:dyDescent="0.25">
      <c r="A312" s="67">
        <v>3</v>
      </c>
      <c r="B312" s="68"/>
      <c r="C312" s="38" t="s">
        <v>318</v>
      </c>
      <c r="D312" s="55">
        <f>(2.9*5.5+0.8*3.2+2.15*2.15+2.8*3.2+0.7*0.9+2.55*1.2+2.15*1.35+0.9*0.9)*10.764</f>
        <v>425.12418000000002</v>
      </c>
      <c r="E312" s="55">
        <v>0</v>
      </c>
      <c r="F312" s="38">
        <f>D312+E312</f>
        <v>425.12418000000002</v>
      </c>
      <c r="G312" s="38">
        <v>0</v>
      </c>
      <c r="H312" s="38">
        <f>F312*(($H$177)+1)+(IF(G312&lt;101,G312,IF(G312&lt;201,G312/2,IF(G312&lt;=301,G312/3,G312/4))))</f>
        <v>637.68627000000004</v>
      </c>
    </row>
    <row r="313" spans="1:9" hidden="1" x14ac:dyDescent="0.25">
      <c r="A313" s="67">
        <v>4</v>
      </c>
      <c r="B313" s="68"/>
      <c r="C313" s="38" t="s">
        <v>320</v>
      </c>
      <c r="D313" s="55">
        <f>(4.45*2.9+1.4*1.95+2.4*1.2+2.75*2.4+3.3*2.9+0.45*2.3+2.6*2.45+2.1*1.2*2+0.9*1)*10.764</f>
        <v>516.99491999999998</v>
      </c>
      <c r="E313" s="55">
        <v>0</v>
      </c>
      <c r="F313" s="38">
        <f>D313+E313</f>
        <v>516.99491999999998</v>
      </c>
      <c r="G313" s="38">
        <v>0</v>
      </c>
      <c r="H313" s="38">
        <f>F313*(($H$177)+1)+(IF(G313&lt;101,G313,IF(G313&lt;201,G313/2,IF(G313&lt;=301,G313/3,G313/4))))</f>
        <v>775.49237999999991</v>
      </c>
    </row>
    <row r="314" spans="1:9" hidden="1" x14ac:dyDescent="0.25">
      <c r="A314" s="67">
        <v>5</v>
      </c>
      <c r="B314" s="68"/>
      <c r="C314" s="38" t="s">
        <v>318</v>
      </c>
      <c r="D314" s="55">
        <f>(5.1*2.9+2.4*1.05+2*3.25+2.9*3.6+2.4*1.2+2.4*1.05)*10.764</f>
        <v>426.79260000000005</v>
      </c>
      <c r="E314" s="55">
        <v>0</v>
      </c>
      <c r="F314" s="38">
        <f>D314+E314</f>
        <v>426.79260000000005</v>
      </c>
      <c r="G314" s="38">
        <v>0</v>
      </c>
      <c r="H314" s="38">
        <f>F314*(($H$177)+1)+(IF(G314&lt;101,G314,IF(G314&lt;201,G314/2,IF(G314&lt;=301,G314/3,G314/4))))</f>
        <v>640.1889000000001</v>
      </c>
    </row>
    <row r="315" spans="1:9" s="31" customFormat="1" x14ac:dyDescent="0.25">
      <c r="A315" s="84" t="s">
        <v>310</v>
      </c>
      <c r="B315" s="85"/>
      <c r="C315" s="85"/>
      <c r="D315" s="85"/>
      <c r="E315" s="85"/>
      <c r="F315" s="85"/>
      <c r="G315" s="85"/>
      <c r="H315" s="86"/>
    </row>
    <row r="316" spans="1:9" s="31" customFormat="1" x14ac:dyDescent="0.25">
      <c r="A316" s="78" t="s">
        <v>317</v>
      </c>
      <c r="B316" s="79"/>
      <c r="C316" s="79"/>
      <c r="D316" s="79"/>
      <c r="E316" s="79"/>
      <c r="F316" s="79"/>
      <c r="G316" s="79"/>
      <c r="H316" s="80"/>
      <c r="I316" s="31">
        <v>1</v>
      </c>
    </row>
    <row r="317" spans="1:9" s="31" customFormat="1" x14ac:dyDescent="0.25">
      <c r="A317" s="67">
        <v>1</v>
      </c>
      <c r="B317" s="68"/>
      <c r="C317" s="38" t="s">
        <v>319</v>
      </c>
      <c r="D317" s="55">
        <f>(2.9*5.5+1.2*2.3+3.05*2.15+2.9*3.05+2.9*4.1+2.3*1.25+2.3*1.25+1*2.4+0.9*2.1)*10.764</f>
        <v>603.24146999999994</v>
      </c>
      <c r="E317" s="55">
        <f>(1.2*(2.9+2.9+2.9)+2*2.15)*10.764</f>
        <v>158.66135999999997</v>
      </c>
      <c r="F317" s="38">
        <f>D317+E317</f>
        <v>761.90282999999988</v>
      </c>
      <c r="G317" s="38">
        <v>0</v>
      </c>
      <c r="H317" s="38">
        <f>F317*(($H$177)+1)+(IF(G317&lt;101,G317,IF(G317&lt;201,G317/2,IF(G317&lt;=301,G317/3,G317/4))))</f>
        <v>1142.8542449999998</v>
      </c>
    </row>
    <row r="318" spans="1:9" s="31" customFormat="1" ht="47.25" x14ac:dyDescent="0.25">
      <c r="A318" s="67">
        <f>A317+1</f>
        <v>2</v>
      </c>
      <c r="B318" s="68"/>
      <c r="C318" s="63" t="s">
        <v>341</v>
      </c>
      <c r="D318" s="55">
        <f>((5.5*4.1+4.25*2.15+3.35*4.1+2.3*1.25+2.3*1.25+1.2*4.25)+(3.35*4.1+4.25*2.15+2.3*1.25+2.3*1.25+5.5*0.9+1.6*1.1))*10.764</f>
        <v>986.03621999999984</v>
      </c>
      <c r="E318" s="55">
        <f>((1.2*9.3+2*2.15)+(1.2*9.3+2*2.15))*10.764</f>
        <v>332.82288</v>
      </c>
      <c r="F318" s="63">
        <f>D318+E318</f>
        <v>1318.8590999999999</v>
      </c>
      <c r="G318" s="63">
        <v>0</v>
      </c>
      <c r="H318" s="63">
        <f>F318*(($H$177)+1)+(IF(G318&lt;101,G318,IF(G318&lt;201,G318/2,IF(G318&lt;=301,G318/3,G318/4))))</f>
        <v>1978.28865</v>
      </c>
    </row>
    <row r="319" spans="1:9" s="31" customFormat="1" ht="47.25" x14ac:dyDescent="0.25">
      <c r="A319" s="67">
        <f t="shared" ref="A319:A320" si="25">A318+1</f>
        <v>3</v>
      </c>
      <c r="B319" s="68"/>
      <c r="C319" s="63" t="s">
        <v>342</v>
      </c>
      <c r="D319" s="55">
        <f>((4.7*4.1+3.3*2.15+3.6*2.15+0.6*2.2+1.1*0.6+2.9*3.1+1.4*1.2+2.3*1.25+2.3*1.25+1.4*2.5+4*1.5)+(2.15*3.05+1.4*2.4+1.2*0.6+2.9*3.1+1.5*1.2+3.3*2.15+2.3*1.25+2.3*1.25+1.4*1.5+1.1*6.1+1.6*1.5))*10.764</f>
        <v>1156.9954499999997</v>
      </c>
      <c r="E319" s="55">
        <f>((1.2*(2.4+9.15)+2*2.15)+(1.2*(2.15+9.15)+2*2.15))*10.764</f>
        <v>387.71927999999991</v>
      </c>
      <c r="F319" s="63">
        <f t="shared" ref="F319:F320" si="26">D319+E319</f>
        <v>1544.7147299999997</v>
      </c>
      <c r="G319" s="63">
        <v>0</v>
      </c>
      <c r="H319" s="63">
        <f t="shared" ref="H319:H320" si="27">F319*(($H$177)+1)+(IF(G319&lt;101,G319,IF(G319&lt;201,G319/2,IF(G319&lt;=301,G319/3,G319/4))))</f>
        <v>2317.0720949999995</v>
      </c>
    </row>
    <row r="320" spans="1:9" s="31" customFormat="1" x14ac:dyDescent="0.25">
      <c r="A320" s="67">
        <f t="shared" si="25"/>
        <v>4</v>
      </c>
      <c r="B320" s="68"/>
      <c r="C320" s="38" t="s">
        <v>319</v>
      </c>
      <c r="D320" s="55">
        <f>(2.9*5.5+2.9*2.15+1.2*2.3+2.9*3.05+2.9*4.1+2.3*1.25+2.3*1.25+2.3*1.05+0.9*2.6)*10.764</f>
        <v>604.77534000000003</v>
      </c>
      <c r="E320" s="55">
        <f>(1.2*9.3+2*2.15)*10.764</f>
        <v>166.41144</v>
      </c>
      <c r="F320" s="38">
        <f t="shared" si="26"/>
        <v>771.18678</v>
      </c>
      <c r="G320" s="38">
        <v>0</v>
      </c>
      <c r="H320" s="38">
        <f t="shared" si="27"/>
        <v>1156.78017</v>
      </c>
    </row>
    <row r="321" spans="1:9" s="31" customFormat="1" x14ac:dyDescent="0.25">
      <c r="A321" s="78" t="s">
        <v>116</v>
      </c>
      <c r="B321" s="79"/>
      <c r="C321" s="79"/>
      <c r="D321" s="79"/>
      <c r="E321" s="79"/>
      <c r="F321" s="79"/>
      <c r="G321" s="79"/>
      <c r="H321" s="80"/>
      <c r="I321" s="31">
        <v>1</v>
      </c>
    </row>
    <row r="322" spans="1:9" s="31" customFormat="1" x14ac:dyDescent="0.25">
      <c r="A322" s="67">
        <v>1</v>
      </c>
      <c r="B322" s="68"/>
      <c r="C322" s="38" t="s">
        <v>319</v>
      </c>
      <c r="D322" s="55">
        <f>(2.9*5.5+1.2*2.3+3.05*2.15+2.9*3.05+2.9*4.1+2.3*1.25+2.3*1.25+1*2.4+0.9*2.1)*10.764</f>
        <v>603.24146999999994</v>
      </c>
      <c r="E322" s="55">
        <f>(1.2*(2.9+2.9+2.9)+2*2.15)*10.764</f>
        <v>158.66135999999997</v>
      </c>
      <c r="F322" s="38">
        <f>D322+E322</f>
        <v>761.90282999999988</v>
      </c>
      <c r="G322" s="38">
        <v>0</v>
      </c>
      <c r="H322" s="38">
        <f>F322*(($H$177)+1)+(IF(G322&lt;101,G322,IF(G322&lt;201,G322/2,IF(G322&lt;=301,G322/3,G322/4))))</f>
        <v>1142.8542449999998</v>
      </c>
    </row>
    <row r="323" spans="1:9" s="31" customFormat="1" x14ac:dyDescent="0.25">
      <c r="A323" s="67">
        <f>A322+1</f>
        <v>2</v>
      </c>
      <c r="B323" s="68"/>
      <c r="C323" s="81" t="s">
        <v>340</v>
      </c>
      <c r="D323" s="82"/>
      <c r="E323" s="82"/>
      <c r="F323" s="82"/>
      <c r="G323" s="82"/>
      <c r="H323" s="83"/>
    </row>
    <row r="324" spans="1:9" s="31" customFormat="1" x14ac:dyDescent="0.25">
      <c r="A324" s="67">
        <f t="shared" ref="A324:A325" si="28">A323+1</f>
        <v>3</v>
      </c>
      <c r="B324" s="68"/>
      <c r="C324" s="81" t="s">
        <v>340</v>
      </c>
      <c r="D324" s="82"/>
      <c r="E324" s="82"/>
      <c r="F324" s="82"/>
      <c r="G324" s="82"/>
      <c r="H324" s="83"/>
    </row>
    <row r="325" spans="1:9" s="31" customFormat="1" x14ac:dyDescent="0.25">
      <c r="A325" s="67">
        <f t="shared" si="28"/>
        <v>4</v>
      </c>
      <c r="B325" s="68"/>
      <c r="C325" s="38" t="s">
        <v>319</v>
      </c>
      <c r="D325" s="55">
        <f>(2.9*5.5+2.9*2.15+1.2*2.3+2.9*3.05+2.9*4.1+2.3*1.25+2.3*1.25+2.3*1.05+0.9*2.6)*10.764</f>
        <v>604.77534000000003</v>
      </c>
      <c r="E325" s="55">
        <f>(1.2*9.3+2*2.15)*10.764</f>
        <v>166.41144</v>
      </c>
      <c r="F325" s="38">
        <f t="shared" ref="F325" si="29">D325+E325</f>
        <v>771.18678</v>
      </c>
      <c r="G325" s="38">
        <v>0</v>
      </c>
      <c r="H325" s="38">
        <f t="shared" ref="H325" si="30">F325*(($H$177)+1)+(IF(G325&lt;101,G325,IF(G325&lt;201,G325/2,IF(G325&lt;=301,G325/3,G325/4))))</f>
        <v>1156.78017</v>
      </c>
    </row>
    <row r="326" spans="1:9" s="31" customFormat="1" x14ac:dyDescent="0.25">
      <c r="A326" s="78" t="s">
        <v>345</v>
      </c>
      <c r="B326" s="79"/>
      <c r="C326" s="79"/>
      <c r="D326" s="79"/>
      <c r="E326" s="79"/>
      <c r="F326" s="79"/>
      <c r="G326" s="79"/>
      <c r="H326" s="80"/>
      <c r="I326" s="31">
        <v>6</v>
      </c>
    </row>
    <row r="327" spans="1:9" s="31" customFormat="1" x14ac:dyDescent="0.25">
      <c r="A327" s="67">
        <v>1</v>
      </c>
      <c r="B327" s="68"/>
      <c r="C327" s="38" t="s">
        <v>319</v>
      </c>
      <c r="D327" s="55">
        <f>(2.9*5.5+1.2*2.3+3.05*2.15+2.9*3.05+2.9*4.1+2.3*1.25+2.3*1.25+1*2.4+0.9*2.1)*10.764</f>
        <v>603.24146999999994</v>
      </c>
      <c r="E327" s="55">
        <f>(1.2*(2.9+2.9+2.9)+2*2.15)*10.764</f>
        <v>158.66135999999997</v>
      </c>
      <c r="F327" s="38">
        <f>D327+E327</f>
        <v>761.90282999999988</v>
      </c>
      <c r="G327" s="38">
        <v>0</v>
      </c>
      <c r="H327" s="38">
        <f>F327*(($H$177)+1)+(IF(G327&lt;101,G327,IF(G327&lt;201,G327/2,IF(G327&lt;=301,G327/3,G327/4))))</f>
        <v>1142.8542449999998</v>
      </c>
    </row>
    <row r="328" spans="1:9" s="31" customFormat="1" x14ac:dyDescent="0.25">
      <c r="A328" s="67">
        <f>A327+1</f>
        <v>2</v>
      </c>
      <c r="B328" s="68"/>
      <c r="C328" s="63" t="s">
        <v>319</v>
      </c>
      <c r="D328" s="55">
        <f>(2.9*5.5+4.25*2.15+1.2*2.3+2.9*3.05+2.9*4.1+2.3*1.25+2.3*1.25+0.9*2)*10.764</f>
        <v>604.21022999999991</v>
      </c>
      <c r="E328" s="55">
        <f>(1.2*9.3+2*2.15)*10.764</f>
        <v>166.41144</v>
      </c>
      <c r="F328" s="63">
        <f>D328+E328</f>
        <v>770.62166999999988</v>
      </c>
      <c r="G328" s="63">
        <v>0</v>
      </c>
      <c r="H328" s="63">
        <f>F328*(($H$177)+1)+(IF(G328&lt;101,G328,IF(G328&lt;201,G328/2,IF(G328&lt;=301,G328/3,G328/4))))</f>
        <v>1155.9325049999998</v>
      </c>
    </row>
    <row r="329" spans="1:9" s="31" customFormat="1" x14ac:dyDescent="0.25">
      <c r="A329" s="67">
        <f t="shared" ref="A329:A330" si="31">A328+1</f>
        <v>3</v>
      </c>
      <c r="B329" s="68"/>
      <c r="C329" s="63" t="s">
        <v>346</v>
      </c>
      <c r="D329" s="55">
        <f>(2.9*5.65+3.3*2.15+1.2*2.3+2.9*3.2+2.9*4.25+2.15*3.05+2.3*1.25+2.3*1.25+0.9*2.1)*10.764</f>
        <v>667.82546999999988</v>
      </c>
      <c r="E329" s="55">
        <f>(1.2*9.15+1.2*2.45+2*2.15)*10.764</f>
        <v>196.12007999999997</v>
      </c>
      <c r="F329" s="63">
        <f t="shared" ref="F329:F330" si="32">D329+E329</f>
        <v>863.94554999999991</v>
      </c>
      <c r="G329" s="63">
        <v>0</v>
      </c>
      <c r="H329" s="63">
        <f t="shared" ref="H329:H330" si="33">F329*(($H$177)+1)+(IF(G329&lt;101,G329,IF(G329&lt;201,G329/2,IF(G329&lt;=301,G329/3,G329/4))))</f>
        <v>1295.9183249999999</v>
      </c>
    </row>
    <row r="330" spans="1:9" s="31" customFormat="1" x14ac:dyDescent="0.25">
      <c r="A330" s="67">
        <f t="shared" si="31"/>
        <v>4</v>
      </c>
      <c r="B330" s="68"/>
      <c r="C330" s="38" t="s">
        <v>319</v>
      </c>
      <c r="D330" s="55">
        <f>(2.9*5.5+2.9*2.15+1.2*2.3+2.9*3.05+2.9*4.1+2.3*1.25+2.3*1.25+2.3*1.05+0.9*2.6)*10.764</f>
        <v>604.77534000000003</v>
      </c>
      <c r="E330" s="55">
        <f>(1.2*9.3+2*2.15)*10.764</f>
        <v>166.41144</v>
      </c>
      <c r="F330" s="38">
        <f t="shared" si="32"/>
        <v>771.18678</v>
      </c>
      <c r="G330" s="38">
        <v>0</v>
      </c>
      <c r="H330" s="38">
        <f t="shared" si="33"/>
        <v>1156.78017</v>
      </c>
    </row>
    <row r="331" spans="1:9" s="31" customFormat="1" x14ac:dyDescent="0.25">
      <c r="A331" s="78" t="s">
        <v>347</v>
      </c>
      <c r="B331" s="79"/>
      <c r="C331" s="79"/>
      <c r="D331" s="79"/>
      <c r="E331" s="79"/>
      <c r="F331" s="79"/>
      <c r="G331" s="79"/>
      <c r="H331" s="80"/>
      <c r="I331" s="31">
        <v>2</v>
      </c>
    </row>
    <row r="332" spans="1:9" s="31" customFormat="1" x14ac:dyDescent="0.25">
      <c r="A332" s="67">
        <v>1</v>
      </c>
      <c r="B332" s="68"/>
      <c r="C332" s="38" t="s">
        <v>319</v>
      </c>
      <c r="D332" s="55">
        <f>(2.9*5.5+1.2*2.3+3.05*2.15+2.9*3.05+2.9*4.1+2.3*1.25+2.3*1.25+1*2.4+0.9*2.1)*10.764</f>
        <v>603.24146999999994</v>
      </c>
      <c r="E332" s="55">
        <f>(1.2*(2.9+2.9+2.9)+2*2.15)*10.764</f>
        <v>158.66135999999997</v>
      </c>
      <c r="F332" s="38">
        <f>D332+E332</f>
        <v>761.90282999999988</v>
      </c>
      <c r="G332" s="38">
        <v>0</v>
      </c>
      <c r="H332" s="38">
        <f>F332*(($H$177)+1)+(IF(G332&lt;101,G332,IF(G332&lt;201,G332/2,IF(G332&lt;=301,G332/3,G332/4))))</f>
        <v>1142.8542449999998</v>
      </c>
    </row>
    <row r="333" spans="1:9" s="31" customFormat="1" x14ac:dyDescent="0.25">
      <c r="A333" s="67">
        <f>A332+1</f>
        <v>2</v>
      </c>
      <c r="B333" s="68"/>
      <c r="C333" s="63" t="s">
        <v>319</v>
      </c>
      <c r="D333" s="55">
        <f>(2.9*5.5+4.25*2.15+1.2*2.3+2.9*3.05+2.9*4.1+2.3*1.25+2.3*1.25+0.9*2)*10.764</f>
        <v>604.21022999999991</v>
      </c>
      <c r="E333" s="55">
        <f>(1.2*9.3+2*2.15)*10.764</f>
        <v>166.41144</v>
      </c>
      <c r="F333" s="63">
        <f>D333+E333</f>
        <v>770.62166999999988</v>
      </c>
      <c r="G333" s="63">
        <v>0</v>
      </c>
      <c r="H333" s="63">
        <f>F333*(($H$177)+1)+(IF(G333&lt;101,G333,IF(G333&lt;201,G333/2,IF(G333&lt;=301,G333/3,G333/4))))</f>
        <v>1155.9325049999998</v>
      </c>
    </row>
    <row r="334" spans="1:9" s="31" customFormat="1" x14ac:dyDescent="0.25">
      <c r="A334" s="67">
        <f t="shared" ref="A334:A335" si="34">A333+1</f>
        <v>3</v>
      </c>
      <c r="B334" s="68"/>
      <c r="C334" s="63" t="s">
        <v>346</v>
      </c>
      <c r="D334" s="55">
        <f>(2.9*5.65+3.3*2.15+1.2*2.3+2.9*3.2+2.9*4.25+2.15*3.05+2.3*1.25+2.3*1.25+0.9*2.1)*10.764</f>
        <v>667.82546999999988</v>
      </c>
      <c r="E334" s="55">
        <f>(1.2*9.15+1.2*2.45+2*2.15)*10.764</f>
        <v>196.12007999999997</v>
      </c>
      <c r="F334" s="63">
        <f t="shared" ref="F334:F335" si="35">D334+E334</f>
        <v>863.94554999999991</v>
      </c>
      <c r="G334" s="63">
        <v>0</v>
      </c>
      <c r="H334" s="63">
        <f t="shared" ref="H334:H335" si="36">F334*(($H$177)+1)+(IF(G334&lt;101,G334,IF(G334&lt;201,G334/2,IF(G334&lt;=301,G334/3,G334/4))))</f>
        <v>1295.9183249999999</v>
      </c>
    </row>
    <row r="335" spans="1:9" s="31" customFormat="1" x14ac:dyDescent="0.25">
      <c r="A335" s="67">
        <f t="shared" si="34"/>
        <v>4</v>
      </c>
      <c r="B335" s="68"/>
      <c r="C335" s="38" t="s">
        <v>319</v>
      </c>
      <c r="D335" s="55">
        <f>(2.9*5.5+2.9*2.15+1.2*2.3+2.9*3.05+2.9*4.1+2.3*1.25+2.3*1.25+2.3*1.05+0.9*2.6)*10.764</f>
        <v>604.77534000000003</v>
      </c>
      <c r="E335" s="55">
        <f>(1.2*9.3+2*2.15)*10.764</f>
        <v>166.41144</v>
      </c>
      <c r="F335" s="38">
        <f t="shared" si="35"/>
        <v>771.18678</v>
      </c>
      <c r="G335" s="38">
        <v>0</v>
      </c>
      <c r="H335" s="38">
        <f t="shared" si="36"/>
        <v>1156.78017</v>
      </c>
    </row>
    <row r="336" spans="1:9" s="31" customFormat="1" x14ac:dyDescent="0.25">
      <c r="A336" s="78" t="s">
        <v>348</v>
      </c>
      <c r="B336" s="79"/>
      <c r="C336" s="79"/>
      <c r="D336" s="79"/>
      <c r="E336" s="79"/>
      <c r="F336" s="79"/>
      <c r="G336" s="79"/>
      <c r="H336" s="80"/>
      <c r="I336" s="31">
        <v>1</v>
      </c>
    </row>
    <row r="337" spans="1:9" s="31" customFormat="1" x14ac:dyDescent="0.25">
      <c r="A337" s="67">
        <v>1</v>
      </c>
      <c r="B337" s="68"/>
      <c r="C337" s="38" t="s">
        <v>319</v>
      </c>
      <c r="D337" s="55">
        <f>(2.9*5.5+1.2*2.3+3.05*2.15+2.9*3.05+2.9*4.1+2.3*1.25+2.3*1.25+1*2.4+0.9*2.1)*10.764</f>
        <v>603.24146999999994</v>
      </c>
      <c r="E337" s="55">
        <f>(1.2*(2.9+2.9+2.9)+2*2.15)*10.764</f>
        <v>158.66135999999997</v>
      </c>
      <c r="F337" s="38">
        <f>D337+E337</f>
        <v>761.90282999999988</v>
      </c>
      <c r="G337" s="38">
        <v>0</v>
      </c>
      <c r="H337" s="38">
        <f>F337*(($H$177)+1)+(IF(G337&lt;101,G337,IF(G337&lt;201,G337/2,IF(G337&lt;=301,G337/3,G337/4))))</f>
        <v>1142.8542449999998</v>
      </c>
    </row>
    <row r="338" spans="1:9" s="31" customFormat="1" x14ac:dyDescent="0.25">
      <c r="A338" s="67">
        <f>A337+1</f>
        <v>2</v>
      </c>
      <c r="B338" s="68"/>
      <c r="C338" s="63" t="s">
        <v>319</v>
      </c>
      <c r="D338" s="55">
        <f>(2.9*5.5+4.25*2.15+1.2*2.3+2.9*3.05+2.9*4.1+2.3*1.25+2.3*1.25+0.9*2)*10.764</f>
        <v>604.21022999999991</v>
      </c>
      <c r="E338" s="55">
        <f>(1.2*9.3+2*2.15)*10.764</f>
        <v>166.41144</v>
      </c>
      <c r="F338" s="63">
        <f>D338+E338</f>
        <v>770.62166999999988</v>
      </c>
      <c r="G338" s="63">
        <v>0</v>
      </c>
      <c r="H338" s="63">
        <f>F338*(($H$177)+1)+(IF(G338&lt;101,G338,IF(G338&lt;201,G338/2,IF(G338&lt;=301,G338/3,G338/4))))</f>
        <v>1155.9325049999998</v>
      </c>
    </row>
    <row r="339" spans="1:9" s="31" customFormat="1" x14ac:dyDescent="0.25">
      <c r="A339" s="67">
        <f t="shared" ref="A339:A340" si="37">A338+1</f>
        <v>3</v>
      </c>
      <c r="B339" s="68"/>
      <c r="C339" s="63" t="s">
        <v>346</v>
      </c>
      <c r="D339" s="55">
        <f>(2.9*5.65+3.3*2.15+1.2*2.3+2.9*3.2+2.9*4.25+2.15*3.05+2.3*1.25+2.3*1.25+0.9*2.1)*10.764</f>
        <v>667.82546999999988</v>
      </c>
      <c r="E339" s="55">
        <f>(1.2*9.15+1.2*2.45+2*2.15)*10.764</f>
        <v>196.12007999999997</v>
      </c>
      <c r="F339" s="63">
        <f t="shared" ref="F339:F340" si="38">D339+E339</f>
        <v>863.94554999999991</v>
      </c>
      <c r="G339" s="63">
        <v>0</v>
      </c>
      <c r="H339" s="63">
        <f t="shared" ref="H339:H340" si="39">F339*(($H$177)+1)+(IF(G339&lt;101,G339,IF(G339&lt;201,G339/2,IF(G339&lt;=301,G339/3,G339/4))))</f>
        <v>1295.9183249999999</v>
      </c>
    </row>
    <row r="340" spans="1:9" s="31" customFormat="1" x14ac:dyDescent="0.25">
      <c r="A340" s="67">
        <f t="shared" si="37"/>
        <v>4</v>
      </c>
      <c r="B340" s="68"/>
      <c r="C340" s="38" t="s">
        <v>319</v>
      </c>
      <c r="D340" s="55">
        <f>(2.9*5.5+2.9*2.15+1.2*2.3+2.9*3.05+2.9*4.1+2.3*1.25+2.3*1.25+2.3*1.05+0.9*2.6)*10.764</f>
        <v>604.77534000000003</v>
      </c>
      <c r="E340" s="55">
        <f>(1.2*9.3+2*2.15)*10.764</f>
        <v>166.41144</v>
      </c>
      <c r="F340" s="38">
        <f t="shared" si="38"/>
        <v>771.18678</v>
      </c>
      <c r="G340" s="38">
        <v>0</v>
      </c>
      <c r="H340" s="38">
        <f t="shared" si="39"/>
        <v>1156.78017</v>
      </c>
    </row>
    <row r="341" spans="1:9" s="31" customFormat="1" x14ac:dyDescent="0.25">
      <c r="A341" s="78" t="s">
        <v>349</v>
      </c>
      <c r="B341" s="79"/>
      <c r="C341" s="79"/>
      <c r="D341" s="79"/>
      <c r="E341" s="79"/>
      <c r="F341" s="79"/>
      <c r="G341" s="79"/>
      <c r="H341" s="80"/>
      <c r="I341" s="31">
        <f>4</f>
        <v>4</v>
      </c>
    </row>
    <row r="342" spans="1:9" s="31" customFormat="1" x14ac:dyDescent="0.25">
      <c r="A342" s="67">
        <v>1</v>
      </c>
      <c r="B342" s="68"/>
      <c r="C342" s="38" t="s">
        <v>319</v>
      </c>
      <c r="D342" s="55">
        <f>(2.9*5.5+1.2*2.3+3.05*2.15+2.9*3.05+2.9*4.1+2.3*1.25+2.3*1.25+1*2.4+0.9*2.1)*10.764</f>
        <v>603.24146999999994</v>
      </c>
      <c r="E342" s="55">
        <f>(1.2*(2.9+2.9+2.9)+2*2.15)*10.764</f>
        <v>158.66135999999997</v>
      </c>
      <c r="F342" s="38">
        <f>D342+E342</f>
        <v>761.90282999999988</v>
      </c>
      <c r="G342" s="38">
        <v>0</v>
      </c>
      <c r="H342" s="38">
        <f>F342*(($H$177)+1)+(IF(G342&lt;101,G342,IF(G342&lt;201,G342/2,IF(G342&lt;=301,G342/3,G342/4))))</f>
        <v>1142.8542449999998</v>
      </c>
    </row>
    <row r="343" spans="1:9" s="31" customFormat="1" x14ac:dyDescent="0.25">
      <c r="A343" s="67">
        <f>A342+1</f>
        <v>2</v>
      </c>
      <c r="B343" s="68"/>
      <c r="C343" s="63" t="s">
        <v>319</v>
      </c>
      <c r="D343" s="55">
        <f>(2.9*5.5+4.25*2.15+1.2*2.3+2.9*3.05+2.9*4.1+2.3*1.25+2.3*1.25+0.9*2)*10.764</f>
        <v>604.21022999999991</v>
      </c>
      <c r="E343" s="55">
        <f>(1.2*9.3+2*2.15)*10.764</f>
        <v>166.41144</v>
      </c>
      <c r="F343" s="63">
        <f>D343+E343</f>
        <v>770.62166999999988</v>
      </c>
      <c r="G343" s="63">
        <v>0</v>
      </c>
      <c r="H343" s="63">
        <f>F343*(($H$177)+1)+(IF(G343&lt;101,G343,IF(G343&lt;201,G343/2,IF(G343&lt;=301,G343/3,G343/4))))</f>
        <v>1155.9325049999998</v>
      </c>
    </row>
    <row r="344" spans="1:9" s="31" customFormat="1" x14ac:dyDescent="0.25">
      <c r="A344" s="67">
        <f t="shared" ref="A344:A345" si="40">A343+1</f>
        <v>3</v>
      </c>
      <c r="B344" s="68"/>
      <c r="C344" s="63" t="s">
        <v>346</v>
      </c>
      <c r="D344" s="55">
        <f>(2.9*5.65+3.3*2.15+1.2*2.3+2.9*3.2+2.9*4.25+2.15*3.05+2.3*1.25+2.3*1.25+0.9*2.1)*10.764</f>
        <v>667.82546999999988</v>
      </c>
      <c r="E344" s="55">
        <f>(1.2*9.15+1.2*2.45+2*2.15)*10.764</f>
        <v>196.12007999999997</v>
      </c>
      <c r="F344" s="63">
        <f t="shared" ref="F344:F345" si="41">D344+E344</f>
        <v>863.94554999999991</v>
      </c>
      <c r="G344" s="63">
        <v>0</v>
      </c>
      <c r="H344" s="63">
        <f t="shared" ref="H344:H345" si="42">F344*(($H$177)+1)+(IF(G344&lt;101,G344,IF(G344&lt;201,G344/2,IF(G344&lt;=301,G344/3,G344/4))))</f>
        <v>1295.9183249999999</v>
      </c>
    </row>
    <row r="345" spans="1:9" s="31" customFormat="1" x14ac:dyDescent="0.25">
      <c r="A345" s="67">
        <f t="shared" si="40"/>
        <v>4</v>
      </c>
      <c r="B345" s="68"/>
      <c r="C345" s="38" t="s">
        <v>319</v>
      </c>
      <c r="D345" s="55">
        <f>(2.9*5.5+2.9*2.15+1.2*2.3+2.9*3.05+2.9*4.1+2.3*1.25+2.3*1.25+2.3*1.05+0.9*2.6)*10.764</f>
        <v>604.77534000000003</v>
      </c>
      <c r="E345" s="55">
        <f>(1.2*9.3+2*2.15)*10.764</f>
        <v>166.41144</v>
      </c>
      <c r="F345" s="38">
        <f t="shared" si="41"/>
        <v>771.18678</v>
      </c>
      <c r="G345" s="38">
        <v>0</v>
      </c>
      <c r="H345" s="38">
        <f t="shared" si="42"/>
        <v>1156.78017</v>
      </c>
    </row>
    <row r="346" spans="1:9" s="31" customFormat="1" x14ac:dyDescent="0.25">
      <c r="A346" s="69" t="s">
        <v>350</v>
      </c>
      <c r="B346" s="70"/>
      <c r="C346" s="70"/>
      <c r="D346" s="70"/>
      <c r="E346" s="70"/>
      <c r="F346" s="70"/>
      <c r="G346" s="70"/>
      <c r="H346" s="71"/>
      <c r="I346" s="31">
        <v>3</v>
      </c>
    </row>
    <row r="347" spans="1:9" s="31" customFormat="1" x14ac:dyDescent="0.25">
      <c r="A347" s="67">
        <v>1</v>
      </c>
      <c r="B347" s="68"/>
      <c r="C347" s="38" t="s">
        <v>319</v>
      </c>
      <c r="D347" s="55">
        <f>(2.9*5.5+1.2*2.3+3.05*2.15+2.9*3.05+2.9*4.1+2.3*1.25+2.3*1.25+1*2.4+0.9*2.1)*10.764</f>
        <v>603.24146999999994</v>
      </c>
      <c r="E347" s="55">
        <f>(1.2*(2.9+2.9+2.9)+2*2.15)*10.764</f>
        <v>158.66135999999997</v>
      </c>
      <c r="F347" s="38">
        <f>D347+E347</f>
        <v>761.90282999999988</v>
      </c>
      <c r="G347" s="38">
        <v>0</v>
      </c>
      <c r="H347" s="38">
        <f>F347*(($H$177)+1)+(IF(G347&lt;101,G347,IF(G347&lt;201,G347/2,IF(G347&lt;=301,G347/3,G347/4))))</f>
        <v>1142.8542449999998</v>
      </c>
    </row>
    <row r="348" spans="1:9" s="31" customFormat="1" x14ac:dyDescent="0.25">
      <c r="A348" s="67">
        <f>A347+1</f>
        <v>2</v>
      </c>
      <c r="B348" s="68"/>
      <c r="C348" s="63" t="s">
        <v>319</v>
      </c>
      <c r="D348" s="55">
        <f>(2.9*5.5+4.25*2.15+1.2*2.3+2.9*3.05+2.9*4.1+2.3*1.25+2.3*1.25+0.9*2)*10.764</f>
        <v>604.21022999999991</v>
      </c>
      <c r="E348" s="55">
        <f>(1.2*9.3+2*2.15)*10.764</f>
        <v>166.41144</v>
      </c>
      <c r="F348" s="63">
        <f>D348+E348</f>
        <v>770.62166999999988</v>
      </c>
      <c r="G348" s="63">
        <v>0</v>
      </c>
      <c r="H348" s="63">
        <f>F348*(($H$177)+1)+(IF(G348&lt;101,G348,IF(G348&lt;201,G348/2,IF(G348&lt;=301,G348/3,G348/4))))</f>
        <v>1155.9325049999998</v>
      </c>
    </row>
    <row r="349" spans="1:9" s="31" customFormat="1" x14ac:dyDescent="0.25">
      <c r="A349" s="67">
        <f t="shared" ref="A349:A350" si="43">A348+1</f>
        <v>3</v>
      </c>
      <c r="B349" s="68"/>
      <c r="C349" s="63" t="s">
        <v>346</v>
      </c>
      <c r="D349" s="55">
        <f>(2.9*5.65+3.3*2.15+1.2*2.3+2.9*3.2+2.9*4.25+2.15*3.05+2.3*1.25+2.3*1.25+0.9*2.1)*10.764</f>
        <v>667.82546999999988</v>
      </c>
      <c r="E349" s="55">
        <f>(1.2*9.15+1.2*2.45+2*2.15)*10.764</f>
        <v>196.12007999999997</v>
      </c>
      <c r="F349" s="63">
        <f t="shared" ref="F349:F350" si="44">D349+E349</f>
        <v>863.94554999999991</v>
      </c>
      <c r="G349" s="63">
        <v>0</v>
      </c>
      <c r="H349" s="63">
        <f t="shared" ref="H349:H350" si="45">F349*(($H$177)+1)+(IF(G349&lt;101,G349,IF(G349&lt;201,G349/2,IF(G349&lt;=301,G349/3,G349/4))))</f>
        <v>1295.9183249999999</v>
      </c>
    </row>
    <row r="350" spans="1:9" s="31" customFormat="1" x14ac:dyDescent="0.25">
      <c r="A350" s="67">
        <f t="shared" si="43"/>
        <v>4</v>
      </c>
      <c r="B350" s="68"/>
      <c r="C350" s="38" t="s">
        <v>319</v>
      </c>
      <c r="D350" s="55">
        <f>(2.9*5.5+2.9*2.15+1.2*2.3+2.9*3.05+2.9*4.1+2.3*1.25+2.3*1.25+2.3*1.05+0.9*2.6)*10.764</f>
        <v>604.77534000000003</v>
      </c>
      <c r="E350" s="55">
        <f>(1.2*9.3+2*2.15)*10.764</f>
        <v>166.41144</v>
      </c>
      <c r="F350" s="38">
        <f t="shared" si="44"/>
        <v>771.18678</v>
      </c>
      <c r="G350" s="38">
        <v>0</v>
      </c>
      <c r="H350" s="38">
        <f t="shared" si="45"/>
        <v>1156.78017</v>
      </c>
    </row>
    <row r="351" spans="1:9" s="31" customFormat="1" x14ac:dyDescent="0.25">
      <c r="A351" s="69" t="s">
        <v>356</v>
      </c>
      <c r="B351" s="70"/>
      <c r="C351" s="70"/>
      <c r="D351" s="70"/>
      <c r="E351" s="70"/>
      <c r="F351" s="70"/>
      <c r="G351" s="70"/>
      <c r="H351" s="71"/>
      <c r="I351" s="31">
        <v>3</v>
      </c>
    </row>
    <row r="352" spans="1:9" s="31" customFormat="1" x14ac:dyDescent="0.25">
      <c r="A352" s="67">
        <v>1</v>
      </c>
      <c r="B352" s="68"/>
      <c r="C352" s="38" t="s">
        <v>319</v>
      </c>
      <c r="D352" s="55">
        <f>(2.9*5.5+1.2*2.3+3.05*2.15+2.9*3.05+2.9*4.1+2.3*1.25+2.3*1.25+1*2.4+0.9*2.1)*10.764</f>
        <v>603.24146999999994</v>
      </c>
      <c r="E352" s="55">
        <f>(1.2*(2.9+2.9+2.9)+2*2.15)*10.764</f>
        <v>158.66135999999997</v>
      </c>
      <c r="F352" s="38">
        <f>D352+E352</f>
        <v>761.90282999999988</v>
      </c>
      <c r="G352" s="38">
        <v>0</v>
      </c>
      <c r="H352" s="38">
        <f>F352*(($H$177)+1)+(IF(G352&lt;101,G352,IF(G352&lt;201,G352/2,IF(G352&lt;=301,G352/3,G352/4))))</f>
        <v>1142.8542449999998</v>
      </c>
    </row>
    <row r="353" spans="1:9" s="31" customFormat="1" x14ac:dyDescent="0.25">
      <c r="A353" s="67">
        <f>A352+1</f>
        <v>2</v>
      </c>
      <c r="B353" s="68"/>
      <c r="C353" s="63" t="s">
        <v>319</v>
      </c>
      <c r="D353" s="55">
        <f>(2.9*5.5+4.25*2.15+1.2*2.3+2.9*3.05+2.9*4.1+2.3*1.25+2.3*1.25+0.9*2)*10.764</f>
        <v>604.21022999999991</v>
      </c>
      <c r="E353" s="55">
        <f>(1.2*9.3+2*2.15)*10.764</f>
        <v>166.41144</v>
      </c>
      <c r="F353" s="63">
        <f>D353+E353</f>
        <v>770.62166999999988</v>
      </c>
      <c r="G353" s="63">
        <v>0</v>
      </c>
      <c r="H353" s="63">
        <f>F353*(($H$177)+1)+(IF(G353&lt;101,G353,IF(G353&lt;201,G353/2,IF(G353&lt;=301,G353/3,G353/4))))</f>
        <v>1155.9325049999998</v>
      </c>
    </row>
    <row r="354" spans="1:9" s="31" customFormat="1" x14ac:dyDescent="0.25">
      <c r="A354" s="67">
        <f t="shared" ref="A354:A355" si="46">A353+1</f>
        <v>3</v>
      </c>
      <c r="B354" s="68"/>
      <c r="C354" s="63" t="s">
        <v>346</v>
      </c>
      <c r="D354" s="55">
        <f>(2.9*5.65+3.3*2.15+1.2*2.3+2.9*3.2+2.9*4.25+2.15*3.05+2.3*1.25+2.3*1.25+0.9*2.1)*10.764</f>
        <v>667.82546999999988</v>
      </c>
      <c r="E354" s="55">
        <f>(1.2*9.15+1.2*2.45+2*2.15)*10.764</f>
        <v>196.12007999999997</v>
      </c>
      <c r="F354" s="63">
        <f t="shared" ref="F354:F355" si="47">D354+E354</f>
        <v>863.94554999999991</v>
      </c>
      <c r="G354" s="63">
        <v>0</v>
      </c>
      <c r="H354" s="63">
        <f t="shared" ref="H354:H355" si="48">F354*(($H$177)+1)+(IF(G354&lt;101,G354,IF(G354&lt;201,G354/2,IF(G354&lt;=301,G354/3,G354/4))))</f>
        <v>1295.9183249999999</v>
      </c>
    </row>
    <row r="355" spans="1:9" s="31" customFormat="1" x14ac:dyDescent="0.25">
      <c r="A355" s="67">
        <f t="shared" si="46"/>
        <v>4</v>
      </c>
      <c r="B355" s="68"/>
      <c r="C355" s="38" t="s">
        <v>319</v>
      </c>
      <c r="D355" s="55">
        <f>(2.9*5.5+2.9*2.15+1.2*2.3+2.9*3.05+2.9*4.1+2.3*1.25+2.3*1.25+2.3*1.05+0.9*2.6)*10.764</f>
        <v>604.77534000000003</v>
      </c>
      <c r="E355" s="55">
        <f>(1.2*9.3+2*2.15)*10.764</f>
        <v>166.41144</v>
      </c>
      <c r="F355" s="38">
        <f t="shared" si="47"/>
        <v>771.18678</v>
      </c>
      <c r="G355" s="38">
        <v>0</v>
      </c>
      <c r="H355" s="38">
        <f t="shared" si="48"/>
        <v>1156.78017</v>
      </c>
    </row>
    <row r="356" spans="1:9" s="31" customFormat="1" x14ac:dyDescent="0.25">
      <c r="A356" s="69" t="s">
        <v>359</v>
      </c>
      <c r="B356" s="70"/>
      <c r="C356" s="70"/>
      <c r="D356" s="70"/>
      <c r="E356" s="70"/>
      <c r="F356" s="70"/>
      <c r="G356" s="70"/>
      <c r="H356" s="71"/>
      <c r="I356" s="31">
        <v>3</v>
      </c>
    </row>
    <row r="357" spans="1:9" s="31" customFormat="1" x14ac:dyDescent="0.25">
      <c r="A357" s="67">
        <v>1</v>
      </c>
      <c r="B357" s="68"/>
      <c r="C357" s="38" t="s">
        <v>319</v>
      </c>
      <c r="D357" s="55">
        <f>(2.9*5.5+1.2*2.3+3.05*2.15+2.9*3.05+2.9*4.1+2.3*1.25+2.3*1.25+1*2.4+0.9*2.1)*10.764</f>
        <v>603.24146999999994</v>
      </c>
      <c r="E357" s="55">
        <f>(1.2*(2.9+2.9+2.9)+2*2.15)*10.764</f>
        <v>158.66135999999997</v>
      </c>
      <c r="F357" s="38">
        <f>D357+E357</f>
        <v>761.90282999999988</v>
      </c>
      <c r="G357" s="38">
        <v>0</v>
      </c>
      <c r="H357" s="38">
        <f>F357*(($H$177)+1)+(IF(G357&lt;101,G357,IF(G357&lt;201,G357/2,IF(G357&lt;=301,G357/3,G357/4))))</f>
        <v>1142.8542449999998</v>
      </c>
    </row>
    <row r="358" spans="1:9" s="31" customFormat="1" x14ac:dyDescent="0.25">
      <c r="A358" s="67">
        <f>A357+1</f>
        <v>2</v>
      </c>
      <c r="B358" s="68"/>
      <c r="C358" s="63" t="s">
        <v>319</v>
      </c>
      <c r="D358" s="55">
        <f>(2.9*5.5+4.25*2.15+1.2*2.3+2.9*3.05+2.9*4.1+2.3*1.25+2.3*1.25+0.9*2)*10.764</f>
        <v>604.21022999999991</v>
      </c>
      <c r="E358" s="55">
        <f>(1.2*9.3+2*2.15)*10.764</f>
        <v>166.41144</v>
      </c>
      <c r="F358" s="63">
        <f>D358+E358</f>
        <v>770.62166999999988</v>
      </c>
      <c r="G358" s="63">
        <v>0</v>
      </c>
      <c r="H358" s="63">
        <f>F358*(($H$177)+1)+(IF(G358&lt;101,G358,IF(G358&lt;201,G358/2,IF(G358&lt;=301,G358/3,G358/4))))</f>
        <v>1155.9325049999998</v>
      </c>
    </row>
    <row r="359" spans="1:9" s="31" customFormat="1" x14ac:dyDescent="0.25">
      <c r="A359" s="67">
        <f t="shared" ref="A359:A360" si="49">A358+1</f>
        <v>3</v>
      </c>
      <c r="B359" s="68"/>
      <c r="C359" s="63" t="s">
        <v>346</v>
      </c>
      <c r="D359" s="55">
        <f>(2.9*5.65+3.3*2.15+1.2*2.3+2.9*3.2+2.9*4.25+2.15*3.05+2.3*1.25+2.3*1.25+0.9*2.1)*10.764</f>
        <v>667.82546999999988</v>
      </c>
      <c r="E359" s="55">
        <f>(1.2*9.15+1.2*2.45+2*2.15)*10.764</f>
        <v>196.12007999999997</v>
      </c>
      <c r="F359" s="63">
        <f t="shared" ref="F359:F360" si="50">D359+E359</f>
        <v>863.94554999999991</v>
      </c>
      <c r="G359" s="63">
        <v>0</v>
      </c>
      <c r="H359" s="63">
        <f t="shared" ref="H359:H360" si="51">F359*(($H$177)+1)+(IF(G359&lt;101,G359,IF(G359&lt;201,G359/2,IF(G359&lt;=301,G359/3,G359/4))))</f>
        <v>1295.9183249999999</v>
      </c>
    </row>
    <row r="360" spans="1:9" s="31" customFormat="1" x14ac:dyDescent="0.25">
      <c r="A360" s="67">
        <f t="shared" si="49"/>
        <v>4</v>
      </c>
      <c r="B360" s="68"/>
      <c r="C360" s="38" t="s">
        <v>319</v>
      </c>
      <c r="D360" s="55">
        <f>(2.9*5.5+2.9*2.15+1.2*2.3+2.9*3.05+2.9*4.1+2.3*1.25+2.3*1.25+2.3*1.05+0.9*2.6)*10.764</f>
        <v>604.77534000000003</v>
      </c>
      <c r="E360" s="55">
        <f>(1.2*9.3+2*2.15)*10.764</f>
        <v>166.41144</v>
      </c>
      <c r="F360" s="38">
        <f t="shared" si="50"/>
        <v>771.18678</v>
      </c>
      <c r="G360" s="38">
        <v>0</v>
      </c>
      <c r="H360" s="38">
        <f t="shared" si="51"/>
        <v>1156.78017</v>
      </c>
    </row>
    <row r="361" spans="1:9" s="31" customFormat="1" x14ac:dyDescent="0.25">
      <c r="A361" s="69" t="s">
        <v>358</v>
      </c>
      <c r="B361" s="70"/>
      <c r="C361" s="70"/>
      <c r="D361" s="70"/>
      <c r="E361" s="70"/>
      <c r="F361" s="70"/>
      <c r="G361" s="70"/>
      <c r="H361" s="71"/>
      <c r="I361" s="31">
        <v>3</v>
      </c>
    </row>
    <row r="362" spans="1:9" s="31" customFormat="1" x14ac:dyDescent="0.25">
      <c r="A362" s="67">
        <v>1</v>
      </c>
      <c r="B362" s="68"/>
      <c r="C362" s="38" t="s">
        <v>319</v>
      </c>
      <c r="D362" s="55">
        <f>(2.9*5.5+1.2*2.3+3.05*2.15+2.9*3.05+2.9*4.1+2.3*1.25+2.3*1.25+1*2.4+0.9*2.1)*10.764</f>
        <v>603.24146999999994</v>
      </c>
      <c r="E362" s="55">
        <f>(1.2*(2.9+2.9+2.9)+2*2.15)*10.764</f>
        <v>158.66135999999997</v>
      </c>
      <c r="F362" s="38">
        <f>D362+E362</f>
        <v>761.90282999999988</v>
      </c>
      <c r="G362" s="38">
        <v>0</v>
      </c>
      <c r="H362" s="38">
        <f>F362*(($H$177)+1)+(IF(G362&lt;101,G362,IF(G362&lt;201,G362/2,IF(G362&lt;=301,G362/3,G362/4))))</f>
        <v>1142.8542449999998</v>
      </c>
    </row>
    <row r="363" spans="1:9" s="31" customFormat="1" x14ac:dyDescent="0.25">
      <c r="A363" s="67">
        <f>A362+1</f>
        <v>2</v>
      </c>
      <c r="B363" s="68"/>
      <c r="C363" s="63" t="s">
        <v>319</v>
      </c>
      <c r="D363" s="55">
        <f>(2.9*5.5+4.25*2.15+1.2*2.3+2.9*3.05+2.9*4.1+2.3*1.25+2.3*1.25+0.9*2)*10.764</f>
        <v>604.21022999999991</v>
      </c>
      <c r="E363" s="55">
        <f>(1.2*9.3+2*2.15)*10.764</f>
        <v>166.41144</v>
      </c>
      <c r="F363" s="63">
        <f>D363+E363</f>
        <v>770.62166999999988</v>
      </c>
      <c r="G363" s="63">
        <v>0</v>
      </c>
      <c r="H363" s="63">
        <f>F363*(($H$177)+1)+(IF(G363&lt;101,G363,IF(G363&lt;201,G363/2,IF(G363&lt;=301,G363/3,G363/4))))</f>
        <v>1155.9325049999998</v>
      </c>
    </row>
    <row r="364" spans="1:9" s="31" customFormat="1" x14ac:dyDescent="0.25">
      <c r="A364" s="67">
        <f t="shared" ref="A364:A365" si="52">A363+1</f>
        <v>3</v>
      </c>
      <c r="B364" s="68"/>
      <c r="C364" s="63" t="s">
        <v>346</v>
      </c>
      <c r="D364" s="55">
        <f>(2.9*5.65+3.3*2.15+1.2*2.3+2.9*3.2+2.9*4.25+2.15*3.05+2.3*1.25+2.3*1.25+0.9*2.1)*10.764</f>
        <v>667.82546999999988</v>
      </c>
      <c r="E364" s="55">
        <f>(1.2*9.15+1.2*2.45+2*2.15)*10.764</f>
        <v>196.12007999999997</v>
      </c>
      <c r="F364" s="63">
        <f t="shared" ref="F364:F365" si="53">D364+E364</f>
        <v>863.94554999999991</v>
      </c>
      <c r="G364" s="63">
        <v>0</v>
      </c>
      <c r="H364" s="63">
        <f t="shared" ref="H364:H365" si="54">F364*(($H$177)+1)+(IF(G364&lt;101,G364,IF(G364&lt;201,G364/2,IF(G364&lt;=301,G364/3,G364/4))))</f>
        <v>1295.9183249999999</v>
      </c>
    </row>
    <row r="365" spans="1:9" s="31" customFormat="1" x14ac:dyDescent="0.25">
      <c r="A365" s="67">
        <f t="shared" si="52"/>
        <v>4</v>
      </c>
      <c r="B365" s="68"/>
      <c r="C365" s="38" t="s">
        <v>319</v>
      </c>
      <c r="D365" s="55">
        <f>(2.9*5.5+2.9*2.15+1.2*2.3+2.9*3.05+2.9*4.1+2.3*1.25+2.3*1.25+2.3*1.05+0.9*2.6)*10.764</f>
        <v>604.77534000000003</v>
      </c>
      <c r="E365" s="55">
        <f>(1.2*9.3+2*2.15)*10.764</f>
        <v>166.41144</v>
      </c>
      <c r="F365" s="38">
        <f t="shared" si="53"/>
        <v>771.18678</v>
      </c>
      <c r="G365" s="38">
        <v>0</v>
      </c>
      <c r="H365" s="38">
        <f t="shared" si="54"/>
        <v>1156.78017</v>
      </c>
    </row>
    <row r="366" spans="1:9" s="31" customFormat="1" x14ac:dyDescent="0.25">
      <c r="A366" s="69" t="s">
        <v>360</v>
      </c>
      <c r="B366" s="70"/>
      <c r="C366" s="70"/>
      <c r="D366" s="70"/>
      <c r="E366" s="70"/>
      <c r="F366" s="70"/>
      <c r="G366" s="70"/>
      <c r="H366" s="71"/>
      <c r="I366" s="31">
        <v>3</v>
      </c>
    </row>
    <row r="367" spans="1:9" s="31" customFormat="1" x14ac:dyDescent="0.25">
      <c r="A367" s="67">
        <v>1</v>
      </c>
      <c r="B367" s="68"/>
      <c r="C367" s="38" t="s">
        <v>319</v>
      </c>
      <c r="D367" s="55">
        <f>(2.9*5.5+1.2*2.3+3.05*2.15+2.9*3.05+2.9*4.1+2.3*1.25+2.3*1.25+1*2.4+0.9*2.1)*10.764</f>
        <v>603.24146999999994</v>
      </c>
      <c r="E367" s="55">
        <f>(1.2*(2.9+2.9+2.9)+2*2.15)*10.764</f>
        <v>158.66135999999997</v>
      </c>
      <c r="F367" s="38">
        <f>D367+E367</f>
        <v>761.90282999999988</v>
      </c>
      <c r="G367" s="38">
        <v>0</v>
      </c>
      <c r="H367" s="38">
        <f>F367*(($H$177)+1)+(IF(G367&lt;101,G367,IF(G367&lt;201,G367/2,IF(G367&lt;=301,G367/3,G367/4))))</f>
        <v>1142.8542449999998</v>
      </c>
    </row>
    <row r="368" spans="1:9" s="31" customFormat="1" x14ac:dyDescent="0.25">
      <c r="A368" s="67">
        <f>A367+1</f>
        <v>2</v>
      </c>
      <c r="B368" s="68"/>
      <c r="C368" s="63" t="s">
        <v>319</v>
      </c>
      <c r="D368" s="55">
        <f>(2.9*5.5+4.25*2.15+1.2*2.3+2.9*3.05+2.9*4.1+2.3*1.25+2.3*1.25+0.9*2)*10.764</f>
        <v>604.21022999999991</v>
      </c>
      <c r="E368" s="55">
        <f>(1.2*9.3+2*2.15)*10.764</f>
        <v>166.41144</v>
      </c>
      <c r="F368" s="63">
        <f>D368+E368</f>
        <v>770.62166999999988</v>
      </c>
      <c r="G368" s="63">
        <v>0</v>
      </c>
      <c r="H368" s="63">
        <f>F368*(($H$177)+1)+(IF(G368&lt;101,G368,IF(G368&lt;201,G368/2,IF(G368&lt;=301,G368/3,G368/4))))</f>
        <v>1155.9325049999998</v>
      </c>
    </row>
    <row r="369" spans="1:8" s="31" customFormat="1" x14ac:dyDescent="0.25">
      <c r="A369" s="67">
        <f t="shared" ref="A369:A370" si="55">A368+1</f>
        <v>3</v>
      </c>
      <c r="B369" s="68"/>
      <c r="C369" s="63" t="s">
        <v>346</v>
      </c>
      <c r="D369" s="55">
        <f>(2.9*5.65+3.3*2.15+1.2*2.3+2.9*3.2+2.9*4.25+2.15*3.05+2.3*1.25+2.3*1.25+0.9*2.1)*10.764</f>
        <v>667.82546999999988</v>
      </c>
      <c r="E369" s="55">
        <f>(1.2*9.15+1.2*2.45+2*2.15)*10.764</f>
        <v>196.12007999999997</v>
      </c>
      <c r="F369" s="63">
        <f t="shared" ref="F369:F370" si="56">D369+E369</f>
        <v>863.94554999999991</v>
      </c>
      <c r="G369" s="63">
        <v>0</v>
      </c>
      <c r="H369" s="63">
        <f t="shared" ref="H369:H370" si="57">F369*(($H$177)+1)+(IF(G369&lt;101,G369,IF(G369&lt;201,G369/2,IF(G369&lt;=301,G369/3,G369/4))))</f>
        <v>1295.9183249999999</v>
      </c>
    </row>
    <row r="370" spans="1:8" s="31" customFormat="1" x14ac:dyDescent="0.25">
      <c r="A370" s="67">
        <f t="shared" si="55"/>
        <v>4</v>
      </c>
      <c r="B370" s="68"/>
      <c r="C370" s="38" t="s">
        <v>319</v>
      </c>
      <c r="D370" s="55">
        <f>(2.9*5.5+2.9*2.15+1.2*2.3+2.9*3.05+2.9*4.1+2.3*1.25+2.3*1.25+2.3*1.05+0.9*2.6)*10.764</f>
        <v>604.77534000000003</v>
      </c>
      <c r="E370" s="55">
        <f>(1.2*9.3+2*2.15)*10.764</f>
        <v>166.41144</v>
      </c>
      <c r="F370" s="38">
        <f t="shared" si="56"/>
        <v>771.18678</v>
      </c>
      <c r="G370" s="38">
        <v>0</v>
      </c>
      <c r="H370" s="38">
        <f t="shared" si="57"/>
        <v>1156.78017</v>
      </c>
    </row>
    <row r="371" spans="1:8" s="31" customFormat="1" x14ac:dyDescent="0.25">
      <c r="A371" s="84" t="s">
        <v>313</v>
      </c>
      <c r="B371" s="85"/>
      <c r="C371" s="85"/>
      <c r="D371" s="85"/>
      <c r="E371" s="85"/>
      <c r="F371" s="85"/>
      <c r="G371" s="85"/>
      <c r="H371" s="86"/>
    </row>
    <row r="372" spans="1:8" s="31" customFormat="1" x14ac:dyDescent="0.25">
      <c r="A372" s="78" t="s">
        <v>317</v>
      </c>
      <c r="B372" s="79"/>
      <c r="C372" s="79"/>
      <c r="D372" s="79"/>
      <c r="E372" s="79"/>
      <c r="F372" s="79"/>
      <c r="G372" s="79"/>
      <c r="H372" s="80"/>
    </row>
    <row r="373" spans="1:8" s="31" customFormat="1" x14ac:dyDescent="0.25">
      <c r="A373" s="67">
        <v>1</v>
      </c>
      <c r="B373" s="68"/>
      <c r="C373" s="38" t="s">
        <v>319</v>
      </c>
      <c r="D373" s="55">
        <f>(2.9*5.5+1.2*2.3+3.05*2.15+2.9*3.05+2.9*4.1+2.3*1.25+2.3*1.25+1*2.4+0.9*2.1)*10.764</f>
        <v>603.24146999999994</v>
      </c>
      <c r="E373" s="55">
        <f>(1.2*(2.9+2.9+2.9)+2*2.15)*10.764</f>
        <v>158.66135999999997</v>
      </c>
      <c r="F373" s="38">
        <f>D373+E373</f>
        <v>761.90282999999988</v>
      </c>
      <c r="G373" s="38">
        <v>0</v>
      </c>
      <c r="H373" s="38">
        <f>F373*(($H$177)+1)+(IF(G373&lt;101,G373,IF(G373&lt;201,G373/2,IF(G373&lt;=301,G373/3,G373/4))))</f>
        <v>1142.8542449999998</v>
      </c>
    </row>
    <row r="374" spans="1:8" s="31" customFormat="1" ht="47.25" x14ac:dyDescent="0.25">
      <c r="A374" s="67">
        <f>A373+1</f>
        <v>2</v>
      </c>
      <c r="B374" s="68"/>
      <c r="C374" s="63" t="s">
        <v>341</v>
      </c>
      <c r="D374" s="55">
        <f>((5.2*2.75+2.95*2.4+3.05*3.45+2.15*1.25+2.45*1.25+2.7*2.1+1.9*2.3+0.9*1.9)+(3.35*3.45+2.8*2.4+2.15*1.25+2.45*1.25+0.9*4.1+1.7*2.4))*10.764</f>
        <v>874.03679999999997</v>
      </c>
      <c r="E374" s="55">
        <f>((1.2*11.8)+(1.2*11.8))*10.764</f>
        <v>304.83647999999999</v>
      </c>
      <c r="F374" s="38">
        <f>D374+E374</f>
        <v>1178.87328</v>
      </c>
      <c r="G374" s="38">
        <v>0</v>
      </c>
      <c r="H374" s="38">
        <f>F374*(($H$177)+1)+(IF(G374&lt;101,G374,IF(G374&lt;201,G374/2,IF(G374&lt;=301,G374/3,G374/4))))</f>
        <v>1768.3099200000001</v>
      </c>
    </row>
    <row r="375" spans="1:8" s="31" customFormat="1" ht="47.25" x14ac:dyDescent="0.25">
      <c r="A375" s="67">
        <f t="shared" ref="A375:A376" si="58">A374+1</f>
        <v>3</v>
      </c>
      <c r="B375" s="68"/>
      <c r="C375" s="63" t="s">
        <v>341</v>
      </c>
      <c r="D375" s="55">
        <f>((6.1*4.1+4.25*2.15+2.9*4.1+2.3*1.25+2.2*1.25+4.2*1.4)+(2.9*4.1+4.25*2.15+2.2*1.25+2.3*1.25+6.1*0.9+1*1.5+1*1.5))*10.764</f>
        <v>997.66134</v>
      </c>
      <c r="E375" s="55">
        <f>(1.2*9.2+2*2.15+1.2*9.2+2*2.15)*10.764</f>
        <v>330.23951999999997</v>
      </c>
      <c r="F375" s="38">
        <f t="shared" ref="F375:F376" si="59">D375+E375</f>
        <v>1327.90086</v>
      </c>
      <c r="G375" s="38">
        <v>0</v>
      </c>
      <c r="H375" s="38">
        <f t="shared" ref="H375:H376" si="60">F375*(($H$177)+1)+(IF(G375&lt;101,G375,IF(G375&lt;201,G375/2,IF(G375&lt;=301,G375/3,G375/4))))</f>
        <v>1991.8512900000001</v>
      </c>
    </row>
    <row r="376" spans="1:8" s="31" customFormat="1" x14ac:dyDescent="0.25">
      <c r="A376" s="67">
        <f t="shared" si="58"/>
        <v>4</v>
      </c>
      <c r="B376" s="68"/>
      <c r="C376" s="38" t="s">
        <v>319</v>
      </c>
      <c r="D376" s="55">
        <f>(2.9*5.5+3.05*2.15+1.2*2.3+2.9*3.05+2.9*4.1+2.3*1.25+2.3*1.25+2.3*1.05+0.9*2.6)*10.764</f>
        <v>608.24672999999996</v>
      </c>
      <c r="E376" s="55">
        <f>(1.2*9.3+2*2.15)*10.764</f>
        <v>166.41144</v>
      </c>
      <c r="F376" s="38">
        <f t="shared" si="59"/>
        <v>774.65816999999993</v>
      </c>
      <c r="G376" s="38">
        <v>0</v>
      </c>
      <c r="H376" s="38">
        <f t="shared" si="60"/>
        <v>1161.987255</v>
      </c>
    </row>
    <row r="377" spans="1:8" s="31" customFormat="1" ht="15.75" customHeight="1" x14ac:dyDescent="0.25">
      <c r="A377" s="78" t="s">
        <v>116</v>
      </c>
      <c r="B377" s="79"/>
      <c r="C377" s="79"/>
      <c r="D377" s="79"/>
      <c r="E377" s="79"/>
      <c r="F377" s="79"/>
      <c r="G377" s="79"/>
      <c r="H377" s="80"/>
    </row>
    <row r="378" spans="1:8" s="31" customFormat="1" x14ac:dyDescent="0.25">
      <c r="A378" s="67">
        <v>1</v>
      </c>
      <c r="B378" s="68"/>
      <c r="C378" s="38" t="s">
        <v>319</v>
      </c>
      <c r="D378" s="55">
        <f>(2.9*5.5+1.2*2.3+3.05*2.15+2.9*3.05+2.9*4.1+2.3*1.25+2.3*1.25+1*2.4+0.9*2.1)*10.764</f>
        <v>603.24146999999994</v>
      </c>
      <c r="E378" s="55">
        <f>(1.2*(2.9+2.9+2.9)+2*2.15)*10.764</f>
        <v>158.66135999999997</v>
      </c>
      <c r="F378" s="38">
        <f>D378+E378</f>
        <v>761.90282999999988</v>
      </c>
      <c r="G378" s="38">
        <v>0</v>
      </c>
      <c r="H378" s="38">
        <f>F378*(($H$177)+1)+(IF(G378&lt;101,G378,IF(G378&lt;201,G378/2,IF(G378&lt;=301,G378/3,G378/4))))</f>
        <v>1142.8542449999998</v>
      </c>
    </row>
    <row r="379" spans="1:8" s="31" customFormat="1" x14ac:dyDescent="0.25">
      <c r="A379" s="67">
        <f>A378+1</f>
        <v>2</v>
      </c>
      <c r="B379" s="68"/>
      <c r="C379" s="81" t="s">
        <v>340</v>
      </c>
      <c r="D379" s="82"/>
      <c r="E379" s="82"/>
      <c r="F379" s="82"/>
      <c r="G379" s="82"/>
      <c r="H379" s="83"/>
    </row>
    <row r="380" spans="1:8" s="31" customFormat="1" x14ac:dyDescent="0.25">
      <c r="A380" s="67">
        <f t="shared" ref="A380:A381" si="61">A379+1</f>
        <v>3</v>
      </c>
      <c r="B380" s="68"/>
      <c r="C380" s="81" t="s">
        <v>340</v>
      </c>
      <c r="D380" s="82"/>
      <c r="E380" s="82"/>
      <c r="F380" s="82"/>
      <c r="G380" s="82"/>
      <c r="H380" s="83"/>
    </row>
    <row r="381" spans="1:8" s="31" customFormat="1" x14ac:dyDescent="0.25">
      <c r="A381" s="67">
        <f t="shared" si="61"/>
        <v>4</v>
      </c>
      <c r="B381" s="68"/>
      <c r="C381" s="38" t="s">
        <v>319</v>
      </c>
      <c r="D381" s="55">
        <f>(2.9*5.5+3.05*2.15+1.2*2.3+2.9*3.05+2.9*4.1+2.3*1.25+2.3*1.25+2.3*1.05+0.9*2.6)*10.764</f>
        <v>608.24672999999996</v>
      </c>
      <c r="E381" s="55">
        <f>(1.2*9.3+2*2.15)*10.764</f>
        <v>166.41144</v>
      </c>
      <c r="F381" s="38">
        <f t="shared" ref="F381" si="62">D381+E381</f>
        <v>774.65816999999993</v>
      </c>
      <c r="G381" s="38">
        <v>0</v>
      </c>
      <c r="H381" s="38">
        <f t="shared" ref="H381" si="63">F381*(($H$177)+1)+(IF(G381&lt;101,G381,IF(G381&lt;201,G381/2,IF(G381&lt;=301,G381/3,G381/4))))</f>
        <v>1161.987255</v>
      </c>
    </row>
    <row r="382" spans="1:8" s="31" customFormat="1" x14ac:dyDescent="0.25">
      <c r="A382" s="78" t="s">
        <v>345</v>
      </c>
      <c r="B382" s="79"/>
      <c r="C382" s="79"/>
      <c r="D382" s="79"/>
      <c r="E382" s="79"/>
      <c r="F382" s="79"/>
      <c r="G382" s="79"/>
      <c r="H382" s="80"/>
    </row>
    <row r="383" spans="1:8" s="31" customFormat="1" x14ac:dyDescent="0.25">
      <c r="A383" s="67">
        <v>1</v>
      </c>
      <c r="B383" s="68"/>
      <c r="C383" s="38" t="s">
        <v>319</v>
      </c>
      <c r="D383" s="55">
        <f>(2.9*5.5+1.2*2.3+3.05*2.15+2.9*3.05+2.9*4.1+2.3*1.25+2.3*1.25+1*2.4+0.9*2.1)*10.764</f>
        <v>603.24146999999994</v>
      </c>
      <c r="E383" s="55">
        <f>(1.2*(2.9+2.9+2.9)+2*2.15)*10.764</f>
        <v>158.66135999999997</v>
      </c>
      <c r="F383" s="38">
        <f>D383+E383</f>
        <v>761.90282999999988</v>
      </c>
      <c r="G383" s="38">
        <v>0</v>
      </c>
      <c r="H383" s="38">
        <f>F383*(($H$177)+1)+(IF(G383&lt;101,G383,IF(G383&lt;201,G383/2,IF(G383&lt;=301,G383/3,G383/4))))</f>
        <v>1142.8542449999998</v>
      </c>
    </row>
    <row r="384" spans="1:8" s="31" customFormat="1" x14ac:dyDescent="0.25">
      <c r="A384" s="67">
        <f>A383+1</f>
        <v>2</v>
      </c>
      <c r="B384" s="68"/>
      <c r="C384" s="63" t="s">
        <v>320</v>
      </c>
      <c r="D384" s="55">
        <f>(2.75*4.85+2.15*2.75+1.2*2.3+2.95*2.4+3.05*3.45+2.15*1.25+2.45*1.25+0.9*2)*10.764</f>
        <v>507.65714999999989</v>
      </c>
      <c r="E384" s="55">
        <f>(1.2*11.5)*10.764</f>
        <v>148.54319999999998</v>
      </c>
      <c r="F384" s="63">
        <f>D384+E384</f>
        <v>656.20034999999984</v>
      </c>
      <c r="G384" s="63">
        <v>0</v>
      </c>
      <c r="H384" s="63">
        <f>F384*(($H$177)+1)+(IF(G384&lt;101,G384,IF(G384&lt;201,G384/2,IF(G384&lt;=301,G384/3,G384/4))))</f>
        <v>984.30052499999977</v>
      </c>
    </row>
    <row r="385" spans="1:8" s="31" customFormat="1" x14ac:dyDescent="0.25">
      <c r="A385" s="67">
        <f t="shared" ref="A385:A386" si="64">A384+1</f>
        <v>3</v>
      </c>
      <c r="B385" s="68"/>
      <c r="C385" s="63" t="s">
        <v>319</v>
      </c>
      <c r="D385" s="55">
        <f>(2.9*5.5+4.25*2.15+1.2*2.3+2.9*3.05+2.9*4.1+2.2*1.25+2.3*1.25+0.9*2)*10.764</f>
        <v>602.86472999999989</v>
      </c>
      <c r="E385" s="55">
        <f>(1.2*9.2+2*2.15)*10.764</f>
        <v>165.11975999999999</v>
      </c>
      <c r="F385" s="63">
        <f t="shared" ref="F385:F386" si="65">D385+E385</f>
        <v>767.98448999999982</v>
      </c>
      <c r="G385" s="63">
        <v>0</v>
      </c>
      <c r="H385" s="63">
        <f t="shared" ref="H385:H386" si="66">F385*(($H$177)+1)+(IF(G385&lt;101,G385,IF(G385&lt;201,G385/2,IF(G385&lt;=301,G385/3,G385/4))))</f>
        <v>1151.9767349999997</v>
      </c>
    </row>
    <row r="386" spans="1:8" s="31" customFormat="1" x14ac:dyDescent="0.25">
      <c r="A386" s="67">
        <f t="shared" si="64"/>
        <v>4</v>
      </c>
      <c r="B386" s="68"/>
      <c r="C386" s="38" t="s">
        <v>319</v>
      </c>
      <c r="D386" s="55">
        <f>(2.9*5.5+3.05*2.15+1.2*2.3+2.9*3.05+2.9*4.1+2.3*1.25+2.3*1.25+2.3*1.05+0.9*2.6)*10.764</f>
        <v>608.24672999999996</v>
      </c>
      <c r="E386" s="55">
        <f>(1.2*9.3+2*2.15)*10.764</f>
        <v>166.41144</v>
      </c>
      <c r="F386" s="38">
        <f t="shared" si="65"/>
        <v>774.65816999999993</v>
      </c>
      <c r="G386" s="38">
        <v>0</v>
      </c>
      <c r="H386" s="38">
        <f t="shared" si="66"/>
        <v>1161.987255</v>
      </c>
    </row>
    <row r="387" spans="1:8" s="31" customFormat="1" ht="15.6" customHeight="1" x14ac:dyDescent="0.25">
      <c r="A387" s="78" t="s">
        <v>347</v>
      </c>
      <c r="B387" s="79"/>
      <c r="C387" s="79"/>
      <c r="D387" s="79"/>
      <c r="E387" s="79"/>
      <c r="F387" s="79"/>
      <c r="G387" s="79"/>
      <c r="H387" s="80"/>
    </row>
    <row r="388" spans="1:8" s="31" customFormat="1" x14ac:dyDescent="0.25">
      <c r="A388" s="67">
        <v>1</v>
      </c>
      <c r="B388" s="68"/>
      <c r="C388" s="38" t="s">
        <v>319</v>
      </c>
      <c r="D388" s="55">
        <f>(2.9*5.5+1.2*2.3+3.05*2.15+2.9*3.05+2.9*4.1+2.3*1.25+2.3*1.25+1*2.4+0.9*2.1)*10.764</f>
        <v>603.24146999999994</v>
      </c>
      <c r="E388" s="55">
        <f>(1.2*(2.9+2.9+2.9)+2*2.15)*10.764</f>
        <v>158.66135999999997</v>
      </c>
      <c r="F388" s="38">
        <f>D388+E388</f>
        <v>761.90282999999988</v>
      </c>
      <c r="G388" s="38">
        <v>0</v>
      </c>
      <c r="H388" s="38">
        <f>F388*(($H$177)+1)+(IF(G388&lt;101,G388,IF(G388&lt;201,G388/2,IF(G388&lt;=301,G388/3,G388/4))))</f>
        <v>1142.8542449999998</v>
      </c>
    </row>
    <row r="389" spans="1:8" s="31" customFormat="1" x14ac:dyDescent="0.25">
      <c r="A389" s="67">
        <f>A388+1</f>
        <v>2</v>
      </c>
      <c r="B389" s="68"/>
      <c r="C389" s="63" t="s">
        <v>320</v>
      </c>
      <c r="D389" s="55">
        <f>(2.75*4.85+2.15*2.75+1.2*2.3+2.95*2.4+3.05*3.45+2.15*1.25+2.45*1.25+0.9*2)*10.764</f>
        <v>507.65714999999989</v>
      </c>
      <c r="E389" s="55">
        <f>(1.2*11.5)*10.764</f>
        <v>148.54319999999998</v>
      </c>
      <c r="F389" s="63">
        <f>D389+E389</f>
        <v>656.20034999999984</v>
      </c>
      <c r="G389" s="63">
        <v>0</v>
      </c>
      <c r="H389" s="63">
        <f>F389*(($H$177)+1)+(IF(G389&lt;101,G389,IF(G389&lt;201,G389/2,IF(G389&lt;=301,G389/3,G389/4))))</f>
        <v>984.30052499999977</v>
      </c>
    </row>
    <row r="390" spans="1:8" s="31" customFormat="1" x14ac:dyDescent="0.25">
      <c r="A390" s="67">
        <f t="shared" ref="A390:A391" si="67">A389+1</f>
        <v>3</v>
      </c>
      <c r="B390" s="68"/>
      <c r="C390" s="63" t="s">
        <v>319</v>
      </c>
      <c r="D390" s="55">
        <f>(2.9*5.5+4.25*2.15+1.2*2.3+2.9*3.05+2.9*4.1+2.2*1.25+2.3*1.25+0.9*2)*10.764</f>
        <v>602.86472999999989</v>
      </c>
      <c r="E390" s="55">
        <f>(1.2*9.2+2*2.15)*10.764</f>
        <v>165.11975999999999</v>
      </c>
      <c r="F390" s="63">
        <f t="shared" ref="F390:F391" si="68">D390+E390</f>
        <v>767.98448999999982</v>
      </c>
      <c r="G390" s="63">
        <v>0</v>
      </c>
      <c r="H390" s="63">
        <f t="shared" ref="H390:H391" si="69">F390*(($H$177)+1)+(IF(G390&lt;101,G390,IF(G390&lt;201,G390/2,IF(G390&lt;=301,G390/3,G390/4))))</f>
        <v>1151.9767349999997</v>
      </c>
    </row>
    <row r="391" spans="1:8" s="31" customFormat="1" x14ac:dyDescent="0.25">
      <c r="A391" s="67">
        <f t="shared" si="67"/>
        <v>4</v>
      </c>
      <c r="B391" s="68"/>
      <c r="C391" s="38" t="s">
        <v>319</v>
      </c>
      <c r="D391" s="55">
        <f>(2.9*5.5+3.05*2.15+1.2*2.3+2.9*3.05+2.9*4.1+2.3*1.25+2.3*1.25+2.3*1.05+0.9*2.6)*10.764</f>
        <v>608.24672999999996</v>
      </c>
      <c r="E391" s="55">
        <f>(1.2*9.3+2*2.15)*10.764</f>
        <v>166.41144</v>
      </c>
      <c r="F391" s="38">
        <f t="shared" si="68"/>
        <v>774.65816999999993</v>
      </c>
      <c r="G391" s="38">
        <v>0</v>
      </c>
      <c r="H391" s="38">
        <f t="shared" si="69"/>
        <v>1161.987255</v>
      </c>
    </row>
    <row r="392" spans="1:8" s="31" customFormat="1" ht="15.6" customHeight="1" x14ac:dyDescent="0.25">
      <c r="A392" s="78" t="s">
        <v>348</v>
      </c>
      <c r="B392" s="79"/>
      <c r="C392" s="79"/>
      <c r="D392" s="79"/>
      <c r="E392" s="79"/>
      <c r="F392" s="79"/>
      <c r="G392" s="79"/>
      <c r="H392" s="80"/>
    </row>
    <row r="393" spans="1:8" s="31" customFormat="1" x14ac:dyDescent="0.25">
      <c r="A393" s="67">
        <v>1</v>
      </c>
      <c r="B393" s="68"/>
      <c r="C393" s="38" t="s">
        <v>319</v>
      </c>
      <c r="D393" s="55">
        <f>(2.9*5.5+1.2*2.3+3.05*2.15+2.9*3.05+2.9*4.1+2.3*1.25+2.3*1.25+1*2.4+0.9*2.1)*10.764</f>
        <v>603.24146999999994</v>
      </c>
      <c r="E393" s="55">
        <f>(1.2*(2.9+2.9+2.9)+2*2.15)*10.764</f>
        <v>158.66135999999997</v>
      </c>
      <c r="F393" s="38">
        <f>D393+E393</f>
        <v>761.90282999999988</v>
      </c>
      <c r="G393" s="38">
        <v>0</v>
      </c>
      <c r="H393" s="38">
        <f>F393*(($H$177)+1)+(IF(G393&lt;101,G393,IF(G393&lt;201,G393/2,IF(G393&lt;=301,G393/3,G393/4))))</f>
        <v>1142.8542449999998</v>
      </c>
    </row>
    <row r="394" spans="1:8" s="31" customFormat="1" x14ac:dyDescent="0.25">
      <c r="A394" s="67">
        <f>A393+1</f>
        <v>2</v>
      </c>
      <c r="B394" s="68"/>
      <c r="C394" s="63" t="s">
        <v>320</v>
      </c>
      <c r="D394" s="55">
        <f>(2.75*4.85+2.15*2.75+1.2*2.3+2.95*2.4+3.05*3.45+2.15*1.25+2.45*1.25+0.9*2)*10.764</f>
        <v>507.65714999999989</v>
      </c>
      <c r="E394" s="55">
        <f>(1.2*11.5)*10.764</f>
        <v>148.54319999999998</v>
      </c>
      <c r="F394" s="63">
        <f>D394+E394</f>
        <v>656.20034999999984</v>
      </c>
      <c r="G394" s="63">
        <v>0</v>
      </c>
      <c r="H394" s="63">
        <f>F394*(($H$177)+1)+(IF(G394&lt;101,G394,IF(G394&lt;201,G394/2,IF(G394&lt;=301,G394/3,G394/4))))</f>
        <v>984.30052499999977</v>
      </c>
    </row>
    <row r="395" spans="1:8" s="31" customFormat="1" x14ac:dyDescent="0.25">
      <c r="A395" s="67">
        <f t="shared" ref="A395:A396" si="70">A394+1</f>
        <v>3</v>
      </c>
      <c r="B395" s="68"/>
      <c r="C395" s="63" t="s">
        <v>319</v>
      </c>
      <c r="D395" s="55">
        <f>(2.9*5.5+4.25*2.15+1.2*2.3+2.9*3.05+2.9*4.1+2.2*1.25+2.3*1.25+0.9*2)*10.764</f>
        <v>602.86472999999989</v>
      </c>
      <c r="E395" s="55">
        <f>(1.2*9.2+2*2.15)*10.764</f>
        <v>165.11975999999999</v>
      </c>
      <c r="F395" s="63">
        <f t="shared" ref="F395:F396" si="71">D395+E395</f>
        <v>767.98448999999982</v>
      </c>
      <c r="G395" s="63">
        <v>0</v>
      </c>
      <c r="H395" s="63">
        <f t="shared" ref="H395:H396" si="72">F395*(($H$177)+1)+(IF(G395&lt;101,G395,IF(G395&lt;201,G395/2,IF(G395&lt;=301,G395/3,G395/4))))</f>
        <v>1151.9767349999997</v>
      </c>
    </row>
    <row r="396" spans="1:8" s="31" customFormat="1" x14ac:dyDescent="0.25">
      <c r="A396" s="67">
        <f t="shared" si="70"/>
        <v>4</v>
      </c>
      <c r="B396" s="68"/>
      <c r="C396" s="38" t="s">
        <v>319</v>
      </c>
      <c r="D396" s="55">
        <f>(2.9*5.5+3.05*2.15+1.2*2.3+2.9*3.05+2.9*4.1+2.3*1.25+2.3*1.25+2.3*1.05+0.9*2.6)*10.764</f>
        <v>608.24672999999996</v>
      </c>
      <c r="E396" s="55">
        <f>(1.2*9.3+2*2.15)*10.764</f>
        <v>166.41144</v>
      </c>
      <c r="F396" s="38">
        <f t="shared" si="71"/>
        <v>774.65816999999993</v>
      </c>
      <c r="G396" s="38">
        <v>0</v>
      </c>
      <c r="H396" s="38">
        <f t="shared" si="72"/>
        <v>1161.987255</v>
      </c>
    </row>
    <row r="397" spans="1:8" s="31" customFormat="1" ht="15.6" customHeight="1" x14ac:dyDescent="0.25">
      <c r="A397" s="78" t="s">
        <v>349</v>
      </c>
      <c r="B397" s="79"/>
      <c r="C397" s="79"/>
      <c r="D397" s="79"/>
      <c r="E397" s="79"/>
      <c r="F397" s="79"/>
      <c r="G397" s="79"/>
      <c r="H397" s="80"/>
    </row>
    <row r="398" spans="1:8" s="31" customFormat="1" x14ac:dyDescent="0.25">
      <c r="A398" s="67">
        <v>1</v>
      </c>
      <c r="B398" s="68"/>
      <c r="C398" s="38" t="s">
        <v>319</v>
      </c>
      <c r="D398" s="55">
        <f>(2.9*5.5+1.2*2.3+3.05*2.15+2.9*3.05+2.9*4.1+2.3*1.25+2.3*1.25+1*2.4+0.9*2.1)*10.764</f>
        <v>603.24146999999994</v>
      </c>
      <c r="E398" s="55">
        <f>(1.2*(2.9+2.9+2.9)+2*2.15)*10.764</f>
        <v>158.66135999999997</v>
      </c>
      <c r="F398" s="38">
        <f>D398+E398</f>
        <v>761.90282999999988</v>
      </c>
      <c r="G398" s="38">
        <v>0</v>
      </c>
      <c r="H398" s="38">
        <f>F398*(($H$177)+1)+(IF(G398&lt;101,G398,IF(G398&lt;201,G398/2,IF(G398&lt;=301,G398/3,G398/4))))</f>
        <v>1142.8542449999998</v>
      </c>
    </row>
    <row r="399" spans="1:8" s="31" customFormat="1" x14ac:dyDescent="0.25">
      <c r="A399" s="67">
        <f>A398+1</f>
        <v>2</v>
      </c>
      <c r="B399" s="68"/>
      <c r="C399" s="63" t="s">
        <v>320</v>
      </c>
      <c r="D399" s="55">
        <f>(2.75*4.85+2.15*2.75+1.2*2.3+2.95*2.4+3.05*3.45+2.15*1.25+2.45*1.25+0.9*2)*10.764</f>
        <v>507.65714999999989</v>
      </c>
      <c r="E399" s="55">
        <f>(1.2*11.5)*10.764</f>
        <v>148.54319999999998</v>
      </c>
      <c r="F399" s="63">
        <f>D399+E399</f>
        <v>656.20034999999984</v>
      </c>
      <c r="G399" s="63">
        <v>0</v>
      </c>
      <c r="H399" s="63">
        <f>F399*(($H$177)+1)+(IF(G399&lt;101,G399,IF(G399&lt;201,G399/2,IF(G399&lt;=301,G399/3,G399/4))))</f>
        <v>984.30052499999977</v>
      </c>
    </row>
    <row r="400" spans="1:8" s="31" customFormat="1" x14ac:dyDescent="0.25">
      <c r="A400" s="67">
        <f t="shared" ref="A400:A401" si="73">A399+1</f>
        <v>3</v>
      </c>
      <c r="B400" s="68"/>
      <c r="C400" s="63" t="s">
        <v>319</v>
      </c>
      <c r="D400" s="55">
        <f>(2.9*5.5+4.25*2.15+1.2*2.3+2.9*3.05+2.9*4.1+2.2*1.25+2.3*1.25+0.9*2)*10.764</f>
        <v>602.86472999999989</v>
      </c>
      <c r="E400" s="55">
        <f>(1.2*9.2+2*2.15)*10.764</f>
        <v>165.11975999999999</v>
      </c>
      <c r="F400" s="63">
        <f t="shared" ref="F400:F401" si="74">D400+E400</f>
        <v>767.98448999999982</v>
      </c>
      <c r="G400" s="63">
        <v>0</v>
      </c>
      <c r="H400" s="63">
        <f t="shared" ref="H400:H401" si="75">F400*(($H$177)+1)+(IF(G400&lt;101,G400,IF(G400&lt;201,G400/2,IF(G400&lt;=301,G400/3,G400/4))))</f>
        <v>1151.9767349999997</v>
      </c>
    </row>
    <row r="401" spans="1:8" s="31" customFormat="1" x14ac:dyDescent="0.25">
      <c r="A401" s="67">
        <f t="shared" si="73"/>
        <v>4</v>
      </c>
      <c r="B401" s="68"/>
      <c r="C401" s="38" t="s">
        <v>319</v>
      </c>
      <c r="D401" s="55">
        <f>(2.9*5.5+3.05*2.15+1.2*2.3+2.9*3.05+2.9*4.1+2.3*1.25+2.3*1.25+2.3*1.05+0.9*2.6)*10.764</f>
        <v>608.24672999999996</v>
      </c>
      <c r="E401" s="55">
        <f>(1.2*9.3+2*2.15)*10.764</f>
        <v>166.41144</v>
      </c>
      <c r="F401" s="38">
        <f t="shared" si="74"/>
        <v>774.65816999999993</v>
      </c>
      <c r="G401" s="38">
        <v>0</v>
      </c>
      <c r="H401" s="38">
        <f t="shared" si="75"/>
        <v>1161.987255</v>
      </c>
    </row>
    <row r="402" spans="1:8" s="31" customFormat="1" ht="15.6" customHeight="1" x14ac:dyDescent="0.25">
      <c r="A402" s="69" t="s">
        <v>350</v>
      </c>
      <c r="B402" s="70"/>
      <c r="C402" s="70"/>
      <c r="D402" s="70"/>
      <c r="E402" s="70"/>
      <c r="F402" s="70"/>
      <c r="G402" s="70"/>
      <c r="H402" s="71"/>
    </row>
    <row r="403" spans="1:8" s="31" customFormat="1" x14ac:dyDescent="0.25">
      <c r="A403" s="67">
        <v>1</v>
      </c>
      <c r="B403" s="68"/>
      <c r="C403" s="38" t="s">
        <v>319</v>
      </c>
      <c r="D403" s="55">
        <f>(2.9*5.5+1.2*2.3+3.05*2.15+2.9*3.05+2.9*4.1+2.3*1.25+2.3*1.25+1*2.4+0.9*2.1)*10.764</f>
        <v>603.24146999999994</v>
      </c>
      <c r="E403" s="55">
        <f>(1.2*(2.9+2.9+2.9)+2*2.15)*10.764</f>
        <v>158.66135999999997</v>
      </c>
      <c r="F403" s="38">
        <f>D403+E403</f>
        <v>761.90282999999988</v>
      </c>
      <c r="G403" s="38">
        <v>0</v>
      </c>
      <c r="H403" s="38">
        <f>F403*(($H$177)+1)+(IF(G403&lt;101,G403,IF(G403&lt;201,G403/2,IF(G403&lt;=301,G403/3,G403/4))))</f>
        <v>1142.8542449999998</v>
      </c>
    </row>
    <row r="404" spans="1:8" s="31" customFormat="1" x14ac:dyDescent="0.25">
      <c r="A404" s="67">
        <f>A403+1</f>
        <v>2</v>
      </c>
      <c r="B404" s="68"/>
      <c r="C404" s="63" t="s">
        <v>320</v>
      </c>
      <c r="D404" s="55">
        <f>(2.75*4.85+2.15*2.75+1.2*2.3+2.95*2.4+3.05*3.45+2.15*1.25+2.45*1.25+0.9*2)*10.764</f>
        <v>507.65714999999989</v>
      </c>
      <c r="E404" s="55">
        <f>(1.2*11.5)*10.764</f>
        <v>148.54319999999998</v>
      </c>
      <c r="F404" s="63">
        <f>D404+E404</f>
        <v>656.20034999999984</v>
      </c>
      <c r="G404" s="63">
        <v>0</v>
      </c>
      <c r="H404" s="63">
        <f>F404*(($H$177)+1)+(IF(G404&lt;101,G404,IF(G404&lt;201,G404/2,IF(G404&lt;=301,G404/3,G404/4))))</f>
        <v>984.30052499999977</v>
      </c>
    </row>
    <row r="405" spans="1:8" s="31" customFormat="1" x14ac:dyDescent="0.25">
      <c r="A405" s="67">
        <f t="shared" ref="A405:A406" si="76">A404+1</f>
        <v>3</v>
      </c>
      <c r="B405" s="68"/>
      <c r="C405" s="63" t="s">
        <v>319</v>
      </c>
      <c r="D405" s="55">
        <f>(2.9*5.5+4.25*2.15+1.2*2.3+2.9*3.05+2.9*4.1+2.2*1.25+2.3*1.25+0.9*2)*10.764</f>
        <v>602.86472999999989</v>
      </c>
      <c r="E405" s="55">
        <f>(1.2*9.2+2*2.15)*10.764</f>
        <v>165.11975999999999</v>
      </c>
      <c r="F405" s="63">
        <f t="shared" ref="F405:F406" si="77">D405+E405</f>
        <v>767.98448999999982</v>
      </c>
      <c r="G405" s="63">
        <v>0</v>
      </c>
      <c r="H405" s="63">
        <f t="shared" ref="H405:H406" si="78">F405*(($H$177)+1)+(IF(G405&lt;101,G405,IF(G405&lt;201,G405/2,IF(G405&lt;=301,G405/3,G405/4))))</f>
        <v>1151.9767349999997</v>
      </c>
    </row>
    <row r="406" spans="1:8" s="31" customFormat="1" x14ac:dyDescent="0.25">
      <c r="A406" s="67">
        <f t="shared" si="76"/>
        <v>4</v>
      </c>
      <c r="B406" s="68"/>
      <c r="C406" s="38" t="s">
        <v>319</v>
      </c>
      <c r="D406" s="55">
        <f>(2.9*5.5+3.05*2.15+1.2*2.3+2.9*3.05+2.9*4.1+2.3*1.25+2.3*1.25+2.3*1.05+0.9*2.6)*10.764</f>
        <v>608.24672999999996</v>
      </c>
      <c r="E406" s="55">
        <f>(1.2*9.3+2*2.15)*10.764</f>
        <v>166.41144</v>
      </c>
      <c r="F406" s="38">
        <f t="shared" si="77"/>
        <v>774.65816999999993</v>
      </c>
      <c r="G406" s="38">
        <v>0</v>
      </c>
      <c r="H406" s="38">
        <f t="shared" si="78"/>
        <v>1161.987255</v>
      </c>
    </row>
    <row r="407" spans="1:8" s="31" customFormat="1" ht="15.6" customHeight="1" x14ac:dyDescent="0.25">
      <c r="A407" s="69" t="s">
        <v>356</v>
      </c>
      <c r="B407" s="70"/>
      <c r="C407" s="70"/>
      <c r="D407" s="70"/>
      <c r="E407" s="70"/>
      <c r="F407" s="70"/>
      <c r="G407" s="70"/>
      <c r="H407" s="71"/>
    </row>
    <row r="408" spans="1:8" s="31" customFormat="1" x14ac:dyDescent="0.25">
      <c r="A408" s="67">
        <v>1</v>
      </c>
      <c r="B408" s="68"/>
      <c r="C408" s="38" t="s">
        <v>319</v>
      </c>
      <c r="D408" s="55">
        <f>(2.9*5.5+1.2*2.3+3.05*2.15+2.9*3.05+2.9*4.1+2.3*1.25+2.3*1.25+1*2.4+0.9*2.1)*10.764</f>
        <v>603.24146999999994</v>
      </c>
      <c r="E408" s="55">
        <f>(1.2*(2.9+2.9+2.9)+2*2.15)*10.764</f>
        <v>158.66135999999997</v>
      </c>
      <c r="F408" s="38">
        <f>D408+E408</f>
        <v>761.90282999999988</v>
      </c>
      <c r="G408" s="38">
        <v>0</v>
      </c>
      <c r="H408" s="38">
        <f>F408*(($H$177)+1)+(IF(G408&lt;101,G408,IF(G408&lt;201,G408/2,IF(G408&lt;=301,G408/3,G408/4))))</f>
        <v>1142.8542449999998</v>
      </c>
    </row>
    <row r="409" spans="1:8" s="31" customFormat="1" x14ac:dyDescent="0.25">
      <c r="A409" s="67">
        <f>A408+1</f>
        <v>2</v>
      </c>
      <c r="B409" s="68"/>
      <c r="C409" s="63" t="s">
        <v>320</v>
      </c>
      <c r="D409" s="55">
        <f>(2.75*4.85+2.15*2.75+1.2*2.3+2.95*2.4+3.05*3.45+2.15*1.25+2.45*1.25+0.9*2)*10.764</f>
        <v>507.65714999999989</v>
      </c>
      <c r="E409" s="55">
        <f>(1.2*11.5)*10.764</f>
        <v>148.54319999999998</v>
      </c>
      <c r="F409" s="63">
        <f>D409+E409</f>
        <v>656.20034999999984</v>
      </c>
      <c r="G409" s="63">
        <v>0</v>
      </c>
      <c r="H409" s="63">
        <f>F409*(($H$177)+1)+(IF(G409&lt;101,G409,IF(G409&lt;201,G409/2,IF(G409&lt;=301,G409/3,G409/4))))</f>
        <v>984.30052499999977</v>
      </c>
    </row>
    <row r="410" spans="1:8" s="31" customFormat="1" x14ac:dyDescent="0.25">
      <c r="A410" s="67">
        <f t="shared" ref="A410:A411" si="79">A409+1</f>
        <v>3</v>
      </c>
      <c r="B410" s="68"/>
      <c r="C410" s="63" t="s">
        <v>319</v>
      </c>
      <c r="D410" s="55">
        <f>(2.9*5.5+4.25*2.15+1.2*2.3+2.9*3.05+2.9*4.1+2.2*1.25+2.3*1.25+0.9*2)*10.764</f>
        <v>602.86472999999989</v>
      </c>
      <c r="E410" s="55">
        <f>(1.2*9.2+2*2.15)*10.764</f>
        <v>165.11975999999999</v>
      </c>
      <c r="F410" s="63">
        <f t="shared" ref="F410:F411" si="80">D410+E410</f>
        <v>767.98448999999982</v>
      </c>
      <c r="G410" s="63">
        <v>0</v>
      </c>
      <c r="H410" s="63">
        <f t="shared" ref="H410:H411" si="81">F410*(($H$177)+1)+(IF(G410&lt;101,G410,IF(G410&lt;201,G410/2,IF(G410&lt;=301,G410/3,G410/4))))</f>
        <v>1151.9767349999997</v>
      </c>
    </row>
    <row r="411" spans="1:8" s="31" customFormat="1" x14ac:dyDescent="0.25">
      <c r="A411" s="67">
        <f t="shared" si="79"/>
        <v>4</v>
      </c>
      <c r="B411" s="68"/>
      <c r="C411" s="38" t="s">
        <v>319</v>
      </c>
      <c r="D411" s="55">
        <f>(2.9*5.5+3.05*2.15+1.2*2.3+2.9*3.05+2.9*4.1+2.3*1.25+2.3*1.25+2.3*1.05+0.9*2.6)*10.764</f>
        <v>608.24672999999996</v>
      </c>
      <c r="E411" s="55">
        <f>(1.2*9.3+2*2.15)*10.764</f>
        <v>166.41144</v>
      </c>
      <c r="F411" s="38">
        <f t="shared" si="80"/>
        <v>774.65816999999993</v>
      </c>
      <c r="G411" s="38">
        <v>0</v>
      </c>
      <c r="H411" s="38">
        <f t="shared" si="81"/>
        <v>1161.987255</v>
      </c>
    </row>
    <row r="412" spans="1:8" s="31" customFormat="1" ht="15.6" customHeight="1" x14ac:dyDescent="0.25">
      <c r="A412" s="69" t="s">
        <v>357</v>
      </c>
      <c r="B412" s="70"/>
      <c r="C412" s="70"/>
      <c r="D412" s="70"/>
      <c r="E412" s="70"/>
      <c r="F412" s="70"/>
      <c r="G412" s="70"/>
      <c r="H412" s="71"/>
    </row>
    <row r="413" spans="1:8" s="31" customFormat="1" x14ac:dyDescent="0.25">
      <c r="A413" s="67">
        <v>1</v>
      </c>
      <c r="B413" s="68"/>
      <c r="C413" s="38" t="s">
        <v>319</v>
      </c>
      <c r="D413" s="55">
        <f>(2.9*5.5+1.2*2.3+3.05*2.15+2.9*3.05+2.9*4.1+2.3*1.25+2.3*1.25+1*2.4+0.9*2.1)*10.764</f>
        <v>603.24146999999994</v>
      </c>
      <c r="E413" s="55">
        <f>(1.2*(2.9+2.9+2.9)+2*2.15)*10.764</f>
        <v>158.66135999999997</v>
      </c>
      <c r="F413" s="38">
        <f>D413+E413</f>
        <v>761.90282999999988</v>
      </c>
      <c r="G413" s="38">
        <v>0</v>
      </c>
      <c r="H413" s="38">
        <f>F413*(($H$177)+1)+(IF(G413&lt;101,G413,IF(G413&lt;201,G413/2,IF(G413&lt;=301,G413/3,G413/4))))</f>
        <v>1142.8542449999998</v>
      </c>
    </row>
    <row r="414" spans="1:8" s="31" customFormat="1" x14ac:dyDescent="0.25">
      <c r="A414" s="67">
        <f>A413+1</f>
        <v>2</v>
      </c>
      <c r="B414" s="68"/>
      <c r="C414" s="63" t="s">
        <v>320</v>
      </c>
      <c r="D414" s="55">
        <f>(2.75*4.85+2.15*2.75+1.2*2.3+2.95*2.4+3.05*3.45+2.15*1.25+2.45*1.25+0.9*2)*10.764</f>
        <v>507.65714999999989</v>
      </c>
      <c r="E414" s="55">
        <f>(1.2*11.5)*10.764</f>
        <v>148.54319999999998</v>
      </c>
      <c r="F414" s="63">
        <f>D414+E414</f>
        <v>656.20034999999984</v>
      </c>
      <c r="G414" s="63">
        <v>0</v>
      </c>
      <c r="H414" s="63">
        <f>F414*(($H$177)+1)+(IF(G414&lt;101,G414,IF(G414&lt;201,G414/2,IF(G414&lt;=301,G414/3,G414/4))))</f>
        <v>984.30052499999977</v>
      </c>
    </row>
    <row r="415" spans="1:8" s="31" customFormat="1" x14ac:dyDescent="0.25">
      <c r="A415" s="67">
        <f t="shared" ref="A415:A416" si="82">A414+1</f>
        <v>3</v>
      </c>
      <c r="B415" s="68"/>
      <c r="C415" s="63" t="s">
        <v>319</v>
      </c>
      <c r="D415" s="55">
        <f>(2.9*5.5+4.25*2.15+1.2*2.3+2.9*3.05+2.9*4.1+2.2*1.25+2.3*1.25+0.9*2)*10.764</f>
        <v>602.86472999999989</v>
      </c>
      <c r="E415" s="55">
        <f>(1.2*9.2+2*2.15)*10.764</f>
        <v>165.11975999999999</v>
      </c>
      <c r="F415" s="63">
        <f t="shared" ref="F415:F416" si="83">D415+E415</f>
        <v>767.98448999999982</v>
      </c>
      <c r="G415" s="63">
        <v>0</v>
      </c>
      <c r="H415" s="63">
        <f t="shared" ref="H415:H416" si="84">F415*(($H$177)+1)+(IF(G415&lt;101,G415,IF(G415&lt;201,G415/2,IF(G415&lt;=301,G415/3,G415/4))))</f>
        <v>1151.9767349999997</v>
      </c>
    </row>
    <row r="416" spans="1:8" s="31" customFormat="1" x14ac:dyDescent="0.25">
      <c r="A416" s="67">
        <f t="shared" si="82"/>
        <v>4</v>
      </c>
      <c r="B416" s="68"/>
      <c r="C416" s="38" t="s">
        <v>319</v>
      </c>
      <c r="D416" s="55">
        <f>(2.9*5.5+3.05*2.15+1.2*2.3+2.9*3.05+2.9*4.1+2.3*1.25+2.3*1.25+2.3*1.05+0.9*2.6)*10.764</f>
        <v>608.24672999999996</v>
      </c>
      <c r="E416" s="55">
        <f>(1.2*9.3+2*2.15)*10.764</f>
        <v>166.41144</v>
      </c>
      <c r="F416" s="38">
        <f t="shared" si="83"/>
        <v>774.65816999999993</v>
      </c>
      <c r="G416" s="38">
        <v>0</v>
      </c>
      <c r="H416" s="38">
        <f t="shared" si="84"/>
        <v>1161.987255</v>
      </c>
    </row>
    <row r="417" spans="1:8" s="31" customFormat="1" ht="15.6" customHeight="1" x14ac:dyDescent="0.25">
      <c r="A417" s="69" t="s">
        <v>358</v>
      </c>
      <c r="B417" s="70"/>
      <c r="C417" s="70"/>
      <c r="D417" s="70"/>
      <c r="E417" s="70"/>
      <c r="F417" s="70"/>
      <c r="G417" s="70"/>
      <c r="H417" s="71"/>
    </row>
    <row r="418" spans="1:8" s="31" customFormat="1" x14ac:dyDescent="0.25">
      <c r="A418" s="67">
        <v>1</v>
      </c>
      <c r="B418" s="68"/>
      <c r="C418" s="38" t="s">
        <v>319</v>
      </c>
      <c r="D418" s="55">
        <f>(2.9*5.5+1.2*2.3+3.05*2.15+2.9*3.05+2.9*4.1+2.3*1.25+2.3*1.25+1*2.4+0.9*2.1)*10.764</f>
        <v>603.24146999999994</v>
      </c>
      <c r="E418" s="55">
        <f>(1.2*(2.9+2.9+2.9)+2*2.15)*10.764</f>
        <v>158.66135999999997</v>
      </c>
      <c r="F418" s="38">
        <f>D418+E418</f>
        <v>761.90282999999988</v>
      </c>
      <c r="G418" s="38">
        <v>0</v>
      </c>
      <c r="H418" s="38">
        <f>F418*(($H$177)+1)+(IF(G418&lt;101,G418,IF(G418&lt;201,G418/2,IF(G418&lt;=301,G418/3,G418/4))))</f>
        <v>1142.8542449999998</v>
      </c>
    </row>
    <row r="419" spans="1:8" s="31" customFormat="1" x14ac:dyDescent="0.25">
      <c r="A419" s="67">
        <f>A418+1</f>
        <v>2</v>
      </c>
      <c r="B419" s="68"/>
      <c r="C419" s="63" t="s">
        <v>320</v>
      </c>
      <c r="D419" s="55">
        <f>(2.75*4.85+2.15*2.75+1.2*2.3+2.95*2.4+3.05*3.45+2.15*1.25+2.45*1.25+0.9*2)*10.764</f>
        <v>507.65714999999989</v>
      </c>
      <c r="E419" s="55">
        <f>(1.2*11.5)*10.764</f>
        <v>148.54319999999998</v>
      </c>
      <c r="F419" s="63">
        <f>D419+E419</f>
        <v>656.20034999999984</v>
      </c>
      <c r="G419" s="63">
        <v>0</v>
      </c>
      <c r="H419" s="63">
        <f>F419*(($H$177)+1)+(IF(G419&lt;101,G419,IF(G419&lt;201,G419/2,IF(G419&lt;=301,G419/3,G419/4))))</f>
        <v>984.30052499999977</v>
      </c>
    </row>
    <row r="420" spans="1:8" s="31" customFormat="1" x14ac:dyDescent="0.25">
      <c r="A420" s="67">
        <f t="shared" ref="A420:A421" si="85">A419+1</f>
        <v>3</v>
      </c>
      <c r="B420" s="68"/>
      <c r="C420" s="63" t="s">
        <v>319</v>
      </c>
      <c r="D420" s="55">
        <f>(2.9*5.5+4.25*2.15+1.2*2.3+2.9*3.05+2.9*4.1+2.2*1.25+2.3*1.25+0.9*2)*10.764</f>
        <v>602.86472999999989</v>
      </c>
      <c r="E420" s="55">
        <f>(1.2*9.2+2*2.15)*10.764</f>
        <v>165.11975999999999</v>
      </c>
      <c r="F420" s="63">
        <f t="shared" ref="F420:F421" si="86">D420+E420</f>
        <v>767.98448999999982</v>
      </c>
      <c r="G420" s="63">
        <v>0</v>
      </c>
      <c r="H420" s="63">
        <f t="shared" ref="H420:H421" si="87">F420*(($H$177)+1)+(IF(G420&lt;101,G420,IF(G420&lt;201,G420/2,IF(G420&lt;=301,G420/3,G420/4))))</f>
        <v>1151.9767349999997</v>
      </c>
    </row>
    <row r="421" spans="1:8" s="31" customFormat="1" x14ac:dyDescent="0.25">
      <c r="A421" s="67">
        <f t="shared" si="85"/>
        <v>4</v>
      </c>
      <c r="B421" s="68"/>
      <c r="C421" s="38" t="s">
        <v>319</v>
      </c>
      <c r="D421" s="55">
        <f>(2.9*5.5+3.05*2.15+1.2*2.3+2.9*3.05+2.9*4.1+2.3*1.25+2.3*1.25+2.3*1.05+0.9*2.6)*10.764</f>
        <v>608.24672999999996</v>
      </c>
      <c r="E421" s="55">
        <f>(1.2*9.3+2*2.15)*10.764</f>
        <v>166.41144</v>
      </c>
      <c r="F421" s="38">
        <f t="shared" si="86"/>
        <v>774.65816999999993</v>
      </c>
      <c r="G421" s="38">
        <v>0</v>
      </c>
      <c r="H421" s="38">
        <f t="shared" si="87"/>
        <v>1161.987255</v>
      </c>
    </row>
    <row r="422" spans="1:8" s="31" customFormat="1" ht="15.6" customHeight="1" x14ac:dyDescent="0.25">
      <c r="A422" s="69" t="s">
        <v>360</v>
      </c>
      <c r="B422" s="70"/>
      <c r="C422" s="70"/>
      <c r="D422" s="70"/>
      <c r="E422" s="70"/>
      <c r="F422" s="70"/>
      <c r="G422" s="70"/>
      <c r="H422" s="71"/>
    </row>
    <row r="423" spans="1:8" s="31" customFormat="1" x14ac:dyDescent="0.25">
      <c r="A423" s="67">
        <v>1</v>
      </c>
      <c r="B423" s="68"/>
      <c r="C423" s="38" t="s">
        <v>319</v>
      </c>
      <c r="D423" s="55">
        <f>(2.9*5.5+1.2*2.3+3.05*2.15+2.9*3.05+2.9*4.1+2.3*1.25+2.3*1.25+1*2.4+0.9*2.1)*10.764</f>
        <v>603.24146999999994</v>
      </c>
      <c r="E423" s="55">
        <f>(1.2*(2.9+2.9+2.9)+2*2.15)*10.764</f>
        <v>158.66135999999997</v>
      </c>
      <c r="F423" s="38">
        <f>D423+E423</f>
        <v>761.90282999999988</v>
      </c>
      <c r="G423" s="38">
        <v>0</v>
      </c>
      <c r="H423" s="38">
        <f>F423*(($H$177)+1)+(IF(G423&lt;101,G423,IF(G423&lt;201,G423/2,IF(G423&lt;=301,G423/3,G423/4))))</f>
        <v>1142.8542449999998</v>
      </c>
    </row>
    <row r="424" spans="1:8" s="31" customFormat="1" x14ac:dyDescent="0.25">
      <c r="A424" s="67">
        <f>A423+1</f>
        <v>2</v>
      </c>
      <c r="B424" s="68"/>
      <c r="C424" s="63" t="s">
        <v>320</v>
      </c>
      <c r="D424" s="55">
        <f>(2.75*4.85+2.15*2.75+1.2*2.3+2.95*2.4+3.05*3.45+2.15*1.25+2.45*1.25+0.9*2)*10.764</f>
        <v>507.65714999999989</v>
      </c>
      <c r="E424" s="55">
        <f>(1.2*11.5)*10.764</f>
        <v>148.54319999999998</v>
      </c>
      <c r="F424" s="63">
        <f>D424+E424</f>
        <v>656.20034999999984</v>
      </c>
      <c r="G424" s="63">
        <v>0</v>
      </c>
      <c r="H424" s="63">
        <f>F424*(($H$177)+1)+(IF(G424&lt;101,G424,IF(G424&lt;201,G424/2,IF(G424&lt;=301,G424/3,G424/4))))</f>
        <v>984.30052499999977</v>
      </c>
    </row>
    <row r="425" spans="1:8" s="31" customFormat="1" x14ac:dyDescent="0.25">
      <c r="A425" s="67">
        <f t="shared" ref="A425:A426" si="88">A424+1</f>
        <v>3</v>
      </c>
      <c r="B425" s="68"/>
      <c r="C425" s="63" t="s">
        <v>319</v>
      </c>
      <c r="D425" s="55">
        <f>(2.9*5.5+4.25*2.15+1.2*2.3+2.9*3.05+2.9*4.1+2.2*1.25+2.3*1.25+0.9*2)*10.764</f>
        <v>602.86472999999989</v>
      </c>
      <c r="E425" s="55">
        <f>(1.2*9.2+2*2.15)*10.764</f>
        <v>165.11975999999999</v>
      </c>
      <c r="F425" s="63">
        <f t="shared" ref="F425:F426" si="89">D425+E425</f>
        <v>767.98448999999982</v>
      </c>
      <c r="G425" s="63">
        <v>0</v>
      </c>
      <c r="H425" s="63">
        <f t="shared" ref="H425:H426" si="90">F425*(($H$177)+1)+(IF(G425&lt;101,G425,IF(G425&lt;201,G425/2,IF(G425&lt;=301,G425/3,G425/4))))</f>
        <v>1151.9767349999997</v>
      </c>
    </row>
    <row r="426" spans="1:8" s="31" customFormat="1" x14ac:dyDescent="0.25">
      <c r="A426" s="67">
        <f t="shared" si="88"/>
        <v>4</v>
      </c>
      <c r="B426" s="68"/>
      <c r="C426" s="38" t="s">
        <v>319</v>
      </c>
      <c r="D426" s="55">
        <f>(2.9*5.5+3.05*2.15+1.2*2.3+2.9*3.05+2.9*4.1+2.3*1.25+2.3*1.25+2.3*1.05+0.9*2.6)*10.764</f>
        <v>608.24672999999996</v>
      </c>
      <c r="E426" s="55">
        <f>(1.2*9.3+2*2.15)*10.764</f>
        <v>166.41144</v>
      </c>
      <c r="F426" s="38">
        <f t="shared" si="89"/>
        <v>774.65816999999993</v>
      </c>
      <c r="G426" s="38">
        <v>0</v>
      </c>
      <c r="H426" s="38">
        <f t="shared" si="90"/>
        <v>1161.987255</v>
      </c>
    </row>
    <row r="427" spans="1:8" s="31" customFormat="1" x14ac:dyDescent="0.25">
      <c r="A427" s="84" t="s">
        <v>314</v>
      </c>
      <c r="B427" s="85"/>
      <c r="C427" s="85"/>
      <c r="D427" s="85"/>
      <c r="E427" s="85"/>
      <c r="F427" s="85"/>
      <c r="G427" s="85"/>
      <c r="H427" s="86"/>
    </row>
    <row r="428" spans="1:8" s="31" customFormat="1" x14ac:dyDescent="0.25">
      <c r="A428" s="78" t="s">
        <v>317</v>
      </c>
      <c r="B428" s="79"/>
      <c r="C428" s="79"/>
      <c r="D428" s="79"/>
      <c r="E428" s="79"/>
      <c r="F428" s="79"/>
      <c r="G428" s="79"/>
      <c r="H428" s="80"/>
    </row>
    <row r="429" spans="1:8" s="31" customFormat="1" ht="47.25" x14ac:dyDescent="0.25">
      <c r="A429" s="67">
        <v>1</v>
      </c>
      <c r="B429" s="68"/>
      <c r="C429" s="63" t="s">
        <v>343</v>
      </c>
      <c r="D429" s="55">
        <f>((3.9*3.4+3.1*0.85+3.05*2.9+3.6*2.9+2.45*1.25+2.45*1.35+2.6*1.9+2.7*2.8+2+2.9+0.9*1+0.6*1.8+1.9*1.4)+(3.05*2.9+3.6*2.9+3.05*2.9+2.45*1.25+2.45*1.35+2.6*1.4+1.2*0.8+2.2*1.4+1.7*2.9+0.5*0.7))*10.764</f>
        <v>1195.3421999999998</v>
      </c>
      <c r="E429" s="55">
        <f>((1.2*6.1+2*1.8)+(1.2*6.1+2*1.8))*10.764</f>
        <v>235.08575999999999</v>
      </c>
      <c r="F429" s="38">
        <f>D429+E429</f>
        <v>1430.4279599999998</v>
      </c>
      <c r="G429" s="38">
        <v>0</v>
      </c>
      <c r="H429" s="38">
        <f>F429*(($H$177)+1)+(IF(G429&lt;101,G429,IF(G429&lt;201,G429/2,IF(G429&lt;=301,G429/3,G429/4))))</f>
        <v>2145.6419399999995</v>
      </c>
    </row>
    <row r="430" spans="1:8" s="31" customFormat="1" x14ac:dyDescent="0.25">
      <c r="A430" s="67">
        <f>A429+1</f>
        <v>2</v>
      </c>
      <c r="B430" s="68"/>
      <c r="C430" s="38" t="s">
        <v>319</v>
      </c>
      <c r="D430" s="55">
        <f>(2.9*7+3.05*2.3+2.9*3.05+2.9*4.1+2.15*1.25+2.15*1.25+3.05*0.9+1*1.2+1.4*1.4)*10.764</f>
        <v>638.62811999999997</v>
      </c>
      <c r="E430" s="55">
        <f>(1.2*9.2+2*2.3)*10.764</f>
        <v>168.34895999999998</v>
      </c>
      <c r="F430" s="38">
        <f>D430+E430</f>
        <v>806.97707999999989</v>
      </c>
      <c r="G430" s="38">
        <v>0</v>
      </c>
      <c r="H430" s="38">
        <f>F430*(($H$177)+1)+(IF(G430&lt;101,G430,IF(G430&lt;201,G430/2,IF(G430&lt;=301,G430/3,G430/4))))</f>
        <v>1210.4656199999999</v>
      </c>
    </row>
    <row r="431" spans="1:8" s="31" customFormat="1" x14ac:dyDescent="0.25">
      <c r="A431" s="67">
        <f t="shared" ref="A431" si="91">A430+1</f>
        <v>3</v>
      </c>
      <c r="B431" s="68"/>
      <c r="C431" s="38" t="s">
        <v>319</v>
      </c>
      <c r="D431" s="55">
        <f>(2.9*6.6+0.7*2.3+3.05*2.3+3.6*3.2+3.65*3.25+2.15*1.25+2.2*1.25+0.9*1.25+1*0.9+1*2.3+2.15*0.55)*10.764</f>
        <v>668.36366999999984</v>
      </c>
      <c r="E431" s="55">
        <f>(1.2*(2.9+3.65+5.3+2.4)+2*2.3)*10.764</f>
        <v>233.57879999999994</v>
      </c>
      <c r="F431" s="38">
        <f t="shared" ref="F431" si="92">D431+E431</f>
        <v>901.94246999999973</v>
      </c>
      <c r="G431" s="38">
        <v>0</v>
      </c>
      <c r="H431" s="38">
        <f t="shared" ref="H431" si="93">F431*(($H$177)+1)+(IF(G431&lt;101,G431,IF(G431&lt;201,G431/2,IF(G431&lt;=301,G431/3,G431/4))))</f>
        <v>1352.9137049999995</v>
      </c>
    </row>
    <row r="432" spans="1:8" s="31" customFormat="1" ht="15.75" customHeight="1" x14ac:dyDescent="0.25">
      <c r="A432" s="78" t="s">
        <v>116</v>
      </c>
      <c r="B432" s="79"/>
      <c r="C432" s="79"/>
      <c r="D432" s="79"/>
      <c r="E432" s="79"/>
      <c r="F432" s="79"/>
      <c r="G432" s="79"/>
      <c r="H432" s="80"/>
    </row>
    <row r="433" spans="1:8" s="31" customFormat="1" x14ac:dyDescent="0.25">
      <c r="A433" s="67">
        <v>1</v>
      </c>
      <c r="B433" s="68"/>
      <c r="C433" s="81" t="s">
        <v>340</v>
      </c>
      <c r="D433" s="82"/>
      <c r="E433" s="82"/>
      <c r="F433" s="82"/>
      <c r="G433" s="82"/>
      <c r="H433" s="83"/>
    </row>
    <row r="434" spans="1:8" s="31" customFormat="1" x14ac:dyDescent="0.25">
      <c r="A434" s="67">
        <f>A433+1</f>
        <v>2</v>
      </c>
      <c r="B434" s="68"/>
      <c r="C434" s="38" t="s">
        <v>319</v>
      </c>
      <c r="D434" s="55">
        <f>(2.9*7+3.05*2.3+2.9*3.05+2.9*4.1+2.15*1.25+2.15*1.25+3.05*0.9+1*1.2+1.4*1.4)*10.764</f>
        <v>638.62811999999997</v>
      </c>
      <c r="E434" s="55">
        <f>(1.2*9.2+2*2.3)*10.764</f>
        <v>168.34895999999998</v>
      </c>
      <c r="F434" s="38">
        <f>D434+E434</f>
        <v>806.97707999999989</v>
      </c>
      <c r="G434" s="38">
        <v>0</v>
      </c>
      <c r="H434" s="38">
        <f>F434*(($H$177)+1)+(IF(G434&lt;101,G434,IF(G434&lt;201,G434/2,IF(G434&lt;=301,G434/3,G434/4))))</f>
        <v>1210.4656199999999</v>
      </c>
    </row>
    <row r="435" spans="1:8" s="31" customFormat="1" x14ac:dyDescent="0.25">
      <c r="A435" s="67">
        <f t="shared" ref="A435" si="94">A434+1</f>
        <v>3</v>
      </c>
      <c r="B435" s="68"/>
      <c r="C435" s="38" t="s">
        <v>319</v>
      </c>
      <c r="D435" s="55">
        <f>(2.9*6.6+0.7*2.3+3.05*2.3+3.6*3.2+3.65*3.25+2.15*1.25+2.2*1.25+0.9*1.25+1*0.9+1*2.3+2.15*0.55)*10.764</f>
        <v>668.36366999999984</v>
      </c>
      <c r="E435" s="55">
        <f>(1.2*(2.9+3.65+5.3+2.4)+2*2.3)*10.764</f>
        <v>233.57879999999994</v>
      </c>
      <c r="F435" s="38">
        <f t="shared" ref="F435" si="95">D435+E435</f>
        <v>901.94246999999973</v>
      </c>
      <c r="G435" s="38">
        <v>0</v>
      </c>
      <c r="H435" s="38">
        <f t="shared" ref="H435" si="96">F435*(($H$177)+1)+(IF(G435&lt;101,G435,IF(G435&lt;201,G435/2,IF(G435&lt;=301,G435/3,G435/4))))</f>
        <v>1352.9137049999995</v>
      </c>
    </row>
    <row r="436" spans="1:8" s="31" customFormat="1" x14ac:dyDescent="0.25">
      <c r="A436" s="78" t="s">
        <v>345</v>
      </c>
      <c r="B436" s="79"/>
      <c r="C436" s="79"/>
      <c r="D436" s="79"/>
      <c r="E436" s="79"/>
      <c r="F436" s="79"/>
      <c r="G436" s="79"/>
      <c r="H436" s="80"/>
    </row>
    <row r="437" spans="1:8" s="31" customFormat="1" x14ac:dyDescent="0.25">
      <c r="A437" s="67">
        <v>1</v>
      </c>
      <c r="B437" s="68"/>
      <c r="C437" s="63" t="s">
        <v>346</v>
      </c>
      <c r="D437" s="55">
        <f>(7.15*2.9+3.2*2.15+3.9*2.9+3.1*2.9+2.15*2.05+2.15*1.25+2.3*1.25+0.9*4.6+0.7*1.3)*10.764</f>
        <v>677.43233999999995</v>
      </c>
      <c r="E437" s="55">
        <f>(1.2*6.1+1.2*2.9+1.2*2.5+2*2.15)*10.764</f>
        <v>194.82839999999996</v>
      </c>
      <c r="F437" s="38">
        <f>D437+E437</f>
        <v>872.26073999999994</v>
      </c>
      <c r="G437" s="38">
        <v>0</v>
      </c>
      <c r="H437" s="38">
        <f>F437*(($H$177)+1)+(IF(G437&lt;101,G437,IF(G437&lt;201,G437/2,IF(G437&lt;=301,G437/3,G437/4))))</f>
        <v>1308.39111</v>
      </c>
    </row>
    <row r="438" spans="1:8" s="31" customFormat="1" x14ac:dyDescent="0.25">
      <c r="A438" s="67">
        <f>A437+1</f>
        <v>2</v>
      </c>
      <c r="B438" s="68"/>
      <c r="C438" s="38" t="s">
        <v>319</v>
      </c>
      <c r="D438" s="55">
        <f>(2.9*7+3.05*2.3+2.9*3.05+2.9*4.1+2.15*1.25+2.15*1.25+3.05*0.9+1*1.2+1.4*1.4)*10.764</f>
        <v>638.62811999999997</v>
      </c>
      <c r="E438" s="55">
        <f>(1.2*9.2+2*2.3)*10.764</f>
        <v>168.34895999999998</v>
      </c>
      <c r="F438" s="63">
        <f>D438+E438</f>
        <v>806.97707999999989</v>
      </c>
      <c r="G438" s="63">
        <v>0</v>
      </c>
      <c r="H438" s="63">
        <f>F438*(($H$177)+1)+(IF(G438&lt;101,G438,IF(G438&lt;201,G438/2,IF(G438&lt;=301,G438/3,G438/4))))</f>
        <v>1210.4656199999999</v>
      </c>
    </row>
    <row r="439" spans="1:8" s="31" customFormat="1" x14ac:dyDescent="0.25">
      <c r="A439" s="67">
        <f t="shared" ref="A439" si="97">A438+1</f>
        <v>3</v>
      </c>
      <c r="B439" s="68"/>
      <c r="C439" s="38" t="s">
        <v>319</v>
      </c>
      <c r="D439" s="55">
        <f>(2.9*6.6+0.7*2.3+3.05*2.3+3.6*3.2+3.65*3.25+2.15*1.25+2.2*1.25+0.9*1.25+1*0.9+1*2.3+2.15*0.55)*10.764</f>
        <v>668.36366999999984</v>
      </c>
      <c r="E439" s="55">
        <f>(1.2*(2.9+3.65+5.3+2.4)+2*2.3)*10.764</f>
        <v>233.57879999999994</v>
      </c>
      <c r="F439" s="63">
        <f t="shared" ref="F439" si="98">D439+E439</f>
        <v>901.94246999999973</v>
      </c>
      <c r="G439" s="63">
        <v>0</v>
      </c>
      <c r="H439" s="63">
        <f t="shared" ref="H439" si="99">F439*(($H$177)+1)+(IF(G439&lt;101,G439,IF(G439&lt;201,G439/2,IF(G439&lt;=301,G439/3,G439/4))))</f>
        <v>1352.9137049999995</v>
      </c>
    </row>
    <row r="440" spans="1:8" s="31" customFormat="1" ht="15.6" customHeight="1" x14ac:dyDescent="0.25">
      <c r="A440" s="78" t="s">
        <v>347</v>
      </c>
      <c r="B440" s="79"/>
      <c r="C440" s="79"/>
      <c r="D440" s="79"/>
      <c r="E440" s="79"/>
      <c r="F440" s="79"/>
      <c r="G440" s="79"/>
      <c r="H440" s="80"/>
    </row>
    <row r="441" spans="1:8" s="31" customFormat="1" x14ac:dyDescent="0.25">
      <c r="A441" s="67">
        <v>1</v>
      </c>
      <c r="B441" s="68"/>
      <c r="C441" s="63" t="s">
        <v>346</v>
      </c>
      <c r="D441" s="55">
        <f>(7.15*2.9+3.2*2.15+3.9*2.9+3.1*2.9+2.15*2.05+2.15*1.25+2.3*1.25+0.9*4.6+0.7*1.3)*10.764</f>
        <v>677.43233999999995</v>
      </c>
      <c r="E441" s="55">
        <f>(1.2*6.1+1.2*2.9+1.2*2.5+2*2.15)*10.764</f>
        <v>194.82839999999996</v>
      </c>
      <c r="F441" s="38">
        <f>D441+E441</f>
        <v>872.26073999999994</v>
      </c>
      <c r="G441" s="38">
        <v>0</v>
      </c>
      <c r="H441" s="38">
        <f>F441*(($H$177)+1)+(IF(G441&lt;101,G441,IF(G441&lt;201,G441/2,IF(G441&lt;=301,G441/3,G441/4))))</f>
        <v>1308.39111</v>
      </c>
    </row>
    <row r="442" spans="1:8" s="31" customFormat="1" x14ac:dyDescent="0.25">
      <c r="A442" s="67">
        <f>A441+1</f>
        <v>2</v>
      </c>
      <c r="B442" s="68"/>
      <c r="C442" s="38" t="s">
        <v>319</v>
      </c>
      <c r="D442" s="55">
        <f>(2.9*7+3.05*2.3+2.9*3.05+2.9*4.1+2.15*1.25+2.15*1.25+3.05*0.9+1*1.2+1.4*1.4)*10.764</f>
        <v>638.62811999999997</v>
      </c>
      <c r="E442" s="55">
        <f>(1.2*9.2+2*2.3)*10.764</f>
        <v>168.34895999999998</v>
      </c>
      <c r="F442" s="63">
        <f>D442+E442</f>
        <v>806.97707999999989</v>
      </c>
      <c r="G442" s="63">
        <v>0</v>
      </c>
      <c r="H442" s="63">
        <f>F442*(($H$177)+1)+(IF(G442&lt;101,G442,IF(G442&lt;201,G442/2,IF(G442&lt;=301,G442/3,G442/4))))</f>
        <v>1210.4656199999999</v>
      </c>
    </row>
    <row r="443" spans="1:8" s="31" customFormat="1" x14ac:dyDescent="0.25">
      <c r="A443" s="67">
        <f t="shared" ref="A443" si="100">A442+1</f>
        <v>3</v>
      </c>
      <c r="B443" s="68"/>
      <c r="C443" s="38" t="s">
        <v>319</v>
      </c>
      <c r="D443" s="55">
        <f>(2.9*6.6+0.7*2.3+3.05*2.3+3.6*3.2+3.65*3.25+2.15*1.25+2.2*1.25+0.9*1.25+1*0.9+1*2.3+2.15*0.55)*10.764</f>
        <v>668.36366999999984</v>
      </c>
      <c r="E443" s="55">
        <f>(1.2*(2.9+3.65+5.3+2.4)+2*2.3)*10.764</f>
        <v>233.57879999999994</v>
      </c>
      <c r="F443" s="63">
        <f t="shared" ref="F443" si="101">D443+E443</f>
        <v>901.94246999999973</v>
      </c>
      <c r="G443" s="63">
        <v>0</v>
      </c>
      <c r="H443" s="63">
        <f t="shared" ref="H443" si="102">F443*(($H$177)+1)+(IF(G443&lt;101,G443,IF(G443&lt;201,G443/2,IF(G443&lt;=301,G443/3,G443/4))))</f>
        <v>1352.9137049999995</v>
      </c>
    </row>
    <row r="444" spans="1:8" s="31" customFormat="1" ht="15.6" customHeight="1" x14ac:dyDescent="0.25">
      <c r="A444" s="78" t="s">
        <v>348</v>
      </c>
      <c r="B444" s="79"/>
      <c r="C444" s="79"/>
      <c r="D444" s="79"/>
      <c r="E444" s="79"/>
      <c r="F444" s="79"/>
      <c r="G444" s="79"/>
      <c r="H444" s="80"/>
    </row>
    <row r="445" spans="1:8" s="31" customFormat="1" x14ac:dyDescent="0.25">
      <c r="A445" s="67">
        <v>1</v>
      </c>
      <c r="B445" s="68"/>
      <c r="C445" s="63" t="s">
        <v>346</v>
      </c>
      <c r="D445" s="55">
        <f>(7.15*2.9+3.2*2.15+3.9*2.9+3.1*2.9+2.15*2.05+2.15*1.25+2.3*1.25+0.9*4.6+0.7*1.3)*10.764</f>
        <v>677.43233999999995</v>
      </c>
      <c r="E445" s="55">
        <f>(1.2*6.1+1.2*2.9+1.2*2.5+2*2.15)*10.764</f>
        <v>194.82839999999996</v>
      </c>
      <c r="F445" s="38">
        <f>D445+E445</f>
        <v>872.26073999999994</v>
      </c>
      <c r="G445" s="38">
        <v>0</v>
      </c>
      <c r="H445" s="38">
        <f>F445*(($H$177)+1)+(IF(G445&lt;101,G445,IF(G445&lt;201,G445/2,IF(G445&lt;=301,G445/3,G445/4))))</f>
        <v>1308.39111</v>
      </c>
    </row>
    <row r="446" spans="1:8" s="31" customFormat="1" x14ac:dyDescent="0.25">
      <c r="A446" s="67">
        <f>A445+1</f>
        <v>2</v>
      </c>
      <c r="B446" s="68"/>
      <c r="C446" s="38" t="s">
        <v>319</v>
      </c>
      <c r="D446" s="55">
        <f>(2.9*7+3.05*2.3+2.9*3.05+2.9*4.1+2.15*1.25+2.15*1.25+3.05*0.9+1*1.2+1.4*1.4)*10.764</f>
        <v>638.62811999999997</v>
      </c>
      <c r="E446" s="55">
        <f>(1.2*9.2+2*2.3)*10.764</f>
        <v>168.34895999999998</v>
      </c>
      <c r="F446" s="63">
        <f>D446+E446</f>
        <v>806.97707999999989</v>
      </c>
      <c r="G446" s="63">
        <v>0</v>
      </c>
      <c r="H446" s="63">
        <f>F446*(($H$177)+1)+(IF(G446&lt;101,G446,IF(G446&lt;201,G446/2,IF(G446&lt;=301,G446/3,G446/4))))</f>
        <v>1210.4656199999999</v>
      </c>
    </row>
    <row r="447" spans="1:8" s="31" customFormat="1" x14ac:dyDescent="0.25">
      <c r="A447" s="67">
        <f t="shared" ref="A447" si="103">A446+1</f>
        <v>3</v>
      </c>
      <c r="B447" s="68"/>
      <c r="C447" s="38" t="s">
        <v>319</v>
      </c>
      <c r="D447" s="55">
        <f>(2.9*6.6+0.7*2.3+3.05*2.3+3.6*3.2+3.65*3.25+2.15*1.25+2.2*1.25+0.9*1.25+1*0.9+1*2.3+2.15*0.55)*10.764</f>
        <v>668.36366999999984</v>
      </c>
      <c r="E447" s="55">
        <f>(1.2*(2.9+3.65+5.3+2.4)+2*2.3)*10.764</f>
        <v>233.57879999999994</v>
      </c>
      <c r="F447" s="63">
        <f t="shared" ref="F447" si="104">D447+E447</f>
        <v>901.94246999999973</v>
      </c>
      <c r="G447" s="63">
        <v>0</v>
      </c>
      <c r="H447" s="63">
        <f t="shared" ref="H447" si="105">F447*(($H$177)+1)+(IF(G447&lt;101,G447,IF(G447&lt;201,G447/2,IF(G447&lt;=301,G447/3,G447/4))))</f>
        <v>1352.9137049999995</v>
      </c>
    </row>
    <row r="448" spans="1:8" s="31" customFormat="1" ht="15.6" customHeight="1" x14ac:dyDescent="0.25">
      <c r="A448" s="78" t="s">
        <v>349</v>
      </c>
      <c r="B448" s="79"/>
      <c r="C448" s="79"/>
      <c r="D448" s="79"/>
      <c r="E448" s="79"/>
      <c r="F448" s="79"/>
      <c r="G448" s="79"/>
      <c r="H448" s="80"/>
    </row>
    <row r="449" spans="1:8" s="31" customFormat="1" x14ac:dyDescent="0.25">
      <c r="A449" s="67">
        <v>1</v>
      </c>
      <c r="B449" s="68"/>
      <c r="C449" s="63" t="s">
        <v>346</v>
      </c>
      <c r="D449" s="55">
        <f>(7.15*2.9+3.2*2.15+3.9*2.9+3.1*2.9+2.15*2.05+2.15*1.25+2.3*1.25+0.9*4.6+0.7*1.3)*10.764</f>
        <v>677.43233999999995</v>
      </c>
      <c r="E449" s="55">
        <f>(1.2*6.1+1.2*2.9+1.2*2.5+2*2.15)*10.764</f>
        <v>194.82839999999996</v>
      </c>
      <c r="F449" s="38">
        <f>D449+E449</f>
        <v>872.26073999999994</v>
      </c>
      <c r="G449" s="38">
        <v>0</v>
      </c>
      <c r="H449" s="38">
        <f>F449*(($H$177)+1)+(IF(G449&lt;101,G449,IF(G449&lt;201,G449/2,IF(G449&lt;=301,G449/3,G449/4))))</f>
        <v>1308.39111</v>
      </c>
    </row>
    <row r="450" spans="1:8" s="31" customFormat="1" x14ac:dyDescent="0.25">
      <c r="A450" s="67">
        <f>A449+1</f>
        <v>2</v>
      </c>
      <c r="B450" s="68"/>
      <c r="C450" s="38" t="s">
        <v>319</v>
      </c>
      <c r="D450" s="55">
        <f>(2.9*7+3.05*2.3+2.9*3.05+2.9*4.1+2.15*1.25+2.15*1.25+3.05*0.9+1*1.2+1.4*1.4)*10.764</f>
        <v>638.62811999999997</v>
      </c>
      <c r="E450" s="55">
        <f>(1.2*9.2+2*2.3)*10.764</f>
        <v>168.34895999999998</v>
      </c>
      <c r="F450" s="63">
        <f>D450+E450</f>
        <v>806.97707999999989</v>
      </c>
      <c r="G450" s="63">
        <v>0</v>
      </c>
      <c r="H450" s="63">
        <f>F450*(($H$177)+1)+(IF(G450&lt;101,G450,IF(G450&lt;201,G450/2,IF(G450&lt;=301,G450/3,G450/4))))</f>
        <v>1210.4656199999999</v>
      </c>
    </row>
    <row r="451" spans="1:8" s="31" customFormat="1" x14ac:dyDescent="0.25">
      <c r="A451" s="67">
        <f t="shared" ref="A451" si="106">A450+1</f>
        <v>3</v>
      </c>
      <c r="B451" s="68"/>
      <c r="C451" s="38" t="s">
        <v>319</v>
      </c>
      <c r="D451" s="55">
        <f>(2.9*6.6+0.7*2.3+3.05*2.3+3.6*3.2+3.65*3.25+2.15*1.25+2.2*1.25+0.9*1.25+1*0.9+1*2.3+2.15*0.55)*10.764</f>
        <v>668.36366999999984</v>
      </c>
      <c r="E451" s="55">
        <f>(1.2*(2.9+3.65+5.3+2.4)+2*2.3)*10.764</f>
        <v>233.57879999999994</v>
      </c>
      <c r="F451" s="63">
        <f t="shared" ref="F451" si="107">D451+E451</f>
        <v>901.94246999999973</v>
      </c>
      <c r="G451" s="63">
        <v>0</v>
      </c>
      <c r="H451" s="63">
        <f t="shared" ref="H451" si="108">F451*(($H$177)+1)+(IF(G451&lt;101,G451,IF(G451&lt;201,G451/2,IF(G451&lt;=301,G451/3,G451/4))))</f>
        <v>1352.9137049999995</v>
      </c>
    </row>
    <row r="452" spans="1:8" s="31" customFormat="1" ht="15.6" customHeight="1" x14ac:dyDescent="0.25">
      <c r="A452" s="69" t="s">
        <v>350</v>
      </c>
      <c r="B452" s="70"/>
      <c r="C452" s="70"/>
      <c r="D452" s="70"/>
      <c r="E452" s="70"/>
      <c r="F452" s="70"/>
      <c r="G452" s="70"/>
      <c r="H452" s="71"/>
    </row>
    <row r="453" spans="1:8" s="31" customFormat="1" x14ac:dyDescent="0.25">
      <c r="A453" s="67">
        <v>1</v>
      </c>
      <c r="B453" s="68"/>
      <c r="C453" s="63" t="s">
        <v>346</v>
      </c>
      <c r="D453" s="55">
        <f>(7.15*2.9+3.2*2.15+3.9*2.9+3.1*2.9+2.15*2.05+2.15*1.25+2.3*1.25+0.9*4.6+0.7*1.3)*10.764</f>
        <v>677.43233999999995</v>
      </c>
      <c r="E453" s="55">
        <f>(1.2*6.1+1.2*2.9+1.2*2.5+2*2.15)*10.764</f>
        <v>194.82839999999996</v>
      </c>
      <c r="F453" s="38">
        <f>D453+E453</f>
        <v>872.26073999999994</v>
      </c>
      <c r="G453" s="38">
        <v>0</v>
      </c>
      <c r="H453" s="38">
        <f>F453*(($H$177)+1)+(IF(G453&lt;101,G453,IF(G453&lt;201,G453/2,IF(G453&lt;=301,G453/3,G453/4))))</f>
        <v>1308.39111</v>
      </c>
    </row>
    <row r="454" spans="1:8" s="31" customFormat="1" x14ac:dyDescent="0.25">
      <c r="A454" s="67">
        <f>A453+1</f>
        <v>2</v>
      </c>
      <c r="B454" s="68"/>
      <c r="C454" s="38" t="s">
        <v>319</v>
      </c>
      <c r="D454" s="55">
        <f>(2.9*7+3.05*2.3+2.9*3.05+2.9*4.1+2.15*1.25+2.15*1.25+3.05*0.9+1*1.2+1.4*1.4)*10.764</f>
        <v>638.62811999999997</v>
      </c>
      <c r="E454" s="55">
        <f>(1.2*9.2+2*2.3)*10.764</f>
        <v>168.34895999999998</v>
      </c>
      <c r="F454" s="63">
        <f>D454+E454</f>
        <v>806.97707999999989</v>
      </c>
      <c r="G454" s="63">
        <v>0</v>
      </c>
      <c r="H454" s="63">
        <f>F454*(($H$177)+1)+(IF(G454&lt;101,G454,IF(G454&lt;201,G454/2,IF(G454&lt;=301,G454/3,G454/4))))</f>
        <v>1210.4656199999999</v>
      </c>
    </row>
    <row r="455" spans="1:8" s="31" customFormat="1" x14ac:dyDescent="0.25">
      <c r="A455" s="67">
        <f t="shared" ref="A455" si="109">A454+1</f>
        <v>3</v>
      </c>
      <c r="B455" s="68"/>
      <c r="C455" s="38" t="s">
        <v>319</v>
      </c>
      <c r="D455" s="55">
        <f>(2.9*6.6+0.7*2.3+3.05*2.3+3.6*3.2+3.65*3.25+2.15*1.25+2.2*1.25+0.9*1.25+1*0.9+1*2.3+2.15*0.55)*10.764</f>
        <v>668.36366999999984</v>
      </c>
      <c r="E455" s="55">
        <f>(1.2*(2.9+3.65+5.3+2.4)+2*2.3)*10.764</f>
        <v>233.57879999999994</v>
      </c>
      <c r="F455" s="63">
        <f t="shared" ref="F455" si="110">D455+E455</f>
        <v>901.94246999999973</v>
      </c>
      <c r="G455" s="63">
        <v>0</v>
      </c>
      <c r="H455" s="63">
        <f t="shared" ref="H455" si="111">F455*(($H$177)+1)+(IF(G455&lt;101,G455,IF(G455&lt;201,G455/2,IF(G455&lt;=301,G455/3,G455/4))))</f>
        <v>1352.9137049999995</v>
      </c>
    </row>
    <row r="456" spans="1:8" s="31" customFormat="1" ht="15.6" customHeight="1" x14ac:dyDescent="0.25">
      <c r="A456" s="69" t="s">
        <v>356</v>
      </c>
      <c r="B456" s="70"/>
      <c r="C456" s="70"/>
      <c r="D456" s="70"/>
      <c r="E456" s="70"/>
      <c r="F456" s="70"/>
      <c r="G456" s="70"/>
      <c r="H456" s="71"/>
    </row>
    <row r="457" spans="1:8" s="31" customFormat="1" x14ac:dyDescent="0.25">
      <c r="A457" s="67">
        <v>1</v>
      </c>
      <c r="B457" s="68"/>
      <c r="C457" s="63" t="s">
        <v>346</v>
      </c>
      <c r="D457" s="55">
        <f>(7.15*2.9+3.2*2.15+3.9*2.9+3.1*2.9+2.15*2.05+2.15*1.25+2.3*1.25+0.9*4.6+0.7*1.3)*10.764</f>
        <v>677.43233999999995</v>
      </c>
      <c r="E457" s="55">
        <f>(1.2*6.1+1.2*2.9+1.2*2.5+2*2.15)*10.764</f>
        <v>194.82839999999996</v>
      </c>
      <c r="F457" s="38">
        <f>D457+E457</f>
        <v>872.26073999999994</v>
      </c>
      <c r="G457" s="38">
        <v>0</v>
      </c>
      <c r="H457" s="38">
        <f>F457*(($H$177)+1)+(IF(G457&lt;101,G457,IF(G457&lt;201,G457/2,IF(G457&lt;=301,G457/3,G457/4))))</f>
        <v>1308.39111</v>
      </c>
    </row>
    <row r="458" spans="1:8" s="31" customFormat="1" x14ac:dyDescent="0.25">
      <c r="A458" s="67">
        <f>A457+1</f>
        <v>2</v>
      </c>
      <c r="B458" s="68"/>
      <c r="C458" s="38" t="s">
        <v>319</v>
      </c>
      <c r="D458" s="55">
        <f>(2.9*7+3.05*2.3+2.9*3.05+2.9*4.1+2.15*1.25+2.15*1.25+3.05*0.9+1*1.2+1.4*1.4)*10.764</f>
        <v>638.62811999999997</v>
      </c>
      <c r="E458" s="55">
        <f>(1.2*9.2+2*2.3)*10.764</f>
        <v>168.34895999999998</v>
      </c>
      <c r="F458" s="63">
        <f>D458+E458</f>
        <v>806.97707999999989</v>
      </c>
      <c r="G458" s="63">
        <v>0</v>
      </c>
      <c r="H458" s="63">
        <f>F458*(($H$177)+1)+(IF(G458&lt;101,G458,IF(G458&lt;201,G458/2,IF(G458&lt;=301,G458/3,G458/4))))</f>
        <v>1210.4656199999999</v>
      </c>
    </row>
    <row r="459" spans="1:8" s="31" customFormat="1" x14ac:dyDescent="0.25">
      <c r="A459" s="67">
        <f t="shared" ref="A459" si="112">A458+1</f>
        <v>3</v>
      </c>
      <c r="B459" s="68"/>
      <c r="C459" s="38" t="s">
        <v>319</v>
      </c>
      <c r="D459" s="55">
        <f>(2.9*6.6+0.7*2.3+3.05*2.3+3.6*3.2+3.65*3.25+2.15*1.25+2.2*1.25+0.9*1.25+1*0.9+1*2.3+2.15*0.55)*10.764</f>
        <v>668.36366999999984</v>
      </c>
      <c r="E459" s="55">
        <f>(1.2*(2.9+3.65+5.3+2.4)+2*2.3)*10.764</f>
        <v>233.57879999999994</v>
      </c>
      <c r="F459" s="63">
        <f t="shared" ref="F459" si="113">D459+E459</f>
        <v>901.94246999999973</v>
      </c>
      <c r="G459" s="63">
        <v>0</v>
      </c>
      <c r="H459" s="63">
        <f t="shared" ref="H459" si="114">F459*(($H$177)+1)+(IF(G459&lt;101,G459,IF(G459&lt;201,G459/2,IF(G459&lt;=301,G459/3,G459/4))))</f>
        <v>1352.9137049999995</v>
      </c>
    </row>
    <row r="460" spans="1:8" s="31" customFormat="1" ht="15.6" customHeight="1" x14ac:dyDescent="0.25">
      <c r="A460" s="69" t="s">
        <v>357</v>
      </c>
      <c r="B460" s="70"/>
      <c r="C460" s="70"/>
      <c r="D460" s="70"/>
      <c r="E460" s="70"/>
      <c r="F460" s="70"/>
      <c r="G460" s="70"/>
      <c r="H460" s="71"/>
    </row>
    <row r="461" spans="1:8" s="31" customFormat="1" x14ac:dyDescent="0.25">
      <c r="A461" s="67">
        <v>1</v>
      </c>
      <c r="B461" s="68"/>
      <c r="C461" s="63" t="s">
        <v>346</v>
      </c>
      <c r="D461" s="55">
        <f>(7.15*2.9+3.2*2.15+3.9*2.9+3.1*2.9+2.15*2.05+2.15*1.25+2.3*1.25+0.9*4.6+0.7*1.3)*10.764</f>
        <v>677.43233999999995</v>
      </c>
      <c r="E461" s="55">
        <f>(1.2*6.1+1.2*2.9+1.2*2.5+2*2.15)*10.764</f>
        <v>194.82839999999996</v>
      </c>
      <c r="F461" s="38">
        <f>D461+E461</f>
        <v>872.26073999999994</v>
      </c>
      <c r="G461" s="38">
        <v>0</v>
      </c>
      <c r="H461" s="38">
        <f>F461*(($H$177)+1)+(IF(G461&lt;101,G461,IF(G461&lt;201,G461/2,IF(G461&lt;=301,G461/3,G461/4))))</f>
        <v>1308.39111</v>
      </c>
    </row>
    <row r="462" spans="1:8" s="31" customFormat="1" x14ac:dyDescent="0.25">
      <c r="A462" s="67">
        <f>A461+1</f>
        <v>2</v>
      </c>
      <c r="B462" s="68"/>
      <c r="C462" s="38" t="s">
        <v>319</v>
      </c>
      <c r="D462" s="55">
        <f>(2.9*7+3.05*2.3+2.9*3.05+2.9*4.1+2.15*1.25+2.15*1.25+3.05*0.9+1*1.2+1.4*1.4)*10.764</f>
        <v>638.62811999999997</v>
      </c>
      <c r="E462" s="55">
        <f>(1.2*9.2+2*2.3)*10.764</f>
        <v>168.34895999999998</v>
      </c>
      <c r="F462" s="63">
        <f>D462+E462</f>
        <v>806.97707999999989</v>
      </c>
      <c r="G462" s="63">
        <v>0</v>
      </c>
      <c r="H462" s="63">
        <f>F462*(($H$177)+1)+(IF(G462&lt;101,G462,IF(G462&lt;201,G462/2,IF(G462&lt;=301,G462/3,G462/4))))</f>
        <v>1210.4656199999999</v>
      </c>
    </row>
    <row r="463" spans="1:8" s="31" customFormat="1" x14ac:dyDescent="0.25">
      <c r="A463" s="67">
        <f t="shared" ref="A463" si="115">A462+1</f>
        <v>3</v>
      </c>
      <c r="B463" s="68"/>
      <c r="C463" s="38" t="s">
        <v>319</v>
      </c>
      <c r="D463" s="55">
        <f>(2.9*6.6+0.7*2.3+3.05*2.3+3.6*3.2+3.65*3.25+2.15*1.25+2.2*1.25+0.9*1.25+1*0.9+1*2.3+2.15*0.55)*10.764</f>
        <v>668.36366999999984</v>
      </c>
      <c r="E463" s="55">
        <f>(1.2*(2.9+3.65+5.3+2.4)+2*2.3)*10.764</f>
        <v>233.57879999999994</v>
      </c>
      <c r="F463" s="63">
        <f t="shared" ref="F463" si="116">D463+E463</f>
        <v>901.94246999999973</v>
      </c>
      <c r="G463" s="63">
        <v>0</v>
      </c>
      <c r="H463" s="63">
        <f t="shared" ref="H463" si="117">F463*(($H$177)+1)+(IF(G463&lt;101,G463,IF(G463&lt;201,G463/2,IF(G463&lt;=301,G463/3,G463/4))))</f>
        <v>1352.9137049999995</v>
      </c>
    </row>
    <row r="464" spans="1:8" s="31" customFormat="1" ht="15.6" customHeight="1" x14ac:dyDescent="0.25">
      <c r="A464" s="69" t="s">
        <v>358</v>
      </c>
      <c r="B464" s="70"/>
      <c r="C464" s="70"/>
      <c r="D464" s="70"/>
      <c r="E464" s="70"/>
      <c r="F464" s="70"/>
      <c r="G464" s="70"/>
      <c r="H464" s="71"/>
    </row>
    <row r="465" spans="1:8" s="31" customFormat="1" ht="15.75" customHeight="1" x14ac:dyDescent="0.25">
      <c r="A465" s="67">
        <v>1</v>
      </c>
      <c r="B465" s="68"/>
      <c r="C465" s="63" t="s">
        <v>346</v>
      </c>
      <c r="D465" s="55">
        <f>(7.15*2.9+3.2*2.15+3.9*2.9+3.1*2.9+2.15*2.05+2.15*1.25+2.3*1.25+0.9*4.6+0.7*1.3)*10.764</f>
        <v>677.43233999999995</v>
      </c>
      <c r="E465" s="55">
        <f>(1.2*6.1+1.2*2.9+1.2*2.5+2*2.15)*10.764</f>
        <v>194.82839999999996</v>
      </c>
      <c r="F465" s="38">
        <f>D465+E465</f>
        <v>872.26073999999994</v>
      </c>
      <c r="G465" s="38">
        <v>0</v>
      </c>
      <c r="H465" s="38">
        <f>F465*(($H$177)+1)+(IF(G465&lt;101,G465,IF(G465&lt;201,G465/2,IF(G465&lt;=301,G465/3,G465/4))))</f>
        <v>1308.39111</v>
      </c>
    </row>
    <row r="466" spans="1:8" s="31" customFormat="1" x14ac:dyDescent="0.25">
      <c r="A466" s="67">
        <f>A465+1</f>
        <v>2</v>
      </c>
      <c r="B466" s="68"/>
      <c r="C466" s="38" t="s">
        <v>319</v>
      </c>
      <c r="D466" s="55">
        <f>(2.9*7+3.05*2.3+2.9*3.05+2.9*4.1+2.15*1.25+2.15*1.25+3.05*0.9+1*1.2+1.4*1.4)*10.764</f>
        <v>638.62811999999997</v>
      </c>
      <c r="E466" s="55">
        <f>(1.2*9.2+2*2.3)*10.764</f>
        <v>168.34895999999998</v>
      </c>
      <c r="F466" s="63">
        <f>D466+E466</f>
        <v>806.97707999999989</v>
      </c>
      <c r="G466" s="63">
        <v>0</v>
      </c>
      <c r="H466" s="63">
        <f>F466*(($H$177)+1)+(IF(G466&lt;101,G466,IF(G466&lt;201,G466/2,IF(G466&lt;=301,G466/3,G466/4))))</f>
        <v>1210.4656199999999</v>
      </c>
    </row>
    <row r="467" spans="1:8" s="31" customFormat="1" x14ac:dyDescent="0.25">
      <c r="A467" s="67">
        <f t="shared" ref="A467" si="118">A466+1</f>
        <v>3</v>
      </c>
      <c r="B467" s="68"/>
      <c r="C467" s="38" t="s">
        <v>319</v>
      </c>
      <c r="D467" s="55">
        <f>(2.9*6.6+0.7*2.3+3.05*2.3+3.6*3.2+3.65*3.25+2.15*1.25+2.2*1.25+0.9*1.25+1*0.9+1*2.3+2.15*0.55)*10.764</f>
        <v>668.36366999999984</v>
      </c>
      <c r="E467" s="55">
        <f>(1.2*(2.9+3.65+5.3+2.4)+2*2.3)*10.764</f>
        <v>233.57879999999994</v>
      </c>
      <c r="F467" s="63">
        <f t="shared" ref="F467" si="119">D467+E467</f>
        <v>901.94246999999973</v>
      </c>
      <c r="G467" s="63">
        <v>0</v>
      </c>
      <c r="H467" s="63">
        <f t="shared" ref="H467" si="120">F467*(($H$177)+1)+(IF(G467&lt;101,G467,IF(G467&lt;201,G467/2,IF(G467&lt;=301,G467/3,G467/4))))</f>
        <v>1352.9137049999995</v>
      </c>
    </row>
    <row r="468" spans="1:8" s="31" customFormat="1" ht="15.6" customHeight="1" x14ac:dyDescent="0.25">
      <c r="A468" s="69" t="s">
        <v>360</v>
      </c>
      <c r="B468" s="70"/>
      <c r="C468" s="70"/>
      <c r="D468" s="70"/>
      <c r="E468" s="70"/>
      <c r="F468" s="70"/>
      <c r="G468" s="70"/>
      <c r="H468" s="71"/>
    </row>
    <row r="469" spans="1:8" s="31" customFormat="1" x14ac:dyDescent="0.25">
      <c r="A469" s="67">
        <v>1</v>
      </c>
      <c r="B469" s="68"/>
      <c r="C469" s="63" t="s">
        <v>346</v>
      </c>
      <c r="D469" s="55">
        <f>(7.15*2.9+3.2*2.15+3.9*2.9+3.1*2.9+2.15*2.05+2.15*1.25+2.3*1.25+0.9*4.6+0.7*1.3)*10.764</f>
        <v>677.43233999999995</v>
      </c>
      <c r="E469" s="55">
        <f>(1.2*6.1+1.2*2.9+1.2*2.5+2*2.15)*10.764</f>
        <v>194.82839999999996</v>
      </c>
      <c r="F469" s="38">
        <f>D469+E469</f>
        <v>872.26073999999994</v>
      </c>
      <c r="G469" s="38">
        <v>0</v>
      </c>
      <c r="H469" s="38">
        <f>F469*(($H$177)+1)+(IF(G469&lt;101,G469,IF(G469&lt;201,G469/2,IF(G469&lt;=301,G469/3,G469/4))))</f>
        <v>1308.39111</v>
      </c>
    </row>
    <row r="470" spans="1:8" s="31" customFormat="1" x14ac:dyDescent="0.25">
      <c r="A470" s="67">
        <f>A469+1</f>
        <v>2</v>
      </c>
      <c r="B470" s="68"/>
      <c r="C470" s="38" t="s">
        <v>319</v>
      </c>
      <c r="D470" s="55">
        <f>(2.9*7+3.05*2.3+2.9*3.05+2.9*4.1+2.15*1.25+2.15*1.25+3.05*0.9+1*1.2+1.4*1.4)*10.764</f>
        <v>638.62811999999997</v>
      </c>
      <c r="E470" s="55">
        <f>(1.2*9.2+2*2.3)*10.764</f>
        <v>168.34895999999998</v>
      </c>
      <c r="F470" s="63">
        <f>D470+E470</f>
        <v>806.97707999999989</v>
      </c>
      <c r="G470" s="63">
        <v>0</v>
      </c>
      <c r="H470" s="63">
        <f>F470*(($H$177)+1)+(IF(G470&lt;101,G470,IF(G470&lt;201,G470/2,IF(G470&lt;=301,G470/3,G470/4))))</f>
        <v>1210.4656199999999</v>
      </c>
    </row>
    <row r="471" spans="1:8" s="31" customFormat="1" x14ac:dyDescent="0.25">
      <c r="A471" s="67">
        <f t="shared" ref="A471" si="121">A470+1</f>
        <v>3</v>
      </c>
      <c r="B471" s="68"/>
      <c r="C471" s="38" t="s">
        <v>319</v>
      </c>
      <c r="D471" s="55">
        <f>(2.9*6.6+0.7*2.3+3.05*2.3+3.6*3.2+3.65*3.25+2.15*1.25+2.2*1.25+0.9*1.25+1*0.9+1*2.3+2.15*0.55)*10.764</f>
        <v>668.36366999999984</v>
      </c>
      <c r="E471" s="55">
        <f>(1.2*(2.9+3.65+5.3+2.4)+2*2.3)*10.764</f>
        <v>233.57879999999994</v>
      </c>
      <c r="F471" s="63">
        <f t="shared" ref="F471" si="122">D471+E471</f>
        <v>901.94246999999973</v>
      </c>
      <c r="G471" s="63">
        <v>0</v>
      </c>
      <c r="H471" s="63">
        <f t="shared" ref="H471" si="123">F471*(($H$177)+1)+(IF(G471&lt;101,G471,IF(G471&lt;201,G471/2,IF(G471&lt;=301,G471/3,G471/4))))</f>
        <v>1352.9137049999995</v>
      </c>
    </row>
    <row r="472" spans="1:8" s="31" customFormat="1" x14ac:dyDescent="0.25">
      <c r="A472" s="84" t="s">
        <v>315</v>
      </c>
      <c r="B472" s="85"/>
      <c r="C472" s="85"/>
      <c r="D472" s="85"/>
      <c r="E472" s="85"/>
      <c r="F472" s="85"/>
      <c r="G472" s="85"/>
      <c r="H472" s="86"/>
    </row>
    <row r="473" spans="1:8" s="31" customFormat="1" x14ac:dyDescent="0.25">
      <c r="A473" s="78" t="s">
        <v>317</v>
      </c>
      <c r="B473" s="79"/>
      <c r="C473" s="79"/>
      <c r="D473" s="79"/>
      <c r="E473" s="79"/>
      <c r="F473" s="79"/>
      <c r="G473" s="79"/>
      <c r="H473" s="80"/>
    </row>
    <row r="474" spans="1:8" s="31" customFormat="1" x14ac:dyDescent="0.25">
      <c r="A474" s="67">
        <v>1</v>
      </c>
      <c r="B474" s="68"/>
      <c r="C474" s="38" t="s">
        <v>319</v>
      </c>
      <c r="D474" s="55">
        <f>(5.05*2.75+2*2.75+3.2*2.7+4.25*2.7+2.05*1.25+2.15*1.25+2.3*1.05+2.9*0.9+1.3*0.7)*10.764</f>
        <v>545.60024999999985</v>
      </c>
      <c r="E474" s="55">
        <f>(1.2*8.5+2*1.5)*10.764</f>
        <v>142.08479999999997</v>
      </c>
      <c r="F474" s="38">
        <f>D474+E474</f>
        <v>687.68504999999982</v>
      </c>
      <c r="G474" s="38">
        <v>0</v>
      </c>
      <c r="H474" s="38">
        <f>F474*(($H$177)+1)+(IF(G474&lt;101,G474,IF(G474&lt;201,G474/2,IF(G474&lt;=301,G474/3,G474/4))))</f>
        <v>1031.5275749999996</v>
      </c>
    </row>
    <row r="475" spans="1:8" s="31" customFormat="1" ht="47.25" x14ac:dyDescent="0.25">
      <c r="A475" s="67">
        <f>A474+1</f>
        <v>2</v>
      </c>
      <c r="B475" s="68"/>
      <c r="C475" s="63" t="s">
        <v>344</v>
      </c>
      <c r="D475" s="55">
        <f>((4.1*6.1+1.9*4+2.15*3.3+4.1*2.9+2.45*1.25+2.3*1.25+2.3*1.05)+(4.6*2.1+1.4*4+4.1*2.9+2.45*1.25+2.3*1.25+4.1*1.6+1.5*1.2))*10.764</f>
        <v>1091.4157799999998</v>
      </c>
      <c r="E475" s="55">
        <f>((1.2*9.3+2*2.15)+(1.2*9.3+2*2.15))*10.764</f>
        <v>332.82288</v>
      </c>
      <c r="F475" s="38">
        <f>D475+E475</f>
        <v>1424.2386599999998</v>
      </c>
      <c r="G475" s="38">
        <v>0</v>
      </c>
      <c r="H475" s="38">
        <f>F475*(($H$177)+1)+(IF(G475&lt;101,G475,IF(G475&lt;201,G475/2,IF(G475&lt;=301,G475/3,G475/4))))</f>
        <v>2136.3579899999995</v>
      </c>
    </row>
    <row r="476" spans="1:8" s="31" customFormat="1" ht="47.25" x14ac:dyDescent="0.25">
      <c r="A476" s="67">
        <f t="shared" ref="A476" si="124">A475+1</f>
        <v>3</v>
      </c>
      <c r="B476" s="68"/>
      <c r="C476" s="63" t="s">
        <v>344</v>
      </c>
      <c r="D476" s="55">
        <f>((5*3.6+3.35*2.45+3.35*2.45+1.85*1.25+2.45*1.25+2.3*1.05+2.9*3.9)+(3.35*3.7+3.35*2.45+1.85*1.25+2.45*1.25+1.1*3.9+1.5*0.9))*10.764</f>
        <v>916.36622999999997</v>
      </c>
      <c r="E476" s="55">
        <f>(1.2*(5.2+2.45)+2*1.4)*10.764</f>
        <v>128.95272</v>
      </c>
      <c r="F476" s="38">
        <f t="shared" ref="F476" si="125">D476+E476</f>
        <v>1045.3189499999999</v>
      </c>
      <c r="G476" s="38">
        <v>0</v>
      </c>
      <c r="H476" s="38">
        <f t="shared" ref="H476" si="126">F476*(($H$177)+1)+(IF(G476&lt;101,G476,IF(G476&lt;201,G476/2,IF(G476&lt;=301,G476/3,G476/4))))</f>
        <v>1567.9784249999998</v>
      </c>
    </row>
    <row r="477" spans="1:8" s="31" customFormat="1" x14ac:dyDescent="0.25">
      <c r="A477" s="67">
        <f t="shared" ref="A477" si="127">A476+1</f>
        <v>4</v>
      </c>
      <c r="B477" s="68"/>
      <c r="C477" s="38" t="s">
        <v>319</v>
      </c>
      <c r="D477" s="55">
        <f>(5.2*2.75+2.3*1.2+2.1*3.2+3*2.45+4.15*2.45+2*1.25+2*1.25+2.9*0.9+1.75*1.05)*10.764</f>
        <v>546.21918000000005</v>
      </c>
      <c r="E477" s="55">
        <f>(1.2*(2.75+2.45+2.45)+2*2.1)*10.764</f>
        <v>144.02231999999998</v>
      </c>
      <c r="F477" s="38">
        <f t="shared" ref="F477" si="128">D477+E477</f>
        <v>690.24150000000009</v>
      </c>
      <c r="G477" s="38">
        <v>0</v>
      </c>
      <c r="H477" s="38">
        <f>F477*(($H$177)+1)+(IF(G477&lt;101,G477,IF(G477&lt;201,G477/2,IF(G477&lt;=301,G477/3,G477/4))))</f>
        <v>1035.3622500000001</v>
      </c>
    </row>
    <row r="478" spans="1:8" s="31" customFormat="1" ht="15.75" customHeight="1" x14ac:dyDescent="0.25">
      <c r="A478" s="78" t="s">
        <v>116</v>
      </c>
      <c r="B478" s="79"/>
      <c r="C478" s="79"/>
      <c r="D478" s="79"/>
      <c r="E478" s="79"/>
      <c r="F478" s="79"/>
      <c r="G478" s="79"/>
      <c r="H478" s="80"/>
    </row>
    <row r="479" spans="1:8" s="31" customFormat="1" x14ac:dyDescent="0.25">
      <c r="A479" s="67">
        <v>1</v>
      </c>
      <c r="B479" s="68"/>
      <c r="C479" s="38" t="s">
        <v>319</v>
      </c>
      <c r="D479" s="55">
        <f>(5.05*2.75+2*2.75+3.2*2.7+4.25*2.7+2.05*1.25+2.15*1.25+2.3*1.05+2.9*0.9+1.3*0.7)*10.764</f>
        <v>545.60024999999985</v>
      </c>
      <c r="E479" s="55">
        <f>(1.2*8.5+2*1.5)*10.764</f>
        <v>142.08479999999997</v>
      </c>
      <c r="F479" s="38">
        <f>D479+E479</f>
        <v>687.68504999999982</v>
      </c>
      <c r="G479" s="38">
        <v>0</v>
      </c>
      <c r="H479" s="38">
        <f>F479*(($H$177)+1)+(IF(G479&lt;101,G479,IF(G479&lt;201,G479/2,IF(G479&lt;=301,G479/3,G479/4))))</f>
        <v>1031.5275749999996</v>
      </c>
    </row>
    <row r="480" spans="1:8" s="31" customFormat="1" x14ac:dyDescent="0.25">
      <c r="A480" s="67">
        <f>A479+1</f>
        <v>2</v>
      </c>
      <c r="B480" s="68"/>
      <c r="C480" s="81" t="s">
        <v>340</v>
      </c>
      <c r="D480" s="82"/>
      <c r="E480" s="82"/>
      <c r="F480" s="82"/>
      <c r="G480" s="82"/>
      <c r="H480" s="83"/>
    </row>
    <row r="481" spans="1:8" s="31" customFormat="1" x14ac:dyDescent="0.25">
      <c r="A481" s="67">
        <f t="shared" ref="A481:A482" si="129">A480+1</f>
        <v>3</v>
      </c>
      <c r="B481" s="68"/>
      <c r="C481" s="81" t="s">
        <v>340</v>
      </c>
      <c r="D481" s="82"/>
      <c r="E481" s="82"/>
      <c r="F481" s="82"/>
      <c r="G481" s="82"/>
      <c r="H481" s="83"/>
    </row>
    <row r="482" spans="1:8" s="31" customFormat="1" x14ac:dyDescent="0.25">
      <c r="A482" s="67">
        <f t="shared" si="129"/>
        <v>4</v>
      </c>
      <c r="B482" s="68"/>
      <c r="C482" s="38" t="s">
        <v>319</v>
      </c>
      <c r="D482" s="55">
        <f>(5.2*2.75+2.3*1.2+2.1*3.2+3*2.45+4.15*2.45+2*1.25+2*1.25+2.9*0.9+1.75*1.05)*10.764</f>
        <v>546.21918000000005</v>
      </c>
      <c r="E482" s="55">
        <f>(1.2*(2.75+2.45+2.45)+2*2.1)*10.764</f>
        <v>144.02231999999998</v>
      </c>
      <c r="F482" s="38">
        <f t="shared" ref="F482" si="130">D482+E482</f>
        <v>690.24150000000009</v>
      </c>
      <c r="G482" s="38">
        <v>0</v>
      </c>
      <c r="H482" s="38">
        <f>F482*(($H$177)+1)+(IF(G482&lt;101,G482,IF(G482&lt;201,G482/2,IF(G482&lt;=301,G482/3,G482/4))))</f>
        <v>1035.3622500000001</v>
      </c>
    </row>
    <row r="483" spans="1:8" s="31" customFormat="1" ht="15.6" customHeight="1" x14ac:dyDescent="0.25">
      <c r="A483" s="78" t="s">
        <v>345</v>
      </c>
      <c r="B483" s="79"/>
      <c r="C483" s="79"/>
      <c r="D483" s="79"/>
      <c r="E483" s="79"/>
      <c r="F483" s="79"/>
      <c r="G483" s="79"/>
      <c r="H483" s="80"/>
    </row>
    <row r="484" spans="1:8" s="31" customFormat="1" x14ac:dyDescent="0.25">
      <c r="A484" s="67">
        <v>1</v>
      </c>
      <c r="B484" s="68"/>
      <c r="C484" s="38" t="s">
        <v>319</v>
      </c>
      <c r="D484" s="55">
        <f>(5.05*2.75+2*2.75+3.2*2.7+4.25*2.7+2.05*1.25+2.15*1.25+2.3*1.05+2.9*0.9+1.3*0.7)*10.764</f>
        <v>545.60024999999985</v>
      </c>
      <c r="E484" s="55">
        <f>(1.2*8.5+2*1.5)*10.764</f>
        <v>142.08479999999997</v>
      </c>
      <c r="F484" s="38">
        <f>D484+E484</f>
        <v>687.68504999999982</v>
      </c>
      <c r="G484" s="38">
        <v>0</v>
      </c>
      <c r="H484" s="38">
        <f>F484*(($H$177)+1)+(IF(G484&lt;101,G484,IF(G484&lt;201,G484/2,IF(G484&lt;=301,G484/3,G484/4))))</f>
        <v>1031.5275749999996</v>
      </c>
    </row>
    <row r="485" spans="1:8" s="31" customFormat="1" x14ac:dyDescent="0.25">
      <c r="A485" s="67">
        <f>A484+1</f>
        <v>2</v>
      </c>
      <c r="B485" s="68"/>
      <c r="C485" s="63" t="s">
        <v>319</v>
      </c>
      <c r="D485" s="55">
        <f>(5.5*2.9+2.3*1.05+2.15*3.3+3.05*2.9+4.1*2.9+2.45*1.25+2.3*1.25+2*0.9+2.3*1.05)*10.764</f>
        <v>606.5244899999999</v>
      </c>
      <c r="E485" s="55">
        <f>(1.2*9.3+2*2.15)*10.764</f>
        <v>166.41144</v>
      </c>
      <c r="F485" s="38">
        <f>D485+E485</f>
        <v>772.93592999999987</v>
      </c>
      <c r="G485" s="38">
        <v>0</v>
      </c>
      <c r="H485" s="38">
        <f>F485*(($H$177)+1)+(IF(G485&lt;101,G485,IF(G485&lt;201,G485/2,IF(G485&lt;=301,G485/3,G485/4))))</f>
        <v>1159.4038949999999</v>
      </c>
    </row>
    <row r="486" spans="1:8" s="31" customFormat="1" x14ac:dyDescent="0.25">
      <c r="A486" s="67">
        <f t="shared" ref="A486:A487" si="131">A485+1</f>
        <v>3</v>
      </c>
      <c r="B486" s="68"/>
      <c r="C486" s="63" t="s">
        <v>320</v>
      </c>
      <c r="D486" s="55">
        <f>(4.9*2.75+2.15*2.45+3.35*2.45+2.75+2.15+2.45*1.25+1.85*1.25+2*0.9+2.9*0.9+2.3*1.05)*10.764</f>
        <v>474.15419999999995</v>
      </c>
      <c r="E486" s="55">
        <f>(1.2*5.2+1.2*2.6+2*1.2)*10.764</f>
        <v>126.58463999999999</v>
      </c>
      <c r="F486" s="38">
        <f t="shared" ref="F486:F487" si="132">D486+E486</f>
        <v>600.73883999999998</v>
      </c>
      <c r="G486" s="38">
        <v>0</v>
      </c>
      <c r="H486" s="38">
        <f t="shared" ref="H486" si="133">F486*(($H$177)+1)+(IF(G486&lt;101,G486,IF(G486&lt;201,G486/2,IF(G486&lt;=301,G486/3,G486/4))))</f>
        <v>901.10825999999997</v>
      </c>
    </row>
    <row r="487" spans="1:8" s="31" customFormat="1" x14ac:dyDescent="0.25">
      <c r="A487" s="67">
        <f t="shared" si="131"/>
        <v>4</v>
      </c>
      <c r="B487" s="68"/>
      <c r="C487" s="38" t="s">
        <v>319</v>
      </c>
      <c r="D487" s="55">
        <f>(5.2*2.75+2.3*1.2+2.1*3.2+3*2.45+4.15*2.45+2*1.25+2*1.25+2.9*0.9+1.75*1.05)*10.764</f>
        <v>546.21918000000005</v>
      </c>
      <c r="E487" s="55">
        <f>(1.2*(2.75+2.45+2.45)+2*2.1)*10.764</f>
        <v>144.02231999999998</v>
      </c>
      <c r="F487" s="38">
        <f t="shared" si="132"/>
        <v>690.24150000000009</v>
      </c>
      <c r="G487" s="38">
        <v>0</v>
      </c>
      <c r="H487" s="38">
        <f>F487*(($H$177)+1)+(IF(G487&lt;101,G487,IF(G487&lt;201,G487/2,IF(G487&lt;=301,G487/3,G487/4))))</f>
        <v>1035.3622500000001</v>
      </c>
    </row>
    <row r="488" spans="1:8" s="31" customFormat="1" ht="15.6" customHeight="1" x14ac:dyDescent="0.25">
      <c r="A488" s="78" t="s">
        <v>347</v>
      </c>
      <c r="B488" s="79"/>
      <c r="C488" s="79"/>
      <c r="D488" s="79"/>
      <c r="E488" s="79"/>
      <c r="F488" s="79"/>
      <c r="G488" s="79"/>
      <c r="H488" s="80"/>
    </row>
    <row r="489" spans="1:8" s="31" customFormat="1" x14ac:dyDescent="0.25">
      <c r="A489" s="67">
        <v>1</v>
      </c>
      <c r="B489" s="68"/>
      <c r="C489" s="38" t="s">
        <v>319</v>
      </c>
      <c r="D489" s="55">
        <f>(5.05*2.75+2*2.75+3.2*2.7+4.25*2.7+2.05*1.25+2.15*1.25+2.3*1.05+2.9*0.9+1.3*0.7)*10.764</f>
        <v>545.60024999999985</v>
      </c>
      <c r="E489" s="55">
        <f>(1.2*8.5+2*1.5)*10.764</f>
        <v>142.08479999999997</v>
      </c>
      <c r="F489" s="38">
        <f>D489+E489</f>
        <v>687.68504999999982</v>
      </c>
      <c r="G489" s="38">
        <v>0</v>
      </c>
      <c r="H489" s="38">
        <f>F489*(($H$177)+1)+(IF(G489&lt;101,G489,IF(G489&lt;201,G489/2,IF(G489&lt;=301,G489/3,G489/4))))</f>
        <v>1031.5275749999996</v>
      </c>
    </row>
    <row r="490" spans="1:8" s="31" customFormat="1" x14ac:dyDescent="0.25">
      <c r="A490" s="67">
        <f>A489+1</f>
        <v>2</v>
      </c>
      <c r="B490" s="68"/>
      <c r="C490" s="63" t="s">
        <v>319</v>
      </c>
      <c r="D490" s="55">
        <f>(5.5*2.9+2.3*1.05+2.15*3.3+3.05*2.9+4.1*2.9+2.45*1.25+2.3*1.25+2*0.9+2.3*1.05)*10.764</f>
        <v>606.5244899999999</v>
      </c>
      <c r="E490" s="55">
        <f>(1.2*9.3+2*2.15)*10.764</f>
        <v>166.41144</v>
      </c>
      <c r="F490" s="38">
        <f>D490+E490</f>
        <v>772.93592999999987</v>
      </c>
      <c r="G490" s="38">
        <v>0</v>
      </c>
      <c r="H490" s="38">
        <f>F490*(($H$177)+1)+(IF(G490&lt;101,G490,IF(G490&lt;201,G490/2,IF(G490&lt;=301,G490/3,G490/4))))</f>
        <v>1159.4038949999999</v>
      </c>
    </row>
    <row r="491" spans="1:8" s="31" customFormat="1" x14ac:dyDescent="0.25">
      <c r="A491" s="67">
        <f t="shared" ref="A491:A492" si="134">A490+1</f>
        <v>3</v>
      </c>
      <c r="B491" s="68"/>
      <c r="C491" s="63" t="s">
        <v>320</v>
      </c>
      <c r="D491" s="55">
        <f>(4.9*2.75+2.15*2.45+3.35*2.45+2.75+2.15+2.45*1.25+1.85*1.25+2*0.9+2.9*0.9+2.3*1.05)*10.764</f>
        <v>474.15419999999995</v>
      </c>
      <c r="E491" s="55">
        <f>(1.2*5.2+1.2*2.6+2*1.2)*10.764</f>
        <v>126.58463999999999</v>
      </c>
      <c r="F491" s="38">
        <f t="shared" ref="F491:F492" si="135">D491+E491</f>
        <v>600.73883999999998</v>
      </c>
      <c r="G491" s="38">
        <v>0</v>
      </c>
      <c r="H491" s="38">
        <f t="shared" ref="H491" si="136">F491*(($H$177)+1)+(IF(G491&lt;101,G491,IF(G491&lt;201,G491/2,IF(G491&lt;=301,G491/3,G491/4))))</f>
        <v>901.10825999999997</v>
      </c>
    </row>
    <row r="492" spans="1:8" s="31" customFormat="1" x14ac:dyDescent="0.25">
      <c r="A492" s="67">
        <f t="shared" si="134"/>
        <v>4</v>
      </c>
      <c r="B492" s="68"/>
      <c r="C492" s="38" t="s">
        <v>319</v>
      </c>
      <c r="D492" s="55">
        <f>(5.2*2.75+2.3*1.2+2.1*3.2+3*2.45+4.15*2.45+2*1.25+2*1.25+2.9*0.9+1.75*1.05)*10.764</f>
        <v>546.21918000000005</v>
      </c>
      <c r="E492" s="55">
        <f>(1.2*(2.75+2.45+2.45)+2*2.1)*10.764</f>
        <v>144.02231999999998</v>
      </c>
      <c r="F492" s="38">
        <f t="shared" si="135"/>
        <v>690.24150000000009</v>
      </c>
      <c r="G492" s="38">
        <v>0</v>
      </c>
      <c r="H492" s="38">
        <f>F492*(($H$177)+1)+(IF(G492&lt;101,G492,IF(G492&lt;201,G492/2,IF(G492&lt;=301,G492/3,G492/4))))</f>
        <v>1035.3622500000001</v>
      </c>
    </row>
    <row r="493" spans="1:8" s="31" customFormat="1" ht="15.6" customHeight="1" x14ac:dyDescent="0.25">
      <c r="A493" s="78" t="s">
        <v>348</v>
      </c>
      <c r="B493" s="79"/>
      <c r="C493" s="79"/>
      <c r="D493" s="79"/>
      <c r="E493" s="79"/>
      <c r="F493" s="79"/>
      <c r="G493" s="79"/>
      <c r="H493" s="80"/>
    </row>
    <row r="494" spans="1:8" s="31" customFormat="1" x14ac:dyDescent="0.25">
      <c r="A494" s="67">
        <v>1</v>
      </c>
      <c r="B494" s="68"/>
      <c r="C494" s="38" t="s">
        <v>319</v>
      </c>
      <c r="D494" s="55">
        <f>(5.05*2.75+2*2.75+3.2*2.7+4.25*2.7+2.05*1.25+2.15*1.25+2.3*1.05+2.9*0.9+1.3*0.7)*10.764</f>
        <v>545.60024999999985</v>
      </c>
      <c r="E494" s="55">
        <f>(1.2*8.5+2*1.5)*10.764</f>
        <v>142.08479999999997</v>
      </c>
      <c r="F494" s="38">
        <f>D494+E494</f>
        <v>687.68504999999982</v>
      </c>
      <c r="G494" s="38">
        <v>0</v>
      </c>
      <c r="H494" s="38">
        <f>F494*(($H$177)+1)+(IF(G494&lt;101,G494,IF(G494&lt;201,G494/2,IF(G494&lt;=301,G494/3,G494/4))))</f>
        <v>1031.5275749999996</v>
      </c>
    </row>
    <row r="495" spans="1:8" s="31" customFormat="1" x14ac:dyDescent="0.25">
      <c r="A495" s="67">
        <f>A494+1</f>
        <v>2</v>
      </c>
      <c r="B495" s="68"/>
      <c r="C495" s="63" t="s">
        <v>319</v>
      </c>
      <c r="D495" s="55">
        <f>(5.5*2.9+2.3*1.05+2.15*3.3+3.05*2.9+4.1*2.9+2.45*1.25+2.3*1.25+2*0.9+2.3*1.05)*10.764</f>
        <v>606.5244899999999</v>
      </c>
      <c r="E495" s="55">
        <f>(1.2*9.3+2*2.15)*10.764</f>
        <v>166.41144</v>
      </c>
      <c r="F495" s="38">
        <f>D495+E495</f>
        <v>772.93592999999987</v>
      </c>
      <c r="G495" s="38">
        <v>0</v>
      </c>
      <c r="H495" s="38">
        <f>F495*(($H$177)+1)+(IF(G495&lt;101,G495,IF(G495&lt;201,G495/2,IF(G495&lt;=301,G495/3,G495/4))))</f>
        <v>1159.4038949999999</v>
      </c>
    </row>
    <row r="496" spans="1:8" s="31" customFormat="1" x14ac:dyDescent="0.25">
      <c r="A496" s="67">
        <f t="shared" ref="A496:A497" si="137">A495+1</f>
        <v>3</v>
      </c>
      <c r="B496" s="68"/>
      <c r="C496" s="63" t="s">
        <v>320</v>
      </c>
      <c r="D496" s="55">
        <f>(4.9*2.75+2.15*2.45+3.35*2.45+2.75+2.15+2.45*1.25+1.85*1.25+2*0.9+2.9*0.9+2.3*1.05)*10.764</f>
        <v>474.15419999999995</v>
      </c>
      <c r="E496" s="55">
        <f>(1.2*5.2+1.2*2.6+2*1.2)*10.764</f>
        <v>126.58463999999999</v>
      </c>
      <c r="F496" s="38">
        <f t="shared" ref="F496:F497" si="138">D496+E496</f>
        <v>600.73883999999998</v>
      </c>
      <c r="G496" s="38">
        <v>0</v>
      </c>
      <c r="H496" s="38">
        <f t="shared" ref="H496" si="139">F496*(($H$177)+1)+(IF(G496&lt;101,G496,IF(G496&lt;201,G496/2,IF(G496&lt;=301,G496/3,G496/4))))</f>
        <v>901.10825999999997</v>
      </c>
    </row>
    <row r="497" spans="1:8" s="31" customFormat="1" x14ac:dyDescent="0.25">
      <c r="A497" s="67">
        <f t="shared" si="137"/>
        <v>4</v>
      </c>
      <c r="B497" s="68"/>
      <c r="C497" s="38" t="s">
        <v>319</v>
      </c>
      <c r="D497" s="55">
        <f>(5.2*2.75+2.3*1.2+2.1*3.2+3*2.45+4.15*2.45+2*1.25+2*1.25+2.9*0.9+1.75*1.05)*10.764</f>
        <v>546.21918000000005</v>
      </c>
      <c r="E497" s="55">
        <f>(1.2*(2.75+2.45+2.45)+2*2.1)*10.764</f>
        <v>144.02231999999998</v>
      </c>
      <c r="F497" s="38">
        <f t="shared" si="138"/>
        <v>690.24150000000009</v>
      </c>
      <c r="G497" s="38">
        <v>0</v>
      </c>
      <c r="H497" s="38">
        <f>F497*(($H$177)+1)+(IF(G497&lt;101,G497,IF(G497&lt;201,G497/2,IF(G497&lt;=301,G497/3,G497/4))))</f>
        <v>1035.3622500000001</v>
      </c>
    </row>
    <row r="498" spans="1:8" s="31" customFormat="1" ht="15.6" customHeight="1" x14ac:dyDescent="0.25">
      <c r="A498" s="78" t="s">
        <v>349</v>
      </c>
      <c r="B498" s="79"/>
      <c r="C498" s="79"/>
      <c r="D498" s="79"/>
      <c r="E498" s="79"/>
      <c r="F498" s="79"/>
      <c r="G498" s="79"/>
      <c r="H498" s="80"/>
    </row>
    <row r="499" spans="1:8" s="31" customFormat="1" x14ac:dyDescent="0.25">
      <c r="A499" s="67">
        <v>1</v>
      </c>
      <c r="B499" s="68"/>
      <c r="C499" s="38" t="s">
        <v>319</v>
      </c>
      <c r="D499" s="55">
        <f>(5.05*2.75+2*2.75+3.2*2.7+4.25*2.7+2.05*1.25+2.15*1.25+2.3*1.05+2.9*0.9+1.3*0.7)*10.764</f>
        <v>545.60024999999985</v>
      </c>
      <c r="E499" s="55">
        <f>(1.2*8.5+2*1.5)*10.764</f>
        <v>142.08479999999997</v>
      </c>
      <c r="F499" s="38">
        <f>D499+E499</f>
        <v>687.68504999999982</v>
      </c>
      <c r="G499" s="38">
        <v>0</v>
      </c>
      <c r="H499" s="38">
        <f>F499*(($H$177)+1)+(IF(G499&lt;101,G499,IF(G499&lt;201,G499/2,IF(G499&lt;=301,G499/3,G499/4))))</f>
        <v>1031.5275749999996</v>
      </c>
    </row>
    <row r="500" spans="1:8" s="31" customFormat="1" x14ac:dyDescent="0.25">
      <c r="A500" s="67">
        <f>A499+1</f>
        <v>2</v>
      </c>
      <c r="B500" s="68"/>
      <c r="C500" s="63" t="s">
        <v>319</v>
      </c>
      <c r="D500" s="55">
        <f>(5.5*2.9+2.3*1.05+2.15*3.3+3.05*2.9+4.1*2.9+2.45*1.25+2.3*1.25+2*0.9+2.3*1.05)*10.764</f>
        <v>606.5244899999999</v>
      </c>
      <c r="E500" s="55">
        <f>(1.2*9.3+2*2.15)*10.764</f>
        <v>166.41144</v>
      </c>
      <c r="F500" s="38">
        <f>D500+E500</f>
        <v>772.93592999999987</v>
      </c>
      <c r="G500" s="38">
        <v>0</v>
      </c>
      <c r="H500" s="38">
        <f>F500*(($H$177)+1)+(IF(G500&lt;101,G500,IF(G500&lt;201,G500/2,IF(G500&lt;=301,G500/3,G500/4))))</f>
        <v>1159.4038949999999</v>
      </c>
    </row>
    <row r="501" spans="1:8" s="31" customFormat="1" x14ac:dyDescent="0.25">
      <c r="A501" s="67">
        <f t="shared" ref="A501:A502" si="140">A500+1</f>
        <v>3</v>
      </c>
      <c r="B501" s="68"/>
      <c r="C501" s="63" t="s">
        <v>320</v>
      </c>
      <c r="D501" s="55">
        <f>(4.9*2.75+2.15*2.45+3.35*2.45+2.75+2.15+2.45*1.25+1.85*1.25+2*0.9+2.9*0.9+2.3*1.05)*10.764</f>
        <v>474.15419999999995</v>
      </c>
      <c r="E501" s="55">
        <f>(1.2*5.2+1.2*2.6+2*1.2)*10.764</f>
        <v>126.58463999999999</v>
      </c>
      <c r="F501" s="38">
        <f t="shared" ref="F501:F502" si="141">D501+E501</f>
        <v>600.73883999999998</v>
      </c>
      <c r="G501" s="38">
        <v>0</v>
      </c>
      <c r="H501" s="38">
        <f t="shared" ref="H501" si="142">F501*(($H$177)+1)+(IF(G501&lt;101,G501,IF(G501&lt;201,G501/2,IF(G501&lt;=301,G501/3,G501/4))))</f>
        <v>901.10825999999997</v>
      </c>
    </row>
    <row r="502" spans="1:8" s="31" customFormat="1" x14ac:dyDescent="0.25">
      <c r="A502" s="67">
        <f t="shared" si="140"/>
        <v>4</v>
      </c>
      <c r="B502" s="68"/>
      <c r="C502" s="38" t="s">
        <v>319</v>
      </c>
      <c r="D502" s="55">
        <f>(5.2*2.75+2.3*1.2+2.1*3.2+3*2.45+4.15*2.45+2*1.25+2*1.25+2.9*0.9+1.75*1.05)*10.764</f>
        <v>546.21918000000005</v>
      </c>
      <c r="E502" s="55">
        <f>(1.2*(2.75+2.45+2.45)+2*2.1)*10.764</f>
        <v>144.02231999999998</v>
      </c>
      <c r="F502" s="38">
        <f t="shared" si="141"/>
        <v>690.24150000000009</v>
      </c>
      <c r="G502" s="38">
        <v>0</v>
      </c>
      <c r="H502" s="38">
        <f>F502*(($H$177)+1)+(IF(G502&lt;101,G502,IF(G502&lt;201,G502/2,IF(G502&lt;=301,G502/3,G502/4))))</f>
        <v>1035.3622500000001</v>
      </c>
    </row>
    <row r="503" spans="1:8" s="31" customFormat="1" ht="15.6" customHeight="1" x14ac:dyDescent="0.25">
      <c r="A503" s="69" t="s">
        <v>350</v>
      </c>
      <c r="B503" s="70"/>
      <c r="C503" s="70"/>
      <c r="D503" s="70"/>
      <c r="E503" s="70"/>
      <c r="F503" s="70"/>
      <c r="G503" s="70"/>
      <c r="H503" s="71"/>
    </row>
    <row r="504" spans="1:8" s="31" customFormat="1" x14ac:dyDescent="0.25">
      <c r="A504" s="67">
        <v>1</v>
      </c>
      <c r="B504" s="68"/>
      <c r="C504" s="38" t="s">
        <v>319</v>
      </c>
      <c r="D504" s="55">
        <f>(5.05*2.75+2*2.75+3.2*2.7+4.25*2.7+2.05*1.25+2.15*1.25+2.3*1.05+2.9*0.9+1.3*0.7)*10.764</f>
        <v>545.60024999999985</v>
      </c>
      <c r="E504" s="55">
        <f>(1.2*8.5+2*1.5)*10.764</f>
        <v>142.08479999999997</v>
      </c>
      <c r="F504" s="38">
        <f>D504+E504</f>
        <v>687.68504999999982</v>
      </c>
      <c r="G504" s="38">
        <v>0</v>
      </c>
      <c r="H504" s="38">
        <f>F504*(($H$177)+1)+(IF(G504&lt;101,G504,IF(G504&lt;201,G504/2,IF(G504&lt;=301,G504/3,G504/4))))</f>
        <v>1031.5275749999996</v>
      </c>
    </row>
    <row r="505" spans="1:8" s="31" customFormat="1" x14ac:dyDescent="0.25">
      <c r="A505" s="67">
        <f>A504+1</f>
        <v>2</v>
      </c>
      <c r="B505" s="68"/>
      <c r="C505" s="63" t="s">
        <v>319</v>
      </c>
      <c r="D505" s="55">
        <f>(5.5*2.9+2.3*1.05+2.15*3.3+3.05*2.9+4.1*2.9+2.45*1.25+2.3*1.25+2*0.9+2.3*1.05)*10.764</f>
        <v>606.5244899999999</v>
      </c>
      <c r="E505" s="55">
        <f>(1.2*9.3+2*2.15)*10.764</f>
        <v>166.41144</v>
      </c>
      <c r="F505" s="38">
        <f>D505+E505</f>
        <v>772.93592999999987</v>
      </c>
      <c r="G505" s="38">
        <v>0</v>
      </c>
      <c r="H505" s="38">
        <f>F505*(($H$177)+1)+(IF(G505&lt;101,G505,IF(G505&lt;201,G505/2,IF(G505&lt;=301,G505/3,G505/4))))</f>
        <v>1159.4038949999999</v>
      </c>
    </row>
    <row r="506" spans="1:8" s="31" customFormat="1" x14ac:dyDescent="0.25">
      <c r="A506" s="67">
        <f t="shared" ref="A506:A507" si="143">A505+1</f>
        <v>3</v>
      </c>
      <c r="B506" s="68"/>
      <c r="C506" s="63" t="s">
        <v>320</v>
      </c>
      <c r="D506" s="55">
        <f>(4.9*2.75+2.15*2.45+3.35*2.45+2.75+2.15+2.45*1.25+1.85*1.25+2*0.9+2.9*0.9+2.3*1.05)*10.764</f>
        <v>474.15419999999995</v>
      </c>
      <c r="E506" s="55">
        <f>(1.2*5.2+1.2*2.6+2*1.2)*10.764</f>
        <v>126.58463999999999</v>
      </c>
      <c r="F506" s="38">
        <f t="shared" ref="F506:F507" si="144">D506+E506</f>
        <v>600.73883999999998</v>
      </c>
      <c r="G506" s="38">
        <v>0</v>
      </c>
      <c r="H506" s="38">
        <f t="shared" ref="H506" si="145">F506*(($H$177)+1)+(IF(G506&lt;101,G506,IF(G506&lt;201,G506/2,IF(G506&lt;=301,G506/3,G506/4))))</f>
        <v>901.10825999999997</v>
      </c>
    </row>
    <row r="507" spans="1:8" s="31" customFormat="1" x14ac:dyDescent="0.25">
      <c r="A507" s="67">
        <f t="shared" si="143"/>
        <v>4</v>
      </c>
      <c r="B507" s="68"/>
      <c r="C507" s="38" t="s">
        <v>319</v>
      </c>
      <c r="D507" s="55">
        <f>(5.2*2.75+2.3*1.2+2.1*3.2+3*2.45+4.15*2.45+2*1.25+2*1.25+2.9*0.9+1.75*1.05)*10.764</f>
        <v>546.21918000000005</v>
      </c>
      <c r="E507" s="55">
        <f>(1.2*(2.75+2.45+2.45)+2*2.1)*10.764</f>
        <v>144.02231999999998</v>
      </c>
      <c r="F507" s="38">
        <f t="shared" si="144"/>
        <v>690.24150000000009</v>
      </c>
      <c r="G507" s="38">
        <v>0</v>
      </c>
      <c r="H507" s="38">
        <f>F507*(($H$177)+1)+(IF(G507&lt;101,G507,IF(G507&lt;201,G507/2,IF(G507&lt;=301,G507/3,G507/4))))</f>
        <v>1035.3622500000001</v>
      </c>
    </row>
    <row r="508" spans="1:8" s="31" customFormat="1" ht="15.6" customHeight="1" x14ac:dyDescent="0.25">
      <c r="A508" s="69" t="s">
        <v>356</v>
      </c>
      <c r="B508" s="70"/>
      <c r="C508" s="70"/>
      <c r="D508" s="70"/>
      <c r="E508" s="70"/>
      <c r="F508" s="70"/>
      <c r="G508" s="70"/>
      <c r="H508" s="71"/>
    </row>
    <row r="509" spans="1:8" s="31" customFormat="1" x14ac:dyDescent="0.25">
      <c r="A509" s="67">
        <v>1</v>
      </c>
      <c r="B509" s="68"/>
      <c r="C509" s="38" t="s">
        <v>319</v>
      </c>
      <c r="D509" s="55">
        <f>(5.05*2.75+2*2.75+3.2*2.7+4.25*2.7+2.05*1.25+2.15*1.25+2.3*1.05+2.9*0.9+1.3*0.7)*10.764</f>
        <v>545.60024999999985</v>
      </c>
      <c r="E509" s="55">
        <f>(1.2*8.5+2*1.5)*10.764</f>
        <v>142.08479999999997</v>
      </c>
      <c r="F509" s="38">
        <f>D509+E509</f>
        <v>687.68504999999982</v>
      </c>
      <c r="G509" s="38">
        <v>0</v>
      </c>
      <c r="H509" s="38">
        <f>F509*(($H$177)+1)+(IF(G509&lt;101,G509,IF(G509&lt;201,G509/2,IF(G509&lt;=301,G509/3,G509/4))))</f>
        <v>1031.5275749999996</v>
      </c>
    </row>
    <row r="510" spans="1:8" s="31" customFormat="1" x14ac:dyDescent="0.25">
      <c r="A510" s="67">
        <f>A509+1</f>
        <v>2</v>
      </c>
      <c r="B510" s="68"/>
      <c r="C510" s="63" t="s">
        <v>319</v>
      </c>
      <c r="D510" s="55">
        <f>(5.5*2.9+2.3*1.05+2.15*3.3+3.05*2.9+4.1*2.9+2.45*1.25+2.3*1.25+2*0.9+2.3*1.05)*10.764</f>
        <v>606.5244899999999</v>
      </c>
      <c r="E510" s="55">
        <f>(1.2*9.3+2*2.15)*10.764</f>
        <v>166.41144</v>
      </c>
      <c r="F510" s="38">
        <f>D510+E510</f>
        <v>772.93592999999987</v>
      </c>
      <c r="G510" s="38">
        <v>0</v>
      </c>
      <c r="H510" s="38">
        <f>F510*(($H$177)+1)+(IF(G510&lt;101,G510,IF(G510&lt;201,G510/2,IF(G510&lt;=301,G510/3,G510/4))))</f>
        <v>1159.4038949999999</v>
      </c>
    </row>
    <row r="511" spans="1:8" s="31" customFormat="1" x14ac:dyDescent="0.25">
      <c r="A511" s="67">
        <f t="shared" ref="A511:A512" si="146">A510+1</f>
        <v>3</v>
      </c>
      <c r="B511" s="68"/>
      <c r="C511" s="63" t="s">
        <v>320</v>
      </c>
      <c r="D511" s="55">
        <f>(4.9*2.75+2.15*2.45+3.35*2.45+2.75+2.15+2.45*1.25+1.85*1.25+2*0.9+2.9*0.9+2.3*1.05)*10.764</f>
        <v>474.15419999999995</v>
      </c>
      <c r="E511" s="55">
        <f>(1.2*5.2+1.2*2.6+2*1.2)*10.764</f>
        <v>126.58463999999999</v>
      </c>
      <c r="F511" s="38">
        <f t="shared" ref="F511:F512" si="147">D511+E511</f>
        <v>600.73883999999998</v>
      </c>
      <c r="G511" s="38">
        <v>0</v>
      </c>
      <c r="H511" s="38">
        <f t="shared" ref="H511" si="148">F511*(($H$177)+1)+(IF(G511&lt;101,G511,IF(G511&lt;201,G511/2,IF(G511&lt;=301,G511/3,G511/4))))</f>
        <v>901.10825999999997</v>
      </c>
    </row>
    <row r="512" spans="1:8" s="31" customFormat="1" x14ac:dyDescent="0.25">
      <c r="A512" s="67">
        <f t="shared" si="146"/>
        <v>4</v>
      </c>
      <c r="B512" s="68"/>
      <c r="C512" s="38" t="s">
        <v>319</v>
      </c>
      <c r="D512" s="55">
        <f>(5.2*2.75+2.3*1.2+2.1*3.2+3*2.45+4.15*2.45+2*1.25+2*1.25+2.9*0.9+1.75*1.05)*10.764</f>
        <v>546.21918000000005</v>
      </c>
      <c r="E512" s="55">
        <f>(1.2*(2.75+2.45+2.45)+2*2.1)*10.764</f>
        <v>144.02231999999998</v>
      </c>
      <c r="F512" s="38">
        <f t="shared" si="147"/>
        <v>690.24150000000009</v>
      </c>
      <c r="G512" s="38">
        <v>0</v>
      </c>
      <c r="H512" s="38">
        <f>F512*(($H$177)+1)+(IF(G512&lt;101,G512,IF(G512&lt;201,G512/2,IF(G512&lt;=301,G512/3,G512/4))))</f>
        <v>1035.3622500000001</v>
      </c>
    </row>
    <row r="513" spans="1:8" s="31" customFormat="1" ht="15.6" customHeight="1" x14ac:dyDescent="0.25">
      <c r="A513" s="69" t="s">
        <v>357</v>
      </c>
      <c r="B513" s="70"/>
      <c r="C513" s="70"/>
      <c r="D513" s="70"/>
      <c r="E513" s="70"/>
      <c r="F513" s="70"/>
      <c r="G513" s="70"/>
      <c r="H513" s="71"/>
    </row>
    <row r="514" spans="1:8" s="31" customFormat="1" x14ac:dyDescent="0.25">
      <c r="A514" s="67">
        <v>1</v>
      </c>
      <c r="B514" s="68"/>
      <c r="C514" s="38" t="s">
        <v>319</v>
      </c>
      <c r="D514" s="55">
        <f>(5.05*2.75+2*2.75+3.2*2.7+4.25*2.7+2.05*1.25+2.15*1.25+2.3*1.05+2.9*0.9+1.3*0.7)*10.764</f>
        <v>545.60024999999985</v>
      </c>
      <c r="E514" s="55">
        <f>(1.2*8.5+2*1.5)*10.764</f>
        <v>142.08479999999997</v>
      </c>
      <c r="F514" s="38">
        <f>D514+E514</f>
        <v>687.68504999999982</v>
      </c>
      <c r="G514" s="38">
        <v>0</v>
      </c>
      <c r="H514" s="38">
        <f>F514*(($H$177)+1)+(IF(G514&lt;101,G514,IF(G514&lt;201,G514/2,IF(G514&lt;=301,G514/3,G514/4))))</f>
        <v>1031.5275749999996</v>
      </c>
    </row>
    <row r="515" spans="1:8" s="31" customFormat="1" x14ac:dyDescent="0.25">
      <c r="A515" s="67">
        <f>A514+1</f>
        <v>2</v>
      </c>
      <c r="B515" s="68"/>
      <c r="C515" s="63" t="s">
        <v>319</v>
      </c>
      <c r="D515" s="55">
        <f>(5.5*2.9+2.3*1.05+2.15*3.3+3.05*2.9+4.1*2.9+2.45*1.25+2.3*1.25+2*0.9+2.3*1.05)*10.764</f>
        <v>606.5244899999999</v>
      </c>
      <c r="E515" s="55">
        <f>(1.2*9.3+2*2.15)*10.764</f>
        <v>166.41144</v>
      </c>
      <c r="F515" s="38">
        <f>D515+E515</f>
        <v>772.93592999999987</v>
      </c>
      <c r="G515" s="38">
        <v>0</v>
      </c>
      <c r="H515" s="38">
        <f>F515*(($H$177)+1)+(IF(G515&lt;101,G515,IF(G515&lt;201,G515/2,IF(G515&lt;=301,G515/3,G515/4))))</f>
        <v>1159.4038949999999</v>
      </c>
    </row>
    <row r="516" spans="1:8" s="31" customFormat="1" x14ac:dyDescent="0.25">
      <c r="A516" s="67">
        <f t="shared" ref="A516:A517" si="149">A515+1</f>
        <v>3</v>
      </c>
      <c r="B516" s="68"/>
      <c r="C516" s="63" t="s">
        <v>320</v>
      </c>
      <c r="D516" s="55">
        <f>(4.9*2.75+2.15*2.45+3.35*2.45+2.75+2.15+2.45*1.25+1.85*1.25+2*0.9+2.9*0.9+2.3*1.05)*10.764</f>
        <v>474.15419999999995</v>
      </c>
      <c r="E516" s="55">
        <f>(1.2*5.2+1.2*2.6+2*1.2)*10.764</f>
        <v>126.58463999999999</v>
      </c>
      <c r="F516" s="38">
        <f t="shared" ref="F516:F517" si="150">D516+E516</f>
        <v>600.73883999999998</v>
      </c>
      <c r="G516" s="38">
        <v>0</v>
      </c>
      <c r="H516" s="38">
        <f t="shared" ref="H516" si="151">F516*(($H$177)+1)+(IF(G516&lt;101,G516,IF(G516&lt;201,G516/2,IF(G516&lt;=301,G516/3,G516/4))))</f>
        <v>901.10825999999997</v>
      </c>
    </row>
    <row r="517" spans="1:8" s="31" customFormat="1" x14ac:dyDescent="0.25">
      <c r="A517" s="67">
        <f t="shared" si="149"/>
        <v>4</v>
      </c>
      <c r="B517" s="68"/>
      <c r="C517" s="38" t="s">
        <v>319</v>
      </c>
      <c r="D517" s="55">
        <f>(5.2*2.75+2.3*1.2+2.1*3.2+3*2.45+4.15*2.45+2*1.25+2*1.25+2.9*0.9+1.75*1.05)*10.764</f>
        <v>546.21918000000005</v>
      </c>
      <c r="E517" s="55">
        <f>(1.2*(2.75+2.45+2.45)+2*2.1)*10.764</f>
        <v>144.02231999999998</v>
      </c>
      <c r="F517" s="38">
        <f t="shared" si="150"/>
        <v>690.24150000000009</v>
      </c>
      <c r="G517" s="38">
        <v>0</v>
      </c>
      <c r="H517" s="38">
        <f>F517*(($H$177)+1)+(IF(G517&lt;101,G517,IF(G517&lt;201,G517/2,IF(G517&lt;=301,G517/3,G517/4))))</f>
        <v>1035.3622500000001</v>
      </c>
    </row>
    <row r="518" spans="1:8" s="31" customFormat="1" ht="15.6" customHeight="1" x14ac:dyDescent="0.25">
      <c r="A518" s="69" t="s">
        <v>358</v>
      </c>
      <c r="B518" s="70"/>
      <c r="C518" s="70"/>
      <c r="D518" s="70"/>
      <c r="E518" s="70"/>
      <c r="F518" s="70"/>
      <c r="G518" s="70"/>
      <c r="H518" s="71"/>
    </row>
    <row r="519" spans="1:8" s="31" customFormat="1" x14ac:dyDescent="0.25">
      <c r="A519" s="67">
        <v>1</v>
      </c>
      <c r="B519" s="68"/>
      <c r="C519" s="38" t="s">
        <v>319</v>
      </c>
      <c r="D519" s="55">
        <f>(5.05*2.75+2*2.75+3.2*2.7+4.25*2.7+2.05*1.25+2.15*1.25+2.3*1.05+2.9*0.9+1.3*0.7)*10.764</f>
        <v>545.60024999999985</v>
      </c>
      <c r="E519" s="55">
        <f>(1.2*8.5+2*1.5)*10.764</f>
        <v>142.08479999999997</v>
      </c>
      <c r="F519" s="38">
        <f>D519+E519</f>
        <v>687.68504999999982</v>
      </c>
      <c r="G519" s="38">
        <v>0</v>
      </c>
      <c r="H519" s="38">
        <f>F519*(($H$177)+1)+(IF(G519&lt;101,G519,IF(G519&lt;201,G519/2,IF(G519&lt;=301,G519/3,G519/4))))</f>
        <v>1031.5275749999996</v>
      </c>
    </row>
    <row r="520" spans="1:8" s="31" customFormat="1" x14ac:dyDescent="0.25">
      <c r="A520" s="67">
        <f>A519+1</f>
        <v>2</v>
      </c>
      <c r="B520" s="68"/>
      <c r="C520" s="63" t="s">
        <v>319</v>
      </c>
      <c r="D520" s="55">
        <f>(5.5*2.9+2.3*1.05+2.15*3.3+3.05*2.9+4.1*2.9+2.45*1.25+2.3*1.25+2*0.9+2.3*1.05)*10.764</f>
        <v>606.5244899999999</v>
      </c>
      <c r="E520" s="55">
        <f>(1.2*9.3+2*2.15)*10.764</f>
        <v>166.41144</v>
      </c>
      <c r="F520" s="38">
        <f>D520+E520</f>
        <v>772.93592999999987</v>
      </c>
      <c r="G520" s="38">
        <v>0</v>
      </c>
      <c r="H520" s="38">
        <f>F520*(($H$177)+1)+(IF(G520&lt;101,G520,IF(G520&lt;201,G520/2,IF(G520&lt;=301,G520/3,G520/4))))</f>
        <v>1159.4038949999999</v>
      </c>
    </row>
    <row r="521" spans="1:8" s="31" customFormat="1" x14ac:dyDescent="0.25">
      <c r="A521" s="67">
        <f t="shared" ref="A521:A522" si="152">A520+1</f>
        <v>3</v>
      </c>
      <c r="B521" s="68"/>
      <c r="C521" s="63" t="s">
        <v>320</v>
      </c>
      <c r="D521" s="55">
        <f>(4.9*2.75+2.15*2.45+3.35*2.45+2.75+2.15+2.45*1.25+1.85*1.25+2*0.9+2.9*0.9+2.3*1.05)*10.764</f>
        <v>474.15419999999995</v>
      </c>
      <c r="E521" s="55">
        <f>(1.2*5.2+1.2*2.6+2*1.2)*10.764</f>
        <v>126.58463999999999</v>
      </c>
      <c r="F521" s="38">
        <f t="shared" ref="F521:F522" si="153">D521+E521</f>
        <v>600.73883999999998</v>
      </c>
      <c r="G521" s="38">
        <v>0</v>
      </c>
      <c r="H521" s="38">
        <f t="shared" ref="H521" si="154">F521*(($H$177)+1)+(IF(G521&lt;101,G521,IF(G521&lt;201,G521/2,IF(G521&lt;=301,G521/3,G521/4))))</f>
        <v>901.10825999999997</v>
      </c>
    </row>
    <row r="522" spans="1:8" s="31" customFormat="1" x14ac:dyDescent="0.25">
      <c r="A522" s="67">
        <f t="shared" si="152"/>
        <v>4</v>
      </c>
      <c r="B522" s="68"/>
      <c r="C522" s="38" t="s">
        <v>319</v>
      </c>
      <c r="D522" s="55">
        <f>(5.2*2.75+2.3*1.2+2.1*3.2+3*2.45+4.15*2.45+2*1.25+2*1.25+2.9*0.9+1.75*1.05)*10.764</f>
        <v>546.21918000000005</v>
      </c>
      <c r="E522" s="55">
        <f>(1.2*(2.75+2.45+2.45)+2*2.1)*10.764</f>
        <v>144.02231999999998</v>
      </c>
      <c r="F522" s="38">
        <f t="shared" si="153"/>
        <v>690.24150000000009</v>
      </c>
      <c r="G522" s="38">
        <v>0</v>
      </c>
      <c r="H522" s="38">
        <f>F522*(($H$177)+1)+(IF(G522&lt;101,G522,IF(G522&lt;201,G522/2,IF(G522&lt;=301,G522/3,G522/4))))</f>
        <v>1035.3622500000001</v>
      </c>
    </row>
    <row r="523" spans="1:8" s="31" customFormat="1" ht="15.6" customHeight="1" x14ac:dyDescent="0.25">
      <c r="A523" s="69" t="s">
        <v>360</v>
      </c>
      <c r="B523" s="70"/>
      <c r="C523" s="70"/>
      <c r="D523" s="70"/>
      <c r="E523" s="70"/>
      <c r="F523" s="70"/>
      <c r="G523" s="70"/>
      <c r="H523" s="71"/>
    </row>
    <row r="524" spans="1:8" s="31" customFormat="1" x14ac:dyDescent="0.25">
      <c r="A524" s="67">
        <v>1</v>
      </c>
      <c r="B524" s="68"/>
      <c r="C524" s="38" t="s">
        <v>319</v>
      </c>
      <c r="D524" s="55">
        <f>(5.05*2.75+2*2.75+3.2*2.7+4.25*2.7+2.05*1.25+2.15*1.25+2.3*1.05+2.9*0.9+1.3*0.7)*10.764</f>
        <v>545.60024999999985</v>
      </c>
      <c r="E524" s="55">
        <f>(1.2*8.5+2*1.5)*10.764</f>
        <v>142.08479999999997</v>
      </c>
      <c r="F524" s="38">
        <f>D524+E524</f>
        <v>687.68504999999982</v>
      </c>
      <c r="G524" s="38">
        <v>0</v>
      </c>
      <c r="H524" s="38">
        <f>F524*(($H$177)+1)+(IF(G524&lt;101,G524,IF(G524&lt;201,G524/2,IF(G524&lt;=301,G524/3,G524/4))))</f>
        <v>1031.5275749999996</v>
      </c>
    </row>
    <row r="525" spans="1:8" s="31" customFormat="1" x14ac:dyDescent="0.25">
      <c r="A525" s="67">
        <f>A524+1</f>
        <v>2</v>
      </c>
      <c r="B525" s="68"/>
      <c r="C525" s="63" t="s">
        <v>319</v>
      </c>
      <c r="D525" s="55">
        <f>(5.5*2.9+2.3*1.05+2.15*3.3+3.05*2.9+4.1*2.9+2.45*1.25+2.3*1.25+2*0.9+2.3*1.05)*10.764</f>
        <v>606.5244899999999</v>
      </c>
      <c r="E525" s="55">
        <f>(1.2*9.3+2*2.15)*10.764</f>
        <v>166.41144</v>
      </c>
      <c r="F525" s="38">
        <f>D525+E525</f>
        <v>772.93592999999987</v>
      </c>
      <c r="G525" s="38">
        <v>0</v>
      </c>
      <c r="H525" s="38">
        <f>F525*(($H$177)+1)+(IF(G525&lt;101,G525,IF(G525&lt;201,G525/2,IF(G525&lt;=301,G525/3,G525/4))))</f>
        <v>1159.4038949999999</v>
      </c>
    </row>
    <row r="526" spans="1:8" s="31" customFormat="1" x14ac:dyDescent="0.25">
      <c r="A526" s="67">
        <f t="shared" ref="A526:A527" si="155">A525+1</f>
        <v>3</v>
      </c>
      <c r="B526" s="68"/>
      <c r="C526" s="63" t="s">
        <v>320</v>
      </c>
      <c r="D526" s="55">
        <f>(4.9*2.75+2.15*2.45+3.35*2.45+2.75+2.15+2.45*1.25+1.85*1.25+2*0.9+2.9*0.9+2.3*1.05)*10.764</f>
        <v>474.15419999999995</v>
      </c>
      <c r="E526" s="55">
        <f>(1.2*5.2+1.2*2.6+2*1.2)*10.764</f>
        <v>126.58463999999999</v>
      </c>
      <c r="F526" s="38">
        <f t="shared" ref="F526:F527" si="156">D526+E526</f>
        <v>600.73883999999998</v>
      </c>
      <c r="G526" s="38">
        <v>0</v>
      </c>
      <c r="H526" s="38">
        <f t="shared" ref="H526" si="157">F526*(($H$177)+1)+(IF(G526&lt;101,G526,IF(G526&lt;201,G526/2,IF(G526&lt;=301,G526/3,G526/4))))</f>
        <v>901.10825999999997</v>
      </c>
    </row>
    <row r="527" spans="1:8" s="31" customFormat="1" x14ac:dyDescent="0.25">
      <c r="A527" s="67">
        <f t="shared" si="155"/>
        <v>4</v>
      </c>
      <c r="B527" s="68"/>
      <c r="C527" s="38" t="s">
        <v>319</v>
      </c>
      <c r="D527" s="55">
        <f>(5.2*2.75+2.3*1.2+2.1*3.2+3*2.45+4.15*2.45+2*1.25+2*1.25+2.9*0.9+1.75*1.05)*10.764</f>
        <v>546.21918000000005</v>
      </c>
      <c r="E527" s="55">
        <f>(1.2*(2.75+2.45+2.45)+2*2.1)*10.764</f>
        <v>144.02231999999998</v>
      </c>
      <c r="F527" s="38">
        <f t="shared" si="156"/>
        <v>690.24150000000009</v>
      </c>
      <c r="G527" s="38">
        <v>0</v>
      </c>
      <c r="H527" s="38">
        <f>F527*(($H$177)+1)+(IF(G527&lt;101,G527,IF(G527&lt;201,G527/2,IF(G527&lt;=301,G527/3,G527/4))))</f>
        <v>1035.3622500000001</v>
      </c>
    </row>
    <row r="528" spans="1:8" s="31" customFormat="1" x14ac:dyDescent="0.25">
      <c r="A528" s="84" t="s">
        <v>316</v>
      </c>
      <c r="B528" s="85"/>
      <c r="C528" s="85"/>
      <c r="D528" s="85"/>
      <c r="E528" s="85"/>
      <c r="F528" s="85"/>
      <c r="G528" s="85"/>
      <c r="H528" s="86"/>
    </row>
    <row r="529" spans="1:8" s="31" customFormat="1" x14ac:dyDescent="0.25">
      <c r="A529" s="78" t="s">
        <v>317</v>
      </c>
      <c r="B529" s="79"/>
      <c r="C529" s="79"/>
      <c r="D529" s="79"/>
      <c r="E529" s="79"/>
      <c r="F529" s="79"/>
      <c r="G529" s="79"/>
      <c r="H529" s="80"/>
    </row>
    <row r="530" spans="1:8" s="31" customFormat="1" x14ac:dyDescent="0.25">
      <c r="A530" s="67">
        <v>1</v>
      </c>
      <c r="B530" s="68"/>
      <c r="C530" s="220" t="s">
        <v>339</v>
      </c>
      <c r="D530" s="221"/>
      <c r="E530" s="221"/>
      <c r="F530" s="221"/>
      <c r="G530" s="221"/>
      <c r="H530" s="222"/>
    </row>
    <row r="531" spans="1:8" s="31" customFormat="1" x14ac:dyDescent="0.25">
      <c r="A531" s="67">
        <f>A530+1</f>
        <v>2</v>
      </c>
      <c r="B531" s="68"/>
      <c r="C531" s="223"/>
      <c r="D531" s="224"/>
      <c r="E531" s="224"/>
      <c r="F531" s="224"/>
      <c r="G531" s="224"/>
      <c r="H531" s="225"/>
    </row>
    <row r="532" spans="1:8" s="31" customFormat="1" ht="47.25" x14ac:dyDescent="0.25">
      <c r="A532" s="67">
        <f t="shared" ref="A532:A533" si="158">A531+1</f>
        <v>3</v>
      </c>
      <c r="B532" s="68"/>
      <c r="C532" s="66" t="s">
        <v>341</v>
      </c>
      <c r="D532" s="55">
        <f>((5.8*2.9+3*2.05+3*3.15+1.5*1.75+2.1*1.2+0.9*3.2)+(3*3.15+3*2.05+4*1.8+1.5*1.75+2.55*1.2+0.9*3.2+0.9*1.2))*10.764</f>
        <v>784.58795999999995</v>
      </c>
      <c r="E532" s="55">
        <f>((1.2*5.65+1.2*2.9)+(1.2*5.65))*10.764</f>
        <v>183.41855999999999</v>
      </c>
      <c r="F532" s="38">
        <f t="shared" ref="F532" si="159">D532+E532</f>
        <v>968.00651999999991</v>
      </c>
      <c r="G532" s="38">
        <v>0</v>
      </c>
      <c r="H532" s="38">
        <f>F532*(($H$177)+1)+(IF(G532&lt;101,G532,IF(G532&lt;201,G532/2,IF(G532&lt;=301,G532/3,G532/4))))</f>
        <v>1452.0097799999999</v>
      </c>
    </row>
    <row r="533" spans="1:8" s="31" customFormat="1" ht="47.25" x14ac:dyDescent="0.25">
      <c r="A533" s="67">
        <f t="shared" si="158"/>
        <v>4</v>
      </c>
      <c r="B533" s="68"/>
      <c r="C533" s="63" t="s">
        <v>344</v>
      </c>
      <c r="D533" s="55">
        <f>((5.8*4+2.15*2.75+4.25*2.9+4.25*2+2.3*1.25+2.45*1.25+2.4*1.05)+(4.25*2.9+2.2*4+1.2*4.1+2.3*1.25+2.45*1.25+1.5*1.4+1.4*4.4))*10.764</f>
        <v>1061.7340499999998</v>
      </c>
      <c r="E533" s="55">
        <f>((1.2*9.2+2*2.15)+(1.2*12)+(2*2.2))*10.764</f>
        <v>367.48295999999999</v>
      </c>
      <c r="F533" s="38">
        <f t="shared" ref="F533" si="160">D533+E533</f>
        <v>1429.2170099999998</v>
      </c>
      <c r="G533" s="38">
        <v>0</v>
      </c>
      <c r="H533" s="38">
        <f>F533*(($H$177)+1)+(IF(G533&lt;101,G533,IF(G533&lt;201,G533/2,IF(G533&lt;=301,G533/3,G533/4))))</f>
        <v>2143.8255149999995</v>
      </c>
    </row>
    <row r="534" spans="1:8" s="31" customFormat="1" x14ac:dyDescent="0.25">
      <c r="A534" s="67">
        <f t="shared" ref="A534" si="161">A533+1</f>
        <v>5</v>
      </c>
      <c r="B534" s="68"/>
      <c r="C534" s="38" t="s">
        <v>319</v>
      </c>
      <c r="D534" s="55">
        <f>(5.65*2.9+2.3*1.05+2.15*2.75+3.2*2.9+4.25*2.9+2.3*1.25+2.45*1.25+2*0.9+2.3*1.05)*10.764</f>
        <v>607.84307999999987</v>
      </c>
      <c r="E534" s="55">
        <f>(1.2*9+2*2.15)*10.764</f>
        <v>162.53639999999996</v>
      </c>
      <c r="F534" s="38">
        <f t="shared" ref="F534" si="162">D534+E534</f>
        <v>770.37947999999983</v>
      </c>
      <c r="G534" s="38">
        <v>0</v>
      </c>
      <c r="H534" s="38">
        <f>F534*(($H$177)+1)+(IF(G534&lt;101,G534,IF(G534&lt;201,G534/2,IF(G534&lt;=301,G534/3,G534/4))))</f>
        <v>1155.5692199999999</v>
      </c>
    </row>
    <row r="535" spans="1:8" s="31" customFormat="1" x14ac:dyDescent="0.25">
      <c r="A535" s="78" t="s">
        <v>338</v>
      </c>
      <c r="B535" s="79"/>
      <c r="C535" s="79"/>
      <c r="D535" s="79"/>
      <c r="E535" s="79"/>
      <c r="F535" s="79"/>
      <c r="G535" s="79"/>
      <c r="H535" s="80"/>
    </row>
    <row r="536" spans="1:8" s="31" customFormat="1" x14ac:dyDescent="0.25">
      <c r="A536" s="67">
        <v>1</v>
      </c>
      <c r="B536" s="68"/>
      <c r="C536" s="38" t="s">
        <v>318</v>
      </c>
      <c r="D536" s="55">
        <f>((5*2.75+1.95*3.5+2.75*2.75+1.8*1.35+1.6*1.5+1.8*0.75+2.1*1.05))*10.764</f>
        <v>393.12818999999996</v>
      </c>
      <c r="E536" s="55">
        <f>(1.2*5.95+2*2.7)*10.764</f>
        <v>134.98055999999997</v>
      </c>
      <c r="F536" s="38">
        <f>D536+E536</f>
        <v>528.10874999999987</v>
      </c>
      <c r="G536" s="38">
        <v>0</v>
      </c>
      <c r="H536" s="38">
        <f>F536*(($H$177)+1)+(IF(G536&lt;101,G536,IF(G536&lt;201,G536/2,IF(G536&lt;=301,G536/3,G536/4))))</f>
        <v>792.16312499999981</v>
      </c>
    </row>
    <row r="537" spans="1:8" s="31" customFormat="1" x14ac:dyDescent="0.25">
      <c r="A537" s="67">
        <f>A536+1</f>
        <v>2</v>
      </c>
      <c r="B537" s="68"/>
      <c r="C537" s="38" t="s">
        <v>318</v>
      </c>
      <c r="D537" s="55">
        <f>(2.75*5.15+2.1*2.4+2.7*3.45+2.55*1.2+2.55*1.2+2.1*1.05)*10.764</f>
        <v>396.57267000000002</v>
      </c>
      <c r="E537" s="55">
        <f>(1.2*2.75+1.2*5.5)*10.764</f>
        <v>106.56359999999998</v>
      </c>
      <c r="F537" s="38">
        <f>D537+E537</f>
        <v>503.13626999999997</v>
      </c>
      <c r="G537" s="38">
        <v>0</v>
      </c>
      <c r="H537" s="38">
        <f>F537*(($H$177)+1)+(IF(G537&lt;101,G537,IF(G537&lt;201,G537/2,IF(G537&lt;=301,G537/3,G537/4))))</f>
        <v>754.70440499999995</v>
      </c>
    </row>
    <row r="538" spans="1:8" s="31" customFormat="1" x14ac:dyDescent="0.25">
      <c r="A538" s="67">
        <f t="shared" ref="A538:A540" si="163">A537+1</f>
        <v>3</v>
      </c>
      <c r="B538" s="68"/>
      <c r="C538" s="226" t="s">
        <v>340</v>
      </c>
      <c r="D538" s="227"/>
      <c r="E538" s="227"/>
      <c r="F538" s="227"/>
      <c r="G538" s="227"/>
      <c r="H538" s="228"/>
    </row>
    <row r="539" spans="1:8" s="31" customFormat="1" x14ac:dyDescent="0.25">
      <c r="A539" s="67">
        <f t="shared" si="163"/>
        <v>4</v>
      </c>
      <c r="B539" s="68"/>
      <c r="C539" s="226" t="s">
        <v>340</v>
      </c>
      <c r="D539" s="227"/>
      <c r="E539" s="227"/>
      <c r="F539" s="227"/>
      <c r="G539" s="227"/>
      <c r="H539" s="228"/>
    </row>
    <row r="540" spans="1:8" s="31" customFormat="1" x14ac:dyDescent="0.25">
      <c r="A540" s="67">
        <f t="shared" si="163"/>
        <v>5</v>
      </c>
      <c r="B540" s="68"/>
      <c r="C540" s="38" t="s">
        <v>319</v>
      </c>
      <c r="D540" s="55">
        <f>(5.65*2.9+2.3*1.05+2.15*2.75+3.2*2.9+4.25*2.9+2.3*1.25+2.45*1.25+2*0.9+2.3*1.05)*10.764</f>
        <v>607.84307999999987</v>
      </c>
      <c r="E540" s="55">
        <f>(1.2*9+2*2.15)*10.764</f>
        <v>162.53639999999996</v>
      </c>
      <c r="F540" s="38">
        <f t="shared" ref="F540" si="164">D540+E540</f>
        <v>770.37947999999983</v>
      </c>
      <c r="G540" s="38">
        <v>0</v>
      </c>
      <c r="H540" s="38">
        <f>F540*(($H$177)+1)+(IF(G540&lt;101,G540,IF(G540&lt;201,G540/2,IF(G540&lt;=301,G540/3,G540/4))))</f>
        <v>1155.5692199999999</v>
      </c>
    </row>
    <row r="541" spans="1:8" s="31" customFormat="1" x14ac:dyDescent="0.25">
      <c r="A541" s="78" t="s">
        <v>345</v>
      </c>
      <c r="B541" s="79"/>
      <c r="C541" s="79"/>
      <c r="D541" s="79"/>
      <c r="E541" s="79"/>
      <c r="F541" s="79"/>
      <c r="G541" s="79"/>
      <c r="H541" s="80"/>
    </row>
    <row r="542" spans="1:8" s="31" customFormat="1" x14ac:dyDescent="0.25">
      <c r="A542" s="67">
        <v>1</v>
      </c>
      <c r="B542" s="68"/>
      <c r="C542" s="38" t="s">
        <v>318</v>
      </c>
      <c r="D542" s="55">
        <f>((5*2.75+1.95*3.5+2.75*2.75+1.8*1.35+1.6*1.5+1.8*0.75+2.1*1.05))*10.764</f>
        <v>393.12818999999996</v>
      </c>
      <c r="E542" s="55">
        <f>(1.2*5.95+2*2.7)*10.764</f>
        <v>134.98055999999997</v>
      </c>
      <c r="F542" s="38">
        <f>D542+E542</f>
        <v>528.10874999999987</v>
      </c>
      <c r="G542" s="38">
        <v>0</v>
      </c>
      <c r="H542" s="38">
        <f>F542*(($H$177)+1)+(IF(G542&lt;101,G542,IF(G542&lt;201,G542/2,IF(G542&lt;=301,G542/3,G542/4))))</f>
        <v>792.16312499999981</v>
      </c>
    </row>
    <row r="543" spans="1:8" s="31" customFormat="1" x14ac:dyDescent="0.25">
      <c r="A543" s="67">
        <f>A542+1</f>
        <v>2</v>
      </c>
      <c r="B543" s="68"/>
      <c r="C543" s="38" t="s">
        <v>318</v>
      </c>
      <c r="D543" s="55">
        <f>(2.75*5.15+2.1*2.4+2.7*3.45+2.55*1.2+2.55*1.2+2.1*1.05)*10.764</f>
        <v>396.57267000000002</v>
      </c>
      <c r="E543" s="55">
        <f>(1.2*2.75+1.2*5.5)*10.764</f>
        <v>106.56359999999998</v>
      </c>
      <c r="F543" s="38">
        <f>D543+E543</f>
        <v>503.13626999999997</v>
      </c>
      <c r="G543" s="38">
        <v>0</v>
      </c>
      <c r="H543" s="38">
        <f>F543*(($H$177)+1)+(IF(G543&lt;101,G543,IF(G543&lt;201,G543/2,IF(G543&lt;=301,G543/3,G543/4))))</f>
        <v>754.70440499999995</v>
      </c>
    </row>
    <row r="544" spans="1:8" s="31" customFormat="1" ht="15.6" customHeight="1" x14ac:dyDescent="0.25">
      <c r="A544" s="67">
        <f t="shared" ref="A544:A546" si="165">A543+1</f>
        <v>3</v>
      </c>
      <c r="B544" s="68"/>
      <c r="C544" s="38" t="s">
        <v>318</v>
      </c>
      <c r="D544" s="55">
        <f>(4.45*2.7+3*2.05+3.05*3.15+1.5*1.75+2.1*1.2+0.9*3.2)*10.764</f>
        <v>385.32429000000002</v>
      </c>
      <c r="E544" s="55">
        <f>(1.2*5.65+1.2*2.7)*10.764</f>
        <v>107.85527999999999</v>
      </c>
      <c r="F544" s="38">
        <f t="shared" ref="F544:F545" si="166">D544+E544</f>
        <v>493.17957000000001</v>
      </c>
      <c r="G544" s="38">
        <v>0</v>
      </c>
      <c r="H544" s="38">
        <f t="shared" ref="H544:H545" si="167">F544*(($H$177)+1)+(IF(G544&lt;101,G544,IF(G544&lt;201,G544/2,IF(G544&lt;=301,G544/3,G544/4))))</f>
        <v>739.76935500000002</v>
      </c>
    </row>
    <row r="545" spans="1:8" s="31" customFormat="1" ht="15.6" customHeight="1" x14ac:dyDescent="0.25">
      <c r="A545" s="67">
        <f t="shared" si="165"/>
        <v>4</v>
      </c>
      <c r="B545" s="68"/>
      <c r="C545" s="38" t="s">
        <v>319</v>
      </c>
      <c r="D545" s="55">
        <f>(5.65*2.9+2.3*1.05+2.15*2.75+3.2*2.9+4.25*2.9+2.3*1.25+2.45*1.25+2*0.9+2.3*1.05)*10.764</f>
        <v>607.84307999999987</v>
      </c>
      <c r="E545" s="55">
        <f>(1.2*(2.9+2.9*2.9)+2*2.15)*10.764</f>
        <v>192.37420799999998</v>
      </c>
      <c r="F545" s="38">
        <f t="shared" si="166"/>
        <v>800.21728799999983</v>
      </c>
      <c r="G545" s="38">
        <v>0</v>
      </c>
      <c r="H545" s="38">
        <f t="shared" si="167"/>
        <v>1200.3259319999997</v>
      </c>
    </row>
    <row r="546" spans="1:8" s="31" customFormat="1" x14ac:dyDescent="0.25">
      <c r="A546" s="67">
        <f t="shared" si="165"/>
        <v>5</v>
      </c>
      <c r="B546" s="68"/>
      <c r="C546" s="38" t="s">
        <v>319</v>
      </c>
      <c r="D546" s="55">
        <f>(5.65*2.9+2.3*1.05+2.15*2.75+3.2*2.9+4.25*2.9+2.3*1.25+2.45*1.25+2*0.9+2.3*1.05)*10.764</f>
        <v>607.84307999999987</v>
      </c>
      <c r="E546" s="55">
        <f>(1.2*9+2*2.15)*10.764</f>
        <v>162.53639999999996</v>
      </c>
      <c r="F546" s="38">
        <f t="shared" ref="F546" si="168">D546+E546</f>
        <v>770.37947999999983</v>
      </c>
      <c r="G546" s="38">
        <v>0</v>
      </c>
      <c r="H546" s="38">
        <f>F546*(($H$177)+1)+(IF(G546&lt;101,G546,IF(G546&lt;201,G546/2,IF(G546&lt;=301,G546/3,G546/4))))</f>
        <v>1155.5692199999999</v>
      </c>
    </row>
    <row r="547" spans="1:8" s="31" customFormat="1" ht="15.6" customHeight="1" x14ac:dyDescent="0.25">
      <c r="A547" s="78" t="s">
        <v>361</v>
      </c>
      <c r="B547" s="79"/>
      <c r="C547" s="79"/>
      <c r="D547" s="79"/>
      <c r="E547" s="79"/>
      <c r="F547" s="79"/>
      <c r="G547" s="79"/>
      <c r="H547" s="80"/>
    </row>
    <row r="548" spans="1:8" s="31" customFormat="1" x14ac:dyDescent="0.25">
      <c r="A548" s="67">
        <v>1</v>
      </c>
      <c r="B548" s="68"/>
      <c r="C548" s="38" t="s">
        <v>318</v>
      </c>
      <c r="D548" s="55">
        <f>((5*2.75+1.95*3.5+2.75*2.75+1.8*1.35+1.6*1.5+1.8*0.75+2.1*1.05))*10.764</f>
        <v>393.12818999999996</v>
      </c>
      <c r="E548" s="55">
        <f>(1.2*5.95+2*2.7)*10.764</f>
        <v>134.98055999999997</v>
      </c>
      <c r="F548" s="38">
        <f>D548+E548</f>
        <v>528.10874999999987</v>
      </c>
      <c r="G548" s="38">
        <v>0</v>
      </c>
      <c r="H548" s="38">
        <f>F548*(($H$177)+1)+(IF(G548&lt;101,G548,IF(G548&lt;201,G548/2,IF(G548&lt;=301,G548/3,G548/4))))</f>
        <v>792.16312499999981</v>
      </c>
    </row>
    <row r="549" spans="1:8" s="31" customFormat="1" x14ac:dyDescent="0.25">
      <c r="A549" s="67">
        <f>A548+1</f>
        <v>2</v>
      </c>
      <c r="B549" s="68"/>
      <c r="C549" s="38" t="s">
        <v>318</v>
      </c>
      <c r="D549" s="55">
        <f>(2.75*5.15+2.1*2.4+2.7*3.45+2.55*1.2+2.55*1.2+2.1*1.05)*10.764</f>
        <v>396.57267000000002</v>
      </c>
      <c r="E549" s="55">
        <f>(1.2*2.75+1.2*5.5)*10.764</f>
        <v>106.56359999999998</v>
      </c>
      <c r="F549" s="38">
        <f>D549+E549</f>
        <v>503.13626999999997</v>
      </c>
      <c r="G549" s="38">
        <v>0</v>
      </c>
      <c r="H549" s="38">
        <f>F549*(($H$177)+1)+(IF(G549&lt;101,G549,IF(G549&lt;201,G549/2,IF(G549&lt;=301,G549/3,G549/4))))</f>
        <v>754.70440499999995</v>
      </c>
    </row>
    <row r="550" spans="1:8" s="31" customFormat="1" ht="15.6" customHeight="1" x14ac:dyDescent="0.25">
      <c r="A550" s="67">
        <f t="shared" ref="A550:A552" si="169">A549+1</f>
        <v>3</v>
      </c>
      <c r="B550" s="68"/>
      <c r="C550" s="38" t="s">
        <v>318</v>
      </c>
      <c r="D550" s="55">
        <f>(4.45*2.7+3*2.05+3.05*3.15+1.5*1.75+2.1*1.2+0.9*3.2)*10.764</f>
        <v>385.32429000000002</v>
      </c>
      <c r="E550" s="55">
        <f>(1.2*5.65+1.2*2.7)*10.764</f>
        <v>107.85527999999999</v>
      </c>
      <c r="F550" s="38">
        <f t="shared" ref="F550:F552" si="170">D550+E550</f>
        <v>493.17957000000001</v>
      </c>
      <c r="G550" s="38">
        <v>0</v>
      </c>
      <c r="H550" s="38">
        <f t="shared" ref="H550:H551" si="171">F550*(($H$177)+1)+(IF(G550&lt;101,G550,IF(G550&lt;201,G550/2,IF(G550&lt;=301,G550/3,G550/4))))</f>
        <v>739.76935500000002</v>
      </c>
    </row>
    <row r="551" spans="1:8" s="31" customFormat="1" ht="15.6" customHeight="1" x14ac:dyDescent="0.25">
      <c r="A551" s="67">
        <f t="shared" si="169"/>
        <v>4</v>
      </c>
      <c r="B551" s="68"/>
      <c r="C551" s="38" t="s">
        <v>319</v>
      </c>
      <c r="D551" s="55">
        <f>(5.65*2.9+2.3*1.05+2.15*2.75+3.2*2.9+4.25*2.9+2.3*1.25+2.45*1.25+2*0.9+2.3*1.05)*10.764</f>
        <v>607.84307999999987</v>
      </c>
      <c r="E551" s="55">
        <f>(1.2*(2.9+2.9*2.9)+2*2.15)*10.764</f>
        <v>192.37420799999998</v>
      </c>
      <c r="F551" s="38">
        <f t="shared" si="170"/>
        <v>800.21728799999983</v>
      </c>
      <c r="G551" s="38">
        <v>0</v>
      </c>
      <c r="H551" s="38">
        <f t="shared" si="171"/>
        <v>1200.3259319999997</v>
      </c>
    </row>
    <row r="552" spans="1:8" s="31" customFormat="1" x14ac:dyDescent="0.25">
      <c r="A552" s="67">
        <f t="shared" si="169"/>
        <v>5</v>
      </c>
      <c r="B552" s="68"/>
      <c r="C552" s="38" t="s">
        <v>319</v>
      </c>
      <c r="D552" s="55">
        <f>(5.65*2.9+2.3*1.05+2.15*2.75+3.2*2.9+4.25*2.9+2.3*1.25+2.45*1.25+2*0.9+2.3*1.05)*10.764</f>
        <v>607.84307999999987</v>
      </c>
      <c r="E552" s="55">
        <f>(1.2*9+2*2.15)*10.764</f>
        <v>162.53639999999996</v>
      </c>
      <c r="F552" s="38">
        <f t="shared" si="170"/>
        <v>770.37947999999983</v>
      </c>
      <c r="G552" s="38">
        <v>0</v>
      </c>
      <c r="H552" s="38">
        <f>F552*(($H$177)+1)+(IF(G552&lt;101,G552,IF(G552&lt;201,G552/2,IF(G552&lt;=301,G552/3,G552/4))))</f>
        <v>1155.5692199999999</v>
      </c>
    </row>
    <row r="553" spans="1:8" s="31" customFormat="1" ht="15.6" customHeight="1" x14ac:dyDescent="0.25">
      <c r="A553" s="78" t="s">
        <v>348</v>
      </c>
      <c r="B553" s="79"/>
      <c r="C553" s="79"/>
      <c r="D553" s="79"/>
      <c r="E553" s="79"/>
      <c r="F553" s="79"/>
      <c r="G553" s="79"/>
      <c r="H553" s="80"/>
    </row>
    <row r="554" spans="1:8" s="31" customFormat="1" x14ac:dyDescent="0.25">
      <c r="A554" s="67">
        <v>1</v>
      </c>
      <c r="B554" s="68"/>
      <c r="C554" s="38" t="s">
        <v>318</v>
      </c>
      <c r="D554" s="55">
        <f>((5*2.75+1.95*3.5+2.75*2.75+1.8*1.35+1.6*1.5+1.8*0.75+2.1*1.05))*10.764</f>
        <v>393.12818999999996</v>
      </c>
      <c r="E554" s="55">
        <f>(1.2*5.95+2*2.7)*10.764</f>
        <v>134.98055999999997</v>
      </c>
      <c r="F554" s="38">
        <f>D554+E554</f>
        <v>528.10874999999987</v>
      </c>
      <c r="G554" s="38">
        <v>0</v>
      </c>
      <c r="H554" s="38">
        <f>F554*(($H$177)+1)+(IF(G554&lt;101,G554,IF(G554&lt;201,G554/2,IF(G554&lt;=301,G554/3,G554/4))))</f>
        <v>792.16312499999981</v>
      </c>
    </row>
    <row r="555" spans="1:8" s="31" customFormat="1" x14ac:dyDescent="0.25">
      <c r="A555" s="67">
        <f>A554+1</f>
        <v>2</v>
      </c>
      <c r="B555" s="68"/>
      <c r="C555" s="38" t="s">
        <v>318</v>
      </c>
      <c r="D555" s="55">
        <f>(2.75*5.15+2.1*2.4+2.7*3.45+2.55*1.2+2.55*1.2+2.1*1.05)*10.764</f>
        <v>396.57267000000002</v>
      </c>
      <c r="E555" s="55">
        <f>(1.2*2.75+1.2*5.5)*10.764</f>
        <v>106.56359999999998</v>
      </c>
      <c r="F555" s="38">
        <f>D555+E555</f>
        <v>503.13626999999997</v>
      </c>
      <c r="G555" s="38">
        <v>0</v>
      </c>
      <c r="H555" s="38">
        <f>F555*(($H$177)+1)+(IF(G555&lt;101,G555,IF(G555&lt;201,G555/2,IF(G555&lt;=301,G555/3,G555/4))))</f>
        <v>754.70440499999995</v>
      </c>
    </row>
    <row r="556" spans="1:8" s="31" customFormat="1" ht="15.6" customHeight="1" x14ac:dyDescent="0.25">
      <c r="A556" s="67">
        <f t="shared" ref="A556:A558" si="172">A555+1</f>
        <v>3</v>
      </c>
      <c r="B556" s="68"/>
      <c r="C556" s="38" t="s">
        <v>318</v>
      </c>
      <c r="D556" s="55">
        <f>(4.45*2.7+3*2.05+3.05*3.15+1.5*1.75+2.1*1.2+0.9*3.2)*10.764</f>
        <v>385.32429000000002</v>
      </c>
      <c r="E556" s="55">
        <f>(1.2*5.65+1.2*2.7)*10.764</f>
        <v>107.85527999999999</v>
      </c>
      <c r="F556" s="38">
        <f t="shared" ref="F556:F558" si="173">D556+E556</f>
        <v>493.17957000000001</v>
      </c>
      <c r="G556" s="38">
        <v>0</v>
      </c>
      <c r="H556" s="38">
        <f t="shared" ref="H556:H557" si="174">F556*(($H$177)+1)+(IF(G556&lt;101,G556,IF(G556&lt;201,G556/2,IF(G556&lt;=301,G556/3,G556/4))))</f>
        <v>739.76935500000002</v>
      </c>
    </row>
    <row r="557" spans="1:8" s="31" customFormat="1" ht="15.6" customHeight="1" x14ac:dyDescent="0.25">
      <c r="A557" s="67">
        <f t="shared" si="172"/>
        <v>4</v>
      </c>
      <c r="B557" s="68"/>
      <c r="C557" s="38" t="s">
        <v>319</v>
      </c>
      <c r="D557" s="55">
        <f>(5.65*2.9+2.3*1.05+2.15*2.75+3.2*2.9+4.25*2.9+2.3*1.25+2.45*1.25+2*0.9+2.3*1.05)*10.764</f>
        <v>607.84307999999987</v>
      </c>
      <c r="E557" s="55">
        <f>(1.2*(2.9+2.9*2.9)+2*2.15)*10.764</f>
        <v>192.37420799999998</v>
      </c>
      <c r="F557" s="38">
        <f t="shared" si="173"/>
        <v>800.21728799999983</v>
      </c>
      <c r="G557" s="38">
        <v>0</v>
      </c>
      <c r="H557" s="38">
        <f t="shared" si="174"/>
        <v>1200.3259319999997</v>
      </c>
    </row>
    <row r="558" spans="1:8" s="31" customFormat="1" x14ac:dyDescent="0.25">
      <c r="A558" s="67">
        <f t="shared" si="172"/>
        <v>5</v>
      </c>
      <c r="B558" s="68"/>
      <c r="C558" s="38" t="s">
        <v>319</v>
      </c>
      <c r="D558" s="55">
        <f>(5.65*2.9+2.3*1.05+2.15*2.75+3.2*2.9+4.25*2.9+2.3*1.25+2.45*1.25+2*0.9+2.3*1.05)*10.764</f>
        <v>607.84307999999987</v>
      </c>
      <c r="E558" s="55">
        <f>(1.2*9+2*2.15)*10.764</f>
        <v>162.53639999999996</v>
      </c>
      <c r="F558" s="38">
        <f t="shared" si="173"/>
        <v>770.37947999999983</v>
      </c>
      <c r="G558" s="38">
        <v>0</v>
      </c>
      <c r="H558" s="38">
        <f>F558*(($H$177)+1)+(IF(G558&lt;101,G558,IF(G558&lt;201,G558/2,IF(G558&lt;=301,G558/3,G558/4))))</f>
        <v>1155.5692199999999</v>
      </c>
    </row>
    <row r="559" spans="1:8" s="31" customFormat="1" ht="15.6" customHeight="1" x14ac:dyDescent="0.25">
      <c r="A559" s="78" t="s">
        <v>349</v>
      </c>
      <c r="B559" s="79"/>
      <c r="C559" s="79"/>
      <c r="D559" s="79"/>
      <c r="E559" s="79"/>
      <c r="F559" s="79"/>
      <c r="G559" s="79"/>
      <c r="H559" s="80"/>
    </row>
    <row r="560" spans="1:8" s="31" customFormat="1" x14ac:dyDescent="0.25">
      <c r="A560" s="67">
        <v>1</v>
      </c>
      <c r="B560" s="68"/>
      <c r="C560" s="38" t="s">
        <v>318</v>
      </c>
      <c r="D560" s="55">
        <f>((5*2.75+1.95*3.5+2.75*2.75+1.8*1.35+1.6*1.5+1.8*0.75+2.1*1.05))*10.764</f>
        <v>393.12818999999996</v>
      </c>
      <c r="E560" s="55">
        <f>(1.2*5.95+2*2.7)*10.764</f>
        <v>134.98055999999997</v>
      </c>
      <c r="F560" s="38">
        <f>D560+E560</f>
        <v>528.10874999999987</v>
      </c>
      <c r="G560" s="38">
        <v>0</v>
      </c>
      <c r="H560" s="38">
        <f>F560*(($H$177)+1)+(IF(G560&lt;101,G560,IF(G560&lt;201,G560/2,IF(G560&lt;=301,G560/3,G560/4))))</f>
        <v>792.16312499999981</v>
      </c>
    </row>
    <row r="561" spans="1:8" s="31" customFormat="1" x14ac:dyDescent="0.25">
      <c r="A561" s="67">
        <f>A560+1</f>
        <v>2</v>
      </c>
      <c r="B561" s="68"/>
      <c r="C561" s="38" t="s">
        <v>318</v>
      </c>
      <c r="D561" s="55">
        <f>(2.75*5.15+2.1*2.4+2.7*3.45+2.55*1.2+2.55*1.2+2.1*1.05)*10.764</f>
        <v>396.57267000000002</v>
      </c>
      <c r="E561" s="55">
        <f>(1.2*2.75+1.2*5.5)*10.764</f>
        <v>106.56359999999998</v>
      </c>
      <c r="F561" s="38">
        <f>D561+E561</f>
        <v>503.13626999999997</v>
      </c>
      <c r="G561" s="38">
        <v>0</v>
      </c>
      <c r="H561" s="38">
        <f>F561*(($H$177)+1)+(IF(G561&lt;101,G561,IF(G561&lt;201,G561/2,IF(G561&lt;=301,G561/3,G561/4))))</f>
        <v>754.70440499999995</v>
      </c>
    </row>
    <row r="562" spans="1:8" s="31" customFormat="1" ht="15.6" customHeight="1" x14ac:dyDescent="0.25">
      <c r="A562" s="67">
        <f t="shared" ref="A562:A564" si="175">A561+1</f>
        <v>3</v>
      </c>
      <c r="B562" s="68"/>
      <c r="C562" s="38" t="s">
        <v>318</v>
      </c>
      <c r="D562" s="55">
        <f>(4.45*2.7+3*2.05+3.05*3.15+1.5*1.75+2.1*1.2+0.9*3.2)*10.764</f>
        <v>385.32429000000002</v>
      </c>
      <c r="E562" s="55">
        <f>(1.2*5.65+1.2*2.7)*10.764</f>
        <v>107.85527999999999</v>
      </c>
      <c r="F562" s="38">
        <f t="shared" ref="F562:F564" si="176">D562+E562</f>
        <v>493.17957000000001</v>
      </c>
      <c r="G562" s="38">
        <v>0</v>
      </c>
      <c r="H562" s="38">
        <f t="shared" ref="H562:H563" si="177">F562*(($H$177)+1)+(IF(G562&lt;101,G562,IF(G562&lt;201,G562/2,IF(G562&lt;=301,G562/3,G562/4))))</f>
        <v>739.76935500000002</v>
      </c>
    </row>
    <row r="563" spans="1:8" s="31" customFormat="1" ht="15.6" customHeight="1" x14ac:dyDescent="0.25">
      <c r="A563" s="67">
        <f t="shared" si="175"/>
        <v>4</v>
      </c>
      <c r="B563" s="68"/>
      <c r="C563" s="38" t="s">
        <v>319</v>
      </c>
      <c r="D563" s="55">
        <f>(5.65*2.9+2.3*1.05+2.15*2.75+3.2*2.9+4.25*2.9+2.3*1.25+2.45*1.25+2*0.9+2.3*1.05)*10.764</f>
        <v>607.84307999999987</v>
      </c>
      <c r="E563" s="55">
        <f>(1.2*(2.9+2.9*2.9)+2*2.15)*10.764</f>
        <v>192.37420799999998</v>
      </c>
      <c r="F563" s="38">
        <f t="shared" si="176"/>
        <v>800.21728799999983</v>
      </c>
      <c r="G563" s="38">
        <v>0</v>
      </c>
      <c r="H563" s="38">
        <f t="shared" si="177"/>
        <v>1200.3259319999997</v>
      </c>
    </row>
    <row r="564" spans="1:8" s="31" customFormat="1" x14ac:dyDescent="0.25">
      <c r="A564" s="67">
        <f t="shared" si="175"/>
        <v>5</v>
      </c>
      <c r="B564" s="68"/>
      <c r="C564" s="38" t="s">
        <v>319</v>
      </c>
      <c r="D564" s="55">
        <f>(5.65*2.9+2.3*1.05+2.15*2.75+3.2*2.9+4.25*2.9+2.3*1.25+2.45*1.25+2*0.9+2.3*1.05)*10.764</f>
        <v>607.84307999999987</v>
      </c>
      <c r="E564" s="55">
        <f>(1.2*9+2*2.15)*10.764</f>
        <v>162.53639999999996</v>
      </c>
      <c r="F564" s="38">
        <f t="shared" si="176"/>
        <v>770.37947999999983</v>
      </c>
      <c r="G564" s="38">
        <v>0</v>
      </c>
      <c r="H564" s="38">
        <f>F564*(($H$177)+1)+(IF(G564&lt;101,G564,IF(G564&lt;201,G564/2,IF(G564&lt;=301,G564/3,G564/4))))</f>
        <v>1155.5692199999999</v>
      </c>
    </row>
    <row r="565" spans="1:8" s="31" customFormat="1" ht="15.6" customHeight="1" x14ac:dyDescent="0.25">
      <c r="A565" s="69" t="s">
        <v>350</v>
      </c>
      <c r="B565" s="70"/>
      <c r="C565" s="70"/>
      <c r="D565" s="70"/>
      <c r="E565" s="70"/>
      <c r="F565" s="70"/>
      <c r="G565" s="70"/>
      <c r="H565" s="71"/>
    </row>
    <row r="566" spans="1:8" s="31" customFormat="1" x14ac:dyDescent="0.25">
      <c r="A566" s="67">
        <v>1</v>
      </c>
      <c r="B566" s="68"/>
      <c r="C566" s="38" t="s">
        <v>318</v>
      </c>
      <c r="D566" s="55">
        <f>((5*2.75+1.95*3.5+2.75*2.75+1.8*1.35+1.6*1.5+1.8*0.75+2.1*1.05))*10.764</f>
        <v>393.12818999999996</v>
      </c>
      <c r="E566" s="55">
        <f>(1.2*5.95+2*2.7)*10.764</f>
        <v>134.98055999999997</v>
      </c>
      <c r="F566" s="38">
        <f>D566+E566</f>
        <v>528.10874999999987</v>
      </c>
      <c r="G566" s="38">
        <v>0</v>
      </c>
      <c r="H566" s="38">
        <f>F566*(($H$177)+1)+(IF(G566&lt;101,G566,IF(G566&lt;201,G566/2,IF(G566&lt;=301,G566/3,G566/4))))</f>
        <v>792.16312499999981</v>
      </c>
    </row>
    <row r="567" spans="1:8" s="31" customFormat="1" x14ac:dyDescent="0.25">
      <c r="A567" s="67">
        <f>A566+1</f>
        <v>2</v>
      </c>
      <c r="B567" s="68"/>
      <c r="C567" s="38" t="s">
        <v>318</v>
      </c>
      <c r="D567" s="55">
        <f>(2.75*5.15+2.1*2.4+2.7*3.45+2.55*1.2+2.55*1.2+2.1*1.05)*10.764</f>
        <v>396.57267000000002</v>
      </c>
      <c r="E567" s="55">
        <f>(1.2*2.75+1.2*5.5)*10.764</f>
        <v>106.56359999999998</v>
      </c>
      <c r="F567" s="38">
        <f>D567+E567</f>
        <v>503.13626999999997</v>
      </c>
      <c r="G567" s="38">
        <v>0</v>
      </c>
      <c r="H567" s="38">
        <f>F567*(($H$177)+1)+(IF(G567&lt;101,G567,IF(G567&lt;201,G567/2,IF(G567&lt;=301,G567/3,G567/4))))</f>
        <v>754.70440499999995</v>
      </c>
    </row>
    <row r="568" spans="1:8" s="31" customFormat="1" ht="15.6" customHeight="1" x14ac:dyDescent="0.25">
      <c r="A568" s="67">
        <f t="shared" ref="A568:A570" si="178">A567+1</f>
        <v>3</v>
      </c>
      <c r="B568" s="68"/>
      <c r="C568" s="38" t="s">
        <v>318</v>
      </c>
      <c r="D568" s="55">
        <f>(4.45*2.7+3*2.05+3.05*3.15+1.5*1.75+2.1*1.2+0.9*3.2)*10.764</f>
        <v>385.32429000000002</v>
      </c>
      <c r="E568" s="55">
        <f>(1.2*5.65+1.2*2.7)*10.764</f>
        <v>107.85527999999999</v>
      </c>
      <c r="F568" s="38">
        <f t="shared" ref="F568:F570" si="179">D568+E568</f>
        <v>493.17957000000001</v>
      </c>
      <c r="G568" s="38">
        <v>0</v>
      </c>
      <c r="H568" s="38">
        <f t="shared" ref="H568:H569" si="180">F568*(($H$177)+1)+(IF(G568&lt;101,G568,IF(G568&lt;201,G568/2,IF(G568&lt;=301,G568/3,G568/4))))</f>
        <v>739.76935500000002</v>
      </c>
    </row>
    <row r="569" spans="1:8" s="31" customFormat="1" ht="15.6" customHeight="1" x14ac:dyDescent="0.25">
      <c r="A569" s="67">
        <f t="shared" si="178"/>
        <v>4</v>
      </c>
      <c r="B569" s="68"/>
      <c r="C569" s="38" t="s">
        <v>319</v>
      </c>
      <c r="D569" s="55">
        <f>(5.65*2.9+2.3*1.05+2.15*2.75+3.2*2.9+4.25*2.9+2.3*1.25+2.45*1.25+2*0.9+2.3*1.05)*10.764</f>
        <v>607.84307999999987</v>
      </c>
      <c r="E569" s="55">
        <f>(1.2*(2.9+2.9*2.9)+2*2.15)*10.764</f>
        <v>192.37420799999998</v>
      </c>
      <c r="F569" s="38">
        <f t="shared" si="179"/>
        <v>800.21728799999983</v>
      </c>
      <c r="G569" s="38">
        <v>0</v>
      </c>
      <c r="H569" s="38">
        <f t="shared" si="180"/>
        <v>1200.3259319999997</v>
      </c>
    </row>
    <row r="570" spans="1:8" s="31" customFormat="1" x14ac:dyDescent="0.25">
      <c r="A570" s="67">
        <f t="shared" si="178"/>
        <v>5</v>
      </c>
      <c r="B570" s="68"/>
      <c r="C570" s="38" t="s">
        <v>319</v>
      </c>
      <c r="D570" s="55">
        <f>(5.65*2.9+2.3*1.05+2.15*2.75+3.2*2.9+4.25*2.9+2.3*1.25+2.45*1.25+2*0.9+2.3*1.05)*10.764</f>
        <v>607.84307999999987</v>
      </c>
      <c r="E570" s="55">
        <f>(1.2*9+2*2.15)*10.764</f>
        <v>162.53639999999996</v>
      </c>
      <c r="F570" s="38">
        <f t="shared" si="179"/>
        <v>770.37947999999983</v>
      </c>
      <c r="G570" s="38">
        <v>0</v>
      </c>
      <c r="H570" s="38">
        <f>F570*(($H$177)+1)+(IF(G570&lt;101,G570,IF(G570&lt;201,G570/2,IF(G570&lt;=301,G570/3,G570/4))))</f>
        <v>1155.5692199999999</v>
      </c>
    </row>
    <row r="571" spans="1:8" s="31" customFormat="1" ht="15.6" customHeight="1" x14ac:dyDescent="0.25">
      <c r="A571" s="69" t="s">
        <v>356</v>
      </c>
      <c r="B571" s="70"/>
      <c r="C571" s="70"/>
      <c r="D571" s="70"/>
      <c r="E571" s="70"/>
      <c r="F571" s="70"/>
      <c r="G571" s="70"/>
      <c r="H571" s="71"/>
    </row>
    <row r="572" spans="1:8" s="31" customFormat="1" x14ac:dyDescent="0.25">
      <c r="A572" s="67">
        <v>1</v>
      </c>
      <c r="B572" s="68"/>
      <c r="C572" s="38" t="s">
        <v>318</v>
      </c>
      <c r="D572" s="55">
        <f>((5*2.75+1.95*3.5+2.75*2.75+1.8*1.35+1.6*1.5+1.8*0.75+2.1*1.05))*10.764</f>
        <v>393.12818999999996</v>
      </c>
      <c r="E572" s="55">
        <f>(1.2*5.95+2*2.7)*10.764</f>
        <v>134.98055999999997</v>
      </c>
      <c r="F572" s="38">
        <f>D572+E572</f>
        <v>528.10874999999987</v>
      </c>
      <c r="G572" s="38">
        <v>0</v>
      </c>
      <c r="H572" s="38">
        <f>F572*(($H$177)+1)+(IF(G572&lt;101,G572,IF(G572&lt;201,G572/2,IF(G572&lt;=301,G572/3,G572/4))))</f>
        <v>792.16312499999981</v>
      </c>
    </row>
    <row r="573" spans="1:8" s="31" customFormat="1" x14ac:dyDescent="0.25">
      <c r="A573" s="67">
        <f>A572+1</f>
        <v>2</v>
      </c>
      <c r="B573" s="68"/>
      <c r="C573" s="38" t="s">
        <v>318</v>
      </c>
      <c r="D573" s="55">
        <f>(2.75*5.15+2.1*2.4+2.7*3.45+2.55*1.2+2.55*1.2+2.1*1.05)*10.764</f>
        <v>396.57267000000002</v>
      </c>
      <c r="E573" s="55">
        <f>(1.2*2.75+1.2*5.5)*10.764</f>
        <v>106.56359999999998</v>
      </c>
      <c r="F573" s="38">
        <f>D573+E573</f>
        <v>503.13626999999997</v>
      </c>
      <c r="G573" s="38">
        <v>0</v>
      </c>
      <c r="H573" s="38">
        <f>F573*(($H$177)+1)+(IF(G573&lt;101,G573,IF(G573&lt;201,G573/2,IF(G573&lt;=301,G573/3,G573/4))))</f>
        <v>754.70440499999995</v>
      </c>
    </row>
    <row r="574" spans="1:8" s="31" customFormat="1" ht="15.6" customHeight="1" x14ac:dyDescent="0.25">
      <c r="A574" s="67">
        <f t="shared" ref="A574:A576" si="181">A573+1</f>
        <v>3</v>
      </c>
      <c r="B574" s="68"/>
      <c r="C574" s="38" t="s">
        <v>318</v>
      </c>
      <c r="D574" s="55">
        <f>(4.45*2.7+3*2.05+3.05*3.15+1.5*1.75+2.1*1.2+0.9*3.2)*10.764</f>
        <v>385.32429000000002</v>
      </c>
      <c r="E574" s="55">
        <f>(1.2*5.65+1.2*2.7)*10.764</f>
        <v>107.85527999999999</v>
      </c>
      <c r="F574" s="38">
        <f t="shared" ref="F574:F576" si="182">D574+E574</f>
        <v>493.17957000000001</v>
      </c>
      <c r="G574" s="38">
        <v>0</v>
      </c>
      <c r="H574" s="38">
        <f t="shared" ref="H574:H575" si="183">F574*(($H$177)+1)+(IF(G574&lt;101,G574,IF(G574&lt;201,G574/2,IF(G574&lt;=301,G574/3,G574/4))))</f>
        <v>739.76935500000002</v>
      </c>
    </row>
    <row r="575" spans="1:8" s="31" customFormat="1" ht="15.6" customHeight="1" x14ac:dyDescent="0.25">
      <c r="A575" s="67">
        <f t="shared" si="181"/>
        <v>4</v>
      </c>
      <c r="B575" s="68"/>
      <c r="C575" s="38" t="s">
        <v>319</v>
      </c>
      <c r="D575" s="55">
        <f>(5.65*2.9+2.3*1.05+2.15*2.75+3.2*2.9+4.25*2.9+2.3*1.25+2.45*1.25+2*0.9+2.3*1.05)*10.764</f>
        <v>607.84307999999987</v>
      </c>
      <c r="E575" s="55">
        <f>(1.2*(2.9+2.9*2.9)+2*2.15)*10.764</f>
        <v>192.37420799999998</v>
      </c>
      <c r="F575" s="38">
        <f t="shared" si="182"/>
        <v>800.21728799999983</v>
      </c>
      <c r="G575" s="38">
        <v>0</v>
      </c>
      <c r="H575" s="38">
        <f t="shared" si="183"/>
        <v>1200.3259319999997</v>
      </c>
    </row>
    <row r="576" spans="1:8" s="31" customFormat="1" x14ac:dyDescent="0.25">
      <c r="A576" s="67">
        <f t="shared" si="181"/>
        <v>5</v>
      </c>
      <c r="B576" s="68"/>
      <c r="C576" s="38" t="s">
        <v>319</v>
      </c>
      <c r="D576" s="55">
        <f>(5.65*2.9+2.3*1.05+2.15*2.75+3.2*2.9+4.25*2.9+2.3*1.25+2.45*1.25+2*0.9+2.3*1.05)*10.764</f>
        <v>607.84307999999987</v>
      </c>
      <c r="E576" s="55">
        <f>(1.2*9+2*2.15)*10.764</f>
        <v>162.53639999999996</v>
      </c>
      <c r="F576" s="38">
        <f t="shared" si="182"/>
        <v>770.37947999999983</v>
      </c>
      <c r="G576" s="38">
        <v>0</v>
      </c>
      <c r="H576" s="38">
        <f>F576*(($H$177)+1)+(IF(G576&lt;101,G576,IF(G576&lt;201,G576/2,IF(G576&lt;=301,G576/3,G576/4))))</f>
        <v>1155.5692199999999</v>
      </c>
    </row>
    <row r="577" spans="1:10" x14ac:dyDescent="0.25">
      <c r="A577" s="167" t="s">
        <v>65</v>
      </c>
      <c r="B577" s="167"/>
      <c r="C577" s="167"/>
      <c r="D577" s="167"/>
      <c r="E577" s="167"/>
      <c r="F577" s="167"/>
      <c r="G577" s="167"/>
      <c r="H577" s="167"/>
    </row>
    <row r="578" spans="1:10" ht="51" customHeight="1" x14ac:dyDescent="0.25">
      <c r="A578" s="41" t="s">
        <v>150</v>
      </c>
      <c r="B578" s="72" t="s">
        <v>370</v>
      </c>
      <c r="C578" s="73"/>
      <c r="D578" s="73"/>
      <c r="E578" s="73"/>
      <c r="F578" s="73"/>
      <c r="G578" s="73"/>
      <c r="H578" s="74"/>
      <c r="I578" s="218"/>
      <c r="J578" s="219"/>
    </row>
    <row r="579" spans="1:10" x14ac:dyDescent="0.25">
      <c r="A579" s="41" t="s">
        <v>150</v>
      </c>
      <c r="B579" s="72" t="str">
        <f>(IF(H176="Saleable area Loading :","We have considered Saleable area of Flats as per our Calculation.","We considered Saleable area of Flat as per Builder area Sheet."))</f>
        <v>We have considered Saleable area of Flats as per our Calculation.</v>
      </c>
      <c r="C579" s="73"/>
      <c r="D579" s="73"/>
      <c r="E579" s="73"/>
      <c r="F579" s="73"/>
      <c r="G579" s="73"/>
      <c r="H579" s="74"/>
    </row>
    <row r="580" spans="1:10" x14ac:dyDescent="0.25">
      <c r="A580" s="41" t="s">
        <v>150</v>
      </c>
      <c r="B580" s="72" t="str">
        <f>(IF(H131="Saleable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580" s="73"/>
      <c r="D580" s="73"/>
      <c r="E580" s="73"/>
      <c r="F580" s="73"/>
      <c r="G580" s="73"/>
      <c r="H580" s="74"/>
    </row>
    <row r="581" spans="1:10" x14ac:dyDescent="0.25">
      <c r="A581" s="41" t="s">
        <v>150</v>
      </c>
      <c r="B581" s="75" t="s">
        <v>120</v>
      </c>
      <c r="C581" s="76"/>
      <c r="D581" s="76"/>
      <c r="E581" s="76"/>
      <c r="F581" s="76"/>
      <c r="G581" s="76"/>
      <c r="H581" s="77"/>
    </row>
    <row r="582" spans="1:10" x14ac:dyDescent="0.25">
      <c r="A582" s="41" t="s">
        <v>150</v>
      </c>
      <c r="B582" s="75" t="s">
        <v>322</v>
      </c>
      <c r="C582" s="76"/>
      <c r="D582" s="76"/>
      <c r="E582" s="76"/>
      <c r="F582" s="76"/>
      <c r="G582" s="76"/>
      <c r="H582" s="77"/>
    </row>
    <row r="583" spans="1:10" x14ac:dyDescent="0.25">
      <c r="A583" s="41" t="s">
        <v>150</v>
      </c>
      <c r="B583" s="75" t="s">
        <v>149</v>
      </c>
      <c r="C583" s="76"/>
      <c r="D583" s="76"/>
      <c r="E583" s="76"/>
      <c r="F583" s="76"/>
      <c r="G583" s="76"/>
      <c r="H583" s="77"/>
    </row>
    <row r="584" spans="1:10" x14ac:dyDescent="0.25">
      <c r="A584" s="41" t="s">
        <v>150</v>
      </c>
      <c r="B584" s="75" t="s">
        <v>121</v>
      </c>
      <c r="C584" s="76"/>
      <c r="D584" s="76"/>
      <c r="E584" s="76"/>
      <c r="F584" s="76"/>
      <c r="G584" s="76"/>
      <c r="H584" s="77"/>
    </row>
    <row r="585" spans="1:10" ht="34.5" customHeight="1" x14ac:dyDescent="0.25">
      <c r="A585" s="41" t="s">
        <v>150</v>
      </c>
      <c r="B585" s="75" t="s">
        <v>151</v>
      </c>
      <c r="C585" s="76"/>
      <c r="D585" s="76"/>
      <c r="E585" s="76"/>
      <c r="F585" s="76"/>
      <c r="G585" s="76"/>
      <c r="H585" s="77"/>
    </row>
    <row r="586" spans="1:10" x14ac:dyDescent="0.25">
      <c r="A586" s="41" t="s">
        <v>150</v>
      </c>
      <c r="B586" s="75" t="s">
        <v>122</v>
      </c>
      <c r="C586" s="76"/>
      <c r="D586" s="76"/>
      <c r="E586" s="76"/>
      <c r="F586" s="76"/>
      <c r="G586" s="76"/>
      <c r="H586" s="77"/>
    </row>
    <row r="587" spans="1:10" hidden="1" x14ac:dyDescent="0.25">
      <c r="A587" s="41" t="s">
        <v>150</v>
      </c>
      <c r="B587" s="159" t="s">
        <v>176</v>
      </c>
      <c r="C587" s="160"/>
      <c r="D587" s="160"/>
      <c r="E587" s="160"/>
      <c r="F587" s="160"/>
      <c r="G587" s="160"/>
      <c r="H587" s="161"/>
    </row>
    <row r="588" spans="1:10" x14ac:dyDescent="0.25">
      <c r="A588" s="41" t="s">
        <v>150</v>
      </c>
      <c r="B588" s="72" t="s">
        <v>352</v>
      </c>
      <c r="C588" s="73"/>
      <c r="D588" s="73"/>
      <c r="E588" s="73"/>
      <c r="F588" s="73"/>
      <c r="G588" s="73"/>
      <c r="H588" s="74"/>
    </row>
    <row r="589" spans="1:10" x14ac:dyDescent="0.25">
      <c r="A589" s="41" t="s">
        <v>150</v>
      </c>
      <c r="B589" s="72" t="s">
        <v>351</v>
      </c>
      <c r="C589" s="73"/>
      <c r="D589" s="73"/>
      <c r="E589" s="73"/>
      <c r="F589" s="73"/>
      <c r="G589" s="73"/>
      <c r="H589" s="74"/>
    </row>
    <row r="590" spans="1:10" x14ac:dyDescent="0.25">
      <c r="A590" s="65" t="s">
        <v>150</v>
      </c>
      <c r="B590" s="72" t="s">
        <v>362</v>
      </c>
      <c r="C590" s="73"/>
      <c r="D590" s="73"/>
      <c r="E590" s="73"/>
      <c r="F590" s="73"/>
      <c r="G590" s="73"/>
      <c r="H590" s="74"/>
    </row>
    <row r="591" spans="1:10" x14ac:dyDescent="0.25">
      <c r="A591" s="136" t="s">
        <v>58</v>
      </c>
      <c r="B591" s="136"/>
      <c r="C591" s="136"/>
      <c r="D591" s="136"/>
      <c r="E591" s="136"/>
      <c r="F591" s="136"/>
      <c r="G591" s="136"/>
      <c r="H591" s="136"/>
    </row>
    <row r="592" spans="1:10" x14ac:dyDescent="0.25">
      <c r="A592" s="124" t="s">
        <v>59</v>
      </c>
      <c r="B592" s="124"/>
      <c r="C592" s="124"/>
      <c r="D592" s="124"/>
      <c r="E592" s="124"/>
      <c r="F592" s="124"/>
      <c r="G592" s="124"/>
      <c r="H592" s="124"/>
    </row>
    <row r="593" spans="1:8" x14ac:dyDescent="0.25">
      <c r="A593" s="154" t="s">
        <v>60</v>
      </c>
      <c r="B593" s="154"/>
      <c r="C593" s="154"/>
      <c r="D593" s="154"/>
      <c r="E593" s="154"/>
      <c r="F593" s="154"/>
      <c r="G593" s="154"/>
      <c r="H593" s="154"/>
    </row>
    <row r="594" spans="1:8" x14ac:dyDescent="0.25">
      <c r="A594" s="124" t="s">
        <v>61</v>
      </c>
      <c r="B594" s="124"/>
      <c r="C594" s="124"/>
      <c r="D594" s="124"/>
      <c r="E594" s="124"/>
      <c r="F594" s="124"/>
      <c r="G594" s="124"/>
      <c r="H594" s="124"/>
    </row>
    <row r="595" spans="1:8" x14ac:dyDescent="0.25">
      <c r="A595" s="124" t="s">
        <v>62</v>
      </c>
      <c r="B595" s="124"/>
      <c r="C595" s="124"/>
      <c r="D595" s="124"/>
      <c r="E595" s="124"/>
      <c r="F595" s="124"/>
      <c r="G595" s="124"/>
      <c r="H595" s="124"/>
    </row>
    <row r="596" spans="1:8" x14ac:dyDescent="0.25">
      <c r="A596" s="124" t="s">
        <v>123</v>
      </c>
      <c r="B596" s="124"/>
      <c r="C596" s="124"/>
      <c r="D596" s="124"/>
      <c r="E596" s="124"/>
      <c r="F596" s="124"/>
      <c r="G596" s="124"/>
      <c r="H596" s="124"/>
    </row>
    <row r="597" spans="1:8" ht="36.75" customHeight="1" x14ac:dyDescent="0.25">
      <c r="A597" s="129" t="s">
        <v>124</v>
      </c>
      <c r="B597" s="129"/>
      <c r="C597" s="129"/>
      <c r="D597" s="129"/>
      <c r="E597" s="129"/>
      <c r="F597" s="129"/>
      <c r="G597" s="129"/>
      <c r="H597" s="129"/>
    </row>
    <row r="598" spans="1:8" x14ac:dyDescent="0.25">
      <c r="A598" s="178" t="s">
        <v>74</v>
      </c>
      <c r="B598" s="178"/>
      <c r="C598" s="178" t="s">
        <v>369</v>
      </c>
      <c r="D598" s="178"/>
      <c r="E598" s="178" t="s">
        <v>103</v>
      </c>
      <c r="F598" s="178"/>
      <c r="G598" s="179" t="s">
        <v>368</v>
      </c>
      <c r="H598" s="179"/>
    </row>
    <row r="599" spans="1:8" x14ac:dyDescent="0.25">
      <c r="A599" s="177" t="s">
        <v>76</v>
      </c>
      <c r="B599" s="177"/>
      <c r="C599" s="177"/>
      <c r="D599" s="177"/>
      <c r="E599" s="177"/>
      <c r="F599" s="177"/>
      <c r="G599" s="177"/>
      <c r="H599" s="177"/>
    </row>
    <row r="600" spans="1:8" x14ac:dyDescent="0.25">
      <c r="A600" s="177"/>
      <c r="B600" s="177"/>
      <c r="C600" s="177"/>
      <c r="D600" s="177"/>
      <c r="E600" s="177"/>
      <c r="F600" s="177"/>
      <c r="G600" s="177"/>
      <c r="H600" s="177"/>
    </row>
    <row r="601" spans="1:8" x14ac:dyDescent="0.25">
      <c r="A601" s="177"/>
      <c r="B601" s="177"/>
      <c r="C601" s="177"/>
      <c r="D601" s="177"/>
      <c r="E601" s="177"/>
      <c r="F601" s="177"/>
      <c r="G601" s="177"/>
      <c r="H601" s="177"/>
    </row>
    <row r="602" spans="1:8" x14ac:dyDescent="0.25">
      <c r="A602" s="177"/>
      <c r="B602" s="177"/>
      <c r="C602" s="177"/>
      <c r="D602" s="177"/>
      <c r="E602" s="177"/>
      <c r="F602" s="177"/>
      <c r="G602" s="177"/>
      <c r="H602" s="177"/>
    </row>
    <row r="603" spans="1:8" x14ac:dyDescent="0.25">
      <c r="A603" s="34" t="s">
        <v>63</v>
      </c>
      <c r="B603" s="35"/>
      <c r="C603" s="35"/>
      <c r="D603" s="64" t="str">
        <f>E9</f>
        <v>Avant Heritage V</v>
      </c>
      <c r="F603" s="35"/>
      <c r="G603" s="35"/>
      <c r="H603" s="35"/>
    </row>
    <row r="604" spans="1:8" x14ac:dyDescent="0.25">
      <c r="A604" s="35"/>
      <c r="B604" s="35"/>
      <c r="C604" s="35"/>
      <c r="D604" s="35"/>
      <c r="E604" s="35"/>
      <c r="F604" s="35"/>
      <c r="G604" s="35"/>
      <c r="H604" s="35"/>
    </row>
    <row r="605" spans="1:8" x14ac:dyDescent="0.25">
      <c r="A605" s="35"/>
      <c r="B605" s="35"/>
      <c r="C605" s="35"/>
      <c r="D605" s="35"/>
      <c r="E605" s="35"/>
      <c r="F605" s="35"/>
      <c r="G605" s="35"/>
      <c r="H605" s="35"/>
    </row>
    <row r="645" spans="1:1" x14ac:dyDescent="0.25">
      <c r="A645" s="37" t="s">
        <v>161</v>
      </c>
    </row>
    <row r="688" spans="1:1" x14ac:dyDescent="0.25">
      <c r="A688" s="37" t="s">
        <v>64</v>
      </c>
    </row>
  </sheetData>
  <mergeCells count="772">
    <mergeCell ref="C324:H324"/>
    <mergeCell ref="A161:H161"/>
    <mergeCell ref="A182:H182"/>
    <mergeCell ref="A275:B275"/>
    <mergeCell ref="A276:B276"/>
    <mergeCell ref="A376:B376"/>
    <mergeCell ref="A427:H427"/>
    <mergeCell ref="A428:H428"/>
    <mergeCell ref="A429:B429"/>
    <mergeCell ref="A315:H315"/>
    <mergeCell ref="A316:H316"/>
    <mergeCell ref="A317:B317"/>
    <mergeCell ref="A318:B318"/>
    <mergeCell ref="A319:B319"/>
    <mergeCell ref="A320:B320"/>
    <mergeCell ref="A323:B323"/>
    <mergeCell ref="A324:B324"/>
    <mergeCell ref="A325:B325"/>
    <mergeCell ref="C323:H323"/>
    <mergeCell ref="A326:H326"/>
    <mergeCell ref="A327:B327"/>
    <mergeCell ref="A328:B328"/>
    <mergeCell ref="A329:B329"/>
    <mergeCell ref="A330:B330"/>
    <mergeCell ref="I578:J578"/>
    <mergeCell ref="A528:H528"/>
    <mergeCell ref="A529:H529"/>
    <mergeCell ref="A530:B530"/>
    <mergeCell ref="A482:B482"/>
    <mergeCell ref="A540:B540"/>
    <mergeCell ref="C530:H531"/>
    <mergeCell ref="A531:B531"/>
    <mergeCell ref="A532:B532"/>
    <mergeCell ref="A533:B533"/>
    <mergeCell ref="A534:B534"/>
    <mergeCell ref="A535:H535"/>
    <mergeCell ref="A536:B536"/>
    <mergeCell ref="A537:B537"/>
    <mergeCell ref="A538:B538"/>
    <mergeCell ref="A539:B539"/>
    <mergeCell ref="C538:H538"/>
    <mergeCell ref="C539:H539"/>
    <mergeCell ref="A483:H483"/>
    <mergeCell ref="A484:B484"/>
    <mergeCell ref="A485:B485"/>
    <mergeCell ref="A486:B486"/>
    <mergeCell ref="A487:B487"/>
    <mergeCell ref="A543:B543"/>
    <mergeCell ref="A267:B267"/>
    <mergeCell ref="B578:H578"/>
    <mergeCell ref="A172:B172"/>
    <mergeCell ref="A173:B173"/>
    <mergeCell ref="A209:B209"/>
    <mergeCell ref="A133:H133"/>
    <mergeCell ref="A135:H135"/>
    <mergeCell ref="A136:B136"/>
    <mergeCell ref="A137:B137"/>
    <mergeCell ref="A138:B138"/>
    <mergeCell ref="A139:B139"/>
    <mergeCell ref="A143:B143"/>
    <mergeCell ref="A144:B144"/>
    <mergeCell ref="A192:H192"/>
    <mergeCell ref="A196:B196"/>
    <mergeCell ref="A197:H197"/>
    <mergeCell ref="A198:B198"/>
    <mergeCell ref="A199:B199"/>
    <mergeCell ref="A200:B200"/>
    <mergeCell ref="A201:B201"/>
    <mergeCell ref="A134:H134"/>
    <mergeCell ref="A174:B174"/>
    <mergeCell ref="A175:H175"/>
    <mergeCell ref="A245:B245"/>
    <mergeCell ref="A154:B154"/>
    <mergeCell ref="A155:B155"/>
    <mergeCell ref="A156:B156"/>
    <mergeCell ref="A188:B188"/>
    <mergeCell ref="A183:B183"/>
    <mergeCell ref="A195:B195"/>
    <mergeCell ref="A152:B152"/>
    <mergeCell ref="A260:B260"/>
    <mergeCell ref="A261:B261"/>
    <mergeCell ref="A219:B219"/>
    <mergeCell ref="A222:B222"/>
    <mergeCell ref="A246:B246"/>
    <mergeCell ref="A247:H247"/>
    <mergeCell ref="A248:B248"/>
    <mergeCell ref="A249:B249"/>
    <mergeCell ref="A250:B250"/>
    <mergeCell ref="A223:H223"/>
    <mergeCell ref="A224:B224"/>
    <mergeCell ref="A225:B225"/>
    <mergeCell ref="A226:B226"/>
    <mergeCell ref="A227:B227"/>
    <mergeCell ref="A140:H140"/>
    <mergeCell ref="A149:H149"/>
    <mergeCell ref="A178:H178"/>
    <mergeCell ref="A208:H208"/>
    <mergeCell ref="A167:B167"/>
    <mergeCell ref="A168:B168"/>
    <mergeCell ref="A145:B145"/>
    <mergeCell ref="F131:F132"/>
    <mergeCell ref="A266:B266"/>
    <mergeCell ref="A263:H263"/>
    <mergeCell ref="A265:B265"/>
    <mergeCell ref="A157:B157"/>
    <mergeCell ref="A158:B158"/>
    <mergeCell ref="A159:B159"/>
    <mergeCell ref="A169:H169"/>
    <mergeCell ref="A160:H160"/>
    <mergeCell ref="A162:H162"/>
    <mergeCell ref="A163:B163"/>
    <mergeCell ref="A164:B164"/>
    <mergeCell ref="A165:B165"/>
    <mergeCell ref="A166:B166"/>
    <mergeCell ref="A170:H170"/>
    <mergeCell ref="A171:H171"/>
    <mergeCell ref="A239:H239"/>
    <mergeCell ref="A207:H207"/>
    <mergeCell ref="A187:H187"/>
    <mergeCell ref="A190:B190"/>
    <mergeCell ref="A218:H218"/>
    <mergeCell ref="F176:F177"/>
    <mergeCell ref="A202:H202"/>
    <mergeCell ref="A203:B203"/>
    <mergeCell ref="A204:B204"/>
    <mergeCell ref="A205:B205"/>
    <mergeCell ref="A206:B206"/>
    <mergeCell ref="A210:B210"/>
    <mergeCell ref="F101:H101"/>
    <mergeCell ref="A101:E101"/>
    <mergeCell ref="D131:D132"/>
    <mergeCell ref="A103:E103"/>
    <mergeCell ref="A102:E102"/>
    <mergeCell ref="A99:E99"/>
    <mergeCell ref="F103:H103"/>
    <mergeCell ref="D61:H61"/>
    <mergeCell ref="A189:B189"/>
    <mergeCell ref="A186:B186"/>
    <mergeCell ref="A181:B181"/>
    <mergeCell ref="A74:B74"/>
    <mergeCell ref="A77:B77"/>
    <mergeCell ref="A104:E104"/>
    <mergeCell ref="F99:H99"/>
    <mergeCell ref="F104:H104"/>
    <mergeCell ref="A105:E105"/>
    <mergeCell ref="F105:H105"/>
    <mergeCell ref="A107:E107"/>
    <mergeCell ref="F102:H102"/>
    <mergeCell ref="A106:E106"/>
    <mergeCell ref="A126:B126"/>
    <mergeCell ref="C126:D126"/>
    <mergeCell ref="E126:F126"/>
    <mergeCell ref="A66:C66"/>
    <mergeCell ref="D66:H66"/>
    <mergeCell ref="C73:H73"/>
    <mergeCell ref="A76:B76"/>
    <mergeCell ref="A78:B78"/>
    <mergeCell ref="E74:F74"/>
    <mergeCell ref="A67:C67"/>
    <mergeCell ref="D67:H67"/>
    <mergeCell ref="A70:C70"/>
    <mergeCell ref="D70:H70"/>
    <mergeCell ref="A131:A132"/>
    <mergeCell ref="C176:C177"/>
    <mergeCell ref="G176:G177"/>
    <mergeCell ref="G128:H128"/>
    <mergeCell ref="G126:H126"/>
    <mergeCell ref="E131:E132"/>
    <mergeCell ref="G131:G132"/>
    <mergeCell ref="A124:B124"/>
    <mergeCell ref="C124:D124"/>
    <mergeCell ref="E124:F124"/>
    <mergeCell ref="G124:H124"/>
    <mergeCell ref="A153:B153"/>
    <mergeCell ref="A146:B146"/>
    <mergeCell ref="A147:B147"/>
    <mergeCell ref="A148:B148"/>
    <mergeCell ref="A141:H141"/>
    <mergeCell ref="A142:H142"/>
    <mergeCell ref="A150:H150"/>
    <mergeCell ref="A151:H151"/>
    <mergeCell ref="A176:A177"/>
    <mergeCell ref="A127:B127"/>
    <mergeCell ref="E127:F127"/>
    <mergeCell ref="C131:C132"/>
    <mergeCell ref="B176:B177"/>
    <mergeCell ref="I65:N67"/>
    <mergeCell ref="A81:B81"/>
    <mergeCell ref="A39:B39"/>
    <mergeCell ref="C39:H39"/>
    <mergeCell ref="A46:D46"/>
    <mergeCell ref="A82:B82"/>
    <mergeCell ref="C125:D125"/>
    <mergeCell ref="E125:F125"/>
    <mergeCell ref="G125:H125"/>
    <mergeCell ref="A100:E100"/>
    <mergeCell ref="A47:D47"/>
    <mergeCell ref="A48:H48"/>
    <mergeCell ref="D58:H58"/>
    <mergeCell ref="A58:C58"/>
    <mergeCell ref="G51:H51"/>
    <mergeCell ref="A45:D45"/>
    <mergeCell ref="A73:B73"/>
    <mergeCell ref="A71:B71"/>
    <mergeCell ref="C71:H71"/>
    <mergeCell ref="A79:B79"/>
    <mergeCell ref="E75:F84"/>
    <mergeCell ref="G75:H84"/>
    <mergeCell ref="A83:B83"/>
    <mergeCell ref="A84:B84"/>
    <mergeCell ref="A38:H38"/>
    <mergeCell ref="A37:B37"/>
    <mergeCell ref="C37:E37"/>
    <mergeCell ref="A42:D42"/>
    <mergeCell ref="E42:H42"/>
    <mergeCell ref="A41:H41"/>
    <mergeCell ref="A64:C64"/>
    <mergeCell ref="A65:C65"/>
    <mergeCell ref="D64:H64"/>
    <mergeCell ref="D65:H65"/>
    <mergeCell ref="A44:D44"/>
    <mergeCell ref="E44:H44"/>
    <mergeCell ref="E45:H45"/>
    <mergeCell ref="E46:H46"/>
    <mergeCell ref="E47:H47"/>
    <mergeCell ref="F37:H37"/>
    <mergeCell ref="A40:B40"/>
    <mergeCell ref="C40:H40"/>
    <mergeCell ref="D62:H62"/>
    <mergeCell ref="A49:B49"/>
    <mergeCell ref="C49:H49"/>
    <mergeCell ref="E27:H27"/>
    <mergeCell ref="A29:D29"/>
    <mergeCell ref="E29:H29"/>
    <mergeCell ref="A26:D26"/>
    <mergeCell ref="E26:H26"/>
    <mergeCell ref="A30:D30"/>
    <mergeCell ref="E30:H30"/>
    <mergeCell ref="A27:D27"/>
    <mergeCell ref="A36:B36"/>
    <mergeCell ref="C36:E36"/>
    <mergeCell ref="A31:D31"/>
    <mergeCell ref="E31:H31"/>
    <mergeCell ref="A32:D32"/>
    <mergeCell ref="E32:H32"/>
    <mergeCell ref="A28:D28"/>
    <mergeCell ref="E28:H28"/>
    <mergeCell ref="C33:E33"/>
    <mergeCell ref="F36:H36"/>
    <mergeCell ref="F33:H33"/>
    <mergeCell ref="A34:B34"/>
    <mergeCell ref="A33:B33"/>
    <mergeCell ref="C34:E34"/>
    <mergeCell ref="A35:B35"/>
    <mergeCell ref="C35:E35"/>
    <mergeCell ref="A25:D25"/>
    <mergeCell ref="E25:H25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22:B22"/>
    <mergeCell ref="C22:D22"/>
    <mergeCell ref="E22:F22"/>
    <mergeCell ref="G22:H22"/>
    <mergeCell ref="E11:H11"/>
    <mergeCell ref="A23:D24"/>
    <mergeCell ref="E23:H24"/>
    <mergeCell ref="E15:H15"/>
    <mergeCell ref="A16:B16"/>
    <mergeCell ref="C16:H16"/>
    <mergeCell ref="C17:H17"/>
    <mergeCell ref="A18:B18"/>
    <mergeCell ref="C18:H18"/>
    <mergeCell ref="A13:D13"/>
    <mergeCell ref="E13:H13"/>
    <mergeCell ref="A12:D12"/>
    <mergeCell ref="E12:H12"/>
    <mergeCell ref="A17:B17"/>
    <mergeCell ref="A14:D14"/>
    <mergeCell ref="A1:H1"/>
    <mergeCell ref="A2:H2"/>
    <mergeCell ref="A3:D3"/>
    <mergeCell ref="E3:H3"/>
    <mergeCell ref="A5:D5"/>
    <mergeCell ref="A9:D9"/>
    <mergeCell ref="E9:H9"/>
    <mergeCell ref="A10:D10"/>
    <mergeCell ref="E10:H10"/>
    <mergeCell ref="E5:H5"/>
    <mergeCell ref="A6:D6"/>
    <mergeCell ref="E6:H6"/>
    <mergeCell ref="A7:D7"/>
    <mergeCell ref="E7:H7"/>
    <mergeCell ref="A8:D8"/>
    <mergeCell ref="E8:H8"/>
    <mergeCell ref="A4:D4"/>
    <mergeCell ref="E4:H4"/>
    <mergeCell ref="F34:H34"/>
    <mergeCell ref="F35:H35"/>
    <mergeCell ref="E14:H14"/>
    <mergeCell ref="A15:D15"/>
    <mergeCell ref="A11:D11"/>
    <mergeCell ref="A259:H259"/>
    <mergeCell ref="A599:H602"/>
    <mergeCell ref="A598:B598"/>
    <mergeCell ref="E598:F598"/>
    <mergeCell ref="C598:D598"/>
    <mergeCell ref="G598:H598"/>
    <mergeCell ref="A112:H112"/>
    <mergeCell ref="A110:E110"/>
    <mergeCell ref="F110:H110"/>
    <mergeCell ref="A111:E111"/>
    <mergeCell ref="F111:H111"/>
    <mergeCell ref="A125:B125"/>
    <mergeCell ref="A193:B193"/>
    <mergeCell ref="A116:B116"/>
    <mergeCell ref="A594:H594"/>
    <mergeCell ref="A120:H120"/>
    <mergeCell ref="A597:H597"/>
    <mergeCell ref="A595:H595"/>
    <mergeCell ref="A591:H591"/>
    <mergeCell ref="A180:B180"/>
    <mergeCell ref="E121:F121"/>
    <mergeCell ref="A129:H129"/>
    <mergeCell ref="A213:H213"/>
    <mergeCell ref="A214:B214"/>
    <mergeCell ref="A215:B215"/>
    <mergeCell ref="A216:B216"/>
    <mergeCell ref="A217:B217"/>
    <mergeCell ref="A307:B307"/>
    <mergeCell ref="C271:H271"/>
    <mergeCell ref="A298:H298"/>
    <mergeCell ref="A299:B299"/>
    <mergeCell ref="A273:B273"/>
    <mergeCell ref="A274:B274"/>
    <mergeCell ref="A293:H293"/>
    <mergeCell ref="A296:B296"/>
    <mergeCell ref="A288:B288"/>
    <mergeCell ref="A289:B289"/>
    <mergeCell ref="A290:B290"/>
    <mergeCell ref="A291:B291"/>
    <mergeCell ref="A297:B297"/>
    <mergeCell ref="A220:B220"/>
    <mergeCell ref="A221:B221"/>
    <mergeCell ref="B131:B132"/>
    <mergeCell ref="A109:E109"/>
    <mergeCell ref="G127:H127"/>
    <mergeCell ref="A262:B262"/>
    <mergeCell ref="A287:H287"/>
    <mergeCell ref="A184:B184"/>
    <mergeCell ref="C184:H184"/>
    <mergeCell ref="C215:H215"/>
    <mergeCell ref="C216:H216"/>
    <mergeCell ref="A243:H243"/>
    <mergeCell ref="A244:B244"/>
    <mergeCell ref="A252:B252"/>
    <mergeCell ref="A253:B253"/>
    <mergeCell ref="A254:B254"/>
    <mergeCell ref="A272:H272"/>
    <mergeCell ref="A233:H233"/>
    <mergeCell ref="A234:B234"/>
    <mergeCell ref="A235:B235"/>
    <mergeCell ref="A236:B236"/>
    <mergeCell ref="A237:B237"/>
    <mergeCell ref="A277:H277"/>
    <mergeCell ref="A278:B278"/>
    <mergeCell ref="A279:B279"/>
    <mergeCell ref="A280:B280"/>
    <mergeCell ref="A281:B281"/>
    <mergeCell ref="A592:H592"/>
    <mergeCell ref="A191:B191"/>
    <mergeCell ref="A211:B211"/>
    <mergeCell ref="A212:B212"/>
    <mergeCell ref="A240:B240"/>
    <mergeCell ref="A241:B241"/>
    <mergeCell ref="A242:B242"/>
    <mergeCell ref="B582:H582"/>
    <mergeCell ref="A577:H577"/>
    <mergeCell ref="A264:H264"/>
    <mergeCell ref="A292:H292"/>
    <mergeCell ref="A371:H371"/>
    <mergeCell ref="A372:H372"/>
    <mergeCell ref="A373:B373"/>
    <mergeCell ref="A321:H321"/>
    <mergeCell ref="A322:B322"/>
    <mergeCell ref="A294:B294"/>
    <mergeCell ref="A295:B295"/>
    <mergeCell ref="A302:B302"/>
    <mergeCell ref="C302:H302"/>
    <mergeCell ref="A268:H268"/>
    <mergeCell ref="A269:B269"/>
    <mergeCell ref="A270:B270"/>
    <mergeCell ref="A271:B271"/>
    <mergeCell ref="A596:H596"/>
    <mergeCell ref="A593:H593"/>
    <mergeCell ref="A185:B185"/>
    <mergeCell ref="A121:B121"/>
    <mergeCell ref="D176:D177"/>
    <mergeCell ref="E176:E177"/>
    <mergeCell ref="F100:H100"/>
    <mergeCell ref="G116:H116"/>
    <mergeCell ref="F106:H106"/>
    <mergeCell ref="C113:D113"/>
    <mergeCell ref="C127:D127"/>
    <mergeCell ref="A179:H179"/>
    <mergeCell ref="A194:B194"/>
    <mergeCell ref="B587:H587"/>
    <mergeCell ref="A128:B128"/>
    <mergeCell ref="C128:D128"/>
    <mergeCell ref="E128:F128"/>
    <mergeCell ref="B586:H586"/>
    <mergeCell ref="B584:H584"/>
    <mergeCell ref="A303:H303"/>
    <mergeCell ref="A304:B304"/>
    <mergeCell ref="A305:B305"/>
    <mergeCell ref="A306:B306"/>
    <mergeCell ref="A308:B308"/>
    <mergeCell ref="A80:B80"/>
    <mergeCell ref="A50:B50"/>
    <mergeCell ref="C50:E50"/>
    <mergeCell ref="A114:B114"/>
    <mergeCell ref="G50:H50"/>
    <mergeCell ref="G52:H52"/>
    <mergeCell ref="A51:B51"/>
    <mergeCell ref="A55:H55"/>
    <mergeCell ref="A56:C56"/>
    <mergeCell ref="A57:C57"/>
    <mergeCell ref="D57:H57"/>
    <mergeCell ref="G54:H54"/>
    <mergeCell ref="C53:H53"/>
    <mergeCell ref="A52:B53"/>
    <mergeCell ref="D63:H63"/>
    <mergeCell ref="C52:E52"/>
    <mergeCell ref="A59:C63"/>
    <mergeCell ref="D59:H59"/>
    <mergeCell ref="D60:H60"/>
    <mergeCell ref="C51:E51"/>
    <mergeCell ref="A68:C68"/>
    <mergeCell ref="D69:H69"/>
    <mergeCell ref="A75:B75"/>
    <mergeCell ref="G74:H74"/>
    <mergeCell ref="I15:P15"/>
    <mergeCell ref="F109:H109"/>
    <mergeCell ref="F107:H107"/>
    <mergeCell ref="A130:H130"/>
    <mergeCell ref="G113:H113"/>
    <mergeCell ref="A108:E108"/>
    <mergeCell ref="A54:B54"/>
    <mergeCell ref="C54:E54"/>
    <mergeCell ref="D56:H56"/>
    <mergeCell ref="F108:H108"/>
    <mergeCell ref="E113:F113"/>
    <mergeCell ref="A113:B113"/>
    <mergeCell ref="A118:B118"/>
    <mergeCell ref="C121:D121"/>
    <mergeCell ref="D68:H68"/>
    <mergeCell ref="A69:C69"/>
    <mergeCell ref="E43:H43"/>
    <mergeCell ref="A43:D43"/>
    <mergeCell ref="A117:B117"/>
    <mergeCell ref="C117:D117"/>
    <mergeCell ref="E117:F117"/>
    <mergeCell ref="G117:H117"/>
    <mergeCell ref="A122:B122"/>
    <mergeCell ref="C122:D122"/>
    <mergeCell ref="A309:H309"/>
    <mergeCell ref="A310:B310"/>
    <mergeCell ref="A311:B311"/>
    <mergeCell ref="A312:B312"/>
    <mergeCell ref="A313:B313"/>
    <mergeCell ref="A314:B314"/>
    <mergeCell ref="A228:H228"/>
    <mergeCell ref="A229:B229"/>
    <mergeCell ref="A230:B230"/>
    <mergeCell ref="A231:B231"/>
    <mergeCell ref="A232:B232"/>
    <mergeCell ref="A255:H255"/>
    <mergeCell ref="A256:B256"/>
    <mergeCell ref="A257:B257"/>
    <mergeCell ref="A258:B258"/>
    <mergeCell ref="A282:H282"/>
    <mergeCell ref="A283:B283"/>
    <mergeCell ref="A284:B284"/>
    <mergeCell ref="A285:B285"/>
    <mergeCell ref="A300:B300"/>
    <mergeCell ref="A301:B301"/>
    <mergeCell ref="A238:H238"/>
    <mergeCell ref="A251:H251"/>
    <mergeCell ref="A286:B286"/>
    <mergeCell ref="E122:F122"/>
    <mergeCell ref="G122:H122"/>
    <mergeCell ref="A123:B123"/>
    <mergeCell ref="C123:D123"/>
    <mergeCell ref="E123:F123"/>
    <mergeCell ref="G123:H123"/>
    <mergeCell ref="C114:D114"/>
    <mergeCell ref="E114:F114"/>
    <mergeCell ref="G114:H114"/>
    <mergeCell ref="A115:B115"/>
    <mergeCell ref="C115:D115"/>
    <mergeCell ref="E115:F115"/>
    <mergeCell ref="G115:H115"/>
    <mergeCell ref="C118:D118"/>
    <mergeCell ref="E118:F118"/>
    <mergeCell ref="G118:H118"/>
    <mergeCell ref="A119:B119"/>
    <mergeCell ref="C119:D119"/>
    <mergeCell ref="E119:F119"/>
    <mergeCell ref="G119:H119"/>
    <mergeCell ref="C116:D116"/>
    <mergeCell ref="E116:F116"/>
    <mergeCell ref="G121:H121"/>
    <mergeCell ref="A85:B85"/>
    <mergeCell ref="C85:H85"/>
    <mergeCell ref="A87:B87"/>
    <mergeCell ref="C87:H87"/>
    <mergeCell ref="A88:B88"/>
    <mergeCell ref="E88:F88"/>
    <mergeCell ref="G88:H88"/>
    <mergeCell ref="A89:B89"/>
    <mergeCell ref="E89:F98"/>
    <mergeCell ref="G89:H98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501:B501"/>
    <mergeCell ref="A382:H382"/>
    <mergeCell ref="A383:B383"/>
    <mergeCell ref="A384:B384"/>
    <mergeCell ref="A385:B385"/>
    <mergeCell ref="A386:B386"/>
    <mergeCell ref="A436:H436"/>
    <mergeCell ref="A350:B350"/>
    <mergeCell ref="A402:H402"/>
    <mergeCell ref="A403:B403"/>
    <mergeCell ref="A404:B404"/>
    <mergeCell ref="A405:B405"/>
    <mergeCell ref="A406:B406"/>
    <mergeCell ref="A433:B433"/>
    <mergeCell ref="A434:B434"/>
    <mergeCell ref="A435:B435"/>
    <mergeCell ref="C433:H433"/>
    <mergeCell ref="A377:H377"/>
    <mergeCell ref="A378:B378"/>
    <mergeCell ref="A431:B431"/>
    <mergeCell ref="A358:B358"/>
    <mergeCell ref="A359:B359"/>
    <mergeCell ref="A360:B360"/>
    <mergeCell ref="A361:H361"/>
    <mergeCell ref="A432:H432"/>
    <mergeCell ref="A418:B418"/>
    <mergeCell ref="A419:B419"/>
    <mergeCell ref="A420:B420"/>
    <mergeCell ref="A421:B421"/>
    <mergeCell ref="A422:H422"/>
    <mergeCell ref="A423:B423"/>
    <mergeCell ref="A424:B424"/>
    <mergeCell ref="A425:B425"/>
    <mergeCell ref="A426:B426"/>
    <mergeCell ref="A430:B430"/>
    <mergeCell ref="A331:H331"/>
    <mergeCell ref="A332:B332"/>
    <mergeCell ref="A333:B333"/>
    <mergeCell ref="A334:B334"/>
    <mergeCell ref="A335:B335"/>
    <mergeCell ref="A387:H387"/>
    <mergeCell ref="A388:B388"/>
    <mergeCell ref="A389:B389"/>
    <mergeCell ref="A390:B390"/>
    <mergeCell ref="A362:B362"/>
    <mergeCell ref="A379:B379"/>
    <mergeCell ref="A380:B380"/>
    <mergeCell ref="A381:B381"/>
    <mergeCell ref="C379:H379"/>
    <mergeCell ref="C380:H380"/>
    <mergeCell ref="A363:B363"/>
    <mergeCell ref="A364:B364"/>
    <mergeCell ref="A365:B365"/>
    <mergeCell ref="A366:H366"/>
    <mergeCell ref="A367:B367"/>
    <mergeCell ref="A368:B368"/>
    <mergeCell ref="A369:B369"/>
    <mergeCell ref="A370:B370"/>
    <mergeCell ref="A357:B357"/>
    <mergeCell ref="A336:H336"/>
    <mergeCell ref="A337:B337"/>
    <mergeCell ref="A338:B338"/>
    <mergeCell ref="A339:B339"/>
    <mergeCell ref="A340:B340"/>
    <mergeCell ref="A392:H392"/>
    <mergeCell ref="A393:B393"/>
    <mergeCell ref="A394:B394"/>
    <mergeCell ref="A395:B395"/>
    <mergeCell ref="A391:B391"/>
    <mergeCell ref="A374:B374"/>
    <mergeCell ref="A375:B375"/>
    <mergeCell ref="A341:H341"/>
    <mergeCell ref="A342:B342"/>
    <mergeCell ref="A343:B343"/>
    <mergeCell ref="A344:B344"/>
    <mergeCell ref="A345:B345"/>
    <mergeCell ref="A346:H346"/>
    <mergeCell ref="A347:B347"/>
    <mergeCell ref="A348:B348"/>
    <mergeCell ref="A349:B349"/>
    <mergeCell ref="A437:B437"/>
    <mergeCell ref="A438:B438"/>
    <mergeCell ref="A439:B439"/>
    <mergeCell ref="A351:H351"/>
    <mergeCell ref="A547:H547"/>
    <mergeCell ref="A548:B548"/>
    <mergeCell ref="A549:B549"/>
    <mergeCell ref="A550:B550"/>
    <mergeCell ref="A551:B551"/>
    <mergeCell ref="A396:B396"/>
    <mergeCell ref="A444:H444"/>
    <mergeCell ref="A445:B445"/>
    <mergeCell ref="A446:B446"/>
    <mergeCell ref="A447:B447"/>
    <mergeCell ref="A493:H493"/>
    <mergeCell ref="A494:B494"/>
    <mergeCell ref="A541:H541"/>
    <mergeCell ref="A498:H498"/>
    <mergeCell ref="A440:H440"/>
    <mergeCell ref="A441:B441"/>
    <mergeCell ref="A442:B442"/>
    <mergeCell ref="A443:B443"/>
    <mergeCell ref="A488:H488"/>
    <mergeCell ref="A489:B489"/>
    <mergeCell ref="A491:B491"/>
    <mergeCell ref="A492:B492"/>
    <mergeCell ref="C480:H480"/>
    <mergeCell ref="C481:H481"/>
    <mergeCell ref="A472:H472"/>
    <mergeCell ref="A473:H473"/>
    <mergeCell ref="A474:B474"/>
    <mergeCell ref="A475:B475"/>
    <mergeCell ref="A476:B476"/>
    <mergeCell ref="A477:B477"/>
    <mergeCell ref="A478:H478"/>
    <mergeCell ref="A479:B479"/>
    <mergeCell ref="A480:B480"/>
    <mergeCell ref="A481:B481"/>
    <mergeCell ref="A490:B490"/>
    <mergeCell ref="A503:H503"/>
    <mergeCell ref="A504:B504"/>
    <mergeCell ref="A505:B505"/>
    <mergeCell ref="A506:B506"/>
    <mergeCell ref="A507:B507"/>
    <mergeCell ref="A553:H553"/>
    <mergeCell ref="A401:B401"/>
    <mergeCell ref="A407:H407"/>
    <mergeCell ref="A408:B408"/>
    <mergeCell ref="A409:B409"/>
    <mergeCell ref="A410:B410"/>
    <mergeCell ref="A411:B411"/>
    <mergeCell ref="A412:H412"/>
    <mergeCell ref="A413:B413"/>
    <mergeCell ref="A414:B414"/>
    <mergeCell ref="A415:B415"/>
    <mergeCell ref="A416:B416"/>
    <mergeCell ref="A417:H417"/>
    <mergeCell ref="A499:B499"/>
    <mergeCell ref="A500:B500"/>
    <mergeCell ref="A502:B502"/>
    <mergeCell ref="A495:B495"/>
    <mergeCell ref="A496:B496"/>
    <mergeCell ref="A497:B497"/>
    <mergeCell ref="A397:H397"/>
    <mergeCell ref="A398:B398"/>
    <mergeCell ref="A399:B399"/>
    <mergeCell ref="A400:B400"/>
    <mergeCell ref="A352:B352"/>
    <mergeCell ref="A353:B353"/>
    <mergeCell ref="A354:B354"/>
    <mergeCell ref="A355:B355"/>
    <mergeCell ref="A356:H356"/>
    <mergeCell ref="A457:B457"/>
    <mergeCell ref="A458:B458"/>
    <mergeCell ref="A459:B459"/>
    <mergeCell ref="A460:H460"/>
    <mergeCell ref="A461:B461"/>
    <mergeCell ref="A462:B462"/>
    <mergeCell ref="A448:H448"/>
    <mergeCell ref="A449:B449"/>
    <mergeCell ref="A450:B450"/>
    <mergeCell ref="A451:B451"/>
    <mergeCell ref="A452:H452"/>
    <mergeCell ref="A453:B453"/>
    <mergeCell ref="A454:B454"/>
    <mergeCell ref="A455:B455"/>
    <mergeCell ref="A456:H456"/>
    <mergeCell ref="A463:B463"/>
    <mergeCell ref="A464:H464"/>
    <mergeCell ref="A465:B465"/>
    <mergeCell ref="A466:B466"/>
    <mergeCell ref="A467:B467"/>
    <mergeCell ref="A468:H468"/>
    <mergeCell ref="A469:B469"/>
    <mergeCell ref="A470:B470"/>
    <mergeCell ref="A471:B471"/>
    <mergeCell ref="A508:H508"/>
    <mergeCell ref="A509:B509"/>
    <mergeCell ref="A510:B510"/>
    <mergeCell ref="A511:B511"/>
    <mergeCell ref="A512:B512"/>
    <mergeCell ref="A513:H513"/>
    <mergeCell ref="A514:B514"/>
    <mergeCell ref="A515:B515"/>
    <mergeCell ref="A516:B516"/>
    <mergeCell ref="A517:B517"/>
    <mergeCell ref="A518:H518"/>
    <mergeCell ref="A519:B519"/>
    <mergeCell ref="A520:B520"/>
    <mergeCell ref="A521:B521"/>
    <mergeCell ref="A522:B522"/>
    <mergeCell ref="A523:H523"/>
    <mergeCell ref="A524:B524"/>
    <mergeCell ref="A525:B525"/>
    <mergeCell ref="A526:B526"/>
    <mergeCell ref="A527:B527"/>
    <mergeCell ref="A554:B554"/>
    <mergeCell ref="A555:B555"/>
    <mergeCell ref="A556:B556"/>
    <mergeCell ref="A557:B557"/>
    <mergeCell ref="A558:B558"/>
    <mergeCell ref="A559:H559"/>
    <mergeCell ref="A560:B560"/>
    <mergeCell ref="A542:B542"/>
    <mergeCell ref="A544:B544"/>
    <mergeCell ref="A545:B545"/>
    <mergeCell ref="A546:B546"/>
    <mergeCell ref="A552:B552"/>
    <mergeCell ref="A570:B570"/>
    <mergeCell ref="A571:H571"/>
    <mergeCell ref="A572:B572"/>
    <mergeCell ref="A573:B573"/>
    <mergeCell ref="A574:B574"/>
    <mergeCell ref="A575:B575"/>
    <mergeCell ref="A576:B576"/>
    <mergeCell ref="B590:H590"/>
    <mergeCell ref="A561:B561"/>
    <mergeCell ref="A562:B562"/>
    <mergeCell ref="A563:B563"/>
    <mergeCell ref="A564:B564"/>
    <mergeCell ref="A565:H565"/>
    <mergeCell ref="A566:B566"/>
    <mergeCell ref="A567:B567"/>
    <mergeCell ref="A568:B568"/>
    <mergeCell ref="A569:B569"/>
    <mergeCell ref="B580:H580"/>
    <mergeCell ref="B589:H589"/>
    <mergeCell ref="B579:H579"/>
    <mergeCell ref="B581:H581"/>
    <mergeCell ref="B583:H583"/>
    <mergeCell ref="B585:H585"/>
    <mergeCell ref="B588:H588"/>
  </mergeCells>
  <dataValidations count="15">
    <dataValidation type="list" allowBlank="1" showInputMessage="1" showErrorMessage="1" sqref="E5:H5">
      <formula1>OFFSET($L$3,1,MATCH($E4,$L$3:$P$3,0)-1,10,1)</formula1>
    </dataValidation>
    <dataValidation type="list" allowBlank="1" showInputMessage="1" showErrorMessage="1" sqref="A17:B17">
      <formula1>"CTS No,Survey No,Plot No,Gut No,FP No,"</formula1>
    </dataValidation>
    <dataValidation type="list" allowBlank="1" showInputMessage="1" showErrorMessage="1" sqref="G20:H20">
      <formula1>$S$13:$W$13</formula1>
    </dataValidation>
    <dataValidation type="list" allowBlank="1" showInputMessage="1" showErrorMessage="1" sqref="E131:E132">
      <formula1>"Attached Loft area,Attached Otla area,Attached Mezzanine area"</formula1>
    </dataValidation>
    <dataValidation type="list" allowBlank="1" showInputMessage="1" showErrorMessage="1" sqref="G598:H598">
      <formula1>"Kunal Kadam,Pranita Mhatre,Shruti Fule,Pooja Kawale,Mansee Mohite,Shruti Tathare, Hitakshi Mhatre, Sachin Sawant"</formula1>
    </dataValidation>
    <dataValidation type="list" allowBlank="1" showInputMessage="1" showErrorMessage="1" sqref="F99:H99">
      <formula1>"On Saleable Area,On Builtup Area,On Carpet Area,On Plot Area"</formula1>
    </dataValidation>
    <dataValidation type="list" allowBlank="1" showInputMessage="1" showErrorMessage="1" sqref="F110:H110">
      <formula1>"100000,150000,200000,250000,300000,350000,400000,500000,600000,700000,800000,900000,1000000,1200000,1400000,1500000"</formula1>
    </dataValidation>
    <dataValidation type="list" allowBlank="1" showInputMessage="1" showErrorMessage="1" sqref="B131:B132">
      <formula1>"Shop No. (Sale Plan),Sale / Rehab,Sale / Mhada"</formula1>
    </dataValidation>
    <dataValidation type="list" allowBlank="1" showInputMessage="1" showErrorMessage="1" sqref="B176:B177">
      <formula1>"Flat No. (Sale Plan),Sale / Rehab,Sale / Mhada"</formula1>
    </dataValidation>
    <dataValidation type="list" allowBlank="1" showInputMessage="1" showErrorMessage="1" sqref="C21:D21">
      <formula1>OFFSET($S$13,1,MATCH($G20,$S$13:$W$13,0)-1,15,1)</formula1>
    </dataValidation>
    <dataValidation type="list" allowBlank="1" showInputMessage="1" showErrorMessage="1" sqref="Y13">
      <formula1>$D$5:$H$5</formula1>
    </dataValidation>
    <dataValidation type="list" allowBlank="1" showInputMessage="1" showErrorMessage="1" sqref="E176:E177">
      <formula1>"Fungible area,Balcony Area,Chajja Area+ Sevice Slab,Cornice Area,AP Area,WS Area"</formula1>
    </dataValidation>
    <dataValidation type="list" allowBlank="1" showInputMessage="1" showErrorMessage="1" sqref="H132 H177">
      <formula1>".45,.50,.55,.60"</formula1>
    </dataValidation>
    <dataValidation type="list" allowBlank="1" showInputMessage="1" showErrorMessage="1" sqref="E4:H4">
      <formula1>$L$3:$P$3</formula1>
    </dataValidation>
    <dataValidation type="list" allowBlank="1" showInputMessage="1" showErrorMessage="1" sqref="C49:H49">
      <formula1>OFFSET($S$49,1,MATCH($G20,$S$49:$W$49,0)-1,15,1)</formula1>
    </dataValidation>
  </dataValidations>
  <hyperlinks>
    <hyperlink ref="C40" r:id="rId1"/>
    <hyperlink ref="I65" r:id="rId2"/>
  </hyperlinks>
  <printOptions horizontalCentered="1"/>
  <pageMargins left="0.39370078740157483" right="0.39370078740157483" top="0.82677165354330717" bottom="0.78740157480314965" header="0.15748031496062992" footer="0.19685039370078741"/>
  <pageSetup paperSize="2" scale="97" fitToHeight="0" orientation="portrait" r:id="rId3"/>
  <headerFooter>
    <oddHeader>&amp;C&amp;G</oddHeader>
    <oddFooter>&amp;L&amp;"Times New Roman,Bold"&amp;12Ref No: &amp;F&amp;C&amp;G&amp;R&amp;"Times New Roman,Bold"&amp;12&amp;P</oddFooter>
  </headerFooter>
  <rowBreaks count="5" manualBreakCount="5">
    <brk id="70" max="16383" man="1"/>
    <brk id="590" max="7" man="1"/>
    <brk id="602" max="7" man="1"/>
    <brk id="644" max="7" man="1"/>
    <brk id="686" max="7" man="1"/>
  </rowBreaks>
  <drawing r:id="rId4"/>
  <legacyDrawing r:id="rId5"/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2" workbookViewId="0">
      <selection activeCell="T11" sqref="T11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K3" sqref="K3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29" t="s">
        <v>104</v>
      </c>
      <c r="C3" s="229"/>
      <c r="D3" s="229"/>
      <c r="E3" s="229"/>
      <c r="F3" s="229"/>
      <c r="G3" s="229"/>
      <c r="H3" s="229"/>
    </row>
    <row r="4" spans="1:9" x14ac:dyDescent="0.25">
      <c r="A4" s="2"/>
      <c r="B4" s="3" t="s">
        <v>105</v>
      </c>
      <c r="C4" s="3" t="s">
        <v>106</v>
      </c>
      <c r="D4" s="3" t="s">
        <v>66</v>
      </c>
      <c r="E4" s="3" t="s">
        <v>107</v>
      </c>
      <c r="F4" s="3" t="s">
        <v>113</v>
      </c>
      <c r="G4" s="3" t="s">
        <v>114</v>
      </c>
      <c r="H4" s="3" t="s">
        <v>108</v>
      </c>
    </row>
    <row r="5" spans="1:9" ht="15" customHeight="1" x14ac:dyDescent="0.25">
      <c r="A5" s="2"/>
      <c r="B5" s="5" t="s">
        <v>109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109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109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109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109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110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110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111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112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K69"/>
  <sheetViews>
    <sheetView topLeftCell="A55" zoomScale="130" zoomScaleNormal="130" workbookViewId="0">
      <selection activeCell="C43" sqref="C43:D69"/>
    </sheetView>
  </sheetViews>
  <sheetFormatPr defaultRowHeight="15" x14ac:dyDescent="0.25"/>
  <cols>
    <col min="4" max="4" width="13.85546875" bestFit="1" customWidth="1"/>
    <col min="5" max="5" width="10.42578125" bestFit="1" customWidth="1"/>
    <col min="6" max="6" width="12.42578125" bestFit="1" customWidth="1"/>
    <col min="7" max="7" width="18.140625" customWidth="1"/>
    <col min="8" max="8" width="10.5703125" bestFit="1" customWidth="1"/>
  </cols>
  <sheetData>
    <row r="3" spans="2:11" x14ac:dyDescent="0.25">
      <c r="J3">
        <v>1</v>
      </c>
      <c r="K3">
        <v>2</v>
      </c>
    </row>
    <row r="4" spans="2:11" x14ac:dyDescent="0.25">
      <c r="B4" s="47"/>
      <c r="C4" s="47" t="s">
        <v>11</v>
      </c>
      <c r="D4" s="48" t="s">
        <v>177</v>
      </c>
      <c r="E4" s="48" t="s">
        <v>187</v>
      </c>
      <c r="F4" s="48" t="s">
        <v>170</v>
      </c>
      <c r="G4" s="48" t="s">
        <v>192</v>
      </c>
      <c r="H4" s="48" t="s">
        <v>210</v>
      </c>
      <c r="J4" t="s">
        <v>192</v>
      </c>
      <c r="K4" t="s">
        <v>208</v>
      </c>
    </row>
    <row r="5" spans="2:11" x14ac:dyDescent="0.25">
      <c r="B5" s="47"/>
      <c r="C5" s="47"/>
      <c r="D5" s="48" t="s">
        <v>178</v>
      </c>
      <c r="E5" s="48" t="s">
        <v>185</v>
      </c>
      <c r="F5" s="48" t="s">
        <v>207</v>
      </c>
      <c r="G5" s="48" t="s">
        <v>193</v>
      </c>
      <c r="H5" s="48" t="s">
        <v>211</v>
      </c>
    </row>
    <row r="6" spans="2:11" x14ac:dyDescent="0.25">
      <c r="B6" s="47"/>
      <c r="C6" s="47"/>
      <c r="D6" s="48" t="s">
        <v>179</v>
      </c>
      <c r="E6" s="48" t="s">
        <v>186</v>
      </c>
      <c r="F6" s="48" t="s">
        <v>208</v>
      </c>
      <c r="G6" s="48" t="s">
        <v>194</v>
      </c>
      <c r="H6" s="48" t="s">
        <v>224</v>
      </c>
    </row>
    <row r="7" spans="2:11" x14ac:dyDescent="0.25">
      <c r="B7" s="47"/>
      <c r="C7" s="47"/>
      <c r="D7" s="48" t="s">
        <v>180</v>
      </c>
      <c r="E7" s="48" t="s">
        <v>188</v>
      </c>
      <c r="F7" s="48" t="s">
        <v>209</v>
      </c>
      <c r="G7" s="48" t="s">
        <v>195</v>
      </c>
      <c r="H7" s="48" t="s">
        <v>212</v>
      </c>
    </row>
    <row r="8" spans="2:11" x14ac:dyDescent="0.25">
      <c r="B8" s="47"/>
      <c r="C8" s="47"/>
      <c r="D8" s="48" t="s">
        <v>181</v>
      </c>
      <c r="E8" s="48" t="s">
        <v>189</v>
      </c>
      <c r="F8" s="48"/>
      <c r="G8" s="48" t="s">
        <v>196</v>
      </c>
      <c r="H8" s="48" t="s">
        <v>213</v>
      </c>
    </row>
    <row r="9" spans="2:11" x14ac:dyDescent="0.25">
      <c r="B9" s="47"/>
      <c r="C9" s="47"/>
      <c r="D9" s="48" t="s">
        <v>182</v>
      </c>
      <c r="E9" s="48" t="s">
        <v>187</v>
      </c>
      <c r="F9" s="48"/>
      <c r="G9" s="48" t="s">
        <v>197</v>
      </c>
      <c r="H9" s="48" t="s">
        <v>214</v>
      </c>
    </row>
    <row r="10" spans="2:11" x14ac:dyDescent="0.25">
      <c r="B10" s="47"/>
      <c r="C10" s="47"/>
      <c r="D10" s="48" t="s">
        <v>183</v>
      </c>
      <c r="E10" s="48" t="s">
        <v>190</v>
      </c>
      <c r="F10" s="48"/>
      <c r="G10" s="48" t="s">
        <v>198</v>
      </c>
      <c r="H10" s="48" t="s">
        <v>215</v>
      </c>
    </row>
    <row r="11" spans="2:11" x14ac:dyDescent="0.25">
      <c r="B11" s="47"/>
      <c r="C11" s="47"/>
      <c r="D11" s="48" t="s">
        <v>184</v>
      </c>
      <c r="E11" s="48" t="s">
        <v>191</v>
      </c>
      <c r="F11" s="48"/>
      <c r="G11" s="48" t="s">
        <v>199</v>
      </c>
      <c r="H11" s="48" t="s">
        <v>216</v>
      </c>
    </row>
    <row r="12" spans="2:11" x14ac:dyDescent="0.25">
      <c r="B12" s="47"/>
      <c r="C12" s="47"/>
      <c r="D12" s="48"/>
      <c r="E12" s="48"/>
      <c r="F12" s="48"/>
      <c r="G12" s="48" t="s">
        <v>200</v>
      </c>
      <c r="H12" s="48" t="s">
        <v>217</v>
      </c>
    </row>
    <row r="13" spans="2:11" x14ac:dyDescent="0.25">
      <c r="B13" s="47"/>
      <c r="C13" s="47"/>
      <c r="D13" s="48"/>
      <c r="E13" s="48"/>
      <c r="F13" s="48"/>
      <c r="G13" s="48" t="s">
        <v>201</v>
      </c>
      <c r="H13" s="48" t="s">
        <v>218</v>
      </c>
    </row>
    <row r="14" spans="2:11" x14ac:dyDescent="0.25">
      <c r="B14" s="47"/>
      <c r="C14" s="47"/>
      <c r="D14" s="48"/>
      <c r="E14" s="48"/>
      <c r="F14" s="48"/>
      <c r="G14" s="48" t="s">
        <v>202</v>
      </c>
      <c r="H14" s="48" t="s">
        <v>219</v>
      </c>
    </row>
    <row r="15" spans="2:11" x14ac:dyDescent="0.25">
      <c r="B15" s="47"/>
      <c r="C15" s="47"/>
      <c r="D15" s="48"/>
      <c r="E15" s="48"/>
      <c r="F15" s="48"/>
      <c r="G15" s="48" t="s">
        <v>203</v>
      </c>
      <c r="H15" s="48" t="s">
        <v>220</v>
      </c>
    </row>
    <row r="16" spans="2:11" x14ac:dyDescent="0.25">
      <c r="B16" s="47"/>
      <c r="C16" s="47"/>
      <c r="D16" s="48"/>
      <c r="E16" s="48"/>
      <c r="F16" s="48"/>
      <c r="G16" s="48" t="s">
        <v>204</v>
      </c>
      <c r="H16" s="48" t="s">
        <v>221</v>
      </c>
    </row>
    <row r="17" spans="2:8" x14ac:dyDescent="0.25">
      <c r="B17" s="47"/>
      <c r="C17" s="47"/>
      <c r="D17" s="48"/>
      <c r="E17" s="48"/>
      <c r="F17" s="48"/>
      <c r="G17" s="48" t="s">
        <v>205</v>
      </c>
      <c r="H17" s="48" t="s">
        <v>222</v>
      </c>
    </row>
    <row r="18" spans="2:8" x14ac:dyDescent="0.25">
      <c r="B18" s="47"/>
      <c r="C18" s="47"/>
      <c r="D18" s="48"/>
      <c r="E18" s="48"/>
      <c r="F18" s="48"/>
      <c r="G18" s="48" t="s">
        <v>206</v>
      </c>
      <c r="H18" s="48" t="s">
        <v>223</v>
      </c>
    </row>
    <row r="24" spans="2:8" x14ac:dyDescent="0.25">
      <c r="C24" t="s">
        <v>167</v>
      </c>
    </row>
    <row r="25" spans="2:8" x14ac:dyDescent="0.25">
      <c r="C25" t="s">
        <v>225</v>
      </c>
    </row>
    <row r="26" spans="2:8" x14ac:dyDescent="0.25">
      <c r="C26" t="s">
        <v>226</v>
      </c>
    </row>
    <row r="27" spans="2:8" x14ac:dyDescent="0.25">
      <c r="C27" t="s">
        <v>227</v>
      </c>
    </row>
    <row r="28" spans="2:8" x14ac:dyDescent="0.25">
      <c r="C28" t="s">
        <v>228</v>
      </c>
    </row>
    <row r="29" spans="2:8" x14ac:dyDescent="0.25">
      <c r="C29" t="s">
        <v>229</v>
      </c>
    </row>
    <row r="30" spans="2:8" x14ac:dyDescent="0.25">
      <c r="C30" t="s">
        <v>167</v>
      </c>
    </row>
    <row r="33" spans="3:11" x14ac:dyDescent="0.25">
      <c r="J33">
        <v>1</v>
      </c>
      <c r="K33">
        <v>2</v>
      </c>
    </row>
    <row r="34" spans="3:11" x14ac:dyDescent="0.25">
      <c r="C34" s="49" t="s">
        <v>234</v>
      </c>
      <c r="D34" s="48" t="s">
        <v>232</v>
      </c>
      <c r="E34" s="48" t="s">
        <v>237</v>
      </c>
      <c r="F34" s="48" t="s">
        <v>235</v>
      </c>
      <c r="G34" s="48" t="s">
        <v>236</v>
      </c>
      <c r="H34" s="48" t="s">
        <v>238</v>
      </c>
      <c r="J34" t="s">
        <v>192</v>
      </c>
      <c r="K34" t="s">
        <v>208</v>
      </c>
    </row>
    <row r="35" spans="3:11" x14ac:dyDescent="0.25">
      <c r="C35" s="47" t="s">
        <v>233</v>
      </c>
      <c r="D35" s="48" t="s">
        <v>168</v>
      </c>
      <c r="E35" s="48" t="s">
        <v>242</v>
      </c>
      <c r="F35" s="48" t="s">
        <v>244</v>
      </c>
      <c r="G35" s="48" t="s">
        <v>246</v>
      </c>
      <c r="H35" s="48"/>
    </row>
    <row r="36" spans="3:11" x14ac:dyDescent="0.25">
      <c r="C36" s="47"/>
      <c r="D36" s="48" t="s">
        <v>239</v>
      </c>
      <c r="E36" s="48" t="s">
        <v>243</v>
      </c>
      <c r="F36" s="48" t="s">
        <v>245</v>
      </c>
      <c r="G36" s="48" t="s">
        <v>247</v>
      </c>
      <c r="H36" s="48"/>
    </row>
    <row r="37" spans="3:11" x14ac:dyDescent="0.25">
      <c r="C37" s="47"/>
      <c r="D37" s="48" t="s">
        <v>240</v>
      </c>
      <c r="E37" s="48"/>
      <c r="F37" s="48"/>
      <c r="G37" s="48" t="s">
        <v>248</v>
      </c>
      <c r="H37" s="48"/>
    </row>
    <row r="38" spans="3:11" x14ac:dyDescent="0.25">
      <c r="C38" s="47"/>
      <c r="D38" s="48" t="s">
        <v>241</v>
      </c>
      <c r="E38" s="48"/>
      <c r="F38" s="48"/>
      <c r="G38" s="48" t="s">
        <v>248</v>
      </c>
      <c r="H38" s="48"/>
    </row>
    <row r="39" spans="3:11" x14ac:dyDescent="0.25">
      <c r="C39" s="47"/>
      <c r="D39" s="48"/>
      <c r="E39" s="48"/>
      <c r="F39" s="48"/>
      <c r="G39" s="48" t="s">
        <v>249</v>
      </c>
      <c r="H39" s="48"/>
    </row>
    <row r="40" spans="3:11" x14ac:dyDescent="0.25">
      <c r="C40" s="47"/>
      <c r="D40" s="48"/>
      <c r="E40" s="48"/>
      <c r="F40" s="48"/>
      <c r="G40" s="48" t="s">
        <v>250</v>
      </c>
      <c r="H40" s="48"/>
    </row>
    <row r="41" spans="3:11" x14ac:dyDescent="0.25">
      <c r="C41" s="47"/>
      <c r="D41" s="48"/>
      <c r="E41" s="48"/>
      <c r="F41" s="48"/>
      <c r="G41" s="48"/>
      <c r="H41" s="48"/>
    </row>
    <row r="43" spans="3:11" x14ac:dyDescent="0.25">
      <c r="C43" t="s">
        <v>251</v>
      </c>
    </row>
    <row r="44" spans="3:11" x14ac:dyDescent="0.25">
      <c r="C44" t="s">
        <v>170</v>
      </c>
      <c r="D44" t="s">
        <v>252</v>
      </c>
    </row>
    <row r="45" spans="3:11" x14ac:dyDescent="0.25">
      <c r="D45" t="s">
        <v>253</v>
      </c>
    </row>
    <row r="46" spans="3:11" x14ac:dyDescent="0.25">
      <c r="D46" t="s">
        <v>254</v>
      </c>
    </row>
    <row r="47" spans="3:11" x14ac:dyDescent="0.25">
      <c r="D47" t="s">
        <v>255</v>
      </c>
    </row>
    <row r="48" spans="3:11" x14ac:dyDescent="0.25">
      <c r="D48" t="s">
        <v>256</v>
      </c>
    </row>
    <row r="49" spans="3:4" x14ac:dyDescent="0.25">
      <c r="C49" t="s">
        <v>177</v>
      </c>
      <c r="D49" t="s">
        <v>257</v>
      </c>
    </row>
    <row r="50" spans="3:4" x14ac:dyDescent="0.25">
      <c r="D50" t="s">
        <v>258</v>
      </c>
    </row>
    <row r="51" spans="3:4" x14ac:dyDescent="0.25">
      <c r="D51" t="s">
        <v>259</v>
      </c>
    </row>
    <row r="52" spans="3:4" x14ac:dyDescent="0.25">
      <c r="D52" t="s">
        <v>262</v>
      </c>
    </row>
    <row r="53" spans="3:4" x14ac:dyDescent="0.25">
      <c r="D53" t="s">
        <v>260</v>
      </c>
    </row>
    <row r="54" spans="3:4" x14ac:dyDescent="0.25">
      <c r="D54" t="s">
        <v>261</v>
      </c>
    </row>
    <row r="55" spans="3:4" x14ac:dyDescent="0.25">
      <c r="D55" t="s">
        <v>263</v>
      </c>
    </row>
    <row r="56" spans="3:4" x14ac:dyDescent="0.25">
      <c r="D56" t="s">
        <v>264</v>
      </c>
    </row>
    <row r="57" spans="3:4" x14ac:dyDescent="0.25">
      <c r="D57" t="s">
        <v>265</v>
      </c>
    </row>
    <row r="58" spans="3:4" x14ac:dyDescent="0.25">
      <c r="D58" t="s">
        <v>267</v>
      </c>
    </row>
    <row r="59" spans="3:4" x14ac:dyDescent="0.25">
      <c r="D59" t="s">
        <v>276</v>
      </c>
    </row>
    <row r="60" spans="3:4" x14ac:dyDescent="0.25">
      <c r="C60" t="s">
        <v>192</v>
      </c>
      <c r="D60" t="s">
        <v>268</v>
      </c>
    </row>
    <row r="61" spans="3:4" x14ac:dyDescent="0.25">
      <c r="D61" t="s">
        <v>266</v>
      </c>
    </row>
    <row r="62" spans="3:4" x14ac:dyDescent="0.25">
      <c r="D62" t="s">
        <v>256</v>
      </c>
    </row>
    <row r="63" spans="3:4" x14ac:dyDescent="0.25">
      <c r="D63" t="s">
        <v>269</v>
      </c>
    </row>
    <row r="64" spans="3:4" x14ac:dyDescent="0.25">
      <c r="D64" t="s">
        <v>270</v>
      </c>
    </row>
    <row r="65" spans="3:4" x14ac:dyDescent="0.25">
      <c r="D65" t="s">
        <v>271</v>
      </c>
    </row>
    <row r="66" spans="3:4" x14ac:dyDescent="0.25">
      <c r="D66" t="s">
        <v>272</v>
      </c>
    </row>
    <row r="67" spans="3:4" x14ac:dyDescent="0.25">
      <c r="C67" t="s">
        <v>187</v>
      </c>
      <c r="D67" t="s">
        <v>273</v>
      </c>
    </row>
    <row r="68" spans="3:4" x14ac:dyDescent="0.25">
      <c r="D68" t="s">
        <v>274</v>
      </c>
    </row>
    <row r="69" spans="3:4" x14ac:dyDescent="0.25">
      <c r="D69" t="s">
        <v>275</v>
      </c>
    </row>
  </sheetData>
  <dataValidations count="2">
    <dataValidation type="list" allowBlank="1" showInputMessage="1" showErrorMessage="1" sqref="J4 J34">
      <formula1>$D$4:$H$4</formula1>
    </dataValidation>
    <dataValidation type="list" allowBlank="1" showInputMessage="1" showErrorMessage="1" sqref="K4 K34">
      <formula1>OFFSET($D$4,1,MATCH($J4,$D$4:$H$4,0)-1,15,1)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Sale Plan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VSJC-06</cp:lastModifiedBy>
  <cp:lastPrinted>2025-09-11T12:04:25Z</cp:lastPrinted>
  <dcterms:created xsi:type="dcterms:W3CDTF">2019-07-16T09:29:46Z</dcterms:created>
  <dcterms:modified xsi:type="dcterms:W3CDTF">2025-09-11T12:14:25Z</dcterms:modified>
</cp:coreProperties>
</file>