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CE6303B4-E1BF-41CE-89D9-F3FEA2A88D3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7" i="1" l="1"/>
  <c r="D196" i="1"/>
  <c r="D184" i="1"/>
  <c r="D183" i="1"/>
  <c r="I131" i="1"/>
  <c r="I130" i="1"/>
  <c r="D172" i="1" l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G166" i="1"/>
  <c r="D166" i="1"/>
  <c r="F166" i="1" s="1"/>
  <c r="D201" i="1"/>
  <c r="F201" i="1" s="1"/>
  <c r="D200" i="1"/>
  <c r="F200" i="1" s="1"/>
  <c r="D199" i="1"/>
  <c r="F199" i="1" s="1"/>
  <c r="D198" i="1"/>
  <c r="F198" i="1" s="1"/>
  <c r="F197" i="1"/>
  <c r="F196" i="1"/>
  <c r="D195" i="1"/>
  <c r="F195" i="1" s="1"/>
  <c r="D194" i="1"/>
  <c r="F194" i="1" s="1"/>
  <c r="D193" i="1"/>
  <c r="F193" i="1" s="1"/>
  <c r="D192" i="1"/>
  <c r="F192" i="1" s="1"/>
  <c r="G191" i="1"/>
  <c r="D191" i="1"/>
  <c r="F191" i="1" s="1"/>
  <c r="D179" i="1"/>
  <c r="D178" i="1"/>
  <c r="I178" i="1"/>
  <c r="D189" i="1"/>
  <c r="D188" i="1"/>
  <c r="D187" i="1"/>
  <c r="D186" i="1"/>
  <c r="D185" i="1"/>
  <c r="D182" i="1"/>
  <c r="D181" i="1"/>
  <c r="D180" i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G157" i="1"/>
  <c r="D157" i="1"/>
  <c r="F157" i="1" s="1"/>
  <c r="E155" i="1"/>
  <c r="E154" i="1"/>
  <c r="D148" i="1"/>
  <c r="C131" i="1" l="1"/>
  <c r="E131" i="1"/>
  <c r="G49" i="1"/>
  <c r="C95" i="1" l="1"/>
  <c r="E108" i="1"/>
  <c r="E107" i="1"/>
  <c r="J106" i="1"/>
  <c r="E106" i="1"/>
  <c r="J105" i="1"/>
  <c r="E105" i="1"/>
  <c r="J104" i="1"/>
  <c r="E104" i="1"/>
  <c r="J103" i="1"/>
  <c r="E103" i="1"/>
  <c r="E102" i="1"/>
  <c r="E101" i="1"/>
  <c r="E99" i="1"/>
  <c r="H96" i="1"/>
  <c r="F103" i="1" l="1"/>
  <c r="J100" i="1"/>
  <c r="J98" i="1"/>
  <c r="F106" i="1"/>
  <c r="F108" i="1"/>
  <c r="F104" i="1"/>
  <c r="J101" i="1"/>
  <c r="J102" i="1" s="1"/>
  <c r="J107" i="1" s="1"/>
  <c r="F101" i="1"/>
  <c r="J95" i="1"/>
  <c r="J97" i="1" s="1"/>
  <c r="F105" i="1"/>
  <c r="F102" i="1"/>
  <c r="J99" i="1"/>
  <c r="F107" i="1"/>
  <c r="F99" i="1"/>
  <c r="J108" i="1" l="1"/>
  <c r="C100" i="1" l="1"/>
  <c r="J96" i="1" s="1"/>
  <c r="D100" i="1"/>
  <c r="E100" i="1" l="1"/>
  <c r="F189" i="1"/>
  <c r="F188" i="1"/>
  <c r="I188" i="1" s="1"/>
  <c r="F187" i="1"/>
  <c r="F186" i="1"/>
  <c r="I186" i="1" s="1"/>
  <c r="F184" i="1"/>
  <c r="F183" i="1"/>
  <c r="F182" i="1"/>
  <c r="I182" i="1" s="1"/>
  <c r="F181" i="1"/>
  <c r="F180" i="1"/>
  <c r="F179" i="1"/>
  <c r="F185" i="1"/>
  <c r="I185" i="1" s="1"/>
  <c r="G178" i="1"/>
  <c r="D155" i="1"/>
  <c r="F155" i="1" s="1"/>
  <c r="D154" i="1"/>
  <c r="F154" i="1" s="1"/>
  <c r="D153" i="1"/>
  <c r="F153" i="1" s="1"/>
  <c r="I153" i="1" s="1"/>
  <c r="D152" i="1"/>
  <c r="F152" i="1" s="1"/>
  <c r="I152" i="1" s="1"/>
  <c r="D151" i="1"/>
  <c r="D150" i="1"/>
  <c r="D149" i="1"/>
  <c r="I148" i="1"/>
  <c r="C130" i="1" l="1"/>
  <c r="C132" i="1" s="1"/>
  <c r="E130" i="1"/>
  <c r="G99" i="1"/>
  <c r="F100" i="1"/>
  <c r="I96" i="1" s="1"/>
  <c r="H99" i="1"/>
  <c r="F178" i="1"/>
  <c r="G131" i="1" s="1"/>
  <c r="C14" i="1"/>
  <c r="E132" i="1" l="1"/>
  <c r="I97" i="1"/>
  <c r="I95" i="1" s="1"/>
  <c r="C97" i="1" s="1"/>
  <c r="J178" i="1"/>
  <c r="E29" i="1"/>
  <c r="F149" i="1" l="1"/>
  <c r="F150" i="1"/>
  <c r="I150" i="1" s="1"/>
  <c r="F151" i="1"/>
  <c r="I151" i="1" s="1"/>
  <c r="F148" i="1"/>
  <c r="G148" i="1"/>
  <c r="G130" i="1" l="1"/>
  <c r="F122" i="1"/>
  <c r="F139" i="1" l="1"/>
  <c r="F140" i="1"/>
  <c r="F141" i="1"/>
  <c r="F138" i="1"/>
  <c r="B205" i="1" l="1"/>
  <c r="G132" i="1" l="1"/>
  <c r="B20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7" i="1"/>
  <c r="A139" i="1"/>
  <c r="A140" i="1" s="1"/>
  <c r="A141" i="1" s="1"/>
  <c r="G138" i="1"/>
  <c r="G139" i="1" s="1"/>
  <c r="G140" i="1" s="1"/>
  <c r="G141" i="1" s="1"/>
  <c r="J92" i="1"/>
  <c r="J91" i="1"/>
  <c r="J90" i="1"/>
  <c r="J89" i="1"/>
  <c r="J78" i="1"/>
  <c r="J77" i="1"/>
  <c r="J76" i="1"/>
  <c r="J75" i="1"/>
  <c r="C67" i="1"/>
  <c r="D54" i="1"/>
  <c r="C49" i="1"/>
  <c r="E42" i="1"/>
  <c r="E43" i="1" s="1"/>
  <c r="E26" i="1"/>
  <c r="E24" i="1"/>
  <c r="E7" i="1"/>
  <c r="E3" i="1"/>
  <c r="H82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81" i="1"/>
  <c r="J83" i="1" s="1"/>
  <c r="J85" i="1"/>
  <c r="D94" i="1"/>
  <c r="D92" i="1"/>
  <c r="D90" i="1"/>
  <c r="D88" i="1"/>
  <c r="J86" i="1"/>
  <c r="C85" i="1" s="1"/>
  <c r="J84" i="1"/>
  <c r="J87" i="1"/>
  <c r="J88" i="1" s="1"/>
  <c r="J93" i="1" s="1"/>
  <c r="D93" i="1"/>
  <c r="D91" i="1"/>
  <c r="D89" i="1"/>
  <c r="J94" i="1" l="1"/>
  <c r="C86" i="1" s="1"/>
  <c r="E85" i="1" s="1"/>
  <c r="D87" i="1"/>
  <c r="D85" i="1"/>
  <c r="D73" i="1"/>
  <c r="J69" i="1"/>
  <c r="E71" i="1"/>
  <c r="D72" i="1"/>
  <c r="G71" i="1"/>
  <c r="D65" i="1" s="1"/>
  <c r="D66" i="1" s="1"/>
  <c r="D71" i="1"/>
  <c r="G85" i="1" l="1"/>
  <c r="D86" i="1"/>
  <c r="I82" i="1" s="1"/>
  <c r="I68" i="1"/>
  <c r="J68" i="1"/>
  <c r="J82" i="1"/>
  <c r="F66" i="1"/>
  <c r="I69" i="1" l="1"/>
  <c r="I67" i="1" s="1"/>
  <c r="C69" i="1" s="1"/>
  <c r="I83" i="1"/>
  <c r="I81" i="1" s="1"/>
  <c r="C83" i="1" s="1"/>
</calcChain>
</file>

<file path=xl/sharedStrings.xml><?xml version="1.0" encoding="utf-8"?>
<sst xmlns="http://schemas.openxmlformats.org/spreadsheetml/2006/main" count="405" uniqueCount="243">
  <si>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</si>
  <si>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</si>
  <si>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</si>
  <si>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</si>
  <si>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</si>
  <si>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</si>
  <si>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</si>
  <si>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</si>
  <si>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</si>
  <si>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</si>
  <si>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</si>
  <si>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</si>
  <si>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</si>
  <si>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</si>
  <si>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</si>
  <si>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</si>
  <si>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</si>
  <si>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</si>
  <si>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</si>
  <si>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</si>
  <si>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</si>
  <si>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</si>
  <si>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</si>
  <si>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</si>
  <si>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</si>
  <si>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</si>
  <si>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</si>
  <si>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</si>
  <si>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</si>
  <si>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</si>
  <si>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</si>
  <si>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</si>
  <si>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</si>
  <si>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</si>
  <si>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</si>
  <si>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</si>
  <si>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</si>
  <si>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</si>
  <si>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</si>
  <si>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</si>
  <si>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</si>
  <si>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</si>
  <si>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</si>
  <si>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</si>
  <si>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</si>
  <si>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</si>
  <si>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</si>
  <si>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</si>
  <si>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</si>
  <si>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</si>
  <si>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</si>
  <si>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</si>
  <si>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</si>
  <si>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</si>
  <si>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</si>
  <si>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</si>
  <si>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</si>
  <si>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</si>
  <si>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</si>
  <si>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</si>
  <si>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</si>
  <si>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</si>
  <si>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</si>
  <si>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</si>
  <si>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</si>
  <si>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</si>
  <si>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</si>
  <si>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</si>
  <si>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</si>
  <si>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</si>
  <si>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</si>
  <si>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</si>
  <si>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</si>
  <si>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</si>
  <si>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</si>
  <si>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</si>
  <si>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</si>
  <si>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</si>
  <si>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</si>
  <si>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</si>
  <si>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</si>
  <si>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</si>
  <si>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</si>
  <si>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</si>
  <si>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</si>
  <si>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</si>
  <si>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</si>
  <si>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</si>
  <si>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</si>
  <si>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</si>
  <si>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</si>
  <si>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</si>
  <si>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</si>
  <si>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</si>
  <si>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</si>
  <si>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</si>
  <si>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</si>
  <si>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</si>
  <si>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</si>
  <si>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</si>
  <si>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</si>
  <si>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</si>
  <si>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</si>
  <si>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</si>
  <si>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</si>
  <si>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</si>
  <si>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</si>
  <si>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</si>
  <si>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</si>
  <si>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</si>
  <si>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</si>
  <si>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</si>
  <si>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</si>
  <si>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</si>
  <si>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</si>
  <si>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</si>
  <si>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</si>
  <si>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</si>
  <si>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</si>
  <si>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</si>
  <si>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</si>
  <si>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</si>
  <si>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</si>
  <si>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</si>
  <si>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</si>
  <si>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</si>
  <si>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</si>
  <si>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</si>
  <si>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</si>
  <si>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</si>
  <si>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</si>
  <si>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</si>
  <si>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</si>
  <si>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</si>
  <si>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</si>
  <si>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</si>
  <si>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</si>
  <si>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</si>
  <si>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</si>
  <si>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</si>
  <si>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</si>
  <si>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</si>
  <si>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</si>
  <si>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</si>
  <si>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</si>
  <si>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</si>
  <si>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</si>
  <si>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</si>
  <si>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</si>
  <si>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</si>
  <si>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</si>
  <si>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</si>
  <si>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</si>
  <si>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</si>
  <si>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</si>
  <si>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</si>
  <si>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</si>
  <si>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</si>
  <si>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</si>
  <si>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</si>
  <si>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</si>
  <si>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</si>
  <si>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</si>
  <si>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</si>
  <si>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</si>
  <si>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</si>
  <si>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</si>
  <si>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</si>
  <si>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</si>
  <si>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</si>
  <si>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</si>
  <si>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</si>
  <si>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</si>
  <si>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</si>
  <si>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</si>
  <si>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 xml:space="preserve">Audumber Incorporation
</t>
  </si>
  <si>
    <t>Audumber Flower Valley</t>
  </si>
  <si>
    <t>9822194932/7021038508</t>
  </si>
  <si>
    <t>P51700032044</t>
  </si>
  <si>
    <t>Survey No</t>
  </si>
  <si>
    <t>5/4/D, 5/4/B &amp; 5/23/B</t>
  </si>
  <si>
    <t>Ambernath</t>
  </si>
  <si>
    <t>Thane</t>
  </si>
  <si>
    <t>Kharwai Naka</t>
  </si>
  <si>
    <t>Ushakiran Residency</t>
  </si>
  <si>
    <t>2.8KM from Badlapur Railway Station</t>
  </si>
  <si>
    <t>Bhairavnath Building</t>
  </si>
  <si>
    <t>UshaKiran Residency</t>
  </si>
  <si>
    <t>https://goo.gl/maps/7kS2B2uDTv5MRwqF8</t>
  </si>
  <si>
    <t>Wing A</t>
  </si>
  <si>
    <t>1RK</t>
  </si>
  <si>
    <t>Wing B</t>
  </si>
  <si>
    <t>2BHK</t>
  </si>
  <si>
    <t>1BHK</t>
  </si>
  <si>
    <t>We considered Gross carpet area = Net carpet + C.B Area + A.P Area.</t>
  </si>
  <si>
    <t>Axis Badlapur</t>
  </si>
  <si>
    <t>Wing A &amp; B</t>
  </si>
  <si>
    <t>Approved Plans, CC.</t>
  </si>
  <si>
    <t>Internal Road</t>
  </si>
  <si>
    <t>Badlapur East</t>
  </si>
  <si>
    <t>Godrej Vihaa</t>
  </si>
  <si>
    <t>Platinum Sagar Jewel</t>
  </si>
  <si>
    <t>2 Wings</t>
  </si>
  <si>
    <t xml:space="preserve">Kulgaon Badlapur Nagarpalika Parishad
</t>
  </si>
  <si>
    <t xml:space="preserve">Commencement-CC No
Valid Up to: </t>
  </si>
  <si>
    <t>Part 1
(Flat No.1)</t>
  </si>
  <si>
    <t>Part 2
(Flat No.2 to 4)</t>
  </si>
  <si>
    <t>Slab/Floor
Average of Part 1 &amp; 2</t>
  </si>
  <si>
    <t>Layout Plan :</t>
  </si>
  <si>
    <t>visitor</t>
  </si>
  <si>
    <t>builder</t>
  </si>
  <si>
    <t>Joveli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</si>
  <si>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</si>
  <si>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Advance Maintenance Charges + Other Charges</t>
  </si>
  <si>
    <t>4000 to 4700 &amp; OC</t>
  </si>
  <si>
    <t>Rushikesh</t>
  </si>
  <si>
    <t>Cost Sheet</t>
  </si>
  <si>
    <t>Provide latest approved plan &amp; CC.</t>
  </si>
  <si>
    <t>KBNP/NRV/BP/2435/2023-2024/Unique No. 68</t>
  </si>
  <si>
    <t>Wing A = Stilt + 1st to 13th Floor
Wing B = Stilt + 1st to 12th Floor</t>
  </si>
  <si>
    <t>KBNP/NRV/BP/2435-68/23-24</t>
  </si>
  <si>
    <t>1st Floor for Residential</t>
  </si>
  <si>
    <t>2nd to 7th, 9th to 13th Floor</t>
  </si>
  <si>
    <t>8th Floor (Part Refuge Area)</t>
  </si>
  <si>
    <t>1st to 7th, 9th to 12th Floor for Residential</t>
  </si>
  <si>
    <t>Refuge Area</t>
  </si>
  <si>
    <t>Flats -246</t>
  </si>
  <si>
    <t>Lower Ground Floor For Parking</t>
  </si>
  <si>
    <t>Wing A = G/St + 1st to 13th Floor</t>
  </si>
  <si>
    <t>Please Provide CC of Wing B for Lower Ground Floor.</t>
  </si>
  <si>
    <t>Ground Floor For Entrance Lobby, Driver Room, Society Office &amp; Parking</t>
  </si>
  <si>
    <t>Ground Floor For Electric Room &amp; Parking</t>
  </si>
  <si>
    <t>We have updated approved layout plan, floor plan &amp; CC on 08/01/2024.</t>
  </si>
  <si>
    <t>Site Person - Contact Details ( Name &amp; Contact No.)</t>
  </si>
  <si>
    <t>Mr. Gopal 9602424495</t>
  </si>
  <si>
    <t>Sudhir Bhosale</t>
  </si>
  <si>
    <t>Sales person : 7721900700</t>
  </si>
  <si>
    <t>Wing B = LG + G/St + 1st to 12th Floor</t>
  </si>
  <si>
    <t xml:space="preserve">Wing A = Gr/Stilt + 1st to 13th Floor
Wing B = LG + Gr/Stilt + 1st to 12th Floor
</t>
  </si>
  <si>
    <t>Pranita Mhatre</t>
  </si>
  <si>
    <t>Wing B = Construction work is in process at the time of Visit (Slow speed).</t>
  </si>
  <si>
    <t>As per RERA - 30/06/2026</t>
  </si>
  <si>
    <t xml:space="preserve">Wing A &amp; B = Construction work is in process at the time of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</si>
</sst>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14" fillId="3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3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8" xfId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8" xfId="1" applyFont="1" applyBorder="1" applyAlignment="1" applyProtection="1">
      <alignment horizontal="left" vertical="top" wrapText="1"/>
      <protection locked="0"/>
    </xf>
    <xf numFmtId="9" fontId="12" fillId="3" borderId="3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32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41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39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40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42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312</xdr:row>
      <xdr:rowOff>19050</xdr:rowOff>
    </xdr:from>
    <xdr:to>
      <xdr:col>6</xdr:col>
      <xdr:colOff>724580</xdr:colOff>
      <xdr:row>333</xdr:row>
      <xdr:rowOff>138525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54178200"/>
          <a:ext cx="5087029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271</xdr:row>
      <xdr:rowOff>9525</xdr:rowOff>
    </xdr:from>
    <xdr:to>
      <xdr:col>6</xdr:col>
      <xdr:colOff>566427</xdr:colOff>
      <xdr:row>289</xdr:row>
      <xdr:rowOff>9075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3950" y="45996225"/>
          <a:ext cx="471932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324546</xdr:colOff>
      <xdr:row>289</xdr:row>
      <xdr:rowOff>187444</xdr:rowOff>
    </xdr:from>
    <xdr:to>
      <xdr:col>6</xdr:col>
      <xdr:colOff>566427</xdr:colOff>
      <xdr:row>307</xdr:row>
      <xdr:rowOff>186994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3696" y="49774594"/>
          <a:ext cx="469958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228600</xdr:colOff>
      <xdr:row>326</xdr:row>
      <xdr:rowOff>85725</xdr:rowOff>
    </xdr:from>
    <xdr:ext cx="952633" cy="40543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819400" y="57045225"/>
          <a:ext cx="95263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A</a:t>
          </a:r>
        </a:p>
      </xdr:txBody>
    </xdr:sp>
    <xdr:clientData/>
  </xdr:oneCellAnchor>
  <xdr:oneCellAnchor>
    <xdr:from>
      <xdr:col>3</xdr:col>
      <xdr:colOff>609600</xdr:colOff>
      <xdr:row>313</xdr:row>
      <xdr:rowOff>95250</xdr:rowOff>
    </xdr:from>
    <xdr:ext cx="940963" cy="40543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200400" y="54454425"/>
          <a:ext cx="94096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B</a:t>
          </a:r>
        </a:p>
      </xdr:txBody>
    </xdr:sp>
    <xdr:clientData/>
  </xdr:oneCellAnchor>
  <xdr:twoCellAnchor>
    <xdr:from>
      <xdr:col>8</xdr:col>
      <xdr:colOff>99604</xdr:colOff>
      <xdr:row>227</xdr:row>
      <xdr:rowOff>69398</xdr:rowOff>
    </xdr:from>
    <xdr:to>
      <xdr:col>15</xdr:col>
      <xdr:colOff>588470</xdr:colOff>
      <xdr:row>264</xdr:row>
      <xdr:rowOff>46265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6828064" y="40424918"/>
          <a:ext cx="6241966" cy="7299687"/>
          <a:chOff x="30304" y="115734"/>
          <a:chExt cx="6837177" cy="8563494"/>
        </a:xfrm>
      </xdr:grpSpPr>
      <xdr:pic>
        <xdr:nvPicPr>
          <xdr:cNvPr id="37" name="Picture 36" descr="https://vsjcllp.vsjadon.com/upload/insp-236775-843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6492" y="6879227"/>
            <a:ext cx="2387823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775-845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92060" y="115734"/>
            <a:ext cx="1870654" cy="2487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775-844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2540" y="4979116"/>
            <a:ext cx="2387823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6775-847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7387" y="271603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775-849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0350" y="118622"/>
            <a:ext cx="1870654" cy="2487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775-861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7604" y="271603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6775-862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304" y="6879227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6775-871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6256" y="4979116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6775-874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3855" y="6879228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6775-940.jp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5818" y="6879228"/>
            <a:ext cx="1348125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6775-880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821" y="272174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6775-883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0938" y="4990545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6775-931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2962" y="271603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6775-919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67978" y="115734"/>
            <a:ext cx="1870654" cy="24872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129541</xdr:colOff>
      <xdr:row>227</xdr:row>
      <xdr:rowOff>68580</xdr:rowOff>
    </xdr:from>
    <xdr:to>
      <xdr:col>7</xdr:col>
      <xdr:colOff>548641</xdr:colOff>
      <xdr:row>267</xdr:row>
      <xdr:rowOff>50354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35E958-B2C7-BACA-ACB0-67781C66EDDE}"/>
            </a:ext>
          </a:extLst>
        </xdr:cNvPr>
        <xdr:cNvGrpSpPr/>
      </xdr:nvGrpSpPr>
      <xdr:grpSpPr>
        <a:xfrm>
          <a:off x="129541" y="40424100"/>
          <a:ext cx="6278880" cy="7898954"/>
          <a:chOff x="76582" y="97173"/>
          <a:chExt cx="6686649" cy="808945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2927A4D5-0B3C-3B4D-6D12-52B7D03699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7435" y="6387525"/>
            <a:ext cx="2386631" cy="1799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00C291F-9938-1377-6F42-3D8151362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582" y="97173"/>
            <a:ext cx="2143731" cy="28503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7DCCB9C-1B3E-2703-C0C6-EF6E81D305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6159" y="4764472"/>
            <a:ext cx="2000556" cy="15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A72D000-CBB0-C54B-6A15-906529EBB5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0299" y="4764472"/>
            <a:ext cx="1134207" cy="15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F971F1B-D0F3-C801-EAD2-B1D304849B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52386" y="97173"/>
            <a:ext cx="2143731" cy="28503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D9F041AB-E9D6-858E-F19C-671898AAEE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614" y="4771665"/>
            <a:ext cx="1134207" cy="15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D7F0809-7683-8C81-41BF-DDAF1DD2BE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21251" y="4764472"/>
            <a:ext cx="1134207" cy="15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42125D1-BAFB-7FAF-A95C-9272F21AAA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2329" y="6387525"/>
            <a:ext cx="1347452" cy="1799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94F4E4E-9681-7D79-F442-585199172D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811" y="3062514"/>
            <a:ext cx="1215379" cy="16159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29672598-D7C4-4774-3594-7133954085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92468" y="3062514"/>
            <a:ext cx="1215379" cy="16159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1B33EFAF-112C-EFD4-C77A-BE30F697F4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39920" y="3070561"/>
            <a:ext cx="1215379" cy="16159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54A050F-A9E4-DAB3-5318-E194385F3E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78682" y="3062514"/>
            <a:ext cx="2143731" cy="16159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FCBBAFAD-388D-F479-CB74-A4D3B298A8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9500" y="97173"/>
            <a:ext cx="2143731" cy="28503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kS2B2uDTv5MRwq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11"/>
  <sheetViews>
    <sheetView tabSelected="1" view="pageBreakPreview" topLeftCell="A76" zoomScaleNormal="100" zoomScaleSheetLayoutView="100" workbookViewId="0">
      <selection activeCell="L87" sqref="L87"/>
    </sheetView>
  </sheetViews>
  <sheetFormatPr defaultColWidth="9.3320312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33203125" style="37" customWidth="1"/>
    <col min="5" max="7" width="11.6640625" style="37" customWidth="1"/>
    <col min="8" max="8" width="12.6640625" style="37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6640625" style="19" customWidth="1"/>
    <col min="14" max="14" width="12.5546875" style="19" customWidth="1"/>
    <col min="15" max="15" width="9.6640625" style="19" customWidth="1"/>
    <col min="16" max="16" width="11.6640625" style="19" customWidth="1"/>
    <col min="17" max="247" width="9.33203125" style="19"/>
    <col min="248" max="248" width="8.6640625" style="19" customWidth="1"/>
    <col min="249" max="249" width="9.664062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6640625" style="19" customWidth="1"/>
    <col min="256" max="256" width="11.33203125" style="19" customWidth="1"/>
    <col min="257" max="257" width="2.6640625" style="19" customWidth="1"/>
    <col min="258" max="258" width="3.5546875" style="19" customWidth="1"/>
    <col min="259" max="503" width="9.33203125" style="19"/>
    <col min="504" max="504" width="8.6640625" style="19" customWidth="1"/>
    <col min="505" max="505" width="9.664062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6640625" style="19" customWidth="1"/>
    <col min="512" max="512" width="11.33203125" style="19" customWidth="1"/>
    <col min="513" max="513" width="2.6640625" style="19" customWidth="1"/>
    <col min="514" max="514" width="3.5546875" style="19" customWidth="1"/>
    <col min="515" max="759" width="9.33203125" style="19"/>
    <col min="760" max="760" width="8.6640625" style="19" customWidth="1"/>
    <col min="761" max="761" width="9.664062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6640625" style="19" customWidth="1"/>
    <col min="768" max="768" width="11.33203125" style="19" customWidth="1"/>
    <col min="769" max="769" width="2.6640625" style="19" customWidth="1"/>
    <col min="770" max="770" width="3.5546875" style="19" customWidth="1"/>
    <col min="771" max="1015" width="9.33203125" style="19"/>
    <col min="1016" max="1016" width="8.6640625" style="19" customWidth="1"/>
    <col min="1017" max="1017" width="9.664062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6640625" style="19" customWidth="1"/>
    <col min="1024" max="1024" width="11.33203125" style="19" customWidth="1"/>
    <col min="1025" max="1025" width="2.6640625" style="19" customWidth="1"/>
    <col min="1026" max="1026" width="3.5546875" style="19" customWidth="1"/>
    <col min="1027" max="1271" width="9.33203125" style="19"/>
    <col min="1272" max="1272" width="8.6640625" style="19" customWidth="1"/>
    <col min="1273" max="1273" width="9.664062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6640625" style="19" customWidth="1"/>
    <col min="1280" max="1280" width="11.33203125" style="19" customWidth="1"/>
    <col min="1281" max="1281" width="2.6640625" style="19" customWidth="1"/>
    <col min="1282" max="1282" width="3.5546875" style="19" customWidth="1"/>
    <col min="1283" max="1527" width="9.33203125" style="19"/>
    <col min="1528" max="1528" width="8.6640625" style="19" customWidth="1"/>
    <col min="1529" max="1529" width="9.664062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6640625" style="19" customWidth="1"/>
    <col min="1536" max="1536" width="11.33203125" style="19" customWidth="1"/>
    <col min="1537" max="1537" width="2.6640625" style="19" customWidth="1"/>
    <col min="1538" max="1538" width="3.5546875" style="19" customWidth="1"/>
    <col min="1539" max="1783" width="9.33203125" style="19"/>
    <col min="1784" max="1784" width="8.6640625" style="19" customWidth="1"/>
    <col min="1785" max="1785" width="9.664062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6640625" style="19" customWidth="1"/>
    <col min="1792" max="1792" width="11.33203125" style="19" customWidth="1"/>
    <col min="1793" max="1793" width="2.6640625" style="19" customWidth="1"/>
    <col min="1794" max="1794" width="3.5546875" style="19" customWidth="1"/>
    <col min="1795" max="2039" width="9.33203125" style="19"/>
    <col min="2040" max="2040" width="8.6640625" style="19" customWidth="1"/>
    <col min="2041" max="2041" width="9.664062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6640625" style="19" customWidth="1"/>
    <col min="2048" max="2048" width="11.33203125" style="19" customWidth="1"/>
    <col min="2049" max="2049" width="2.6640625" style="19" customWidth="1"/>
    <col min="2050" max="2050" width="3.5546875" style="19" customWidth="1"/>
    <col min="2051" max="2295" width="9.33203125" style="19"/>
    <col min="2296" max="2296" width="8.6640625" style="19" customWidth="1"/>
    <col min="2297" max="2297" width="9.664062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6640625" style="19" customWidth="1"/>
    <col min="2304" max="2304" width="11.33203125" style="19" customWidth="1"/>
    <col min="2305" max="2305" width="2.6640625" style="19" customWidth="1"/>
    <col min="2306" max="2306" width="3.5546875" style="19" customWidth="1"/>
    <col min="2307" max="2551" width="9.33203125" style="19"/>
    <col min="2552" max="2552" width="8.6640625" style="19" customWidth="1"/>
    <col min="2553" max="2553" width="9.664062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6640625" style="19" customWidth="1"/>
    <col min="2560" max="2560" width="11.33203125" style="19" customWidth="1"/>
    <col min="2561" max="2561" width="2.6640625" style="19" customWidth="1"/>
    <col min="2562" max="2562" width="3.5546875" style="19" customWidth="1"/>
    <col min="2563" max="2807" width="9.33203125" style="19"/>
    <col min="2808" max="2808" width="8.6640625" style="19" customWidth="1"/>
    <col min="2809" max="2809" width="9.664062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6640625" style="19" customWidth="1"/>
    <col min="2816" max="2816" width="11.33203125" style="19" customWidth="1"/>
    <col min="2817" max="2817" width="2.6640625" style="19" customWidth="1"/>
    <col min="2818" max="2818" width="3.5546875" style="19" customWidth="1"/>
    <col min="2819" max="3063" width="9.33203125" style="19"/>
    <col min="3064" max="3064" width="8.6640625" style="19" customWidth="1"/>
    <col min="3065" max="3065" width="9.664062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6640625" style="19" customWidth="1"/>
    <col min="3072" max="3072" width="11.33203125" style="19" customWidth="1"/>
    <col min="3073" max="3073" width="2.6640625" style="19" customWidth="1"/>
    <col min="3074" max="3074" width="3.5546875" style="19" customWidth="1"/>
    <col min="3075" max="3319" width="9.33203125" style="19"/>
    <col min="3320" max="3320" width="8.6640625" style="19" customWidth="1"/>
    <col min="3321" max="3321" width="9.664062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6640625" style="19" customWidth="1"/>
    <col min="3328" max="3328" width="11.33203125" style="19" customWidth="1"/>
    <col min="3329" max="3329" width="2.6640625" style="19" customWidth="1"/>
    <col min="3330" max="3330" width="3.5546875" style="19" customWidth="1"/>
    <col min="3331" max="3575" width="9.33203125" style="19"/>
    <col min="3576" max="3576" width="8.6640625" style="19" customWidth="1"/>
    <col min="3577" max="3577" width="9.664062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6640625" style="19" customWidth="1"/>
    <col min="3584" max="3584" width="11.33203125" style="19" customWidth="1"/>
    <col min="3585" max="3585" width="2.6640625" style="19" customWidth="1"/>
    <col min="3586" max="3586" width="3.5546875" style="19" customWidth="1"/>
    <col min="3587" max="3831" width="9.33203125" style="19"/>
    <col min="3832" max="3832" width="8.6640625" style="19" customWidth="1"/>
    <col min="3833" max="3833" width="9.664062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6640625" style="19" customWidth="1"/>
    <col min="3840" max="3840" width="11.33203125" style="19" customWidth="1"/>
    <col min="3841" max="3841" width="2.6640625" style="19" customWidth="1"/>
    <col min="3842" max="3842" width="3.5546875" style="19" customWidth="1"/>
    <col min="3843" max="4087" width="9.33203125" style="19"/>
    <col min="4088" max="4088" width="8.6640625" style="19" customWidth="1"/>
    <col min="4089" max="4089" width="9.664062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6640625" style="19" customWidth="1"/>
    <col min="4096" max="4096" width="11.33203125" style="19" customWidth="1"/>
    <col min="4097" max="4097" width="2.6640625" style="19" customWidth="1"/>
    <col min="4098" max="4098" width="3.5546875" style="19" customWidth="1"/>
    <col min="4099" max="4343" width="9.33203125" style="19"/>
    <col min="4344" max="4344" width="8.6640625" style="19" customWidth="1"/>
    <col min="4345" max="4345" width="9.664062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6640625" style="19" customWidth="1"/>
    <col min="4352" max="4352" width="11.33203125" style="19" customWidth="1"/>
    <col min="4353" max="4353" width="2.6640625" style="19" customWidth="1"/>
    <col min="4354" max="4354" width="3.5546875" style="19" customWidth="1"/>
    <col min="4355" max="4599" width="9.33203125" style="19"/>
    <col min="4600" max="4600" width="8.6640625" style="19" customWidth="1"/>
    <col min="4601" max="4601" width="9.664062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6640625" style="19" customWidth="1"/>
    <col min="4608" max="4608" width="11.33203125" style="19" customWidth="1"/>
    <col min="4609" max="4609" width="2.6640625" style="19" customWidth="1"/>
    <col min="4610" max="4610" width="3.5546875" style="19" customWidth="1"/>
    <col min="4611" max="4855" width="9.33203125" style="19"/>
    <col min="4856" max="4856" width="8.6640625" style="19" customWidth="1"/>
    <col min="4857" max="4857" width="9.664062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6640625" style="19" customWidth="1"/>
    <col min="4864" max="4864" width="11.33203125" style="19" customWidth="1"/>
    <col min="4865" max="4865" width="2.6640625" style="19" customWidth="1"/>
    <col min="4866" max="4866" width="3.5546875" style="19" customWidth="1"/>
    <col min="4867" max="5111" width="9.33203125" style="19"/>
    <col min="5112" max="5112" width="8.6640625" style="19" customWidth="1"/>
    <col min="5113" max="5113" width="9.664062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6640625" style="19" customWidth="1"/>
    <col min="5120" max="5120" width="11.33203125" style="19" customWidth="1"/>
    <col min="5121" max="5121" width="2.6640625" style="19" customWidth="1"/>
    <col min="5122" max="5122" width="3.5546875" style="19" customWidth="1"/>
    <col min="5123" max="5367" width="9.33203125" style="19"/>
    <col min="5368" max="5368" width="8.6640625" style="19" customWidth="1"/>
    <col min="5369" max="5369" width="9.664062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6640625" style="19" customWidth="1"/>
    <col min="5376" max="5376" width="11.33203125" style="19" customWidth="1"/>
    <col min="5377" max="5377" width="2.6640625" style="19" customWidth="1"/>
    <col min="5378" max="5378" width="3.5546875" style="19" customWidth="1"/>
    <col min="5379" max="5623" width="9.33203125" style="19"/>
    <col min="5624" max="5624" width="8.6640625" style="19" customWidth="1"/>
    <col min="5625" max="5625" width="9.664062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6640625" style="19" customWidth="1"/>
    <col min="5632" max="5632" width="11.33203125" style="19" customWidth="1"/>
    <col min="5633" max="5633" width="2.6640625" style="19" customWidth="1"/>
    <col min="5634" max="5634" width="3.5546875" style="19" customWidth="1"/>
    <col min="5635" max="5879" width="9.33203125" style="19"/>
    <col min="5880" max="5880" width="8.6640625" style="19" customWidth="1"/>
    <col min="5881" max="5881" width="9.664062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6640625" style="19" customWidth="1"/>
    <col min="5888" max="5888" width="11.33203125" style="19" customWidth="1"/>
    <col min="5889" max="5889" width="2.6640625" style="19" customWidth="1"/>
    <col min="5890" max="5890" width="3.5546875" style="19" customWidth="1"/>
    <col min="5891" max="6135" width="9.33203125" style="19"/>
    <col min="6136" max="6136" width="8.6640625" style="19" customWidth="1"/>
    <col min="6137" max="6137" width="9.664062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6640625" style="19" customWidth="1"/>
    <col min="6144" max="6144" width="11.33203125" style="19" customWidth="1"/>
    <col min="6145" max="6145" width="2.6640625" style="19" customWidth="1"/>
    <col min="6146" max="6146" width="3.5546875" style="19" customWidth="1"/>
    <col min="6147" max="6391" width="9.33203125" style="19"/>
    <col min="6392" max="6392" width="8.6640625" style="19" customWidth="1"/>
    <col min="6393" max="6393" width="9.664062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6640625" style="19" customWidth="1"/>
    <col min="6400" max="6400" width="11.33203125" style="19" customWidth="1"/>
    <col min="6401" max="6401" width="2.6640625" style="19" customWidth="1"/>
    <col min="6402" max="6402" width="3.5546875" style="19" customWidth="1"/>
    <col min="6403" max="6647" width="9.33203125" style="19"/>
    <col min="6648" max="6648" width="8.6640625" style="19" customWidth="1"/>
    <col min="6649" max="6649" width="9.664062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6640625" style="19" customWidth="1"/>
    <col min="6656" max="6656" width="11.33203125" style="19" customWidth="1"/>
    <col min="6657" max="6657" width="2.6640625" style="19" customWidth="1"/>
    <col min="6658" max="6658" width="3.5546875" style="19" customWidth="1"/>
    <col min="6659" max="6903" width="9.33203125" style="19"/>
    <col min="6904" max="6904" width="8.6640625" style="19" customWidth="1"/>
    <col min="6905" max="6905" width="9.664062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6640625" style="19" customWidth="1"/>
    <col min="6912" max="6912" width="11.33203125" style="19" customWidth="1"/>
    <col min="6913" max="6913" width="2.6640625" style="19" customWidth="1"/>
    <col min="6914" max="6914" width="3.5546875" style="19" customWidth="1"/>
    <col min="6915" max="7159" width="9.33203125" style="19"/>
    <col min="7160" max="7160" width="8.6640625" style="19" customWidth="1"/>
    <col min="7161" max="7161" width="9.664062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6640625" style="19" customWidth="1"/>
    <col min="7168" max="7168" width="11.33203125" style="19" customWidth="1"/>
    <col min="7169" max="7169" width="2.6640625" style="19" customWidth="1"/>
    <col min="7170" max="7170" width="3.5546875" style="19" customWidth="1"/>
    <col min="7171" max="7415" width="9.33203125" style="19"/>
    <col min="7416" max="7416" width="8.6640625" style="19" customWidth="1"/>
    <col min="7417" max="7417" width="9.664062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6640625" style="19" customWidth="1"/>
    <col min="7424" max="7424" width="11.33203125" style="19" customWidth="1"/>
    <col min="7425" max="7425" width="2.6640625" style="19" customWidth="1"/>
    <col min="7426" max="7426" width="3.5546875" style="19" customWidth="1"/>
    <col min="7427" max="7671" width="9.33203125" style="19"/>
    <col min="7672" max="7672" width="8.6640625" style="19" customWidth="1"/>
    <col min="7673" max="7673" width="9.664062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6640625" style="19" customWidth="1"/>
    <col min="7680" max="7680" width="11.33203125" style="19" customWidth="1"/>
    <col min="7681" max="7681" width="2.6640625" style="19" customWidth="1"/>
    <col min="7682" max="7682" width="3.5546875" style="19" customWidth="1"/>
    <col min="7683" max="7927" width="9.33203125" style="19"/>
    <col min="7928" max="7928" width="8.6640625" style="19" customWidth="1"/>
    <col min="7929" max="7929" width="9.664062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6640625" style="19" customWidth="1"/>
    <col min="7936" max="7936" width="11.33203125" style="19" customWidth="1"/>
    <col min="7937" max="7937" width="2.6640625" style="19" customWidth="1"/>
    <col min="7938" max="7938" width="3.5546875" style="19" customWidth="1"/>
    <col min="7939" max="8183" width="9.33203125" style="19"/>
    <col min="8184" max="8184" width="8.6640625" style="19" customWidth="1"/>
    <col min="8185" max="8185" width="9.664062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6640625" style="19" customWidth="1"/>
    <col min="8192" max="8192" width="11.33203125" style="19" customWidth="1"/>
    <col min="8193" max="8193" width="2.6640625" style="19" customWidth="1"/>
    <col min="8194" max="8194" width="3.5546875" style="19" customWidth="1"/>
    <col min="8195" max="8439" width="9.33203125" style="19"/>
    <col min="8440" max="8440" width="8.6640625" style="19" customWidth="1"/>
    <col min="8441" max="8441" width="9.664062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6640625" style="19" customWidth="1"/>
    <col min="8448" max="8448" width="11.33203125" style="19" customWidth="1"/>
    <col min="8449" max="8449" width="2.6640625" style="19" customWidth="1"/>
    <col min="8450" max="8450" width="3.5546875" style="19" customWidth="1"/>
    <col min="8451" max="8695" width="9.33203125" style="19"/>
    <col min="8696" max="8696" width="8.6640625" style="19" customWidth="1"/>
    <col min="8697" max="8697" width="9.664062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6640625" style="19" customWidth="1"/>
    <col min="8704" max="8704" width="11.33203125" style="19" customWidth="1"/>
    <col min="8705" max="8705" width="2.6640625" style="19" customWidth="1"/>
    <col min="8706" max="8706" width="3.5546875" style="19" customWidth="1"/>
    <col min="8707" max="8951" width="9.33203125" style="19"/>
    <col min="8952" max="8952" width="8.6640625" style="19" customWidth="1"/>
    <col min="8953" max="8953" width="9.664062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6640625" style="19" customWidth="1"/>
    <col min="8960" max="8960" width="11.33203125" style="19" customWidth="1"/>
    <col min="8961" max="8961" width="2.6640625" style="19" customWidth="1"/>
    <col min="8962" max="8962" width="3.5546875" style="19" customWidth="1"/>
    <col min="8963" max="9207" width="9.33203125" style="19"/>
    <col min="9208" max="9208" width="8.6640625" style="19" customWidth="1"/>
    <col min="9209" max="9209" width="9.664062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6640625" style="19" customWidth="1"/>
    <col min="9216" max="9216" width="11.33203125" style="19" customWidth="1"/>
    <col min="9217" max="9217" width="2.6640625" style="19" customWidth="1"/>
    <col min="9218" max="9218" width="3.5546875" style="19" customWidth="1"/>
    <col min="9219" max="9463" width="9.33203125" style="19"/>
    <col min="9464" max="9464" width="8.6640625" style="19" customWidth="1"/>
    <col min="9465" max="9465" width="9.664062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6640625" style="19" customWidth="1"/>
    <col min="9472" max="9472" width="11.33203125" style="19" customWidth="1"/>
    <col min="9473" max="9473" width="2.6640625" style="19" customWidth="1"/>
    <col min="9474" max="9474" width="3.5546875" style="19" customWidth="1"/>
    <col min="9475" max="9719" width="9.33203125" style="19"/>
    <col min="9720" max="9720" width="8.6640625" style="19" customWidth="1"/>
    <col min="9721" max="9721" width="9.664062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6640625" style="19" customWidth="1"/>
    <col min="9728" max="9728" width="11.33203125" style="19" customWidth="1"/>
    <col min="9729" max="9729" width="2.6640625" style="19" customWidth="1"/>
    <col min="9730" max="9730" width="3.5546875" style="19" customWidth="1"/>
    <col min="9731" max="9975" width="9.33203125" style="19"/>
    <col min="9976" max="9976" width="8.6640625" style="19" customWidth="1"/>
    <col min="9977" max="9977" width="9.664062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6640625" style="19" customWidth="1"/>
    <col min="9984" max="9984" width="11.33203125" style="19" customWidth="1"/>
    <col min="9985" max="9985" width="2.6640625" style="19" customWidth="1"/>
    <col min="9986" max="9986" width="3.5546875" style="19" customWidth="1"/>
    <col min="9987" max="10231" width="9.33203125" style="19"/>
    <col min="10232" max="10232" width="8.6640625" style="19" customWidth="1"/>
    <col min="10233" max="10233" width="9.664062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6640625" style="19" customWidth="1"/>
    <col min="10240" max="10240" width="11.33203125" style="19" customWidth="1"/>
    <col min="10241" max="10241" width="2.6640625" style="19" customWidth="1"/>
    <col min="10242" max="10242" width="3.5546875" style="19" customWidth="1"/>
    <col min="10243" max="10487" width="9.33203125" style="19"/>
    <col min="10488" max="10488" width="8.6640625" style="19" customWidth="1"/>
    <col min="10489" max="10489" width="9.664062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6640625" style="19" customWidth="1"/>
    <col min="10496" max="10496" width="11.33203125" style="19" customWidth="1"/>
    <col min="10497" max="10497" width="2.6640625" style="19" customWidth="1"/>
    <col min="10498" max="10498" width="3.5546875" style="19" customWidth="1"/>
    <col min="10499" max="10743" width="9.33203125" style="19"/>
    <col min="10744" max="10744" width="8.6640625" style="19" customWidth="1"/>
    <col min="10745" max="10745" width="9.664062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6640625" style="19" customWidth="1"/>
    <col min="10752" max="10752" width="11.33203125" style="19" customWidth="1"/>
    <col min="10753" max="10753" width="2.6640625" style="19" customWidth="1"/>
    <col min="10754" max="10754" width="3.5546875" style="19" customWidth="1"/>
    <col min="10755" max="10999" width="9.33203125" style="19"/>
    <col min="11000" max="11000" width="8.6640625" style="19" customWidth="1"/>
    <col min="11001" max="11001" width="9.664062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6640625" style="19" customWidth="1"/>
    <col min="11008" max="11008" width="11.33203125" style="19" customWidth="1"/>
    <col min="11009" max="11009" width="2.6640625" style="19" customWidth="1"/>
    <col min="11010" max="11010" width="3.5546875" style="19" customWidth="1"/>
    <col min="11011" max="11255" width="9.33203125" style="19"/>
    <col min="11256" max="11256" width="8.6640625" style="19" customWidth="1"/>
    <col min="11257" max="11257" width="9.664062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6640625" style="19" customWidth="1"/>
    <col min="11264" max="11264" width="11.33203125" style="19" customWidth="1"/>
    <col min="11265" max="11265" width="2.6640625" style="19" customWidth="1"/>
    <col min="11266" max="11266" width="3.5546875" style="19" customWidth="1"/>
    <col min="11267" max="11511" width="9.33203125" style="19"/>
    <col min="11512" max="11512" width="8.6640625" style="19" customWidth="1"/>
    <col min="11513" max="11513" width="9.664062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6640625" style="19" customWidth="1"/>
    <col min="11520" max="11520" width="11.33203125" style="19" customWidth="1"/>
    <col min="11521" max="11521" width="2.6640625" style="19" customWidth="1"/>
    <col min="11522" max="11522" width="3.5546875" style="19" customWidth="1"/>
    <col min="11523" max="11767" width="9.33203125" style="19"/>
    <col min="11768" max="11768" width="8.6640625" style="19" customWidth="1"/>
    <col min="11769" max="11769" width="9.664062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6640625" style="19" customWidth="1"/>
    <col min="11776" max="11776" width="11.33203125" style="19" customWidth="1"/>
    <col min="11777" max="11777" width="2.6640625" style="19" customWidth="1"/>
    <col min="11778" max="11778" width="3.5546875" style="19" customWidth="1"/>
    <col min="11779" max="12023" width="9.33203125" style="19"/>
    <col min="12024" max="12024" width="8.6640625" style="19" customWidth="1"/>
    <col min="12025" max="12025" width="9.664062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6640625" style="19" customWidth="1"/>
    <col min="12032" max="12032" width="11.33203125" style="19" customWidth="1"/>
    <col min="12033" max="12033" width="2.6640625" style="19" customWidth="1"/>
    <col min="12034" max="12034" width="3.5546875" style="19" customWidth="1"/>
    <col min="12035" max="12279" width="9.33203125" style="19"/>
    <col min="12280" max="12280" width="8.6640625" style="19" customWidth="1"/>
    <col min="12281" max="12281" width="9.664062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6640625" style="19" customWidth="1"/>
    <col min="12288" max="12288" width="11.33203125" style="19" customWidth="1"/>
    <col min="12289" max="12289" width="2.6640625" style="19" customWidth="1"/>
    <col min="12290" max="12290" width="3.5546875" style="19" customWidth="1"/>
    <col min="12291" max="12535" width="9.33203125" style="19"/>
    <col min="12536" max="12536" width="8.6640625" style="19" customWidth="1"/>
    <col min="12537" max="12537" width="9.664062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6640625" style="19" customWidth="1"/>
    <col min="12544" max="12544" width="11.33203125" style="19" customWidth="1"/>
    <col min="12545" max="12545" width="2.6640625" style="19" customWidth="1"/>
    <col min="12546" max="12546" width="3.5546875" style="19" customWidth="1"/>
    <col min="12547" max="12791" width="9.33203125" style="19"/>
    <col min="12792" max="12792" width="8.6640625" style="19" customWidth="1"/>
    <col min="12793" max="12793" width="9.664062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6640625" style="19" customWidth="1"/>
    <col min="12800" max="12800" width="11.33203125" style="19" customWidth="1"/>
    <col min="12801" max="12801" width="2.6640625" style="19" customWidth="1"/>
    <col min="12802" max="12802" width="3.5546875" style="19" customWidth="1"/>
    <col min="12803" max="13047" width="9.33203125" style="19"/>
    <col min="13048" max="13048" width="8.6640625" style="19" customWidth="1"/>
    <col min="13049" max="13049" width="9.664062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6640625" style="19" customWidth="1"/>
    <col min="13056" max="13056" width="11.33203125" style="19" customWidth="1"/>
    <col min="13057" max="13057" width="2.6640625" style="19" customWidth="1"/>
    <col min="13058" max="13058" width="3.5546875" style="19" customWidth="1"/>
    <col min="13059" max="13303" width="9.33203125" style="19"/>
    <col min="13304" max="13304" width="8.6640625" style="19" customWidth="1"/>
    <col min="13305" max="13305" width="9.664062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6640625" style="19" customWidth="1"/>
    <col min="13312" max="13312" width="11.33203125" style="19" customWidth="1"/>
    <col min="13313" max="13313" width="2.6640625" style="19" customWidth="1"/>
    <col min="13314" max="13314" width="3.5546875" style="19" customWidth="1"/>
    <col min="13315" max="13559" width="9.33203125" style="19"/>
    <col min="13560" max="13560" width="8.6640625" style="19" customWidth="1"/>
    <col min="13561" max="13561" width="9.664062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6640625" style="19" customWidth="1"/>
    <col min="13568" max="13568" width="11.33203125" style="19" customWidth="1"/>
    <col min="13569" max="13569" width="2.6640625" style="19" customWidth="1"/>
    <col min="13570" max="13570" width="3.5546875" style="19" customWidth="1"/>
    <col min="13571" max="13815" width="9.33203125" style="19"/>
    <col min="13816" max="13816" width="8.6640625" style="19" customWidth="1"/>
    <col min="13817" max="13817" width="9.664062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6640625" style="19" customWidth="1"/>
    <col min="13824" max="13824" width="11.33203125" style="19" customWidth="1"/>
    <col min="13825" max="13825" width="2.6640625" style="19" customWidth="1"/>
    <col min="13826" max="13826" width="3.5546875" style="19" customWidth="1"/>
    <col min="13827" max="14071" width="9.33203125" style="19"/>
    <col min="14072" max="14072" width="8.6640625" style="19" customWidth="1"/>
    <col min="14073" max="14073" width="9.664062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6640625" style="19" customWidth="1"/>
    <col min="14080" max="14080" width="11.33203125" style="19" customWidth="1"/>
    <col min="14081" max="14081" width="2.6640625" style="19" customWidth="1"/>
    <col min="14082" max="14082" width="3.5546875" style="19" customWidth="1"/>
    <col min="14083" max="14327" width="9.33203125" style="19"/>
    <col min="14328" max="14328" width="8.6640625" style="19" customWidth="1"/>
    <col min="14329" max="14329" width="9.664062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6640625" style="19" customWidth="1"/>
    <col min="14336" max="14336" width="11.33203125" style="19" customWidth="1"/>
    <col min="14337" max="14337" width="2.6640625" style="19" customWidth="1"/>
    <col min="14338" max="14338" width="3.5546875" style="19" customWidth="1"/>
    <col min="14339" max="14583" width="9.33203125" style="19"/>
    <col min="14584" max="14584" width="8.6640625" style="19" customWidth="1"/>
    <col min="14585" max="14585" width="9.664062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6640625" style="19" customWidth="1"/>
    <col min="14592" max="14592" width="11.33203125" style="19" customWidth="1"/>
    <col min="14593" max="14593" width="2.6640625" style="19" customWidth="1"/>
    <col min="14594" max="14594" width="3.5546875" style="19" customWidth="1"/>
    <col min="14595" max="14839" width="9.33203125" style="19"/>
    <col min="14840" max="14840" width="8.6640625" style="19" customWidth="1"/>
    <col min="14841" max="14841" width="9.664062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6640625" style="19" customWidth="1"/>
    <col min="14848" max="14848" width="11.33203125" style="19" customWidth="1"/>
    <col min="14849" max="14849" width="2.6640625" style="19" customWidth="1"/>
    <col min="14850" max="14850" width="3.5546875" style="19" customWidth="1"/>
    <col min="14851" max="15095" width="9.33203125" style="19"/>
    <col min="15096" max="15096" width="8.6640625" style="19" customWidth="1"/>
    <col min="15097" max="15097" width="9.664062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6640625" style="19" customWidth="1"/>
    <col min="15104" max="15104" width="11.33203125" style="19" customWidth="1"/>
    <col min="15105" max="15105" width="2.6640625" style="19" customWidth="1"/>
    <col min="15106" max="15106" width="3.5546875" style="19" customWidth="1"/>
    <col min="15107" max="15351" width="9.33203125" style="19"/>
    <col min="15352" max="15352" width="8.6640625" style="19" customWidth="1"/>
    <col min="15353" max="15353" width="9.664062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6640625" style="19" customWidth="1"/>
    <col min="15360" max="15360" width="11.33203125" style="19" customWidth="1"/>
    <col min="15361" max="15361" width="2.6640625" style="19" customWidth="1"/>
    <col min="15362" max="15362" width="3.5546875" style="19" customWidth="1"/>
    <col min="15363" max="15607" width="9.33203125" style="19"/>
    <col min="15608" max="15608" width="8.6640625" style="19" customWidth="1"/>
    <col min="15609" max="15609" width="9.664062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6640625" style="19" customWidth="1"/>
    <col min="15616" max="15616" width="11.33203125" style="19" customWidth="1"/>
    <col min="15617" max="15617" width="2.6640625" style="19" customWidth="1"/>
    <col min="15618" max="15618" width="3.5546875" style="19" customWidth="1"/>
    <col min="15619" max="15863" width="9.33203125" style="19"/>
    <col min="15864" max="15864" width="8.6640625" style="19" customWidth="1"/>
    <col min="15865" max="15865" width="9.664062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6640625" style="19" customWidth="1"/>
    <col min="15872" max="15872" width="11.33203125" style="19" customWidth="1"/>
    <col min="15873" max="15873" width="2.6640625" style="19" customWidth="1"/>
    <col min="15874" max="15874" width="3.5546875" style="19" customWidth="1"/>
    <col min="15875" max="16119" width="9.33203125" style="19"/>
    <col min="16120" max="16120" width="8.6640625" style="19" customWidth="1"/>
    <col min="16121" max="16121" width="9.664062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6640625" style="19" customWidth="1"/>
    <col min="16128" max="16128" width="11.33203125" style="19" customWidth="1"/>
    <col min="16129" max="16129" width="2.6640625" style="19" customWidth="1"/>
    <col min="16130" max="16130" width="3.5546875" style="19" customWidth="1"/>
    <col min="16131" max="16384" width="9.33203125" style="19"/>
  </cols>
  <sheetData>
    <row r="1" spans="1:12" ht="46.5" customHeight="1" x14ac:dyDescent="0.3">
      <c r="A1" s="183" t="s">
        <v>212</v>
      </c>
      <c r="B1" s="183"/>
      <c r="C1" s="183"/>
      <c r="D1" s="183"/>
      <c r="E1" s="183"/>
      <c r="F1" s="183"/>
      <c r="G1" s="183"/>
      <c r="H1" s="183"/>
    </row>
    <row r="2" spans="1:12" ht="16.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</row>
    <row r="3" spans="1:12" x14ac:dyDescent="0.3">
      <c r="A3" s="70" t="s">
        <v>1</v>
      </c>
      <c r="B3" s="70"/>
      <c r="C3" s="70"/>
      <c r="D3" s="70"/>
      <c r="E3" s="70" t="str">
        <f ca="1">TEXT(TODAY(),"DD/MM/YYYY")</f>
        <v>12/09/2025</v>
      </c>
      <c r="F3" s="70"/>
      <c r="G3" s="70"/>
      <c r="H3" s="70"/>
    </row>
    <row r="4" spans="1:12" ht="15" customHeight="1" x14ac:dyDescent="0.3">
      <c r="A4" s="70" t="s">
        <v>2</v>
      </c>
      <c r="B4" s="70"/>
      <c r="C4" s="70"/>
      <c r="D4" s="70"/>
      <c r="E4" s="70" t="s">
        <v>195</v>
      </c>
      <c r="F4" s="70"/>
      <c r="G4" s="70"/>
      <c r="H4" s="70"/>
    </row>
    <row r="5" spans="1:12" x14ac:dyDescent="0.3">
      <c r="A5" s="70" t="s">
        <v>3</v>
      </c>
      <c r="B5" s="70"/>
      <c r="C5" s="70"/>
      <c r="D5" s="70"/>
      <c r="E5" s="184">
        <v>45908</v>
      </c>
      <c r="F5" s="70"/>
      <c r="G5" s="70"/>
      <c r="H5" s="70"/>
    </row>
    <row r="6" spans="1:12" ht="16.5" customHeight="1" x14ac:dyDescent="0.3">
      <c r="A6" s="70" t="s">
        <v>4</v>
      </c>
      <c r="B6" s="70"/>
      <c r="C6" s="70"/>
      <c r="D6" s="70"/>
      <c r="E6" s="140" t="s">
        <v>175</v>
      </c>
      <c r="F6" s="70"/>
      <c r="G6" s="70"/>
      <c r="H6" s="70"/>
    </row>
    <row r="7" spans="1:12" ht="15" customHeight="1" x14ac:dyDescent="0.3">
      <c r="A7" s="70" t="s">
        <v>5</v>
      </c>
      <c r="B7" s="70"/>
      <c r="C7" s="70"/>
      <c r="D7" s="70"/>
      <c r="E7" s="70" t="str">
        <f>E6</f>
        <v xml:space="preserve">Audumber Incorporation
</v>
      </c>
      <c r="F7" s="70"/>
      <c r="G7" s="70"/>
      <c r="H7" s="70"/>
    </row>
    <row r="8" spans="1:12" x14ac:dyDescent="0.3">
      <c r="A8" s="70" t="s">
        <v>6</v>
      </c>
      <c r="B8" s="70"/>
      <c r="C8" s="70"/>
      <c r="D8" s="70"/>
      <c r="E8" s="109" t="s">
        <v>176</v>
      </c>
      <c r="F8" s="109"/>
      <c r="G8" s="109"/>
      <c r="H8" s="109"/>
    </row>
    <row r="9" spans="1:12" x14ac:dyDescent="0.3">
      <c r="A9" s="70" t="s">
        <v>129</v>
      </c>
      <c r="B9" s="70"/>
      <c r="C9" s="70"/>
      <c r="D9" s="70"/>
      <c r="E9" s="70" t="s">
        <v>177</v>
      </c>
      <c r="F9" s="70"/>
      <c r="G9" s="70"/>
      <c r="H9" s="70"/>
    </row>
    <row r="10" spans="1:12" x14ac:dyDescent="0.3">
      <c r="A10" s="70" t="s">
        <v>233</v>
      </c>
      <c r="B10" s="70"/>
      <c r="C10" s="70"/>
      <c r="D10" s="70"/>
      <c r="E10" s="70" t="s">
        <v>236</v>
      </c>
      <c r="F10" s="70"/>
      <c r="G10" s="70"/>
      <c r="H10" s="70"/>
      <c r="I10" s="70" t="s">
        <v>234</v>
      </c>
      <c r="J10" s="70"/>
      <c r="K10" s="70"/>
      <c r="L10" s="70"/>
    </row>
    <row r="11" spans="1:12" x14ac:dyDescent="0.3">
      <c r="A11" s="70" t="s">
        <v>7</v>
      </c>
      <c r="B11" s="70"/>
      <c r="C11" s="70"/>
      <c r="D11" s="70"/>
      <c r="E11" s="70" t="s">
        <v>196</v>
      </c>
      <c r="F11" s="70"/>
      <c r="G11" s="70"/>
      <c r="H11" s="70"/>
    </row>
    <row r="12" spans="1:12" x14ac:dyDescent="0.3">
      <c r="A12" s="70" t="s">
        <v>8</v>
      </c>
      <c r="B12" s="70"/>
      <c r="C12" s="70"/>
      <c r="D12" s="70"/>
      <c r="E12" s="140" t="s">
        <v>197</v>
      </c>
      <c r="F12" s="140"/>
      <c r="G12" s="140"/>
      <c r="H12" s="140"/>
    </row>
    <row r="13" spans="1:12" x14ac:dyDescent="0.3">
      <c r="A13" s="70" t="s">
        <v>9</v>
      </c>
      <c r="B13" s="70"/>
      <c r="C13" s="70"/>
      <c r="D13" s="70"/>
      <c r="E13" s="140" t="s">
        <v>178</v>
      </c>
      <c r="F13" s="70"/>
      <c r="G13" s="70"/>
      <c r="H13" s="70"/>
    </row>
    <row r="14" spans="1:12" ht="47.1" customHeight="1" x14ac:dyDescent="0.3">
      <c r="A14" s="140" t="s">
        <v>10</v>
      </c>
      <c r="B14" s="140"/>
      <c r="C14" s="14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Audumber Flower Valley, Survey No.5/4/D, 5/4/B &amp; 5/23/B, near Ushakiran Residency, Internal Road, Kharwai Naka, Joveli, Badlapur East, Ambernath, Thane - 421503.</v>
      </c>
      <c r="D14" s="140"/>
      <c r="E14" s="140"/>
      <c r="F14" s="140"/>
      <c r="G14" s="140"/>
      <c r="H14" s="140"/>
    </row>
    <row r="15" spans="1:12" x14ac:dyDescent="0.3">
      <c r="A15" s="140" t="s">
        <v>179</v>
      </c>
      <c r="B15" s="140"/>
      <c r="C15" s="140" t="s">
        <v>180</v>
      </c>
      <c r="D15" s="140"/>
      <c r="E15" s="140"/>
      <c r="F15" s="140"/>
      <c r="G15" s="140"/>
      <c r="H15" s="140"/>
    </row>
    <row r="16" spans="1:12" ht="15.75" customHeight="1" x14ac:dyDescent="0.3">
      <c r="A16" s="140" t="s">
        <v>174</v>
      </c>
      <c r="B16" s="140"/>
      <c r="C16" s="140" t="s">
        <v>183</v>
      </c>
      <c r="D16" s="140"/>
      <c r="E16" s="140"/>
      <c r="F16" s="140"/>
      <c r="G16" s="140"/>
      <c r="H16" s="140"/>
    </row>
    <row r="17" spans="1:8" ht="15.75" customHeight="1" x14ac:dyDescent="0.3">
      <c r="A17" s="140" t="s">
        <v>11</v>
      </c>
      <c r="B17" s="140"/>
      <c r="C17" s="70" t="s">
        <v>198</v>
      </c>
      <c r="D17" s="70"/>
      <c r="E17" s="140" t="s">
        <v>77</v>
      </c>
      <c r="F17" s="140"/>
      <c r="G17" s="140" t="s">
        <v>211</v>
      </c>
      <c r="H17" s="140"/>
    </row>
    <row r="18" spans="1:8" x14ac:dyDescent="0.3">
      <c r="A18" s="70" t="s">
        <v>13</v>
      </c>
      <c r="B18" s="70"/>
      <c r="C18" s="140" t="s">
        <v>199</v>
      </c>
      <c r="D18" s="140"/>
      <c r="E18" s="140" t="s">
        <v>12</v>
      </c>
      <c r="F18" s="140"/>
      <c r="G18" s="182" t="s">
        <v>182</v>
      </c>
      <c r="H18" s="182"/>
    </row>
    <row r="19" spans="1:8" x14ac:dyDescent="0.3">
      <c r="A19" s="70" t="s">
        <v>78</v>
      </c>
      <c r="B19" s="70"/>
      <c r="C19" s="140" t="s">
        <v>181</v>
      </c>
      <c r="D19" s="140"/>
      <c r="E19" s="140" t="s">
        <v>14</v>
      </c>
      <c r="F19" s="140"/>
      <c r="G19" s="140">
        <v>421503</v>
      </c>
      <c r="H19" s="140"/>
    </row>
    <row r="20" spans="1:8" ht="32.25" customHeight="1" x14ac:dyDescent="0.3">
      <c r="A20" s="70" t="s">
        <v>130</v>
      </c>
      <c r="B20" s="70"/>
      <c r="C20" s="140" t="s">
        <v>184</v>
      </c>
      <c r="D20" s="140"/>
      <c r="E20" s="140" t="s">
        <v>15</v>
      </c>
      <c r="F20" s="140"/>
      <c r="G20" s="140" t="s">
        <v>185</v>
      </c>
      <c r="H20" s="140"/>
    </row>
    <row r="21" spans="1:8" ht="15" customHeight="1" x14ac:dyDescent="0.3">
      <c r="A21" s="140" t="s">
        <v>81</v>
      </c>
      <c r="B21" s="140"/>
      <c r="C21" s="140"/>
      <c r="D21" s="140"/>
      <c r="E21" s="70" t="s">
        <v>16</v>
      </c>
      <c r="F21" s="70"/>
      <c r="G21" s="70"/>
      <c r="H21" s="70"/>
    </row>
    <row r="22" spans="1:8" ht="18.75" customHeight="1" x14ac:dyDescent="0.3">
      <c r="A22" s="140"/>
      <c r="B22" s="140"/>
      <c r="C22" s="140"/>
      <c r="D22" s="140"/>
      <c r="E22" s="70"/>
      <c r="F22" s="70"/>
      <c r="G22" s="70"/>
      <c r="H22" s="70"/>
    </row>
    <row r="23" spans="1:8" ht="15" customHeight="1" x14ac:dyDescent="0.3">
      <c r="A23" s="142" t="s">
        <v>17</v>
      </c>
      <c r="B23" s="142"/>
      <c r="C23" s="142"/>
      <c r="D23" s="142"/>
      <c r="E23" s="140" t="s">
        <v>18</v>
      </c>
      <c r="F23" s="140"/>
      <c r="G23" s="140"/>
      <c r="H23" s="140"/>
    </row>
    <row r="24" spans="1:8" ht="15" customHeight="1" x14ac:dyDescent="0.3">
      <c r="A24" s="106" t="s">
        <v>19</v>
      </c>
      <c r="B24" s="106"/>
      <c r="C24" s="106"/>
      <c r="D24" s="106"/>
      <c r="E24" s="140" t="str">
        <f>IF(AND(G18="Mumbai"),"Upper Class","Middle Class")</f>
        <v>Middle Class</v>
      </c>
      <c r="F24" s="140"/>
      <c r="G24" s="140"/>
      <c r="H24" s="140"/>
    </row>
    <row r="25" spans="1:8" x14ac:dyDescent="0.3">
      <c r="A25" s="106" t="s">
        <v>20</v>
      </c>
      <c r="B25" s="106"/>
      <c r="C25" s="106"/>
      <c r="D25" s="106"/>
      <c r="E25" s="140" t="s">
        <v>21</v>
      </c>
      <c r="F25" s="140"/>
      <c r="G25" s="140"/>
      <c r="H25" s="140"/>
    </row>
    <row r="26" spans="1:8" ht="15.75" customHeight="1" x14ac:dyDescent="0.3">
      <c r="A26" s="106" t="s">
        <v>22</v>
      </c>
      <c r="B26" s="106"/>
      <c r="C26" s="106"/>
      <c r="D26" s="106"/>
      <c r="E26" s="140" t="str">
        <f>IF(AND(G18="Mumbai"),"Developed","Developing")</f>
        <v>Developing</v>
      </c>
      <c r="F26" s="140"/>
      <c r="G26" s="140"/>
      <c r="H26" s="140"/>
    </row>
    <row r="27" spans="1:8" x14ac:dyDescent="0.3">
      <c r="A27" s="106" t="s">
        <v>23</v>
      </c>
      <c r="B27" s="106"/>
      <c r="C27" s="106"/>
      <c r="D27" s="106"/>
      <c r="E27" s="140" t="s">
        <v>24</v>
      </c>
      <c r="F27" s="140"/>
      <c r="G27" s="140"/>
      <c r="H27" s="140"/>
    </row>
    <row r="28" spans="1:8" ht="15.75" customHeight="1" x14ac:dyDescent="0.3">
      <c r="A28" s="106" t="s">
        <v>86</v>
      </c>
      <c r="B28" s="106"/>
      <c r="C28" s="106"/>
      <c r="D28" s="106"/>
      <c r="E28" s="140" t="s">
        <v>87</v>
      </c>
      <c r="F28" s="140"/>
      <c r="G28" s="140"/>
      <c r="H28" s="140"/>
    </row>
    <row r="29" spans="1:8" ht="15" customHeight="1" x14ac:dyDescent="0.3">
      <c r="A29" s="106" t="s">
        <v>35</v>
      </c>
      <c r="B29" s="106"/>
      <c r="C29" s="106"/>
      <c r="D29" s="106"/>
      <c r="E29" s="14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40"/>
      <c r="G29" s="140"/>
      <c r="H29" s="140"/>
    </row>
    <row r="30" spans="1:8" ht="15.75" customHeight="1" x14ac:dyDescent="0.3">
      <c r="A30" s="106" t="s">
        <v>98</v>
      </c>
      <c r="B30" s="106"/>
      <c r="C30" s="106"/>
      <c r="D30" s="106"/>
      <c r="E30" s="140" t="s">
        <v>36</v>
      </c>
      <c r="F30" s="140"/>
      <c r="G30" s="140"/>
      <c r="H30" s="140"/>
    </row>
    <row r="31" spans="1:8" s="20" customFormat="1" x14ac:dyDescent="0.3">
      <c r="A31" s="181" t="s">
        <v>99</v>
      </c>
      <c r="B31" s="181"/>
      <c r="C31" s="180" t="s">
        <v>29</v>
      </c>
      <c r="D31" s="180"/>
      <c r="E31" s="180"/>
      <c r="F31" s="180" t="s">
        <v>31</v>
      </c>
      <c r="G31" s="180"/>
      <c r="H31" s="180"/>
    </row>
    <row r="32" spans="1:8" s="20" customFormat="1" x14ac:dyDescent="0.3">
      <c r="A32" s="162" t="s">
        <v>25</v>
      </c>
      <c r="B32" s="162" t="s">
        <v>30</v>
      </c>
      <c r="C32" s="163" t="s">
        <v>30</v>
      </c>
      <c r="D32" s="163"/>
      <c r="E32" s="163"/>
      <c r="F32" s="163" t="s">
        <v>200</v>
      </c>
      <c r="G32" s="163"/>
      <c r="H32" s="163"/>
    </row>
    <row r="33" spans="1:8" x14ac:dyDescent="0.3">
      <c r="A33" s="162" t="s">
        <v>26</v>
      </c>
      <c r="B33" s="162" t="s">
        <v>30</v>
      </c>
      <c r="C33" s="163" t="s">
        <v>30</v>
      </c>
      <c r="D33" s="163"/>
      <c r="E33" s="163"/>
      <c r="F33" s="163" t="s">
        <v>186</v>
      </c>
      <c r="G33" s="163"/>
      <c r="H33" s="163"/>
    </row>
    <row r="34" spans="1:8" s="20" customFormat="1" x14ac:dyDescent="0.3">
      <c r="A34" s="162" t="s">
        <v>28</v>
      </c>
      <c r="B34" s="162" t="s">
        <v>30</v>
      </c>
      <c r="C34" s="163" t="s">
        <v>30</v>
      </c>
      <c r="D34" s="163"/>
      <c r="E34" s="163"/>
      <c r="F34" s="163" t="s">
        <v>187</v>
      </c>
      <c r="G34" s="163"/>
      <c r="H34" s="163"/>
    </row>
    <row r="35" spans="1:8" x14ac:dyDescent="0.3">
      <c r="A35" s="162" t="s">
        <v>27</v>
      </c>
      <c r="B35" s="162" t="s">
        <v>30</v>
      </c>
      <c r="C35" s="163" t="s">
        <v>30</v>
      </c>
      <c r="D35" s="163"/>
      <c r="E35" s="163"/>
      <c r="F35" s="163" t="s">
        <v>201</v>
      </c>
      <c r="G35" s="163"/>
      <c r="H35" s="163"/>
    </row>
    <row r="36" spans="1:8" x14ac:dyDescent="0.3">
      <c r="A36" s="106" t="s">
        <v>32</v>
      </c>
      <c r="B36" s="106"/>
      <c r="C36" s="106"/>
      <c r="D36" s="106"/>
      <c r="E36" s="106"/>
      <c r="F36" s="106"/>
      <c r="G36" s="106"/>
      <c r="H36" s="106"/>
    </row>
    <row r="37" spans="1:8" ht="15.75" customHeight="1" x14ac:dyDescent="0.3">
      <c r="A37" s="166" t="s">
        <v>33</v>
      </c>
      <c r="B37" s="166"/>
      <c r="C37" s="167">
        <v>19.144906500000001</v>
      </c>
      <c r="D37" s="167"/>
      <c r="E37" s="166" t="s">
        <v>34</v>
      </c>
      <c r="F37" s="166"/>
      <c r="G37" s="168">
        <v>73.245716299999998</v>
      </c>
      <c r="H37" s="168"/>
    </row>
    <row r="38" spans="1:8" x14ac:dyDescent="0.3">
      <c r="A38" s="166" t="s">
        <v>173</v>
      </c>
      <c r="B38" s="166"/>
      <c r="C38" s="169" t="s">
        <v>188</v>
      </c>
      <c r="D38" s="140"/>
      <c r="E38" s="140"/>
      <c r="F38" s="140"/>
      <c r="G38" s="140"/>
      <c r="H38" s="140"/>
    </row>
    <row r="39" spans="1:8" x14ac:dyDescent="0.3">
      <c r="A39" s="165" t="s">
        <v>37</v>
      </c>
      <c r="B39" s="165"/>
      <c r="C39" s="165"/>
      <c r="D39" s="165"/>
      <c r="E39" s="165"/>
      <c r="F39" s="165"/>
      <c r="G39" s="165"/>
      <c r="H39" s="165"/>
    </row>
    <row r="40" spans="1:8" x14ac:dyDescent="0.3">
      <c r="A40" s="106" t="s">
        <v>38</v>
      </c>
      <c r="B40" s="106"/>
      <c r="C40" s="106"/>
      <c r="D40" s="106"/>
      <c r="E40" s="164">
        <v>4781</v>
      </c>
      <c r="F40" s="164"/>
      <c r="G40" s="164"/>
      <c r="H40" s="164"/>
    </row>
    <row r="41" spans="1:8" x14ac:dyDescent="0.3">
      <c r="A41" s="106" t="s">
        <v>39</v>
      </c>
      <c r="B41" s="106"/>
      <c r="C41" s="106"/>
      <c r="D41" s="106"/>
      <c r="E41" s="159">
        <v>1.1000000000000001</v>
      </c>
      <c r="F41" s="159"/>
      <c r="G41" s="159"/>
      <c r="H41" s="159"/>
    </row>
    <row r="42" spans="1:8" x14ac:dyDescent="0.3">
      <c r="A42" s="106" t="s">
        <v>40</v>
      </c>
      <c r="B42" s="106"/>
      <c r="C42" s="106"/>
      <c r="D42" s="106"/>
      <c r="E42" s="159">
        <f>E44/E40-E41</f>
        <v>1.2289583769085963</v>
      </c>
      <c r="F42" s="159"/>
      <c r="G42" s="159"/>
      <c r="H42" s="159"/>
    </row>
    <row r="43" spans="1:8" x14ac:dyDescent="0.3">
      <c r="A43" s="106" t="s">
        <v>41</v>
      </c>
      <c r="B43" s="106"/>
      <c r="C43" s="106"/>
      <c r="D43" s="106"/>
      <c r="E43" s="159">
        <f>E41+E42</f>
        <v>2.3289583769085964</v>
      </c>
      <c r="F43" s="159"/>
      <c r="G43" s="159"/>
      <c r="H43" s="159"/>
    </row>
    <row r="44" spans="1:8" x14ac:dyDescent="0.3">
      <c r="A44" s="106" t="s">
        <v>97</v>
      </c>
      <c r="B44" s="106"/>
      <c r="C44" s="106"/>
      <c r="D44" s="106"/>
      <c r="E44" s="160">
        <v>11134.75</v>
      </c>
      <c r="F44" s="160"/>
      <c r="G44" s="160"/>
      <c r="H44" s="160"/>
    </row>
    <row r="45" spans="1:8" x14ac:dyDescent="0.3">
      <c r="A45" s="70" t="s">
        <v>42</v>
      </c>
      <c r="B45" s="70"/>
      <c r="C45" s="70"/>
      <c r="D45" s="70"/>
      <c r="E45" s="70" t="s">
        <v>202</v>
      </c>
      <c r="F45" s="70"/>
      <c r="G45" s="70"/>
      <c r="H45" s="70"/>
    </row>
    <row r="46" spans="1:8" x14ac:dyDescent="0.3">
      <c r="A46" s="165" t="s">
        <v>43</v>
      </c>
      <c r="B46" s="165"/>
      <c r="C46" s="165"/>
      <c r="D46" s="165"/>
      <c r="E46" s="165"/>
      <c r="F46" s="165"/>
      <c r="G46" s="165"/>
      <c r="H46" s="165"/>
    </row>
    <row r="47" spans="1:8" ht="33.75" customHeight="1" x14ac:dyDescent="0.3">
      <c r="A47" s="98" t="s">
        <v>161</v>
      </c>
      <c r="B47" s="99"/>
      <c r="C47" s="100" t="s">
        <v>203</v>
      </c>
      <c r="D47" s="101"/>
      <c r="E47" s="101"/>
      <c r="F47" s="101"/>
      <c r="G47" s="101"/>
      <c r="H47" s="102"/>
    </row>
    <row r="48" spans="1:8" ht="15.75" customHeight="1" x14ac:dyDescent="0.3">
      <c r="A48" s="196" t="s">
        <v>44</v>
      </c>
      <c r="B48" s="175"/>
      <c r="C48" s="196" t="s">
        <v>220</v>
      </c>
      <c r="D48" s="197"/>
      <c r="E48" s="175"/>
      <c r="F48" s="18" t="s">
        <v>45</v>
      </c>
      <c r="G48" s="174">
        <v>45225</v>
      </c>
      <c r="H48" s="175"/>
    </row>
    <row r="49" spans="1:14" x14ac:dyDescent="0.3">
      <c r="A49" s="196" t="s">
        <v>46</v>
      </c>
      <c r="B49" s="175"/>
      <c r="C49" s="196" t="str">
        <f>C48</f>
        <v>KBNP/NRV/BP/2435-68/23-24</v>
      </c>
      <c r="D49" s="197"/>
      <c r="E49" s="175"/>
      <c r="F49" s="18" t="s">
        <v>45</v>
      </c>
      <c r="G49" s="174">
        <f>G48</f>
        <v>45225</v>
      </c>
      <c r="H49" s="175"/>
    </row>
    <row r="50" spans="1:14" s="21" customFormat="1" ht="33" customHeight="1" x14ac:dyDescent="0.3">
      <c r="A50" s="176" t="s">
        <v>204</v>
      </c>
      <c r="B50" s="177"/>
      <c r="C50" s="196" t="s">
        <v>218</v>
      </c>
      <c r="D50" s="197"/>
      <c r="E50" s="175"/>
      <c r="F50" s="18" t="s">
        <v>45</v>
      </c>
      <c r="G50" s="174">
        <v>45225</v>
      </c>
      <c r="H50" s="175"/>
    </row>
    <row r="51" spans="1:14" s="21" customFormat="1" ht="31.5" customHeight="1" x14ac:dyDescent="0.3">
      <c r="A51" s="178"/>
      <c r="B51" s="179"/>
      <c r="C51" s="196" t="s">
        <v>219</v>
      </c>
      <c r="D51" s="197"/>
      <c r="E51" s="197"/>
      <c r="F51" s="197"/>
      <c r="G51" s="197"/>
      <c r="H51" s="175"/>
    </row>
    <row r="52" spans="1:14" x14ac:dyDescent="0.3">
      <c r="A52" s="198" t="s">
        <v>47</v>
      </c>
      <c r="B52" s="199"/>
      <c r="C52" s="198" t="s">
        <v>110</v>
      </c>
      <c r="D52" s="200"/>
      <c r="E52" s="199"/>
      <c r="F52" s="41" t="s">
        <v>45</v>
      </c>
      <c r="G52" s="201" t="s">
        <v>30</v>
      </c>
      <c r="H52" s="202"/>
    </row>
    <row r="53" spans="1:14" x14ac:dyDescent="0.3">
      <c r="A53" s="190" t="s">
        <v>49</v>
      </c>
      <c r="B53" s="190"/>
      <c r="C53" s="190"/>
      <c r="D53" s="190"/>
      <c r="E53" s="190"/>
      <c r="F53" s="190"/>
      <c r="G53" s="190"/>
      <c r="H53" s="190"/>
    </row>
    <row r="54" spans="1:14" x14ac:dyDescent="0.3">
      <c r="A54" s="142" t="s">
        <v>96</v>
      </c>
      <c r="B54" s="142"/>
      <c r="C54" s="142"/>
      <c r="D54" s="106">
        <f>E44</f>
        <v>11134.75</v>
      </c>
      <c r="E54" s="106"/>
      <c r="F54" s="106"/>
      <c r="G54" s="106"/>
      <c r="H54" s="106"/>
    </row>
    <row r="55" spans="1:14" x14ac:dyDescent="0.3">
      <c r="A55" s="140" t="s">
        <v>50</v>
      </c>
      <c r="B55" s="70"/>
      <c r="C55" s="70"/>
      <c r="D55" s="70" t="s">
        <v>226</v>
      </c>
      <c r="E55" s="70"/>
      <c r="F55" s="70"/>
      <c r="G55" s="70"/>
      <c r="H55" s="70"/>
      <c r="I55" s="22"/>
    </row>
    <row r="56" spans="1:14" ht="31.2" customHeight="1" x14ac:dyDescent="0.3">
      <c r="A56" s="171" t="s">
        <v>51</v>
      </c>
      <c r="B56" s="172"/>
      <c r="C56" s="173"/>
      <c r="D56" s="144" t="s">
        <v>238</v>
      </c>
      <c r="E56" s="170"/>
      <c r="F56" s="170"/>
      <c r="G56" s="170"/>
      <c r="H56" s="170"/>
    </row>
    <row r="57" spans="1:14" ht="15.75" customHeight="1" x14ac:dyDescent="0.3">
      <c r="A57" s="171" t="s">
        <v>94</v>
      </c>
      <c r="B57" s="172"/>
      <c r="C57" s="172"/>
      <c r="D57" s="70" t="s">
        <v>228</v>
      </c>
      <c r="E57" s="70"/>
      <c r="F57" s="70"/>
      <c r="G57" s="70"/>
      <c r="H57" s="70"/>
    </row>
    <row r="58" spans="1:14" ht="15.75" customHeight="1" x14ac:dyDescent="0.3">
      <c r="A58" s="204"/>
      <c r="B58" s="205"/>
      <c r="C58" s="205"/>
      <c r="D58" s="70" t="s">
        <v>237</v>
      </c>
      <c r="E58" s="70"/>
      <c r="F58" s="70"/>
      <c r="G58" s="70"/>
      <c r="H58" s="70"/>
    </row>
    <row r="59" spans="1:14" ht="15.75" hidden="1" customHeight="1" x14ac:dyDescent="0.3">
      <c r="A59" s="206"/>
      <c r="B59" s="207"/>
      <c r="C59" s="207"/>
      <c r="D59" s="70" t="s">
        <v>156</v>
      </c>
      <c r="E59" s="70"/>
      <c r="F59" s="70"/>
      <c r="G59" s="70"/>
      <c r="H59" s="70"/>
    </row>
    <row r="60" spans="1:14" ht="15.75" customHeight="1" x14ac:dyDescent="0.3">
      <c r="A60" s="70" t="s">
        <v>48</v>
      </c>
      <c r="B60" s="70"/>
      <c r="C60" s="70"/>
      <c r="D60" s="140" t="s">
        <v>241</v>
      </c>
      <c r="E60" s="140"/>
      <c r="F60" s="140"/>
      <c r="G60" s="140"/>
      <c r="H60" s="140"/>
      <c r="J60" s="23"/>
      <c r="K60" s="22"/>
      <c r="N60" s="22"/>
    </row>
    <row r="61" spans="1:14" ht="15.75" customHeight="1" x14ac:dyDescent="0.3">
      <c r="A61" s="70" t="s">
        <v>92</v>
      </c>
      <c r="B61" s="70"/>
      <c r="C61" s="70"/>
      <c r="D61" s="141" t="str">
        <f>(IF(G52="NA","60 Years After Completion",IF(G52&lt;&gt;"NA",""&amp;60-ROUNDDOWN((E3-G52)/360,0)&amp;" Years"," ")))</f>
        <v>60 Years After Completion</v>
      </c>
      <c r="E61" s="141"/>
      <c r="F61" s="141"/>
      <c r="G61" s="141"/>
      <c r="H61" s="141"/>
      <c r="N61" s="22"/>
    </row>
    <row r="62" spans="1:14" ht="15.75" customHeight="1" x14ac:dyDescent="0.3">
      <c r="A62" s="106" t="s">
        <v>93</v>
      </c>
      <c r="B62" s="106"/>
      <c r="C62" s="106"/>
      <c r="D62" s="142" t="s">
        <v>24</v>
      </c>
      <c r="E62" s="142"/>
      <c r="F62" s="142"/>
      <c r="G62" s="142"/>
      <c r="H62" s="142"/>
      <c r="J62" s="24"/>
      <c r="K62" s="24"/>
    </row>
    <row r="63" spans="1:14" ht="15" hidden="1" customHeight="1" x14ac:dyDescent="0.3">
      <c r="A63" s="106" t="s">
        <v>79</v>
      </c>
      <c r="B63" s="106"/>
      <c r="C63" s="106"/>
      <c r="D63" s="140" t="s">
        <v>157</v>
      </c>
      <c r="E63" s="142"/>
      <c r="F63" s="142"/>
      <c r="G63" s="142"/>
      <c r="H63" s="142"/>
    </row>
    <row r="64" spans="1:14" x14ac:dyDescent="0.3">
      <c r="A64" s="142" t="s">
        <v>158</v>
      </c>
      <c r="B64" s="142"/>
      <c r="C64" s="142"/>
      <c r="D64" s="142" t="s">
        <v>30</v>
      </c>
      <c r="E64" s="142"/>
      <c r="F64" s="142"/>
      <c r="G64" s="142"/>
      <c r="H64" s="142"/>
      <c r="I64" s="25"/>
      <c r="J64" s="25"/>
      <c r="K64" s="25"/>
      <c r="L64" s="25"/>
      <c r="M64" s="25"/>
      <c r="N64" s="25"/>
    </row>
    <row r="65" spans="1:10" ht="15.75" customHeight="1" x14ac:dyDescent="0.3">
      <c r="A65" s="143" t="s">
        <v>91</v>
      </c>
      <c r="B65" s="143"/>
      <c r="C65" s="143"/>
      <c r="D65" s="144" t="str">
        <f ca="1">(IF(G71&gt;95%,"Nothing",IF(G71&gt;0%,"Cement, Aggregate, Steel, etc",IF(G71=0%,"Work not yet Started"))))</f>
        <v>Cement, Aggregate, Steel, etc</v>
      </c>
      <c r="E65" s="144"/>
      <c r="F65" s="144"/>
      <c r="G65" s="144"/>
      <c r="H65" s="144"/>
      <c r="J65" s="24"/>
    </row>
    <row r="66" spans="1:10" ht="33.75" customHeight="1" thickBot="1" x14ac:dyDescent="0.35">
      <c r="A66" s="161" t="s">
        <v>123</v>
      </c>
      <c r="B66" s="161"/>
      <c r="C66" s="161"/>
      <c r="D66" s="144" t="str">
        <f ca="1">(IF(D65="Nothing","Yes",IF(D65="Cement, Aggregate, Steel, etc","Under Construction",IF(D65="Work not yet Started","Work not yet Started"))))</f>
        <v>Under Construction</v>
      </c>
      <c r="E66" s="144"/>
      <c r="F66" s="144" t="str">
        <f ca="1">(IF(D65="Nothing","Yes",IF(D65="Cement, Aggregate, Steel, etc","Under Construction",IF(D65="Work not yet Started","Work not yet Started"))))</f>
        <v>Under Construction</v>
      </c>
      <c r="G66" s="144"/>
      <c r="H66" s="144"/>
    </row>
    <row r="67" spans="1:10" ht="15.75" customHeight="1" x14ac:dyDescent="0.3">
      <c r="A67" s="127" t="s">
        <v>148</v>
      </c>
      <c r="B67" s="128"/>
      <c r="C67" s="129" t="str">
        <f>D57</f>
        <v>Wing A = G/St + 1st to 13th Floor</v>
      </c>
      <c r="D67" s="130"/>
      <c r="E67" s="130"/>
      <c r="F67" s="130"/>
      <c r="G67" s="130"/>
      <c r="H67" s="131"/>
      <c r="I67" s="44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11 Floor, Flooring upto 5 Floor, Painting upto 4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11 Floor, Flooring upto 5 Floor, Painting upto 4 Floor</v>
      </c>
    </row>
    <row r="68" spans="1:10" x14ac:dyDescent="0.3">
      <c r="A68" s="16" t="s">
        <v>150</v>
      </c>
      <c r="B68" s="48">
        <v>0</v>
      </c>
      <c r="C68" s="48" t="s">
        <v>76</v>
      </c>
      <c r="D68" s="48">
        <v>1</v>
      </c>
      <c r="E68" s="48" t="s">
        <v>75</v>
      </c>
      <c r="F68" s="48">
        <v>0</v>
      </c>
      <c r="G68" s="48" t="s">
        <v>85</v>
      </c>
      <c r="H68" s="17">
        <f ca="1">--TRIM(RIGHT(SUBSTITUTE(LEFT(C67,_xlfn.AGGREGATE(16,6,FIND({0,1,2,3,4,5,6,7,8,9},C67,ROW(INDIRECT("1:"&amp;LEN(C67)))),1))," ",REPT(" ",LEN(C67))),LEN(C67)))</f>
        <v>13</v>
      </c>
      <c r="I68" s="4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2.25" customHeight="1" x14ac:dyDescent="0.3">
      <c r="A69" s="108" t="s">
        <v>95</v>
      </c>
      <c r="B69" s="109"/>
      <c r="C69" s="110" t="str">
        <f ca="1">(IF($G$52="NA",I67,"All work Completed. OC Received."))</f>
        <v>Excavation, Plinth, RCC Slab, Brickwork, Internal Plaster Completed, External Plaster upto 11 Floor, Flooring upto 5 Floor, Painting upto 4 Floor Completed</v>
      </c>
      <c r="D69" s="110"/>
      <c r="E69" s="110"/>
      <c r="F69" s="110"/>
      <c r="G69" s="110"/>
      <c r="H69" s="111"/>
      <c r="I69" s="46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">
      <c r="A70" s="103" t="s">
        <v>52</v>
      </c>
      <c r="B70" s="104"/>
      <c r="C70" s="50" t="s">
        <v>147</v>
      </c>
      <c r="D70" s="50" t="s">
        <v>88</v>
      </c>
      <c r="E70" s="104" t="s">
        <v>90</v>
      </c>
      <c r="F70" s="104"/>
      <c r="G70" s="104" t="s">
        <v>89</v>
      </c>
      <c r="H70" s="147"/>
      <c r="I70" s="14" t="s">
        <v>149</v>
      </c>
      <c r="J70" s="26">
        <f ca="1">H68*25%</f>
        <v>3.25</v>
      </c>
    </row>
    <row r="71" spans="1:10" x14ac:dyDescent="0.3">
      <c r="A71" s="103" t="s">
        <v>136</v>
      </c>
      <c r="B71" s="104"/>
      <c r="C71" s="50">
        <f ca="1">J72</f>
        <v>13</v>
      </c>
      <c r="D71" s="51">
        <f ca="1">((100/H68)*C71)/100</f>
        <v>1</v>
      </c>
      <c r="E71" s="112">
        <f ca="1">(((C72/H68*10)+(40/(D68+F68+H68)*C73)+(7.5/(H68)*C74)+(7.5/(H68)*C75)+(10/H68*C76)+(10/H68*C77)+(5/H68*C78)+(5/H68*C79)+(5/H68*C80))/100)</f>
        <v>0.78846153846153844</v>
      </c>
      <c r="F71" s="136"/>
      <c r="G71" s="112">
        <f ca="1">((((C71/H68)*20)+((C72/H68)*25)+(30/(H68+F68+D68)*C73)+(5/H68*C74)+(5/H68*C75)+(5/H68*C76)+(5/H68*C77)+(0/H68*C78)+(0/H68*C79)+(5/H68*C80))/100)</f>
        <v>0.91153846153846141</v>
      </c>
      <c r="H71" s="113"/>
      <c r="I71" s="14" t="s">
        <v>105</v>
      </c>
      <c r="J71" s="27">
        <f ca="1">H68*50%</f>
        <v>6.5</v>
      </c>
    </row>
    <row r="72" spans="1:10" x14ac:dyDescent="0.3">
      <c r="A72" s="103" t="s">
        <v>53</v>
      </c>
      <c r="B72" s="104"/>
      <c r="C72" s="50">
        <f ca="1">J80</f>
        <v>13</v>
      </c>
      <c r="D72" s="51">
        <f ca="1">((100/H68)*C72)/100</f>
        <v>1</v>
      </c>
      <c r="E72" s="114"/>
      <c r="F72" s="137"/>
      <c r="G72" s="114"/>
      <c r="H72" s="115"/>
      <c r="I72" s="14" t="s">
        <v>106</v>
      </c>
      <c r="J72" s="27">
        <f ca="1">H68</f>
        <v>13</v>
      </c>
    </row>
    <row r="73" spans="1:10" ht="15.75" customHeight="1" x14ac:dyDescent="0.3">
      <c r="A73" s="103" t="s">
        <v>137</v>
      </c>
      <c r="B73" s="104"/>
      <c r="C73" s="50">
        <v>14</v>
      </c>
      <c r="D73" s="51">
        <f ca="1">((100/(D68+F68+H68))*C73)/100</f>
        <v>1</v>
      </c>
      <c r="E73" s="114"/>
      <c r="F73" s="137"/>
      <c r="G73" s="114"/>
      <c r="H73" s="115"/>
      <c r="I73" s="14" t="s">
        <v>107</v>
      </c>
      <c r="J73" s="28">
        <f ca="1">(IF(B68&gt;1,(H68/(B68+2)),H68/4))</f>
        <v>3.25</v>
      </c>
    </row>
    <row r="74" spans="1:10" ht="15.75" customHeight="1" x14ac:dyDescent="0.3">
      <c r="A74" s="103" t="s">
        <v>144</v>
      </c>
      <c r="B74" s="104" t="s">
        <v>138</v>
      </c>
      <c r="C74" s="50">
        <v>13</v>
      </c>
      <c r="D74" s="51">
        <f ca="1">((100/H68)*C74)/100</f>
        <v>1</v>
      </c>
      <c r="E74" s="114"/>
      <c r="F74" s="137"/>
      <c r="G74" s="114"/>
      <c r="H74" s="115"/>
      <c r="I74" s="14" t="s">
        <v>108</v>
      </c>
      <c r="J74" s="28">
        <f ca="1">(IF(B68&gt;1,(H68/(B68+2)+J73),H68/4+J73))</f>
        <v>6.5</v>
      </c>
    </row>
    <row r="75" spans="1:10" ht="15.75" customHeight="1" x14ac:dyDescent="0.3">
      <c r="A75" s="103" t="s">
        <v>145</v>
      </c>
      <c r="B75" s="104" t="s">
        <v>138</v>
      </c>
      <c r="C75" s="50">
        <v>13</v>
      </c>
      <c r="D75" s="51">
        <f ca="1">((100/H68)*C75)/100</f>
        <v>1</v>
      </c>
      <c r="E75" s="114"/>
      <c r="F75" s="137"/>
      <c r="G75" s="114"/>
      <c r="H75" s="115"/>
      <c r="I75" s="14" t="s">
        <v>154</v>
      </c>
      <c r="J75" s="28">
        <f>(IF(B68&gt;1,(H68/(B68+2)+J74),0))</f>
        <v>0</v>
      </c>
    </row>
    <row r="76" spans="1:10" ht="15" customHeight="1" x14ac:dyDescent="0.3">
      <c r="A76" s="103" t="s">
        <v>143</v>
      </c>
      <c r="B76" s="104" t="s">
        <v>140</v>
      </c>
      <c r="C76" s="50">
        <v>11</v>
      </c>
      <c r="D76" s="51">
        <f ca="1">((100/(H68))*C76)/100</f>
        <v>0.84615384615384615</v>
      </c>
      <c r="E76" s="114"/>
      <c r="F76" s="137"/>
      <c r="G76" s="114"/>
      <c r="H76" s="115"/>
      <c r="I76" s="14" t="s">
        <v>151</v>
      </c>
      <c r="J76" s="28">
        <f>(IF(B68&gt;2,(H68/(B68+2)+J75),0))</f>
        <v>0</v>
      </c>
    </row>
    <row r="77" spans="1:10" ht="15.75" customHeight="1" x14ac:dyDescent="0.3">
      <c r="A77" s="103" t="s">
        <v>139</v>
      </c>
      <c r="B77" s="104" t="s">
        <v>139</v>
      </c>
      <c r="C77" s="50">
        <v>5</v>
      </c>
      <c r="D77" s="51">
        <f ca="1">((100/H68)*C77)/100</f>
        <v>0.38461538461538458</v>
      </c>
      <c r="E77" s="114"/>
      <c r="F77" s="137"/>
      <c r="G77" s="114"/>
      <c r="H77" s="115"/>
      <c r="I77" s="14" t="s">
        <v>152</v>
      </c>
      <c r="J77" s="29">
        <f>(IF(B68&gt;3,(H68/(B68+2)+J76),0))</f>
        <v>0</v>
      </c>
    </row>
    <row r="78" spans="1:10" ht="15.75" customHeight="1" x14ac:dyDescent="0.3">
      <c r="A78" s="103" t="s">
        <v>146</v>
      </c>
      <c r="B78" s="104"/>
      <c r="C78" s="50">
        <v>4</v>
      </c>
      <c r="D78" s="51">
        <f ca="1">((100/H68)*C78)/100</f>
        <v>0.30769230769230771</v>
      </c>
      <c r="E78" s="114"/>
      <c r="F78" s="137"/>
      <c r="G78" s="114"/>
      <c r="H78" s="115"/>
      <c r="I78" s="14" t="s">
        <v>153</v>
      </c>
      <c r="J78" s="28">
        <f>(IF(B68&gt;4,(H68/(B68+2)+J77),0))</f>
        <v>0</v>
      </c>
    </row>
    <row r="79" spans="1:10" ht="15.75" customHeight="1" x14ac:dyDescent="0.3">
      <c r="A79" s="103" t="s">
        <v>141</v>
      </c>
      <c r="B79" s="104" t="s">
        <v>141</v>
      </c>
      <c r="C79" s="50">
        <v>0</v>
      </c>
      <c r="D79" s="51">
        <f ca="1">((100/(H68))*C79)/100</f>
        <v>0</v>
      </c>
      <c r="E79" s="114"/>
      <c r="F79" s="137"/>
      <c r="G79" s="114"/>
      <c r="H79" s="115"/>
      <c r="I79" s="14" t="s">
        <v>155</v>
      </c>
      <c r="J79" s="28">
        <f ca="1">(IF(B68=1,(H68/(B68+3)+J74),IF(B68=0,(H68/4+J74),IF(B68&gt;1,0))))</f>
        <v>9.75</v>
      </c>
    </row>
    <row r="80" spans="1:10" ht="16.2" thickBot="1" x14ac:dyDescent="0.35">
      <c r="A80" s="118" t="s">
        <v>142</v>
      </c>
      <c r="B80" s="119"/>
      <c r="C80" s="52">
        <v>0</v>
      </c>
      <c r="D80" s="53">
        <f ca="1">((100/(H68))*C80)/100</f>
        <v>0</v>
      </c>
      <c r="E80" s="116"/>
      <c r="F80" s="138"/>
      <c r="G80" s="116"/>
      <c r="H80" s="117"/>
      <c r="I80" s="15" t="s">
        <v>109</v>
      </c>
      <c r="J80" s="30">
        <f ca="1">(IF(B68&gt;1.5,(H68/(B68+2)+J74+MAX(0,J75-J74)+MAX(0,J76-J75)+MAX(0,J77-J76)+MAX(0,J78-J77)+MAX(0,J79-J78)),IF(B68=1,(H68/(B68+3)+J79),IF(B68=0,H68/4+J79))))</f>
        <v>13</v>
      </c>
    </row>
    <row r="81" spans="1:10" ht="15.75" customHeight="1" x14ac:dyDescent="0.3">
      <c r="A81" s="127" t="s">
        <v>148</v>
      </c>
      <c r="B81" s="128"/>
      <c r="C81" s="129" t="s">
        <v>237</v>
      </c>
      <c r="D81" s="130"/>
      <c r="E81" s="130"/>
      <c r="F81" s="130"/>
      <c r="G81" s="130"/>
      <c r="H81" s="131"/>
      <c r="I81" s="44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11 Floor, Flooring upto 4 Floor Completed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11 Floor, Flooring upto 4 Floor</v>
      </c>
    </row>
    <row r="82" spans="1:10" x14ac:dyDescent="0.3">
      <c r="A82" s="16" t="s">
        <v>150</v>
      </c>
      <c r="B82" s="48">
        <v>1</v>
      </c>
      <c r="C82" s="48" t="s">
        <v>76</v>
      </c>
      <c r="D82" s="48">
        <v>1</v>
      </c>
      <c r="E82" s="48" t="s">
        <v>75</v>
      </c>
      <c r="F82" s="48">
        <v>0</v>
      </c>
      <c r="G82" s="48" t="s">
        <v>85</v>
      </c>
      <c r="H82" s="17">
        <f ca="1">--TRIM(RIGHT(SUBSTITUTE(LEFT(C81,_xlfn.AGGREGATE(16,6,FIND({0,1,2,3,4,5,6,7,8,9},C81,ROW(INDIRECT("1:"&amp;LEN(C81)))),1))," ",REPT(" ",LEN(C81))),LEN(C81)))</f>
        <v>12</v>
      </c>
      <c r="I82" s="4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1.5" customHeight="1" x14ac:dyDescent="0.3">
      <c r="A83" s="108" t="s">
        <v>95</v>
      </c>
      <c r="B83" s="109"/>
      <c r="C83" s="110" t="str">
        <f ca="1">(IF($G$52="NA",I81,"All work Completed. OC Received."))</f>
        <v>Excavation, Plinth, RCC Slab, Brickwork, Internal Plaster Completed, External Plaster upto 11 Floor, Flooring upto 4 Floor Completed</v>
      </c>
      <c r="D83" s="110"/>
      <c r="E83" s="110"/>
      <c r="F83" s="110"/>
      <c r="G83" s="110"/>
      <c r="H83" s="111"/>
      <c r="I83" s="46" t="str">
        <f ca="1">IF(I82&lt;&gt;""," Completed","")</f>
        <v xml:space="preserve"> Completed</v>
      </c>
      <c r="J83" s="47" t="str">
        <f ca="1">IF(J81&lt;&gt;"","Completed","")</f>
        <v>Completed</v>
      </c>
    </row>
    <row r="84" spans="1:10" ht="15.75" customHeight="1" x14ac:dyDescent="0.3">
      <c r="A84" s="103" t="s">
        <v>52</v>
      </c>
      <c r="B84" s="104"/>
      <c r="C84" s="50" t="s">
        <v>147</v>
      </c>
      <c r="D84" s="50" t="s">
        <v>88</v>
      </c>
      <c r="E84" s="104" t="s">
        <v>90</v>
      </c>
      <c r="F84" s="104"/>
      <c r="G84" s="104" t="s">
        <v>89</v>
      </c>
      <c r="H84" s="147"/>
      <c r="I84" s="14" t="s">
        <v>149</v>
      </c>
      <c r="J84" s="26">
        <f ca="1">H82*25%</f>
        <v>3</v>
      </c>
    </row>
    <row r="85" spans="1:10" x14ac:dyDescent="0.3">
      <c r="A85" s="103" t="s">
        <v>136</v>
      </c>
      <c r="B85" s="104"/>
      <c r="C85" s="50">
        <f ca="1">J86</f>
        <v>12</v>
      </c>
      <c r="D85" s="51">
        <f ca="1">((100/H82)*C85)/100</f>
        <v>1</v>
      </c>
      <c r="E85" s="112">
        <f ca="1">(((C86/H82*10)+(40/(D82+F82+H82)*C87)+(7.5/(H82)*C88)+(7.5/(H82)*C89)+(10/H82*C90)+(10/H82*C91)+(5/H82*C92)+(5/H82*C93)+(5/H82*C94))/100)</f>
        <v>0.77500000000000002</v>
      </c>
      <c r="F85" s="136"/>
      <c r="G85" s="112">
        <f ca="1">((((C85/H82)*20)+((C86/H82)*25)+(30/(H82+F82+D82)*C87)+(5/H82*C88)+(5/H82*C89)+(5/H82*C90)+(5/H82*C91)+(0/H82*C92)+(0/H82*C93)+(5/H82*C94))/100)</f>
        <v>0.91249999999999998</v>
      </c>
      <c r="H85" s="113"/>
      <c r="I85" s="14" t="s">
        <v>105</v>
      </c>
      <c r="J85" s="27">
        <f ca="1">H82*50%</f>
        <v>6</v>
      </c>
    </row>
    <row r="86" spans="1:10" x14ac:dyDescent="0.3">
      <c r="A86" s="103" t="s">
        <v>53</v>
      </c>
      <c r="B86" s="104"/>
      <c r="C86" s="64">
        <f ca="1">J94</f>
        <v>12</v>
      </c>
      <c r="D86" s="51">
        <f ca="1">((100/H82)*C86)/100</f>
        <v>1</v>
      </c>
      <c r="E86" s="114"/>
      <c r="F86" s="137"/>
      <c r="G86" s="114"/>
      <c r="H86" s="115"/>
      <c r="I86" s="14" t="s">
        <v>106</v>
      </c>
      <c r="J86" s="27">
        <f ca="1">H82</f>
        <v>12</v>
      </c>
    </row>
    <row r="87" spans="1:10" ht="15.75" customHeight="1" x14ac:dyDescent="0.3">
      <c r="A87" s="103" t="s">
        <v>137</v>
      </c>
      <c r="B87" s="104"/>
      <c r="C87" s="50">
        <v>13</v>
      </c>
      <c r="D87" s="51">
        <f ca="1">((100/(D82+F82+H82))*C87)/100</f>
        <v>1</v>
      </c>
      <c r="E87" s="114"/>
      <c r="F87" s="137"/>
      <c r="G87" s="114"/>
      <c r="H87" s="115"/>
      <c r="I87" s="14" t="s">
        <v>107</v>
      </c>
      <c r="J87" s="28">
        <f ca="1">(IF(B82&gt;1,(H82/(B82+2)),H82/4))</f>
        <v>3</v>
      </c>
    </row>
    <row r="88" spans="1:10" ht="15.75" customHeight="1" x14ac:dyDescent="0.3">
      <c r="A88" s="103" t="s">
        <v>144</v>
      </c>
      <c r="B88" s="104" t="s">
        <v>138</v>
      </c>
      <c r="C88" s="50">
        <v>12</v>
      </c>
      <c r="D88" s="51">
        <f ca="1">((100/H82)*C88)/100</f>
        <v>1</v>
      </c>
      <c r="E88" s="114"/>
      <c r="F88" s="137"/>
      <c r="G88" s="114"/>
      <c r="H88" s="115"/>
      <c r="I88" s="14" t="s">
        <v>108</v>
      </c>
      <c r="J88" s="28">
        <f ca="1">(IF(B82&gt;1,(H82/(B82+2)+J87),H82/4+J87))</f>
        <v>6</v>
      </c>
    </row>
    <row r="89" spans="1:10" ht="15.75" customHeight="1" x14ac:dyDescent="0.3">
      <c r="A89" s="103" t="s">
        <v>145</v>
      </c>
      <c r="B89" s="104" t="s">
        <v>138</v>
      </c>
      <c r="C89" s="50">
        <v>12</v>
      </c>
      <c r="D89" s="51">
        <f ca="1">((100/H82)*C89)/100</f>
        <v>1</v>
      </c>
      <c r="E89" s="114"/>
      <c r="F89" s="137"/>
      <c r="G89" s="114"/>
      <c r="H89" s="115"/>
      <c r="I89" s="14" t="s">
        <v>154</v>
      </c>
      <c r="J89" s="28">
        <f>(IF(B82&gt;1,(H82/(B82+2)+J88),0))</f>
        <v>0</v>
      </c>
    </row>
    <row r="90" spans="1:10" ht="15" customHeight="1" x14ac:dyDescent="0.3">
      <c r="A90" s="103" t="s">
        <v>143</v>
      </c>
      <c r="B90" s="104" t="s">
        <v>140</v>
      </c>
      <c r="C90" s="50">
        <v>11</v>
      </c>
      <c r="D90" s="51">
        <f ca="1">((100/(H82))*C90)/100</f>
        <v>0.91666666666666674</v>
      </c>
      <c r="E90" s="114"/>
      <c r="F90" s="137"/>
      <c r="G90" s="114"/>
      <c r="H90" s="115"/>
      <c r="I90" s="14" t="s">
        <v>151</v>
      </c>
      <c r="J90" s="28">
        <f>(IF(B82&gt;2,(H82/(B82+2)+J89),0))</f>
        <v>0</v>
      </c>
    </row>
    <row r="91" spans="1:10" ht="15.75" customHeight="1" x14ac:dyDescent="0.3">
      <c r="A91" s="103" t="s">
        <v>139</v>
      </c>
      <c r="B91" s="104" t="s">
        <v>139</v>
      </c>
      <c r="C91" s="50">
        <v>4</v>
      </c>
      <c r="D91" s="51">
        <f ca="1">((100/H82)*C91)/100</f>
        <v>0.33333333333333337</v>
      </c>
      <c r="E91" s="114"/>
      <c r="F91" s="137"/>
      <c r="G91" s="114"/>
      <c r="H91" s="115"/>
      <c r="I91" s="14" t="s">
        <v>152</v>
      </c>
      <c r="J91" s="29">
        <f>(IF(B82&gt;3,(H82/(B82+2)+J90),0))</f>
        <v>0</v>
      </c>
    </row>
    <row r="92" spans="1:10" ht="15.75" customHeight="1" x14ac:dyDescent="0.3">
      <c r="A92" s="103" t="s">
        <v>146</v>
      </c>
      <c r="B92" s="104"/>
      <c r="C92" s="50">
        <v>0</v>
      </c>
      <c r="D92" s="51">
        <f ca="1">((100/H82)*C92)/100</f>
        <v>0</v>
      </c>
      <c r="E92" s="114"/>
      <c r="F92" s="137"/>
      <c r="G92" s="114"/>
      <c r="H92" s="115"/>
      <c r="I92" s="14" t="s">
        <v>153</v>
      </c>
      <c r="J92" s="28">
        <f>(IF(B82&gt;4,(H82/(B82+2)+J91),0))</f>
        <v>0</v>
      </c>
    </row>
    <row r="93" spans="1:10" ht="15.75" customHeight="1" x14ac:dyDescent="0.3">
      <c r="A93" s="103" t="s">
        <v>141</v>
      </c>
      <c r="B93" s="104" t="s">
        <v>141</v>
      </c>
      <c r="C93" s="50">
        <v>0</v>
      </c>
      <c r="D93" s="51">
        <f ca="1">((100/(H82))*C93)/100</f>
        <v>0</v>
      </c>
      <c r="E93" s="114"/>
      <c r="F93" s="137"/>
      <c r="G93" s="114"/>
      <c r="H93" s="115"/>
      <c r="I93" s="14" t="s">
        <v>155</v>
      </c>
      <c r="J93" s="28">
        <f ca="1">(IF(B82=1,(H82/(B82+3)+J88),IF(B82=0,(H82/4+J88),IF(B82&gt;1,0))))</f>
        <v>9</v>
      </c>
    </row>
    <row r="94" spans="1:10" ht="16.2" thickBot="1" x14ac:dyDescent="0.35">
      <c r="A94" s="118" t="s">
        <v>142</v>
      </c>
      <c r="B94" s="119"/>
      <c r="C94" s="52">
        <v>0</v>
      </c>
      <c r="D94" s="53">
        <f ca="1">((100/(H82))*C94)/100</f>
        <v>0</v>
      </c>
      <c r="E94" s="116"/>
      <c r="F94" s="138"/>
      <c r="G94" s="116"/>
      <c r="H94" s="117"/>
      <c r="I94" s="15" t="s">
        <v>109</v>
      </c>
      <c r="J94" s="30">
        <f ca="1">(IF(B82&gt;1.5,(H82/(B82+2)+J88+MAX(0,J89-J88)+MAX(0,J90-J89)+MAX(0,J91-J90)+MAX(0,J92-J91)+MAX(0,J93-J92)),IF(B82=1,(H82/(B82+3)+J93),IF(B82=0,H82/4+J93))))</f>
        <v>12</v>
      </c>
    </row>
    <row r="95" spans="1:10" customFormat="1" hidden="1" x14ac:dyDescent="0.3">
      <c r="A95" s="145" t="s">
        <v>148</v>
      </c>
      <c r="B95" s="146"/>
      <c r="C95" s="148" t="str">
        <f>D58</f>
        <v>Wing B = LG + G/St + 1st to 12th Floor</v>
      </c>
      <c r="D95" s="149"/>
      <c r="E95" s="149"/>
      <c r="F95" s="149"/>
      <c r="G95" s="149"/>
      <c r="H95" s="150"/>
      <c r="I95" s="54" t="str">
        <f ca="1">IF(F108=100%,"All work Completed. Possession granted to the Building.",IF(F107=100%,"All work Completed, Waiting for OC",I96&amp;""&amp;I97&amp;""&amp;J96&amp;""&amp;J95&amp;" "&amp;J97))</f>
        <v>Excavation, Plinth Completed, RCC upto 7 Slab, Brickwork upto 3.5 Floor, Internal Plaster upto 0.5 Floor Completed</v>
      </c>
      <c r="J95" s="45" t="str">
        <f ca="1">(IF(E101=(D96+F96+H96),"",IF(E101&gt;0,", RCC upto "&amp;E101&amp;" Slab","")))&amp;(IF(E102=H96,"",IF(E102&gt;0,", Brickwork upto "&amp;E102&amp;" Floor","")))&amp;(IF(E103=H96,"",IF(E103&gt;0,", Internal Plaster upto "&amp;E103&amp;" Floor","")))&amp;(IF(E104=H96,"",IF(E104&gt;0,", External Plaster upto "&amp;E104&amp;" Floor","")))&amp;(IF(E105=H96,"",IF(E105&gt;0,", Flooring upto "&amp;E105&amp;" Floor","")))&amp;(IF(E106=H96,"",IF(E106&gt;0,", Painting upto "&amp;E106&amp;" Floor","")))&amp;(IF(E107=H96,"",IF(E107&gt;0,", Finishing upto "&amp;E107&amp;" Floor","")))&amp;(IF(E108=H96,"",IF(E108&gt;0,", Possession upto "&amp;E108&amp;" Floor","")))</f>
        <v>, RCC upto 7 Slab, Brickwork upto 3.5 Floor, Internal Plaster upto 0.5 Floor</v>
      </c>
    </row>
    <row r="96" spans="1:10" customFormat="1" hidden="1" x14ac:dyDescent="0.3">
      <c r="A96" s="16" t="s">
        <v>150</v>
      </c>
      <c r="B96" s="48">
        <v>0</v>
      </c>
      <c r="C96" s="48" t="s">
        <v>76</v>
      </c>
      <c r="D96" s="48">
        <v>1</v>
      </c>
      <c r="E96" s="48" t="s">
        <v>75</v>
      </c>
      <c r="F96" s="48">
        <v>0</v>
      </c>
      <c r="G96" s="48" t="s">
        <v>85</v>
      </c>
      <c r="H96" s="17">
        <f ca="1">--TRIM(RIGHT(SUBSTITUTE(LEFT(C95,_xlfn.AGGREGATE(16,6,FIND({0,1,2,3,4,5,6,7,8,9},C95,ROW(INDIRECT("1:"&amp;LEN(C95)))),1))," ",REPT(" ",LEN(C95))),LEN(C95)))</f>
        <v>12</v>
      </c>
      <c r="I96" s="55" t="str">
        <f ca="1">IF(F99=100%,"Excavation","")&amp;IF(F100=100%,", Plinth","")&amp;IF(F101=100%,", RCC Slab","")&amp;IF(F102=100%,", Brickwork","")&amp;IF(F103=100%,", Internal Plaster","")&amp;IF(F104=100%,", External Plaster","")&amp;IF(F105=100%,", Flooring","")&amp;IF(F106=100%,", Painting","")&amp;IF(F107=100%,", Building common Amenities","")</f>
        <v>Excavation, Plinth</v>
      </c>
      <c r="J96" s="47" t="str">
        <f ca="1">(IF(C99=0,"Work not yet Started.",IF(F99=25%,"Piling work in process",IF(F99=50%,"Excavation work in process",IF(F99=100%,"","0")))))&amp;(IF(C100=0%,"",IF(C100=J101,",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3" customFormat="1" hidden="1" x14ac:dyDescent="0.3">
      <c r="A97" s="108" t="s">
        <v>95</v>
      </c>
      <c r="B97" s="109"/>
      <c r="C97" s="100" t="str">
        <f ca="1">I95</f>
        <v>Excavation, Plinth Completed, RCC upto 7 Slab, Brickwork upto 3.5 Floor, Internal Plaster upto 0.5 Floor Completed</v>
      </c>
      <c r="D97" s="151"/>
      <c r="E97" s="151"/>
      <c r="F97" s="151"/>
      <c r="G97" s="151"/>
      <c r="H97" s="152"/>
      <c r="I97" s="55" t="str">
        <f ca="1">IF(I96&lt;&gt;""," Completed","")</f>
        <v xml:space="preserve"> Completed</v>
      </c>
      <c r="J97" s="47" t="str">
        <f ca="1">IF(J95&lt;&gt;"","Completed","")</f>
        <v>Completed</v>
      </c>
    </row>
    <row r="98" spans="1:13" customFormat="1" ht="15.75" hidden="1" customHeight="1" x14ac:dyDescent="0.3">
      <c r="A98" s="103" t="s">
        <v>52</v>
      </c>
      <c r="B98" s="104"/>
      <c r="C98" s="56" t="s">
        <v>205</v>
      </c>
      <c r="D98" s="56" t="s">
        <v>206</v>
      </c>
      <c r="E98" s="50" t="s">
        <v>207</v>
      </c>
      <c r="F98" s="50" t="s">
        <v>88</v>
      </c>
      <c r="G98" s="67" t="s">
        <v>90</v>
      </c>
      <c r="H98" s="68" t="s">
        <v>89</v>
      </c>
      <c r="I98" s="14" t="s">
        <v>149</v>
      </c>
      <c r="J98" s="26">
        <f ca="1">H96*25%</f>
        <v>3</v>
      </c>
    </row>
    <row r="99" spans="1:13" customFormat="1" hidden="1" x14ac:dyDescent="0.3">
      <c r="A99" s="103" t="s">
        <v>136</v>
      </c>
      <c r="B99" s="104"/>
      <c r="C99" s="57">
        <v>12</v>
      </c>
      <c r="D99" s="57">
        <v>12</v>
      </c>
      <c r="E99" s="58">
        <f>(C99+D99)/2</f>
        <v>12</v>
      </c>
      <c r="F99" s="59">
        <f ca="1">((100/H96)*E99)/100</f>
        <v>1</v>
      </c>
      <c r="G99" s="153">
        <f ca="1">(((E100/H96*10)+(40/(D96+F96+H96)*E101)+(7.5/(H96)*E102)+(7.5/(H96)*E103)+(10/H96*E104)+(10/H96*E105)+(5/H96*E106)+(5/H96*E107)+(5/H96*E108))/100)</f>
        <v>0.3403846153846154</v>
      </c>
      <c r="H99" s="156">
        <f ca="1">((((E99/H96)*20)+((E100/H96)*25)+(30/(H96+F96+D96)*E101)+(5/H96*E102)+(5/H96*E103)+(5/H96*E104)+(5/H96*E105)+(0/H96*E106)+(0/H96*E107)+(5/H96*E108))/100)</f>
        <v>0.62820512820512819</v>
      </c>
      <c r="I99" s="14" t="s">
        <v>105</v>
      </c>
      <c r="J99" s="27">
        <f ca="1">H96*50%</f>
        <v>6</v>
      </c>
    </row>
    <row r="100" spans="1:13" customFormat="1" hidden="1" x14ac:dyDescent="0.3">
      <c r="A100" s="103" t="s">
        <v>53</v>
      </c>
      <c r="B100" s="104"/>
      <c r="C100" s="63">
        <f ca="1">J108</f>
        <v>12</v>
      </c>
      <c r="D100" s="63">
        <f ca="1">J108</f>
        <v>12</v>
      </c>
      <c r="E100" s="58">
        <f ca="1">(C100+D100)/2</f>
        <v>12</v>
      </c>
      <c r="F100" s="59">
        <f ca="1">((100/H96)*E100)/100</f>
        <v>1</v>
      </c>
      <c r="G100" s="154"/>
      <c r="H100" s="157"/>
      <c r="I100" s="14" t="s">
        <v>106</v>
      </c>
      <c r="J100" s="27">
        <f ca="1">H96</f>
        <v>12</v>
      </c>
    </row>
    <row r="101" spans="1:13" customFormat="1" hidden="1" x14ac:dyDescent="0.3">
      <c r="A101" s="103" t="s">
        <v>137</v>
      </c>
      <c r="B101" s="104"/>
      <c r="C101" s="57">
        <v>8</v>
      </c>
      <c r="D101" s="57">
        <v>6</v>
      </c>
      <c r="E101" s="58">
        <f t="shared" ref="E101:E106" si="0">(C101+D101)/2</f>
        <v>7</v>
      </c>
      <c r="F101" s="59">
        <f ca="1">((100/(D96+F96+H96))*E101)/100</f>
        <v>0.53846153846153844</v>
      </c>
      <c r="G101" s="154"/>
      <c r="H101" s="157"/>
      <c r="I101" s="14" t="s">
        <v>107</v>
      </c>
      <c r="J101" s="28">
        <f ca="1">(IF(B96&gt;1,(H96/(B96+2)),H96/4))</f>
        <v>3</v>
      </c>
    </row>
    <row r="102" spans="1:13" customFormat="1" hidden="1" x14ac:dyDescent="0.3">
      <c r="A102" s="103" t="s">
        <v>144</v>
      </c>
      <c r="B102" s="104" t="s">
        <v>138</v>
      </c>
      <c r="C102" s="57">
        <v>4</v>
      </c>
      <c r="D102" s="57">
        <v>3</v>
      </c>
      <c r="E102" s="58">
        <f t="shared" si="0"/>
        <v>3.5</v>
      </c>
      <c r="F102" s="59">
        <f ca="1">((100/H96)*E102)/100</f>
        <v>0.29166666666666669</v>
      </c>
      <c r="G102" s="154"/>
      <c r="H102" s="157"/>
      <c r="I102" s="14" t="s">
        <v>108</v>
      </c>
      <c r="J102" s="28">
        <f ca="1">(IF(B96&gt;1,(H96/(B96+2)+J101),H96/4+J101))</f>
        <v>6</v>
      </c>
    </row>
    <row r="103" spans="1:13" customFormat="1" hidden="1" x14ac:dyDescent="0.3">
      <c r="A103" s="103" t="s">
        <v>145</v>
      </c>
      <c r="B103" s="104" t="s">
        <v>138</v>
      </c>
      <c r="C103" s="57">
        <v>1</v>
      </c>
      <c r="D103" s="57">
        <v>0</v>
      </c>
      <c r="E103" s="58">
        <f t="shared" si="0"/>
        <v>0.5</v>
      </c>
      <c r="F103" s="59">
        <f ca="1">((100/H96)*E103)/100</f>
        <v>4.1666666666666671E-2</v>
      </c>
      <c r="G103" s="154"/>
      <c r="H103" s="157"/>
      <c r="I103" s="14" t="s">
        <v>154</v>
      </c>
      <c r="J103" s="28">
        <f>(IF(B96&gt;1,(H96/(B96+2)+J102),0))</f>
        <v>0</v>
      </c>
    </row>
    <row r="104" spans="1:13" customFormat="1" hidden="1" x14ac:dyDescent="0.3">
      <c r="A104" s="103" t="s">
        <v>143</v>
      </c>
      <c r="B104" s="104" t="s">
        <v>140</v>
      </c>
      <c r="C104" s="57">
        <v>0</v>
      </c>
      <c r="D104" s="57">
        <v>0</v>
      </c>
      <c r="E104" s="58">
        <f t="shared" si="0"/>
        <v>0</v>
      </c>
      <c r="F104" s="59">
        <f ca="1">((100/(H96))*E104)/100</f>
        <v>0</v>
      </c>
      <c r="G104" s="154"/>
      <c r="H104" s="157"/>
      <c r="I104" s="14" t="s">
        <v>151</v>
      </c>
      <c r="J104" s="28">
        <f>(IF(B96&gt;2,(H96/(B96+2)+J103),0))</f>
        <v>0</v>
      </c>
    </row>
    <row r="105" spans="1:13" customFormat="1" hidden="1" x14ac:dyDescent="0.3">
      <c r="A105" s="103" t="s">
        <v>139</v>
      </c>
      <c r="B105" s="104" t="s">
        <v>139</v>
      </c>
      <c r="C105" s="57">
        <v>0</v>
      </c>
      <c r="D105" s="57">
        <v>0</v>
      </c>
      <c r="E105" s="58">
        <f t="shared" si="0"/>
        <v>0</v>
      </c>
      <c r="F105" s="59">
        <f ca="1">((100/H96)*E105)/100</f>
        <v>0</v>
      </c>
      <c r="G105" s="154"/>
      <c r="H105" s="157"/>
      <c r="I105" s="14" t="s">
        <v>152</v>
      </c>
      <c r="J105" s="29">
        <f>(IF(B96&gt;3,(H96/(B96+2)+J104),0))</f>
        <v>0</v>
      </c>
    </row>
    <row r="106" spans="1:13" customFormat="1" hidden="1" x14ac:dyDescent="0.3">
      <c r="A106" s="103" t="s">
        <v>146</v>
      </c>
      <c r="B106" s="104"/>
      <c r="C106" s="57">
        <v>0</v>
      </c>
      <c r="D106" s="57">
        <v>0</v>
      </c>
      <c r="E106" s="58">
        <f t="shared" si="0"/>
        <v>0</v>
      </c>
      <c r="F106" s="59">
        <f ca="1">((100/H96)*E106)/100</f>
        <v>0</v>
      </c>
      <c r="G106" s="154"/>
      <c r="H106" s="157"/>
      <c r="I106" s="14" t="s">
        <v>153</v>
      </c>
      <c r="J106" s="28">
        <f>(IF(B96&gt;4,(H96/(B96+2)+J105),0))</f>
        <v>0</v>
      </c>
    </row>
    <row r="107" spans="1:13" customFormat="1" hidden="1" x14ac:dyDescent="0.3">
      <c r="A107" s="103" t="s">
        <v>141</v>
      </c>
      <c r="B107" s="104" t="s">
        <v>141</v>
      </c>
      <c r="C107" s="57">
        <v>0</v>
      </c>
      <c r="D107" s="57">
        <v>0</v>
      </c>
      <c r="E107" s="58">
        <f>(C107+D107)/2</f>
        <v>0</v>
      </c>
      <c r="F107" s="59">
        <f ca="1">((100/(H96))*E107)/100</f>
        <v>0</v>
      </c>
      <c r="G107" s="154"/>
      <c r="H107" s="157"/>
      <c r="I107" s="14" t="s">
        <v>155</v>
      </c>
      <c r="J107" s="28">
        <f ca="1">(IF(B96=1,(H96/(B96+3)+J102),IF(B96=0,(H96/4+J102),IF(B96&gt;1,0))))</f>
        <v>9</v>
      </c>
    </row>
    <row r="108" spans="1:13" customFormat="1" ht="16.2" hidden="1" thickBot="1" x14ac:dyDescent="0.35">
      <c r="A108" s="118" t="s">
        <v>142</v>
      </c>
      <c r="B108" s="119"/>
      <c r="C108" s="60">
        <v>0</v>
      </c>
      <c r="D108" s="60">
        <v>0</v>
      </c>
      <c r="E108" s="61">
        <f t="shared" ref="E108" si="1">(C108+D108)/2</f>
        <v>0</v>
      </c>
      <c r="F108" s="62">
        <f ca="1">((100/(H96))*E108)/100</f>
        <v>0</v>
      </c>
      <c r="G108" s="155"/>
      <c r="H108" s="158"/>
      <c r="I108" s="15" t="s">
        <v>109</v>
      </c>
      <c r="J108" s="30">
        <f ca="1">(IF(B96&gt;1.5,(H96/(B96+2)+J102+MAX(0,J103-J102)+MAX(0,J104-J103)+MAX(0,J105-J104)+MAX(0,J106-J105)+MAX(0,J107-J106)),IF(B96=1,(H96/(B96+3)+J107),IF(B96=0,H96/4+J107))))</f>
        <v>12</v>
      </c>
    </row>
    <row r="109" spans="1:13" x14ac:dyDescent="0.3">
      <c r="A109" s="107" t="s">
        <v>166</v>
      </c>
      <c r="B109" s="107"/>
      <c r="C109" s="107"/>
      <c r="D109" s="107"/>
      <c r="E109" s="107"/>
      <c r="F109" s="139" t="s">
        <v>171</v>
      </c>
      <c r="G109" s="139"/>
      <c r="H109" s="139"/>
    </row>
    <row r="110" spans="1:13" x14ac:dyDescent="0.3">
      <c r="A110" s="106" t="s">
        <v>169</v>
      </c>
      <c r="B110" s="106"/>
      <c r="C110" s="106"/>
      <c r="D110" s="106"/>
      <c r="E110" s="106"/>
      <c r="F110" s="105">
        <v>4700</v>
      </c>
      <c r="G110" s="105"/>
      <c r="H110" s="105"/>
      <c r="I110" s="65" t="s">
        <v>214</v>
      </c>
      <c r="J110" s="65"/>
      <c r="K110" s="65" t="s">
        <v>215</v>
      </c>
      <c r="L110" s="65" t="s">
        <v>216</v>
      </c>
      <c r="M110" s="66">
        <v>45149</v>
      </c>
    </row>
    <row r="111" spans="1:13" hidden="1" x14ac:dyDescent="0.3">
      <c r="A111" s="106" t="s">
        <v>168</v>
      </c>
      <c r="B111" s="106"/>
      <c r="C111" s="106"/>
      <c r="D111" s="106"/>
      <c r="E111" s="106"/>
      <c r="F111" s="105"/>
      <c r="G111" s="105"/>
      <c r="H111" s="105"/>
    </row>
    <row r="112" spans="1:13" hidden="1" x14ac:dyDescent="0.3">
      <c r="A112" s="106" t="s">
        <v>170</v>
      </c>
      <c r="B112" s="106"/>
      <c r="C112" s="106"/>
      <c r="D112" s="106"/>
      <c r="E112" s="106"/>
      <c r="F112" s="105"/>
      <c r="G112" s="105"/>
      <c r="H112" s="105"/>
    </row>
    <row r="113" spans="1:8" s="31" customFormat="1" hidden="1" x14ac:dyDescent="0.25">
      <c r="A113" s="106" t="s">
        <v>167</v>
      </c>
      <c r="B113" s="106"/>
      <c r="C113" s="106"/>
      <c r="D113" s="106"/>
      <c r="E113" s="106"/>
      <c r="F113" s="105"/>
      <c r="G113" s="105"/>
      <c r="H113" s="105"/>
    </row>
    <row r="114" spans="1:8" s="31" customFormat="1" x14ac:dyDescent="0.25">
      <c r="A114" s="106" t="s">
        <v>100</v>
      </c>
      <c r="B114" s="106"/>
      <c r="C114" s="106"/>
      <c r="D114" s="106"/>
      <c r="E114" s="106"/>
      <c r="F114" s="105">
        <v>200000</v>
      </c>
      <c r="G114" s="105"/>
      <c r="H114" s="105"/>
    </row>
    <row r="115" spans="1:8" s="31" customFormat="1" hidden="1" x14ac:dyDescent="0.25">
      <c r="A115" s="106" t="s">
        <v>101</v>
      </c>
      <c r="B115" s="106"/>
      <c r="C115" s="106"/>
      <c r="D115" s="106"/>
      <c r="E115" s="106"/>
      <c r="F115" s="105"/>
      <c r="G115" s="105"/>
      <c r="H115" s="105"/>
    </row>
    <row r="116" spans="1:8" s="31" customFormat="1" hidden="1" x14ac:dyDescent="0.25">
      <c r="A116" s="106" t="s">
        <v>172</v>
      </c>
      <c r="B116" s="106"/>
      <c r="C116" s="106"/>
      <c r="D116" s="106"/>
      <c r="E116" s="106"/>
      <c r="F116" s="105"/>
      <c r="G116" s="105"/>
      <c r="H116" s="105"/>
    </row>
    <row r="117" spans="1:8" s="31" customFormat="1" hidden="1" x14ac:dyDescent="0.25">
      <c r="A117" s="106" t="s">
        <v>102</v>
      </c>
      <c r="B117" s="106"/>
      <c r="C117" s="106"/>
      <c r="D117" s="106"/>
      <c r="E117" s="106"/>
      <c r="F117" s="105"/>
      <c r="G117" s="105"/>
      <c r="H117" s="105"/>
    </row>
    <row r="118" spans="1:8" s="31" customFormat="1" hidden="1" x14ac:dyDescent="0.25">
      <c r="A118" s="106" t="s">
        <v>103</v>
      </c>
      <c r="B118" s="106"/>
      <c r="C118" s="106"/>
      <c r="D118" s="106"/>
      <c r="E118" s="106"/>
      <c r="F118" s="105"/>
      <c r="G118" s="105"/>
      <c r="H118" s="105"/>
    </row>
    <row r="119" spans="1:8" s="31" customFormat="1" hidden="1" x14ac:dyDescent="0.25">
      <c r="A119" s="106" t="s">
        <v>104</v>
      </c>
      <c r="B119" s="106"/>
      <c r="C119" s="106"/>
      <c r="D119" s="106"/>
      <c r="E119" s="106"/>
      <c r="F119" s="105"/>
      <c r="G119" s="105"/>
      <c r="H119" s="105"/>
    </row>
    <row r="120" spans="1:8" s="31" customFormat="1" x14ac:dyDescent="0.25">
      <c r="A120" s="106" t="s">
        <v>213</v>
      </c>
      <c r="B120" s="106"/>
      <c r="C120" s="106"/>
      <c r="D120" s="106"/>
      <c r="E120" s="106"/>
      <c r="F120" s="105">
        <v>100000</v>
      </c>
      <c r="G120" s="105"/>
      <c r="H120" s="105"/>
    </row>
    <row r="121" spans="1:8" x14ac:dyDescent="0.3">
      <c r="A121" s="106" t="s">
        <v>54</v>
      </c>
      <c r="B121" s="106"/>
      <c r="C121" s="106"/>
      <c r="D121" s="106"/>
      <c r="E121" s="106"/>
      <c r="F121" s="105">
        <v>100000</v>
      </c>
      <c r="G121" s="105"/>
      <c r="H121" s="105"/>
    </row>
    <row r="122" spans="1:8" s="32" customFormat="1" x14ac:dyDescent="0.3">
      <c r="A122" s="165" t="s">
        <v>55</v>
      </c>
      <c r="B122" s="165"/>
      <c r="C122" s="165"/>
      <c r="D122" s="165"/>
      <c r="E122" s="165"/>
      <c r="F122" s="105">
        <f>F110*0.8</f>
        <v>3760</v>
      </c>
      <c r="G122" s="105"/>
      <c r="H122" s="105"/>
    </row>
    <row r="123" spans="1:8" s="33" customFormat="1" ht="15.75" hidden="1" customHeight="1" x14ac:dyDescent="0.3">
      <c r="A123" s="91" t="s">
        <v>80</v>
      </c>
      <c r="B123" s="91"/>
      <c r="C123" s="91"/>
      <c r="D123" s="91"/>
      <c r="E123" s="91"/>
      <c r="F123" s="91"/>
      <c r="G123" s="91"/>
      <c r="H123" s="91"/>
    </row>
    <row r="124" spans="1:8" s="33" customFormat="1" ht="15.75" hidden="1" customHeight="1" x14ac:dyDescent="0.3">
      <c r="A124" s="90" t="s">
        <v>56</v>
      </c>
      <c r="B124" s="90"/>
      <c r="C124" s="124" t="s">
        <v>83</v>
      </c>
      <c r="D124" s="124"/>
      <c r="E124" s="93" t="s">
        <v>57</v>
      </c>
      <c r="F124" s="93"/>
      <c r="G124" s="90" t="s">
        <v>58</v>
      </c>
      <c r="H124" s="90"/>
    </row>
    <row r="125" spans="1:8" s="33" customFormat="1" hidden="1" x14ac:dyDescent="0.3">
      <c r="A125" s="120"/>
      <c r="B125" s="120"/>
      <c r="C125" s="121"/>
      <c r="D125" s="121"/>
      <c r="E125" s="122"/>
      <c r="F125" s="122"/>
      <c r="G125" s="123"/>
      <c r="H125" s="123"/>
    </row>
    <row r="126" spans="1:8" s="33" customFormat="1" hidden="1" x14ac:dyDescent="0.3">
      <c r="A126" s="120"/>
      <c r="B126" s="120"/>
      <c r="C126" s="121"/>
      <c r="D126" s="121"/>
      <c r="E126" s="122"/>
      <c r="F126" s="122"/>
      <c r="G126" s="123"/>
      <c r="H126" s="123"/>
    </row>
    <row r="127" spans="1:8" s="33" customFormat="1" hidden="1" x14ac:dyDescent="0.3">
      <c r="A127" s="91" t="s">
        <v>160</v>
      </c>
      <c r="B127" s="91"/>
      <c r="C127" s="124"/>
      <c r="D127" s="124"/>
      <c r="E127" s="93"/>
      <c r="F127" s="93"/>
      <c r="G127" s="90"/>
      <c r="H127" s="90"/>
    </row>
    <row r="128" spans="1:8" s="33" customFormat="1" x14ac:dyDescent="0.3">
      <c r="A128" s="91" t="s">
        <v>74</v>
      </c>
      <c r="B128" s="91"/>
      <c r="C128" s="91"/>
      <c r="D128" s="91"/>
      <c r="E128" s="91"/>
      <c r="F128" s="91"/>
      <c r="G128" s="91"/>
      <c r="H128" s="91"/>
    </row>
    <row r="129" spans="1:14" s="33" customFormat="1" ht="15.75" customHeight="1" x14ac:dyDescent="0.3">
      <c r="A129" s="90" t="s">
        <v>56</v>
      </c>
      <c r="B129" s="90"/>
      <c r="C129" s="124" t="s">
        <v>83</v>
      </c>
      <c r="D129" s="124"/>
      <c r="E129" s="93" t="s">
        <v>57</v>
      </c>
      <c r="F129" s="93"/>
      <c r="G129" s="90" t="s">
        <v>58</v>
      </c>
      <c r="H129" s="90"/>
      <c r="J129" s="33" t="s">
        <v>209</v>
      </c>
      <c r="K129" s="33" t="s">
        <v>210</v>
      </c>
    </row>
    <row r="130" spans="1:14" s="33" customFormat="1" x14ac:dyDescent="0.3">
      <c r="A130" s="120" t="s">
        <v>189</v>
      </c>
      <c r="B130" s="120"/>
      <c r="C130" s="126">
        <f>COUNT(D148:D155)+COUNT(D157:D164)*11+COUNT(D166:D172)</f>
        <v>103</v>
      </c>
      <c r="D130" s="126"/>
      <c r="E130" s="125">
        <f>SUM(D148:D155)+SUM(D157:D164)*11+SUM(D166:D172)</f>
        <v>30009.709079999997</v>
      </c>
      <c r="F130" s="125"/>
      <c r="G130" s="125">
        <f>SUM(F148:F155)+SUM(F157:F164)*11+SUM(F166:F172)</f>
        <v>45030.301620000006</v>
      </c>
      <c r="H130" s="125"/>
      <c r="I130" s="33">
        <f>13*8-1</f>
        <v>103</v>
      </c>
      <c r="J130" s="33">
        <v>4300</v>
      </c>
      <c r="K130" s="33">
        <v>4000</v>
      </c>
    </row>
    <row r="131" spans="1:14" s="33" customFormat="1" x14ac:dyDescent="0.3">
      <c r="A131" s="120" t="s">
        <v>191</v>
      </c>
      <c r="B131" s="120"/>
      <c r="C131" s="125">
        <f>COUNT(D178:D189)*11+COUNT(D191:D201)</f>
        <v>143</v>
      </c>
      <c r="D131" s="125"/>
      <c r="E131" s="125">
        <f>SUM(D178:D189)*11+SUM(D191:D201)</f>
        <v>65267.513999999996</v>
      </c>
      <c r="F131" s="125"/>
      <c r="G131" s="125">
        <f>SUM(F178:F189)*11+SUM(F191:F201)</f>
        <v>97901.270999999979</v>
      </c>
      <c r="H131" s="125"/>
      <c r="I131" s="33">
        <f>12*12-1</f>
        <v>143</v>
      </c>
    </row>
    <row r="132" spans="1:14" s="33" customFormat="1" x14ac:dyDescent="0.3">
      <c r="A132" s="91" t="s">
        <v>160</v>
      </c>
      <c r="B132" s="91"/>
      <c r="C132" s="195">
        <f>SUM(C130:C131)</f>
        <v>246</v>
      </c>
      <c r="D132" s="124"/>
      <c r="E132" s="92">
        <f>SUM(E130:E131)</f>
        <v>95277.223079999996</v>
      </c>
      <c r="F132" s="93"/>
      <c r="G132" s="90">
        <f>SUM(G130:G131)</f>
        <v>142931.57261999999</v>
      </c>
      <c r="H132" s="90"/>
    </row>
    <row r="133" spans="1:14" s="32" customFormat="1" x14ac:dyDescent="0.3">
      <c r="A133" s="166" t="s">
        <v>59</v>
      </c>
      <c r="B133" s="166"/>
      <c r="C133" s="166"/>
      <c r="D133" s="166"/>
      <c r="E133" s="166"/>
      <c r="F133" s="166"/>
      <c r="G133" s="166"/>
      <c r="H133" s="166"/>
    </row>
    <row r="134" spans="1:14" x14ac:dyDescent="0.3">
      <c r="A134" s="166" t="s">
        <v>60</v>
      </c>
      <c r="B134" s="166"/>
      <c r="C134" s="166"/>
      <c r="D134" s="166"/>
      <c r="E134" s="166"/>
      <c r="F134" s="166"/>
      <c r="G134" s="166"/>
      <c r="H134" s="166"/>
    </row>
    <row r="135" spans="1:14" ht="47.25" hidden="1" customHeight="1" x14ac:dyDescent="0.3">
      <c r="A135" s="94" t="s">
        <v>126</v>
      </c>
      <c r="B135" s="94" t="s">
        <v>125</v>
      </c>
      <c r="C135" s="94" t="s">
        <v>61</v>
      </c>
      <c r="D135" s="94" t="s">
        <v>62</v>
      </c>
      <c r="E135" s="132" t="s">
        <v>165</v>
      </c>
      <c r="F135" s="40" t="s">
        <v>159</v>
      </c>
      <c r="G135" s="96" t="s">
        <v>64</v>
      </c>
      <c r="H135" s="134"/>
    </row>
    <row r="136" spans="1:14" s="43" customFormat="1" hidden="1" x14ac:dyDescent="0.3">
      <c r="A136" s="95"/>
      <c r="B136" s="95"/>
      <c r="C136" s="95"/>
      <c r="D136" s="95"/>
      <c r="E136" s="133"/>
      <c r="F136" s="13">
        <v>0.6</v>
      </c>
      <c r="G136" s="97"/>
      <c r="H136" s="135"/>
    </row>
    <row r="137" spans="1:14" s="43" customFormat="1" hidden="1" x14ac:dyDescent="0.3">
      <c r="A137" s="81" t="s">
        <v>124</v>
      </c>
      <c r="B137" s="82"/>
      <c r="C137" s="82"/>
      <c r="D137" s="82"/>
      <c r="E137" s="82"/>
      <c r="F137" s="82"/>
      <c r="G137" s="82"/>
      <c r="H137" s="83"/>
      <c r="J137" s="34"/>
    </row>
    <row r="138" spans="1:14" s="43" customFormat="1" hidden="1" x14ac:dyDescent="0.3">
      <c r="A138" s="78">
        <v>1</v>
      </c>
      <c r="B138" s="79"/>
      <c r="C138" s="39"/>
      <c r="D138" s="39"/>
      <c r="E138" s="39">
        <v>0</v>
      </c>
      <c r="F138" s="39">
        <f>(D138+E138)*(($F$136)+1)</f>
        <v>0</v>
      </c>
      <c r="G138" s="78" t="str">
        <f>A137</f>
        <v>Ground Floor</v>
      </c>
      <c r="H138" s="79"/>
      <c r="I138" s="34"/>
      <c r="L138" s="77"/>
      <c r="M138" s="77"/>
      <c r="N138" s="34"/>
    </row>
    <row r="139" spans="1:14" s="43" customFormat="1" hidden="1" x14ac:dyDescent="0.3">
      <c r="A139" s="78">
        <f t="shared" ref="A139:A141" si="2">A138+1</f>
        <v>2</v>
      </c>
      <c r="B139" s="79"/>
      <c r="C139" s="39"/>
      <c r="D139" s="39"/>
      <c r="E139" s="39">
        <v>0</v>
      </c>
      <c r="F139" s="39">
        <f t="shared" ref="F139:F141" si="3">(D139+E139)*(($F$136)+1)</f>
        <v>0</v>
      </c>
      <c r="G139" s="78" t="str">
        <f t="shared" ref="G139:G141" si="4">G138</f>
        <v>Ground Floor</v>
      </c>
      <c r="H139" s="79"/>
      <c r="I139" s="34"/>
      <c r="L139" s="77"/>
      <c r="M139" s="77"/>
      <c r="N139" s="34"/>
    </row>
    <row r="140" spans="1:14" s="43" customFormat="1" hidden="1" x14ac:dyDescent="0.3">
      <c r="A140" s="78">
        <f t="shared" si="2"/>
        <v>3</v>
      </c>
      <c r="B140" s="79"/>
      <c r="C140" s="39"/>
      <c r="D140" s="39"/>
      <c r="E140" s="39">
        <v>0</v>
      </c>
      <c r="F140" s="39">
        <f t="shared" si="3"/>
        <v>0</v>
      </c>
      <c r="G140" s="78" t="str">
        <f t="shared" si="4"/>
        <v>Ground Floor</v>
      </c>
      <c r="H140" s="79"/>
      <c r="I140" s="34"/>
      <c r="L140" s="77"/>
      <c r="M140" s="77"/>
      <c r="N140" s="34"/>
    </row>
    <row r="141" spans="1:14" s="43" customFormat="1" hidden="1" x14ac:dyDescent="0.3">
      <c r="A141" s="78">
        <f t="shared" si="2"/>
        <v>4</v>
      </c>
      <c r="B141" s="79"/>
      <c r="C141" s="39"/>
      <c r="D141" s="39"/>
      <c r="E141" s="39">
        <v>0</v>
      </c>
      <c r="F141" s="39">
        <f t="shared" si="3"/>
        <v>0</v>
      </c>
      <c r="G141" s="78" t="str">
        <f t="shared" si="4"/>
        <v>Ground Floor</v>
      </c>
      <c r="H141" s="79"/>
      <c r="I141" s="34"/>
      <c r="L141" s="77"/>
      <c r="M141" s="77"/>
      <c r="N141" s="34"/>
    </row>
    <row r="142" spans="1:14" s="43" customFormat="1" hidden="1" x14ac:dyDescent="0.3">
      <c r="A142" s="78"/>
      <c r="B142" s="80"/>
      <c r="C142" s="80"/>
      <c r="D142" s="80"/>
      <c r="E142" s="80"/>
      <c r="F142" s="80"/>
      <c r="G142" s="80"/>
      <c r="H142" s="79"/>
      <c r="I142" s="34"/>
      <c r="N142" s="34"/>
    </row>
    <row r="143" spans="1:14" ht="47.25" customHeight="1" x14ac:dyDescent="0.3">
      <c r="A143" s="96" t="s">
        <v>127</v>
      </c>
      <c r="B143" s="96" t="s">
        <v>128</v>
      </c>
      <c r="C143" s="94" t="s">
        <v>61</v>
      </c>
      <c r="D143" s="94" t="s">
        <v>62</v>
      </c>
      <c r="E143" s="132" t="s">
        <v>63</v>
      </c>
      <c r="F143" s="40" t="s">
        <v>159</v>
      </c>
      <c r="G143" s="96" t="s">
        <v>64</v>
      </c>
      <c r="H143" s="134"/>
      <c r="I143" s="34"/>
    </row>
    <row r="144" spans="1:14" s="43" customFormat="1" x14ac:dyDescent="0.3">
      <c r="A144" s="97"/>
      <c r="B144" s="97"/>
      <c r="C144" s="95"/>
      <c r="D144" s="95"/>
      <c r="E144" s="133"/>
      <c r="F144" s="13">
        <v>0.5</v>
      </c>
      <c r="G144" s="97"/>
      <c r="H144" s="135"/>
      <c r="I144" s="34"/>
    </row>
    <row r="145" spans="1:14" s="43" customFormat="1" x14ac:dyDescent="0.3">
      <c r="A145" s="187" t="s">
        <v>189</v>
      </c>
      <c r="B145" s="188"/>
      <c r="C145" s="188"/>
      <c r="D145" s="188"/>
      <c r="E145" s="188"/>
      <c r="F145" s="188"/>
      <c r="G145" s="188"/>
      <c r="H145" s="189"/>
      <c r="J145" s="49">
        <v>10.763999999999999</v>
      </c>
    </row>
    <row r="146" spans="1:14" s="43" customFormat="1" ht="15.75" customHeight="1" x14ac:dyDescent="0.3">
      <c r="A146" s="81" t="s">
        <v>231</v>
      </c>
      <c r="B146" s="82"/>
      <c r="C146" s="82"/>
      <c r="D146" s="82"/>
      <c r="E146" s="82"/>
      <c r="F146" s="82"/>
      <c r="G146" s="82"/>
      <c r="H146" s="83"/>
      <c r="J146" s="34"/>
    </row>
    <row r="147" spans="1:14" s="43" customFormat="1" ht="15.75" customHeight="1" x14ac:dyDescent="0.3">
      <c r="A147" s="81" t="s">
        <v>221</v>
      </c>
      <c r="B147" s="82"/>
      <c r="C147" s="82"/>
      <c r="D147" s="82"/>
      <c r="E147" s="82"/>
      <c r="F147" s="82"/>
      <c r="G147" s="82"/>
      <c r="H147" s="83"/>
      <c r="J147" s="34"/>
    </row>
    <row r="148" spans="1:14" s="43" customFormat="1" ht="15.75" customHeight="1" x14ac:dyDescent="0.3">
      <c r="A148" s="78">
        <v>1</v>
      </c>
      <c r="B148" s="79"/>
      <c r="C148" s="39" t="s">
        <v>190</v>
      </c>
      <c r="D148" s="49">
        <f>(22.89+0.75*(2.74+2.2))*10.764</f>
        <v>286.26857999999999</v>
      </c>
      <c r="E148" s="39">
        <v>0</v>
      </c>
      <c r="F148" s="39">
        <f t="shared" ref="F148:F155" si="5">D148*(($F$144)+1)+(IF(E148&lt;101,E148,IF(E148&lt;201,E148/2,IF(E148&lt;=301,E148/3,E148/4))))</f>
        <v>429.40287000000001</v>
      </c>
      <c r="G148" s="84" t="str">
        <f>A147</f>
        <v>1st Floor for Residential</v>
      </c>
      <c r="H148" s="85"/>
      <c r="I148" s="34">
        <f>4.11*2.74+2.43*2.2+0.9*1.2+1.5*1.2+2.43*0.9</f>
        <v>21.674400000000006</v>
      </c>
      <c r="L148" s="77"/>
      <c r="M148" s="77"/>
      <c r="N148" s="34"/>
    </row>
    <row r="149" spans="1:14" s="43" customFormat="1" ht="15.75" customHeight="1" x14ac:dyDescent="0.3">
      <c r="A149" s="78">
        <v>2</v>
      </c>
      <c r="B149" s="79"/>
      <c r="C149" s="39" t="s">
        <v>190</v>
      </c>
      <c r="D149" s="49">
        <f>(23.57+0.75*(2.74+2.2))*10.764</f>
        <v>293.58809999999994</v>
      </c>
      <c r="E149" s="39">
        <v>0</v>
      </c>
      <c r="F149" s="39">
        <f t="shared" si="5"/>
        <v>440.38214999999991</v>
      </c>
      <c r="G149" s="86"/>
      <c r="H149" s="87"/>
      <c r="I149" s="34"/>
      <c r="L149" s="77"/>
      <c r="M149" s="77"/>
      <c r="N149" s="34"/>
    </row>
    <row r="150" spans="1:14" s="43" customFormat="1" ht="15.75" customHeight="1" x14ac:dyDescent="0.3">
      <c r="A150" s="78">
        <v>3</v>
      </c>
      <c r="B150" s="79"/>
      <c r="C150" s="39" t="s">
        <v>190</v>
      </c>
      <c r="D150" s="49">
        <f>(24.05+0.75*(2.74+2.5))*10.764</f>
        <v>301.17671999999999</v>
      </c>
      <c r="E150" s="39">
        <v>0</v>
      </c>
      <c r="F150" s="39">
        <f t="shared" si="5"/>
        <v>451.76508000000001</v>
      </c>
      <c r="G150" s="86"/>
      <c r="H150" s="87"/>
      <c r="I150" s="34">
        <f>1800000/F150</f>
        <v>3984.3717004421856</v>
      </c>
      <c r="L150" s="77"/>
      <c r="M150" s="77"/>
      <c r="N150" s="34"/>
    </row>
    <row r="151" spans="1:14" s="43" customFormat="1" ht="15.75" customHeight="1" x14ac:dyDescent="0.3">
      <c r="A151" s="78">
        <v>4</v>
      </c>
      <c r="B151" s="79"/>
      <c r="C151" s="39" t="s">
        <v>190</v>
      </c>
      <c r="D151" s="49">
        <f>(22.36+0.75*(2.74+2.65))*10.764</f>
        <v>284.19650999999999</v>
      </c>
      <c r="E151" s="39">
        <v>0</v>
      </c>
      <c r="F151" s="39">
        <f t="shared" si="5"/>
        <v>426.29476499999998</v>
      </c>
      <c r="G151" s="86"/>
      <c r="H151" s="87"/>
      <c r="I151" s="34">
        <f>1800000/F151</f>
        <v>4222.4304584176634</v>
      </c>
      <c r="L151" s="77"/>
      <c r="M151" s="77"/>
      <c r="N151" s="34"/>
    </row>
    <row r="152" spans="1:14" s="43" customFormat="1" ht="15.75" customHeight="1" x14ac:dyDescent="0.3">
      <c r="A152" s="78">
        <v>5</v>
      </c>
      <c r="B152" s="79"/>
      <c r="C152" s="39" t="s">
        <v>190</v>
      </c>
      <c r="D152" s="49">
        <f>(22.36+0.75*(2.74+2.65))*10.764</f>
        <v>284.19650999999999</v>
      </c>
      <c r="E152" s="39">
        <v>0</v>
      </c>
      <c r="F152" s="39">
        <f t="shared" si="5"/>
        <v>426.29476499999998</v>
      </c>
      <c r="G152" s="86"/>
      <c r="H152" s="87"/>
      <c r="I152" s="34">
        <f>1950000/F152</f>
        <v>4574.2996632858021</v>
      </c>
      <c r="L152" s="77"/>
      <c r="M152" s="77"/>
      <c r="N152" s="34"/>
    </row>
    <row r="153" spans="1:14" s="43" customFormat="1" ht="15.75" customHeight="1" x14ac:dyDescent="0.3">
      <c r="A153" s="78">
        <v>6</v>
      </c>
      <c r="B153" s="79"/>
      <c r="C153" s="39" t="s">
        <v>190</v>
      </c>
      <c r="D153" s="49">
        <f>(24.05+0.75*(2.74+2.5))*10.764</f>
        <v>301.17671999999999</v>
      </c>
      <c r="E153" s="39">
        <v>0</v>
      </c>
      <c r="F153" s="39">
        <f t="shared" si="5"/>
        <v>451.76508000000001</v>
      </c>
      <c r="G153" s="86"/>
      <c r="H153" s="87"/>
      <c r="I153" s="34">
        <f>1851000/F153</f>
        <v>4097.2622319547145</v>
      </c>
      <c r="L153" s="77"/>
      <c r="M153" s="77"/>
      <c r="N153" s="34"/>
    </row>
    <row r="154" spans="1:14" s="43" customFormat="1" ht="15.75" customHeight="1" x14ac:dyDescent="0.3">
      <c r="A154" s="78">
        <v>7</v>
      </c>
      <c r="B154" s="79"/>
      <c r="C154" s="39" t="s">
        <v>190</v>
      </c>
      <c r="D154" s="49">
        <f>(23.57+0.75*(2.74+2.2))*10.764</f>
        <v>293.58809999999994</v>
      </c>
      <c r="E154" s="39">
        <f>2.1*2.74+0.9*2.35</f>
        <v>7.8690000000000007</v>
      </c>
      <c r="F154" s="39">
        <f t="shared" si="5"/>
        <v>448.25114999999994</v>
      </c>
      <c r="G154" s="86"/>
      <c r="H154" s="87"/>
      <c r="I154" s="34"/>
      <c r="L154" s="77"/>
      <c r="M154" s="77"/>
      <c r="N154" s="34"/>
    </row>
    <row r="155" spans="1:14" s="43" customFormat="1" ht="15.75" customHeight="1" x14ac:dyDescent="0.3">
      <c r="A155" s="78">
        <v>8</v>
      </c>
      <c r="B155" s="79"/>
      <c r="C155" s="39" t="s">
        <v>190</v>
      </c>
      <c r="D155" s="49">
        <f>(22.89+0.75*(2.74+2.2))*10.764</f>
        <v>286.26857999999999</v>
      </c>
      <c r="E155" s="39">
        <f>2.1*2.74+0.9*2.35</f>
        <v>7.8690000000000007</v>
      </c>
      <c r="F155" s="39">
        <f t="shared" si="5"/>
        <v>437.27187000000004</v>
      </c>
      <c r="G155" s="88"/>
      <c r="H155" s="89"/>
      <c r="I155" s="34"/>
      <c r="L155" s="77"/>
      <c r="M155" s="77"/>
      <c r="N155" s="34"/>
    </row>
    <row r="156" spans="1:14" s="43" customFormat="1" ht="15.75" customHeight="1" x14ac:dyDescent="0.3">
      <c r="A156" s="81" t="s">
        <v>222</v>
      </c>
      <c r="B156" s="82"/>
      <c r="C156" s="82"/>
      <c r="D156" s="82"/>
      <c r="E156" s="82"/>
      <c r="F156" s="82"/>
      <c r="G156" s="82"/>
      <c r="H156" s="83"/>
      <c r="J156" s="34"/>
    </row>
    <row r="157" spans="1:14" s="43" customFormat="1" ht="15.75" customHeight="1" x14ac:dyDescent="0.3">
      <c r="A157" s="78">
        <v>1</v>
      </c>
      <c r="B157" s="79"/>
      <c r="C157" s="39" t="s">
        <v>190</v>
      </c>
      <c r="D157" s="49">
        <f>(22.89+0.75*(2.74+2.2))*10.764</f>
        <v>286.26857999999999</v>
      </c>
      <c r="E157" s="39">
        <v>0</v>
      </c>
      <c r="F157" s="39">
        <f t="shared" ref="F157:F164" si="6">D157*(($F$144)+1)+(IF(E157&lt;101,E157,IF(E157&lt;201,E157/2,IF(E157&lt;=301,E157/3,E157/4))))</f>
        <v>429.40287000000001</v>
      </c>
      <c r="G157" s="84" t="str">
        <f>A156</f>
        <v>2nd to 7th, 9th to 13th Floor</v>
      </c>
      <c r="H157" s="85"/>
      <c r="I157" s="34"/>
      <c r="L157" s="77"/>
      <c r="M157" s="77"/>
      <c r="N157" s="34"/>
    </row>
    <row r="158" spans="1:14" s="43" customFormat="1" ht="15.75" customHeight="1" x14ac:dyDescent="0.3">
      <c r="A158" s="78">
        <v>2</v>
      </c>
      <c r="B158" s="79"/>
      <c r="C158" s="39" t="s">
        <v>190</v>
      </c>
      <c r="D158" s="49">
        <f>(23.57+0.75*(2.74+2.2))*10.764</f>
        <v>293.58809999999994</v>
      </c>
      <c r="E158" s="39">
        <v>0</v>
      </c>
      <c r="F158" s="39">
        <f t="shared" si="6"/>
        <v>440.38214999999991</v>
      </c>
      <c r="G158" s="86"/>
      <c r="H158" s="87"/>
      <c r="I158" s="34"/>
      <c r="L158" s="77"/>
      <c r="M158" s="77"/>
      <c r="N158" s="34"/>
    </row>
    <row r="159" spans="1:14" s="43" customFormat="1" ht="15.75" customHeight="1" x14ac:dyDescent="0.3">
      <c r="A159" s="78">
        <v>3</v>
      </c>
      <c r="B159" s="79"/>
      <c r="C159" s="39" t="s">
        <v>190</v>
      </c>
      <c r="D159" s="49">
        <f>(24.05+0.75*(2.74+2.5))*10.764</f>
        <v>301.17671999999999</v>
      </c>
      <c r="E159" s="39">
        <v>0</v>
      </c>
      <c r="F159" s="39">
        <f t="shared" si="6"/>
        <v>451.76508000000001</v>
      </c>
      <c r="G159" s="86"/>
      <c r="H159" s="87"/>
      <c r="I159" s="34"/>
      <c r="L159" s="77"/>
      <c r="M159" s="77"/>
      <c r="N159" s="34"/>
    </row>
    <row r="160" spans="1:14" s="43" customFormat="1" ht="15.75" customHeight="1" x14ac:dyDescent="0.3">
      <c r="A160" s="78">
        <v>4</v>
      </c>
      <c r="B160" s="79"/>
      <c r="C160" s="39" t="s">
        <v>190</v>
      </c>
      <c r="D160" s="49">
        <f>(22.36+0.75*(2.74+2.65))*10.764</f>
        <v>284.19650999999999</v>
      </c>
      <c r="E160" s="39">
        <v>0</v>
      </c>
      <c r="F160" s="39">
        <f t="shared" si="6"/>
        <v>426.29476499999998</v>
      </c>
      <c r="G160" s="86"/>
      <c r="H160" s="87"/>
      <c r="I160" s="34"/>
      <c r="L160" s="77"/>
      <c r="M160" s="77"/>
      <c r="N160" s="34"/>
    </row>
    <row r="161" spans="1:14" s="43" customFormat="1" ht="15.75" customHeight="1" x14ac:dyDescent="0.3">
      <c r="A161" s="78">
        <v>5</v>
      </c>
      <c r="B161" s="79"/>
      <c r="C161" s="39" t="s">
        <v>190</v>
      </c>
      <c r="D161" s="49">
        <f>(22.36+0.75*(2.74+2.65))*10.764</f>
        <v>284.19650999999999</v>
      </c>
      <c r="E161" s="39">
        <v>0</v>
      </c>
      <c r="F161" s="39">
        <f t="shared" si="6"/>
        <v>426.29476499999998</v>
      </c>
      <c r="G161" s="86"/>
      <c r="H161" s="87"/>
      <c r="I161" s="34"/>
      <c r="L161" s="77"/>
      <c r="M161" s="77"/>
      <c r="N161" s="34"/>
    </row>
    <row r="162" spans="1:14" s="43" customFormat="1" ht="15.75" customHeight="1" x14ac:dyDescent="0.3">
      <c r="A162" s="78">
        <v>6</v>
      </c>
      <c r="B162" s="79"/>
      <c r="C162" s="39" t="s">
        <v>190</v>
      </c>
      <c r="D162" s="49">
        <f>(24.05+0.75*(2.74+2.5))*10.764</f>
        <v>301.17671999999999</v>
      </c>
      <c r="E162" s="39">
        <v>0</v>
      </c>
      <c r="F162" s="39">
        <f t="shared" si="6"/>
        <v>451.76508000000001</v>
      </c>
      <c r="G162" s="86"/>
      <c r="H162" s="87"/>
      <c r="I162" s="34"/>
      <c r="L162" s="77"/>
      <c r="M162" s="77"/>
      <c r="N162" s="34"/>
    </row>
    <row r="163" spans="1:14" s="43" customFormat="1" ht="15.75" customHeight="1" x14ac:dyDescent="0.3">
      <c r="A163" s="78">
        <v>7</v>
      </c>
      <c r="B163" s="79"/>
      <c r="C163" s="39" t="s">
        <v>190</v>
      </c>
      <c r="D163" s="49">
        <f>(23.57+0.75*(2.74+2.2))*10.764</f>
        <v>293.58809999999994</v>
      </c>
      <c r="E163" s="39">
        <v>0</v>
      </c>
      <c r="F163" s="39">
        <f t="shared" si="6"/>
        <v>440.38214999999991</v>
      </c>
      <c r="G163" s="86"/>
      <c r="H163" s="87"/>
      <c r="I163" s="34"/>
      <c r="L163" s="77"/>
      <c r="M163" s="77"/>
      <c r="N163" s="34"/>
    </row>
    <row r="164" spans="1:14" s="43" customFormat="1" ht="15.75" customHeight="1" x14ac:dyDescent="0.3">
      <c r="A164" s="78">
        <v>8</v>
      </c>
      <c r="B164" s="79"/>
      <c r="C164" s="39" t="s">
        <v>190</v>
      </c>
      <c r="D164" s="49">
        <f>(22.89+0.75*(2.74+2.2))*10.764</f>
        <v>286.26857999999999</v>
      </c>
      <c r="E164" s="39">
        <v>0</v>
      </c>
      <c r="F164" s="39">
        <f t="shared" si="6"/>
        <v>429.40287000000001</v>
      </c>
      <c r="G164" s="88"/>
      <c r="H164" s="89"/>
      <c r="I164" s="34"/>
      <c r="L164" s="77"/>
      <c r="M164" s="77"/>
      <c r="N164" s="34"/>
    </row>
    <row r="165" spans="1:14" s="43" customFormat="1" ht="15.75" customHeight="1" x14ac:dyDescent="0.3">
      <c r="A165" s="81" t="s">
        <v>223</v>
      </c>
      <c r="B165" s="82"/>
      <c r="C165" s="82"/>
      <c r="D165" s="82"/>
      <c r="E165" s="82"/>
      <c r="F165" s="82"/>
      <c r="G165" s="82"/>
      <c r="H165" s="83"/>
      <c r="J165" s="34"/>
    </row>
    <row r="166" spans="1:14" s="43" customFormat="1" ht="15.75" customHeight="1" x14ac:dyDescent="0.3">
      <c r="A166" s="78">
        <v>1</v>
      </c>
      <c r="B166" s="79"/>
      <c r="C166" s="39" t="s">
        <v>190</v>
      </c>
      <c r="D166" s="49">
        <f>(22.89+0.75*(2.74+2.2))*10.764</f>
        <v>286.26857999999999</v>
      </c>
      <c r="E166" s="39">
        <v>0</v>
      </c>
      <c r="F166" s="39">
        <f t="shared" ref="F166:F172" si="7">D166*(($F$144)+1)+(IF(E166&lt;101,E166,IF(E166&lt;201,E166/2,IF(E166&lt;=301,E166/3,E166/4))))</f>
        <v>429.40287000000001</v>
      </c>
      <c r="G166" s="84" t="str">
        <f>A165</f>
        <v>8th Floor (Part Refuge Area)</v>
      </c>
      <c r="H166" s="85"/>
      <c r="I166" s="34"/>
      <c r="L166" s="77"/>
      <c r="M166" s="77"/>
      <c r="N166" s="34"/>
    </row>
    <row r="167" spans="1:14" s="43" customFormat="1" ht="15.75" customHeight="1" x14ac:dyDescent="0.3">
      <c r="A167" s="78">
        <v>2</v>
      </c>
      <c r="B167" s="79"/>
      <c r="C167" s="39" t="s">
        <v>190</v>
      </c>
      <c r="D167" s="49">
        <f>(23.57+0.75*(2.74+2.2))*10.764</f>
        <v>293.58809999999994</v>
      </c>
      <c r="E167" s="39">
        <v>0</v>
      </c>
      <c r="F167" s="39">
        <f t="shared" si="7"/>
        <v>440.38214999999991</v>
      </c>
      <c r="G167" s="86"/>
      <c r="H167" s="87"/>
      <c r="I167" s="34"/>
      <c r="L167" s="77"/>
      <c r="M167" s="77"/>
      <c r="N167" s="34"/>
    </row>
    <row r="168" spans="1:14" s="43" customFormat="1" ht="15.75" customHeight="1" x14ac:dyDescent="0.3">
      <c r="A168" s="78">
        <v>3</v>
      </c>
      <c r="B168" s="79"/>
      <c r="C168" s="39" t="s">
        <v>190</v>
      </c>
      <c r="D168" s="49">
        <f>(24.05+0.75*(2.74+2.5))*10.764</f>
        <v>301.17671999999999</v>
      </c>
      <c r="E168" s="39">
        <v>0</v>
      </c>
      <c r="F168" s="39">
        <f t="shared" si="7"/>
        <v>451.76508000000001</v>
      </c>
      <c r="G168" s="86"/>
      <c r="H168" s="87"/>
      <c r="I168" s="34"/>
      <c r="L168" s="77"/>
      <c r="M168" s="77"/>
      <c r="N168" s="34"/>
    </row>
    <row r="169" spans="1:14" s="43" customFormat="1" ht="15.75" customHeight="1" x14ac:dyDescent="0.3">
      <c r="A169" s="78">
        <v>4</v>
      </c>
      <c r="B169" s="79"/>
      <c r="C169" s="39" t="s">
        <v>190</v>
      </c>
      <c r="D169" s="49">
        <f>(22.36+0.75*(2.74+2.65))*10.764</f>
        <v>284.19650999999999</v>
      </c>
      <c r="E169" s="39">
        <v>0</v>
      </c>
      <c r="F169" s="39">
        <f t="shared" si="7"/>
        <v>426.29476499999998</v>
      </c>
      <c r="G169" s="86"/>
      <c r="H169" s="87"/>
      <c r="I169" s="34"/>
      <c r="L169" s="77"/>
      <c r="M169" s="77"/>
      <c r="N169" s="34"/>
    </row>
    <row r="170" spans="1:14" s="43" customFormat="1" ht="15.75" customHeight="1" x14ac:dyDescent="0.3">
      <c r="A170" s="78">
        <v>5</v>
      </c>
      <c r="B170" s="79"/>
      <c r="C170" s="39" t="s">
        <v>190</v>
      </c>
      <c r="D170" s="49">
        <f>(22.36+0.75*(2.74+2.65))*10.764</f>
        <v>284.19650999999999</v>
      </c>
      <c r="E170" s="39">
        <v>0</v>
      </c>
      <c r="F170" s="39">
        <f t="shared" si="7"/>
        <v>426.29476499999998</v>
      </c>
      <c r="G170" s="86"/>
      <c r="H170" s="87"/>
      <c r="I170" s="34"/>
      <c r="L170" s="77"/>
      <c r="M170" s="77"/>
      <c r="N170" s="34"/>
    </row>
    <row r="171" spans="1:14" s="43" customFormat="1" ht="15.75" customHeight="1" x14ac:dyDescent="0.3">
      <c r="A171" s="78">
        <v>6</v>
      </c>
      <c r="B171" s="79"/>
      <c r="C171" s="39" t="s">
        <v>190</v>
      </c>
      <c r="D171" s="49">
        <f>(24.05+0.75*(2.74+2.5))*10.764</f>
        <v>301.17671999999999</v>
      </c>
      <c r="E171" s="39">
        <v>0</v>
      </c>
      <c r="F171" s="39">
        <f t="shared" si="7"/>
        <v>451.76508000000001</v>
      </c>
      <c r="G171" s="86"/>
      <c r="H171" s="87"/>
      <c r="I171" s="34"/>
      <c r="L171" s="77"/>
      <c r="M171" s="77"/>
      <c r="N171" s="34"/>
    </row>
    <row r="172" spans="1:14" s="43" customFormat="1" ht="15.75" customHeight="1" x14ac:dyDescent="0.3">
      <c r="A172" s="78">
        <v>7</v>
      </c>
      <c r="B172" s="79"/>
      <c r="C172" s="39" t="s">
        <v>190</v>
      </c>
      <c r="D172" s="49">
        <f>(23.57+0.75*(2.74+2.2))*10.764</f>
        <v>293.58809999999994</v>
      </c>
      <c r="E172" s="39">
        <v>0</v>
      </c>
      <c r="F172" s="39">
        <f t="shared" si="7"/>
        <v>440.38214999999991</v>
      </c>
      <c r="G172" s="86"/>
      <c r="H172" s="87"/>
      <c r="I172" s="34"/>
      <c r="L172" s="77"/>
      <c r="M172" s="77"/>
      <c r="N172" s="34"/>
    </row>
    <row r="173" spans="1:14" s="43" customFormat="1" ht="15.75" customHeight="1" x14ac:dyDescent="0.3">
      <c r="A173" s="78">
        <v>8</v>
      </c>
      <c r="B173" s="79"/>
      <c r="C173" s="78" t="s">
        <v>225</v>
      </c>
      <c r="D173" s="80"/>
      <c r="E173" s="80"/>
      <c r="F173" s="79"/>
      <c r="G173" s="88"/>
      <c r="H173" s="89"/>
      <c r="I173" s="34"/>
      <c r="L173" s="77"/>
      <c r="M173" s="77"/>
      <c r="N173" s="34"/>
    </row>
    <row r="174" spans="1:14" s="43" customFormat="1" x14ac:dyDescent="0.3">
      <c r="A174" s="187" t="s">
        <v>191</v>
      </c>
      <c r="B174" s="188"/>
      <c r="C174" s="188"/>
      <c r="D174" s="188"/>
      <c r="E174" s="188"/>
      <c r="F174" s="188"/>
      <c r="G174" s="188"/>
      <c r="H174" s="189"/>
      <c r="J174" s="49">
        <v>10.763999999999999</v>
      </c>
    </row>
    <row r="175" spans="1:14" s="43" customFormat="1" ht="15.75" customHeight="1" x14ac:dyDescent="0.3">
      <c r="A175" s="81" t="s">
        <v>227</v>
      </c>
      <c r="B175" s="82"/>
      <c r="C175" s="82"/>
      <c r="D175" s="82"/>
      <c r="E175" s="82"/>
      <c r="F175" s="82"/>
      <c r="G175" s="82"/>
      <c r="H175" s="83"/>
      <c r="J175" s="34"/>
    </row>
    <row r="176" spans="1:14" s="43" customFormat="1" ht="15.75" customHeight="1" x14ac:dyDescent="0.3">
      <c r="A176" s="81" t="s">
        <v>230</v>
      </c>
      <c r="B176" s="82"/>
      <c r="C176" s="82"/>
      <c r="D176" s="82"/>
      <c r="E176" s="82"/>
      <c r="F176" s="82"/>
      <c r="G176" s="82"/>
      <c r="H176" s="83"/>
      <c r="J176" s="34"/>
    </row>
    <row r="177" spans="1:14" s="43" customFormat="1" ht="15.75" customHeight="1" x14ac:dyDescent="0.3">
      <c r="A177" s="81" t="s">
        <v>224</v>
      </c>
      <c r="B177" s="82"/>
      <c r="C177" s="82"/>
      <c r="D177" s="82"/>
      <c r="E177" s="82"/>
      <c r="F177" s="82"/>
      <c r="G177" s="82"/>
      <c r="H177" s="83"/>
      <c r="J177" s="34"/>
    </row>
    <row r="178" spans="1:14" s="43" customFormat="1" ht="15.75" customHeight="1" x14ac:dyDescent="0.3">
      <c r="A178" s="78">
        <v>1</v>
      </c>
      <c r="B178" s="79"/>
      <c r="C178" s="39" t="s">
        <v>193</v>
      </c>
      <c r="D178" s="49">
        <f>(32.35+0.75*(1.9+2.28+2.74)+0.6*1.85)*10.764</f>
        <v>416.02859999999998</v>
      </c>
      <c r="E178" s="39">
        <v>0</v>
      </c>
      <c r="F178" s="39">
        <f t="shared" ref="F178:F189" si="8">D178*(($F$144)+1)+(IF(E178&lt;101,E178,IF(E178&lt;201,E178/2,IF(E178&lt;=301,E178/3,E178/4))))</f>
        <v>624.04289999999992</v>
      </c>
      <c r="G178" s="84" t="str">
        <f>A177</f>
        <v>1st to 7th, 9th to 12th Floor for Residential</v>
      </c>
      <c r="H178" s="85"/>
      <c r="I178" s="69">
        <f>2.89*4.11+2.28*2.28+2.74*3.05+1.5*1.2+1.2*0.9+1.3*0.9+1.1*0.9+0.6*1.85</f>
        <v>31.583300000000005</v>
      </c>
      <c r="J178" s="43">
        <f>2655000/F178</f>
        <v>4254.5151943880783</v>
      </c>
      <c r="L178" s="77"/>
      <c r="M178" s="77"/>
      <c r="N178" s="34"/>
    </row>
    <row r="179" spans="1:14" s="43" customFormat="1" ht="15.75" customHeight="1" x14ac:dyDescent="0.3">
      <c r="A179" s="78">
        <v>2</v>
      </c>
      <c r="B179" s="79"/>
      <c r="C179" s="39" t="s">
        <v>193</v>
      </c>
      <c r="D179" s="49">
        <f>(32.35+0.75*(1.9+2.28+2.74)+0.6*1.85)*10.764</f>
        <v>416.02859999999998</v>
      </c>
      <c r="E179" s="39">
        <v>0</v>
      </c>
      <c r="F179" s="39">
        <f t="shared" si="8"/>
        <v>624.04289999999992</v>
      </c>
      <c r="G179" s="86"/>
      <c r="H179" s="87"/>
      <c r="I179" s="34"/>
      <c r="L179" s="77"/>
      <c r="M179" s="77"/>
      <c r="N179" s="34"/>
    </row>
    <row r="180" spans="1:14" s="43" customFormat="1" ht="15.75" customHeight="1" x14ac:dyDescent="0.3">
      <c r="A180" s="78">
        <v>3</v>
      </c>
      <c r="B180" s="79"/>
      <c r="C180" s="39" t="s">
        <v>193</v>
      </c>
      <c r="D180" s="49">
        <f>(37.21+0.75*(1.75+2.28+2.74))*10.764</f>
        <v>455.18264999999997</v>
      </c>
      <c r="E180" s="39">
        <v>0</v>
      </c>
      <c r="F180" s="39">
        <f t="shared" si="8"/>
        <v>682.77397499999995</v>
      </c>
      <c r="G180" s="86"/>
      <c r="H180" s="87"/>
      <c r="I180" s="34"/>
      <c r="L180" s="77"/>
      <c r="M180" s="77"/>
      <c r="N180" s="34"/>
    </row>
    <row r="181" spans="1:14" s="43" customFormat="1" ht="15.75" customHeight="1" x14ac:dyDescent="0.3">
      <c r="A181" s="78">
        <v>4</v>
      </c>
      <c r="B181" s="79"/>
      <c r="C181" s="39" t="s">
        <v>193</v>
      </c>
      <c r="D181" s="49">
        <f>(33.12+0.75*(2.89+2.28+2.74))*10.764</f>
        <v>420.36110999999994</v>
      </c>
      <c r="E181" s="39">
        <v>0</v>
      </c>
      <c r="F181" s="39">
        <f t="shared" si="8"/>
        <v>630.54166499999997</v>
      </c>
      <c r="G181" s="86"/>
      <c r="H181" s="87"/>
      <c r="I181" s="34"/>
      <c r="L181" s="77"/>
      <c r="M181" s="77"/>
      <c r="N181" s="34"/>
    </row>
    <row r="182" spans="1:14" s="43" customFormat="1" ht="15.75" customHeight="1" x14ac:dyDescent="0.3">
      <c r="A182" s="78">
        <v>5</v>
      </c>
      <c r="B182" s="79"/>
      <c r="C182" s="39" t="s">
        <v>192</v>
      </c>
      <c r="D182" s="49">
        <f>(46.03+0.75*(1.75+2.28+2.74+3))*10.764</f>
        <v>574.34012999999993</v>
      </c>
      <c r="E182" s="39">
        <v>0</v>
      </c>
      <c r="F182" s="39">
        <f t="shared" si="8"/>
        <v>861.51019499999984</v>
      </c>
      <c r="G182" s="86"/>
      <c r="H182" s="87"/>
      <c r="I182" s="34">
        <f>3663000/F182</f>
        <v>4251.8359286508512</v>
      </c>
      <c r="L182" s="77"/>
      <c r="M182" s="77"/>
      <c r="N182" s="34"/>
    </row>
    <row r="183" spans="1:14" s="43" customFormat="1" ht="15.75" customHeight="1" x14ac:dyDescent="0.3">
      <c r="A183" s="78">
        <v>6</v>
      </c>
      <c r="B183" s="79"/>
      <c r="C183" s="39" t="s">
        <v>193</v>
      </c>
      <c r="D183" s="49">
        <f>(32.35+0.75*(1.9+2.28+2.74)+0.6*1.85)*10.764</f>
        <v>416.02859999999998</v>
      </c>
      <c r="E183" s="39">
        <v>0</v>
      </c>
      <c r="F183" s="39">
        <f t="shared" si="8"/>
        <v>624.04289999999992</v>
      </c>
      <c r="G183" s="86"/>
      <c r="H183" s="87"/>
      <c r="I183" s="34"/>
      <c r="L183" s="77"/>
      <c r="M183" s="77"/>
      <c r="N183" s="34"/>
    </row>
    <row r="184" spans="1:14" s="43" customFormat="1" ht="15.75" customHeight="1" x14ac:dyDescent="0.3">
      <c r="A184" s="78">
        <v>7</v>
      </c>
      <c r="B184" s="79"/>
      <c r="C184" s="39" t="s">
        <v>193</v>
      </c>
      <c r="D184" s="49">
        <f>(32.35+0.75*(1.9+2.28+2.74)+0.6*1.85)*10.764</f>
        <v>416.02859999999998</v>
      </c>
      <c r="E184" s="39">
        <v>0</v>
      </c>
      <c r="F184" s="39">
        <f t="shared" si="8"/>
        <v>624.04289999999992</v>
      </c>
      <c r="G184" s="86"/>
      <c r="H184" s="87"/>
      <c r="I184" s="34"/>
      <c r="L184" s="77"/>
      <c r="M184" s="77"/>
      <c r="N184" s="34"/>
    </row>
    <row r="185" spans="1:14" s="43" customFormat="1" ht="15.75" customHeight="1" x14ac:dyDescent="0.3">
      <c r="A185" s="78">
        <v>8</v>
      </c>
      <c r="B185" s="79"/>
      <c r="C185" s="39" t="s">
        <v>193</v>
      </c>
      <c r="D185" s="49">
        <f>(33.04+0.75*(2.89+2.28+2.74))*10.764</f>
        <v>419.49998999999991</v>
      </c>
      <c r="E185" s="39">
        <v>0</v>
      </c>
      <c r="F185" s="39">
        <f t="shared" si="8"/>
        <v>629.24998499999992</v>
      </c>
      <c r="G185" s="86"/>
      <c r="H185" s="87"/>
      <c r="I185" s="34">
        <f>2557000/F185</f>
        <v>4063.5678362392018</v>
      </c>
      <c r="L185" s="77"/>
      <c r="M185" s="77"/>
      <c r="N185" s="34"/>
    </row>
    <row r="186" spans="1:14" s="43" customFormat="1" ht="15.75" customHeight="1" x14ac:dyDescent="0.3">
      <c r="A186" s="78">
        <v>9</v>
      </c>
      <c r="B186" s="79"/>
      <c r="C186" s="39" t="s">
        <v>192</v>
      </c>
      <c r="D186" s="49">
        <f>(46.7+0.75*(1.9+2.28+2.74+3.05))*10.764</f>
        <v>583.16660999999999</v>
      </c>
      <c r="E186" s="39">
        <v>0</v>
      </c>
      <c r="F186" s="39">
        <f t="shared" si="8"/>
        <v>874.74991499999999</v>
      </c>
      <c r="G186" s="86"/>
      <c r="H186" s="87"/>
      <c r="I186" s="34">
        <f>3663000/F186</f>
        <v>4187.4825446539198</v>
      </c>
      <c r="L186" s="77"/>
      <c r="M186" s="77"/>
      <c r="N186" s="34"/>
    </row>
    <row r="187" spans="1:14" s="43" customFormat="1" ht="15.75" customHeight="1" x14ac:dyDescent="0.3">
      <c r="A187" s="78">
        <v>10</v>
      </c>
      <c r="B187" s="79"/>
      <c r="C187" s="39" t="s">
        <v>193</v>
      </c>
      <c r="D187" s="49">
        <f>(35.82+0.75*(2.89+2.28+2.74)+0.6*1.7)*10.764</f>
        <v>460.40319</v>
      </c>
      <c r="E187" s="39">
        <v>0</v>
      </c>
      <c r="F187" s="39">
        <f t="shared" si="8"/>
        <v>690.60478499999999</v>
      </c>
      <c r="G187" s="86"/>
      <c r="H187" s="87"/>
      <c r="I187" s="34"/>
      <c r="L187" s="77"/>
      <c r="M187" s="77"/>
      <c r="N187" s="34"/>
    </row>
    <row r="188" spans="1:14" s="43" customFormat="1" ht="15.75" customHeight="1" x14ac:dyDescent="0.3">
      <c r="A188" s="78">
        <v>11</v>
      </c>
      <c r="B188" s="79"/>
      <c r="C188" s="39" t="s">
        <v>193</v>
      </c>
      <c r="D188" s="49">
        <f>(35.82+0.75*(2.89+2.28+2.74)+0.6*1.7)*10.764</f>
        <v>460.40319</v>
      </c>
      <c r="E188" s="39">
        <v>0</v>
      </c>
      <c r="F188" s="39">
        <f t="shared" si="8"/>
        <v>690.60478499999999</v>
      </c>
      <c r="G188" s="86"/>
      <c r="H188" s="87"/>
      <c r="I188" s="34">
        <f>2835000/F188</f>
        <v>4105.0975341851999</v>
      </c>
      <c r="L188" s="77"/>
      <c r="M188" s="77"/>
      <c r="N188" s="34"/>
    </row>
    <row r="189" spans="1:14" s="43" customFormat="1" ht="15.75" customHeight="1" x14ac:dyDescent="0.3">
      <c r="A189" s="78">
        <v>12</v>
      </c>
      <c r="B189" s="79"/>
      <c r="C189" s="39" t="s">
        <v>193</v>
      </c>
      <c r="D189" s="49">
        <f>(34.3+0.75*(2.89+2.28+3.35))*10.764</f>
        <v>437.98715999999996</v>
      </c>
      <c r="E189" s="39">
        <v>0</v>
      </c>
      <c r="F189" s="39">
        <f t="shared" si="8"/>
        <v>656.98073999999997</v>
      </c>
      <c r="G189" s="88"/>
      <c r="H189" s="89"/>
      <c r="I189" s="34"/>
      <c r="L189" s="77"/>
      <c r="M189" s="77"/>
      <c r="N189" s="34"/>
    </row>
    <row r="190" spans="1:14" s="43" customFormat="1" ht="15.75" customHeight="1" x14ac:dyDescent="0.3">
      <c r="A190" s="81" t="s">
        <v>223</v>
      </c>
      <c r="B190" s="82"/>
      <c r="C190" s="82"/>
      <c r="D190" s="82"/>
      <c r="E190" s="82"/>
      <c r="F190" s="82"/>
      <c r="G190" s="82"/>
      <c r="H190" s="83"/>
      <c r="J190" s="34"/>
    </row>
    <row r="191" spans="1:14" s="43" customFormat="1" ht="15.75" customHeight="1" x14ac:dyDescent="0.3">
      <c r="A191" s="78">
        <v>1</v>
      </c>
      <c r="B191" s="79"/>
      <c r="C191" s="39" t="s">
        <v>193</v>
      </c>
      <c r="D191" s="49">
        <f>(32.35+0.75*(1.9+2.28+2.74)+0.6*1.85)*10.764</f>
        <v>416.02859999999998</v>
      </c>
      <c r="E191" s="39">
        <v>0</v>
      </c>
      <c r="F191" s="39">
        <f t="shared" ref="F191:F201" si="9">D191*(($F$144)+1)+(IF(E191&lt;101,E191,IF(E191&lt;201,E191/2,IF(E191&lt;=301,E191/3,E191/4))))</f>
        <v>624.04289999999992</v>
      </c>
      <c r="G191" s="84" t="str">
        <f>A190</f>
        <v>8th Floor (Part Refuge Area)</v>
      </c>
      <c r="H191" s="85"/>
      <c r="I191" s="69"/>
      <c r="L191" s="77"/>
      <c r="M191" s="77"/>
      <c r="N191" s="34"/>
    </row>
    <row r="192" spans="1:14" s="43" customFormat="1" ht="15.75" customHeight="1" x14ac:dyDescent="0.3">
      <c r="A192" s="78">
        <v>2</v>
      </c>
      <c r="B192" s="79"/>
      <c r="C192" s="39" t="s">
        <v>193</v>
      </c>
      <c r="D192" s="49">
        <f>(32.35+0.75*(1.9+2.28+2.74)+0.6*1.85)*10.764</f>
        <v>416.02859999999998</v>
      </c>
      <c r="E192" s="39">
        <v>0</v>
      </c>
      <c r="F192" s="39">
        <f t="shared" si="9"/>
        <v>624.04289999999992</v>
      </c>
      <c r="G192" s="86"/>
      <c r="H192" s="87"/>
      <c r="I192" s="34"/>
      <c r="L192" s="77"/>
      <c r="M192" s="77"/>
      <c r="N192" s="34"/>
    </row>
    <row r="193" spans="1:14" s="43" customFormat="1" ht="15.75" customHeight="1" x14ac:dyDescent="0.3">
      <c r="A193" s="78">
        <v>3</v>
      </c>
      <c r="B193" s="79"/>
      <c r="C193" s="39" t="s">
        <v>193</v>
      </c>
      <c r="D193" s="49">
        <f>(37.21+0.75*(1.75+2.28+2.74))*10.764</f>
        <v>455.18264999999997</v>
      </c>
      <c r="E193" s="39">
        <v>0</v>
      </c>
      <c r="F193" s="39">
        <f t="shared" si="9"/>
        <v>682.77397499999995</v>
      </c>
      <c r="G193" s="86"/>
      <c r="H193" s="87"/>
      <c r="I193" s="34"/>
      <c r="L193" s="77"/>
      <c r="M193" s="77"/>
      <c r="N193" s="34"/>
    </row>
    <row r="194" spans="1:14" s="43" customFormat="1" ht="15.75" customHeight="1" x14ac:dyDescent="0.3">
      <c r="A194" s="78">
        <v>4</v>
      </c>
      <c r="B194" s="79"/>
      <c r="C194" s="39" t="s">
        <v>193</v>
      </c>
      <c r="D194" s="49">
        <f>(33.12+0.75*(2.89+2.28+2.74))*10.764</f>
        <v>420.36110999999994</v>
      </c>
      <c r="E194" s="39">
        <v>0</v>
      </c>
      <c r="F194" s="39">
        <f t="shared" si="9"/>
        <v>630.54166499999997</v>
      </c>
      <c r="G194" s="86"/>
      <c r="H194" s="87"/>
      <c r="I194" s="34"/>
      <c r="L194" s="77"/>
      <c r="M194" s="77"/>
      <c r="N194" s="34"/>
    </row>
    <row r="195" spans="1:14" s="43" customFormat="1" ht="15.75" customHeight="1" x14ac:dyDescent="0.3">
      <c r="A195" s="78">
        <v>5</v>
      </c>
      <c r="B195" s="79"/>
      <c r="C195" s="39" t="s">
        <v>192</v>
      </c>
      <c r="D195" s="49">
        <f>(46.03+0.75*(1.75+2.28+2.74+3))*10.764</f>
        <v>574.34012999999993</v>
      </c>
      <c r="E195" s="39">
        <v>0</v>
      </c>
      <c r="F195" s="39">
        <f t="shared" si="9"/>
        <v>861.51019499999984</v>
      </c>
      <c r="G195" s="86"/>
      <c r="H195" s="87"/>
      <c r="I195" s="34"/>
      <c r="L195" s="77"/>
      <c r="M195" s="77"/>
      <c r="N195" s="34"/>
    </row>
    <row r="196" spans="1:14" s="43" customFormat="1" ht="15.75" customHeight="1" x14ac:dyDescent="0.3">
      <c r="A196" s="78">
        <v>6</v>
      </c>
      <c r="B196" s="79"/>
      <c r="C196" s="39" t="s">
        <v>193</v>
      </c>
      <c r="D196" s="49">
        <f>(32.35+0.75*(1.9+2.28+2.74)+0.6*1.85)*10.764</f>
        <v>416.02859999999998</v>
      </c>
      <c r="E196" s="39">
        <v>0</v>
      </c>
      <c r="F196" s="39">
        <f t="shared" si="9"/>
        <v>624.04289999999992</v>
      </c>
      <c r="G196" s="86"/>
      <c r="H196" s="87"/>
      <c r="I196" s="34"/>
      <c r="L196" s="77"/>
      <c r="M196" s="77"/>
      <c r="N196" s="34"/>
    </row>
    <row r="197" spans="1:14" s="43" customFormat="1" ht="15.75" customHeight="1" x14ac:dyDescent="0.3">
      <c r="A197" s="78">
        <v>7</v>
      </c>
      <c r="B197" s="79"/>
      <c r="C197" s="39" t="s">
        <v>193</v>
      </c>
      <c r="D197" s="49">
        <f>(32.35+0.75*(1.9+2.28+2.74)+0.6*1.85)*10.764</f>
        <v>416.02859999999998</v>
      </c>
      <c r="E197" s="39">
        <v>0</v>
      </c>
      <c r="F197" s="39">
        <f t="shared" si="9"/>
        <v>624.04289999999992</v>
      </c>
      <c r="G197" s="86"/>
      <c r="H197" s="87"/>
      <c r="I197" s="34"/>
      <c r="L197" s="77"/>
      <c r="M197" s="77"/>
      <c r="N197" s="34"/>
    </row>
    <row r="198" spans="1:14" s="43" customFormat="1" ht="15.75" customHeight="1" x14ac:dyDescent="0.3">
      <c r="A198" s="78">
        <v>8</v>
      </c>
      <c r="B198" s="79"/>
      <c r="C198" s="39" t="s">
        <v>193</v>
      </c>
      <c r="D198" s="49">
        <f>(33.04+0.75*(2.89+2.28+2.74))*10.764</f>
        <v>419.49998999999991</v>
      </c>
      <c r="E198" s="39">
        <v>0</v>
      </c>
      <c r="F198" s="39">
        <f t="shared" si="9"/>
        <v>629.24998499999992</v>
      </c>
      <c r="G198" s="86"/>
      <c r="H198" s="87"/>
      <c r="I198" s="34"/>
      <c r="L198" s="77"/>
      <c r="M198" s="77"/>
      <c r="N198" s="34"/>
    </row>
    <row r="199" spans="1:14" s="43" customFormat="1" ht="15.75" customHeight="1" x14ac:dyDescent="0.3">
      <c r="A199" s="78">
        <v>9</v>
      </c>
      <c r="B199" s="79"/>
      <c r="C199" s="39" t="s">
        <v>192</v>
      </c>
      <c r="D199" s="49">
        <f>(46.7+0.75*(1.9+2.28+2.74+3.05))*10.764</f>
        <v>583.16660999999999</v>
      </c>
      <c r="E199" s="39">
        <v>0</v>
      </c>
      <c r="F199" s="39">
        <f t="shared" si="9"/>
        <v>874.74991499999999</v>
      </c>
      <c r="G199" s="86"/>
      <c r="H199" s="87"/>
      <c r="I199" s="34"/>
      <c r="L199" s="77"/>
      <c r="M199" s="77"/>
      <c r="N199" s="34"/>
    </row>
    <row r="200" spans="1:14" s="43" customFormat="1" ht="15.75" customHeight="1" x14ac:dyDescent="0.3">
      <c r="A200" s="78">
        <v>10</v>
      </c>
      <c r="B200" s="79"/>
      <c r="C200" s="39" t="s">
        <v>193</v>
      </c>
      <c r="D200" s="49">
        <f>(35.82+0.75*(2.89+2.28+2.74)+0.6*1.7)*10.764</f>
        <v>460.40319</v>
      </c>
      <c r="E200" s="39">
        <v>0</v>
      </c>
      <c r="F200" s="39">
        <f t="shared" si="9"/>
        <v>690.60478499999999</v>
      </c>
      <c r="G200" s="86"/>
      <c r="H200" s="87"/>
      <c r="I200" s="34"/>
      <c r="L200" s="77"/>
      <c r="M200" s="77"/>
      <c r="N200" s="34"/>
    </row>
    <row r="201" spans="1:14" s="43" customFormat="1" ht="15.75" customHeight="1" x14ac:dyDescent="0.3">
      <c r="A201" s="78">
        <v>11</v>
      </c>
      <c r="B201" s="79"/>
      <c r="C201" s="39" t="s">
        <v>193</v>
      </c>
      <c r="D201" s="49">
        <f>(35.82+0.75*(2.89+2.28+2.74)+0.6*1.7)*10.764</f>
        <v>460.40319</v>
      </c>
      <c r="E201" s="39">
        <v>0</v>
      </c>
      <c r="F201" s="39">
        <f t="shared" si="9"/>
        <v>690.60478499999999</v>
      </c>
      <c r="G201" s="86"/>
      <c r="H201" s="87"/>
      <c r="I201" s="34"/>
      <c r="L201" s="77"/>
      <c r="M201" s="77"/>
      <c r="N201" s="34"/>
    </row>
    <row r="202" spans="1:14" s="43" customFormat="1" ht="15.75" customHeight="1" x14ac:dyDescent="0.3">
      <c r="A202" s="78">
        <v>12</v>
      </c>
      <c r="B202" s="79"/>
      <c r="C202" s="78" t="s">
        <v>225</v>
      </c>
      <c r="D202" s="80"/>
      <c r="E202" s="80"/>
      <c r="F202" s="79"/>
      <c r="G202" s="88"/>
      <c r="H202" s="89"/>
      <c r="I202" s="34"/>
      <c r="L202" s="77"/>
      <c r="M202" s="77"/>
      <c r="N202" s="34"/>
    </row>
    <row r="203" spans="1:14" s="33" customFormat="1" x14ac:dyDescent="0.3">
      <c r="A203" s="194" t="s">
        <v>72</v>
      </c>
      <c r="B203" s="194"/>
      <c r="C203" s="194"/>
      <c r="D203" s="194"/>
      <c r="E203" s="194"/>
      <c r="F203" s="194"/>
      <c r="G203" s="194"/>
      <c r="H203" s="194"/>
    </row>
    <row r="204" spans="1:14" s="33" customFormat="1" x14ac:dyDescent="0.3">
      <c r="A204" s="42" t="s">
        <v>163</v>
      </c>
      <c r="B204" s="191" t="s">
        <v>242</v>
      </c>
      <c r="C204" s="192"/>
      <c r="D204" s="192"/>
      <c r="E204" s="192"/>
      <c r="F204" s="192"/>
      <c r="G204" s="192"/>
      <c r="H204" s="193"/>
      <c r="I204" s="33" t="s">
        <v>240</v>
      </c>
    </row>
    <row r="205" spans="1:14" s="33" customFormat="1" x14ac:dyDescent="0.3">
      <c r="A205" s="42" t="s">
        <v>163</v>
      </c>
      <c r="B205" s="191" t="str">
        <f>(IF(F143="Saleable area Loading :","We have considered Saleable area of Flats as per our Calculation.","We considered Saleable area of Flat as per Builder area Sheet."))</f>
        <v>We have considered Saleable area of Flats as per our Calculation.</v>
      </c>
      <c r="C205" s="192"/>
      <c r="D205" s="192"/>
      <c r="E205" s="192"/>
      <c r="F205" s="192"/>
      <c r="G205" s="192"/>
      <c r="H205" s="193"/>
    </row>
    <row r="206" spans="1:14" s="33" customFormat="1" x14ac:dyDescent="0.3">
      <c r="A206" s="42" t="s">
        <v>163</v>
      </c>
      <c r="B206" s="191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6" s="192"/>
      <c r="D206" s="192"/>
      <c r="E206" s="192"/>
      <c r="F206" s="192"/>
      <c r="G206" s="192"/>
      <c r="H206" s="193"/>
    </row>
    <row r="207" spans="1:14" s="33" customFormat="1" x14ac:dyDescent="0.3">
      <c r="A207" s="42" t="s">
        <v>163</v>
      </c>
      <c r="B207" s="71" t="s">
        <v>131</v>
      </c>
      <c r="C207" s="72"/>
      <c r="D207" s="72"/>
      <c r="E207" s="72"/>
      <c r="F207" s="72"/>
      <c r="G207" s="72"/>
      <c r="H207" s="73"/>
    </row>
    <row r="208" spans="1:14" s="33" customFormat="1" x14ac:dyDescent="0.3">
      <c r="A208" s="42" t="s">
        <v>163</v>
      </c>
      <c r="B208" s="71" t="s">
        <v>194</v>
      </c>
      <c r="C208" s="72"/>
      <c r="D208" s="72"/>
      <c r="E208" s="72"/>
      <c r="F208" s="72"/>
      <c r="G208" s="72"/>
      <c r="H208" s="73"/>
    </row>
    <row r="209" spans="1:8" s="33" customFormat="1" x14ac:dyDescent="0.3">
      <c r="A209" s="42" t="s">
        <v>163</v>
      </c>
      <c r="B209" s="71" t="s">
        <v>162</v>
      </c>
      <c r="C209" s="72"/>
      <c r="D209" s="72"/>
      <c r="E209" s="72"/>
      <c r="F209" s="72"/>
      <c r="G209" s="72"/>
      <c r="H209" s="73"/>
    </row>
    <row r="210" spans="1:8" s="33" customFormat="1" x14ac:dyDescent="0.3">
      <c r="A210" s="42" t="s">
        <v>163</v>
      </c>
      <c r="B210" s="71" t="s">
        <v>132</v>
      </c>
      <c r="C210" s="72"/>
      <c r="D210" s="72"/>
      <c r="E210" s="72"/>
      <c r="F210" s="72"/>
      <c r="G210" s="72"/>
      <c r="H210" s="73"/>
    </row>
    <row r="211" spans="1:8" s="33" customFormat="1" ht="34.5" customHeight="1" x14ac:dyDescent="0.3">
      <c r="A211" s="42" t="s">
        <v>163</v>
      </c>
      <c r="B211" s="71" t="s">
        <v>164</v>
      </c>
      <c r="C211" s="72"/>
      <c r="D211" s="72"/>
      <c r="E211" s="72"/>
      <c r="F211" s="72"/>
      <c r="G211" s="72"/>
      <c r="H211" s="73"/>
    </row>
    <row r="212" spans="1:8" s="33" customFormat="1" hidden="1" x14ac:dyDescent="0.3">
      <c r="A212" s="42" t="s">
        <v>163</v>
      </c>
      <c r="B212" s="74" t="s">
        <v>229</v>
      </c>
      <c r="C212" s="75"/>
      <c r="D212" s="75"/>
      <c r="E212" s="75"/>
      <c r="F212" s="75"/>
      <c r="G212" s="75"/>
      <c r="H212" s="76"/>
    </row>
    <row r="213" spans="1:8" s="33" customFormat="1" x14ac:dyDescent="0.3">
      <c r="A213" s="42" t="s">
        <v>163</v>
      </c>
      <c r="B213" s="71" t="s">
        <v>133</v>
      </c>
      <c r="C213" s="72"/>
      <c r="D213" s="72"/>
      <c r="E213" s="72"/>
      <c r="F213" s="72"/>
      <c r="G213" s="72"/>
      <c r="H213" s="73"/>
    </row>
    <row r="214" spans="1:8" s="33" customFormat="1" x14ac:dyDescent="0.3">
      <c r="A214" s="42" t="s">
        <v>163</v>
      </c>
      <c r="B214" s="71" t="s">
        <v>232</v>
      </c>
      <c r="C214" s="72"/>
      <c r="D214" s="72"/>
      <c r="E214" s="72"/>
      <c r="F214" s="72"/>
      <c r="G214" s="72"/>
      <c r="H214" s="73"/>
    </row>
    <row r="215" spans="1:8" s="33" customFormat="1" hidden="1" x14ac:dyDescent="0.3">
      <c r="A215" s="42" t="s">
        <v>163</v>
      </c>
      <c r="B215" s="191" t="s">
        <v>217</v>
      </c>
      <c r="C215" s="192"/>
      <c r="D215" s="192"/>
      <c r="E215" s="192"/>
      <c r="F215" s="192"/>
      <c r="G215" s="192"/>
      <c r="H215" s="193"/>
    </row>
    <row r="216" spans="1:8" x14ac:dyDescent="0.3">
      <c r="A216" s="190" t="s">
        <v>65</v>
      </c>
      <c r="B216" s="190"/>
      <c r="C216" s="190"/>
      <c r="D216" s="190"/>
      <c r="E216" s="190"/>
      <c r="F216" s="190"/>
      <c r="G216" s="190"/>
      <c r="H216" s="190"/>
    </row>
    <row r="217" spans="1:8" x14ac:dyDescent="0.3">
      <c r="A217" s="106" t="s">
        <v>66</v>
      </c>
      <c r="B217" s="106"/>
      <c r="C217" s="106"/>
      <c r="D217" s="106"/>
      <c r="E217" s="106"/>
      <c r="F217" s="106"/>
      <c r="G217" s="106"/>
      <c r="H217" s="106"/>
    </row>
    <row r="218" spans="1:8" ht="15.75" customHeight="1" x14ac:dyDescent="0.3">
      <c r="A218" s="203" t="s">
        <v>67</v>
      </c>
      <c r="B218" s="203"/>
      <c r="C218" s="203"/>
      <c r="D218" s="203"/>
      <c r="E218" s="203"/>
      <c r="F218" s="203"/>
      <c r="G218" s="203"/>
      <c r="H218" s="203"/>
    </row>
    <row r="219" spans="1:8" x14ac:dyDescent="0.3">
      <c r="A219" s="106" t="s">
        <v>68</v>
      </c>
      <c r="B219" s="106"/>
      <c r="C219" s="106"/>
      <c r="D219" s="106"/>
      <c r="E219" s="106"/>
      <c r="F219" s="106"/>
      <c r="G219" s="106"/>
      <c r="H219" s="106"/>
    </row>
    <row r="220" spans="1:8" x14ac:dyDescent="0.3">
      <c r="A220" s="106" t="s">
        <v>69</v>
      </c>
      <c r="B220" s="106"/>
      <c r="C220" s="106"/>
      <c r="D220" s="106"/>
      <c r="E220" s="106"/>
      <c r="F220" s="106"/>
      <c r="G220" s="106"/>
      <c r="H220" s="106"/>
    </row>
    <row r="221" spans="1:8" x14ac:dyDescent="0.3">
      <c r="A221" s="106" t="s">
        <v>134</v>
      </c>
      <c r="B221" s="106"/>
      <c r="C221" s="106"/>
      <c r="D221" s="106"/>
      <c r="E221" s="106"/>
      <c r="F221" s="106"/>
      <c r="G221" s="106"/>
      <c r="H221" s="106"/>
    </row>
    <row r="222" spans="1:8" x14ac:dyDescent="0.3">
      <c r="A222" s="142" t="s">
        <v>135</v>
      </c>
      <c r="B222" s="142"/>
      <c r="C222" s="142"/>
      <c r="D222" s="142"/>
      <c r="E222" s="142"/>
      <c r="F222" s="142"/>
      <c r="G222" s="142"/>
      <c r="H222" s="142"/>
    </row>
    <row r="223" spans="1:8" x14ac:dyDescent="0.3">
      <c r="A223" s="186" t="s">
        <v>82</v>
      </c>
      <c r="B223" s="186"/>
      <c r="C223" s="186" t="s">
        <v>235</v>
      </c>
      <c r="D223" s="186"/>
      <c r="E223" s="186" t="s">
        <v>111</v>
      </c>
      <c r="F223" s="186"/>
      <c r="G223" s="186" t="s">
        <v>239</v>
      </c>
      <c r="H223" s="186"/>
    </row>
    <row r="224" spans="1:8" x14ac:dyDescent="0.3">
      <c r="A224" s="185" t="s">
        <v>84</v>
      </c>
      <c r="B224" s="185"/>
      <c r="C224" s="185"/>
      <c r="D224" s="185"/>
      <c r="E224" s="185"/>
      <c r="F224" s="185"/>
      <c r="G224" s="185"/>
      <c r="H224" s="185"/>
    </row>
    <row r="225" spans="1:8" x14ac:dyDescent="0.3">
      <c r="A225" s="185"/>
      <c r="B225" s="185"/>
      <c r="C225" s="185"/>
      <c r="D225" s="185"/>
      <c r="E225" s="185"/>
      <c r="F225" s="185"/>
      <c r="G225" s="185"/>
      <c r="H225" s="185"/>
    </row>
    <row r="226" spans="1:8" x14ac:dyDescent="0.3">
      <c r="A226" s="185"/>
      <c r="B226" s="185"/>
      <c r="C226" s="185"/>
      <c r="D226" s="185"/>
      <c r="E226" s="185"/>
      <c r="F226" s="185"/>
      <c r="G226" s="185"/>
      <c r="H226" s="185"/>
    </row>
    <row r="227" spans="1:8" x14ac:dyDescent="0.3">
      <c r="A227" s="35" t="s">
        <v>70</v>
      </c>
      <c r="B227" s="36"/>
      <c r="C227" s="36"/>
      <c r="D227" s="35" t="str">
        <f>E8</f>
        <v>Audumber Flower Valley</v>
      </c>
      <c r="F227" s="36"/>
      <c r="G227" s="36"/>
      <c r="H227" s="36"/>
    </row>
    <row r="228" spans="1:8" x14ac:dyDescent="0.3">
      <c r="A228" s="36"/>
      <c r="B228" s="36"/>
      <c r="C228" s="36"/>
      <c r="D228" s="36"/>
      <c r="E228" s="36"/>
      <c r="F228" s="36"/>
      <c r="G228" s="36"/>
      <c r="H228" s="36"/>
    </row>
    <row r="229" spans="1:8" x14ac:dyDescent="0.3">
      <c r="A229" s="36"/>
      <c r="B229" s="36"/>
      <c r="C229" s="36"/>
      <c r="D229" s="36"/>
      <c r="E229" s="36"/>
      <c r="F229" s="36"/>
      <c r="G229" s="36"/>
      <c r="H229" s="36"/>
    </row>
    <row r="230" spans="1:8" ht="15" customHeight="1" x14ac:dyDescent="0.3"/>
    <row r="269" spans="1:1" x14ac:dyDescent="0.3">
      <c r="A269" s="38" t="s">
        <v>71</v>
      </c>
    </row>
    <row r="311" spans="1:1" x14ac:dyDescent="0.3">
      <c r="A311" s="38" t="s">
        <v>208</v>
      </c>
    </row>
  </sheetData>
  <mergeCells count="424">
    <mergeCell ref="A16:B16"/>
    <mergeCell ref="C16:H16"/>
    <mergeCell ref="E41:H41"/>
    <mergeCell ref="A41:D41"/>
    <mergeCell ref="A221:H221"/>
    <mergeCell ref="A218:H218"/>
    <mergeCell ref="A166:B166"/>
    <mergeCell ref="A129:B129"/>
    <mergeCell ref="D143:D144"/>
    <mergeCell ref="E143:E144"/>
    <mergeCell ref="G143:H144"/>
    <mergeCell ref="A91:B91"/>
    <mergeCell ref="A76:B76"/>
    <mergeCell ref="F110:H110"/>
    <mergeCell ref="G125:H125"/>
    <mergeCell ref="A94:B94"/>
    <mergeCell ref="A48:B48"/>
    <mergeCell ref="C48:E48"/>
    <mergeCell ref="G48:H48"/>
    <mergeCell ref="G50:H50"/>
    <mergeCell ref="D54:H54"/>
    <mergeCell ref="C50:E50"/>
    <mergeCell ref="A57:C59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D57:H57"/>
    <mergeCell ref="B135:B136"/>
    <mergeCell ref="A135:A136"/>
    <mergeCell ref="C143:C144"/>
    <mergeCell ref="C132:D132"/>
    <mergeCell ref="A147:H147"/>
    <mergeCell ref="A145:H145"/>
    <mergeCell ref="A146:H146"/>
    <mergeCell ref="A152:B152"/>
    <mergeCell ref="G131:H131"/>
    <mergeCell ref="E124:F124"/>
    <mergeCell ref="A133:H133"/>
    <mergeCell ref="A124:B124"/>
    <mergeCell ref="F117:H117"/>
    <mergeCell ref="C124:D124"/>
    <mergeCell ref="F120:H120"/>
    <mergeCell ref="F118:H118"/>
    <mergeCell ref="A134:H134"/>
    <mergeCell ref="G124:H124"/>
    <mergeCell ref="A119:E119"/>
    <mergeCell ref="C125:D125"/>
    <mergeCell ref="E125:F125"/>
    <mergeCell ref="C129:D129"/>
    <mergeCell ref="A74:B74"/>
    <mergeCell ref="B210:H210"/>
    <mergeCell ref="B206:H206"/>
    <mergeCell ref="A188:B188"/>
    <mergeCell ref="A189:B189"/>
    <mergeCell ref="B204:H204"/>
    <mergeCell ref="B205:H205"/>
    <mergeCell ref="B207:H207"/>
    <mergeCell ref="B208:H208"/>
    <mergeCell ref="A203:H203"/>
    <mergeCell ref="A190:H190"/>
    <mergeCell ref="A191:B191"/>
    <mergeCell ref="G191:H202"/>
    <mergeCell ref="A196:B196"/>
    <mergeCell ref="A201:B201"/>
    <mergeCell ref="A200:B200"/>
    <mergeCell ref="A224:H226"/>
    <mergeCell ref="A223:B223"/>
    <mergeCell ref="E223:F223"/>
    <mergeCell ref="C223:D223"/>
    <mergeCell ref="G223:H223"/>
    <mergeCell ref="A123:H123"/>
    <mergeCell ref="A121:E121"/>
    <mergeCell ref="F121:H121"/>
    <mergeCell ref="A122:E122"/>
    <mergeCell ref="F122:H122"/>
    <mergeCell ref="A165:H165"/>
    <mergeCell ref="A130:B130"/>
    <mergeCell ref="A178:B178"/>
    <mergeCell ref="A125:B125"/>
    <mergeCell ref="A219:H219"/>
    <mergeCell ref="A128:H128"/>
    <mergeCell ref="A222:H222"/>
    <mergeCell ref="A220:H220"/>
    <mergeCell ref="A174:H174"/>
    <mergeCell ref="A216:H216"/>
    <mergeCell ref="A217:H217"/>
    <mergeCell ref="E129:F129"/>
    <mergeCell ref="B214:H214"/>
    <mergeCell ref="B215:H215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D59:H59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1:B71"/>
    <mergeCell ref="G70:H70"/>
    <mergeCell ref="E70:F70"/>
    <mergeCell ref="A63:C63"/>
    <mergeCell ref="D63:H63"/>
    <mergeCell ref="A66:C66"/>
    <mergeCell ref="D66:H66"/>
    <mergeCell ref="A115:E115"/>
    <mergeCell ref="F115:H115"/>
    <mergeCell ref="A61:C61"/>
    <mergeCell ref="D60:H60"/>
    <mergeCell ref="E71:F80"/>
    <mergeCell ref="G71:H80"/>
    <mergeCell ref="A79:B79"/>
    <mergeCell ref="A80:B80"/>
    <mergeCell ref="D61:H61"/>
    <mergeCell ref="A64:C64"/>
    <mergeCell ref="D64:H64"/>
    <mergeCell ref="A65:C65"/>
    <mergeCell ref="D65:H65"/>
    <mergeCell ref="A95:B95"/>
    <mergeCell ref="G84:H84"/>
    <mergeCell ref="C95:H95"/>
    <mergeCell ref="A97:B97"/>
    <mergeCell ref="C97:H97"/>
    <mergeCell ref="A98:B98"/>
    <mergeCell ref="A99:B99"/>
    <mergeCell ref="G99:G108"/>
    <mergeCell ref="H99:H108"/>
    <mergeCell ref="A100:B100"/>
    <mergeCell ref="A101:B101"/>
    <mergeCell ref="L153:M153"/>
    <mergeCell ref="L154:M154"/>
    <mergeCell ref="L155:M155"/>
    <mergeCell ref="G148:H155"/>
    <mergeCell ref="L141:M141"/>
    <mergeCell ref="L140:M140"/>
    <mergeCell ref="L139:M139"/>
    <mergeCell ref="L138:M138"/>
    <mergeCell ref="A78:B78"/>
    <mergeCell ref="C130:D130"/>
    <mergeCell ref="E130:F130"/>
    <mergeCell ref="G130:H130"/>
    <mergeCell ref="F116:H116"/>
    <mergeCell ref="A110:E110"/>
    <mergeCell ref="A81:B81"/>
    <mergeCell ref="C81:H81"/>
    <mergeCell ref="A137:H137"/>
    <mergeCell ref="E135:E136"/>
    <mergeCell ref="G135:H136"/>
    <mergeCell ref="A85:B85"/>
    <mergeCell ref="E85:F94"/>
    <mergeCell ref="F109:H109"/>
    <mergeCell ref="F114:H114"/>
    <mergeCell ref="F112:H112"/>
    <mergeCell ref="A116:E116"/>
    <mergeCell ref="A118:E118"/>
    <mergeCell ref="A117:E117"/>
    <mergeCell ref="F119:H119"/>
    <mergeCell ref="A151:B151"/>
    <mergeCell ref="A126:B126"/>
    <mergeCell ref="A120:E120"/>
    <mergeCell ref="G132:H132"/>
    <mergeCell ref="C126:D126"/>
    <mergeCell ref="E126:F126"/>
    <mergeCell ref="G126:H126"/>
    <mergeCell ref="A127:B127"/>
    <mergeCell ref="C127:D127"/>
    <mergeCell ref="E127:F127"/>
    <mergeCell ref="G127:H127"/>
    <mergeCell ref="A131:B131"/>
    <mergeCell ref="G140:H140"/>
    <mergeCell ref="G138:H138"/>
    <mergeCell ref="G139:H139"/>
    <mergeCell ref="G141:H141"/>
    <mergeCell ref="C131:D131"/>
    <mergeCell ref="E131:F131"/>
    <mergeCell ref="A150:B150"/>
    <mergeCell ref="B143:B144"/>
    <mergeCell ref="A102:B102"/>
    <mergeCell ref="A103:B103"/>
    <mergeCell ref="A104:B104"/>
    <mergeCell ref="A105:B105"/>
    <mergeCell ref="A106:B106"/>
    <mergeCell ref="A107:B107"/>
    <mergeCell ref="A108:B108"/>
    <mergeCell ref="A88:B88"/>
    <mergeCell ref="A89:B89"/>
    <mergeCell ref="A90:B90"/>
    <mergeCell ref="A92:B92"/>
    <mergeCell ref="B211:H211"/>
    <mergeCell ref="A47:B47"/>
    <mergeCell ref="C47:H47"/>
    <mergeCell ref="B209:H209"/>
    <mergeCell ref="A86:B86"/>
    <mergeCell ref="A87:B87"/>
    <mergeCell ref="F111:H111"/>
    <mergeCell ref="A111:E111"/>
    <mergeCell ref="D135:D136"/>
    <mergeCell ref="A113:E113"/>
    <mergeCell ref="A138:B138"/>
    <mergeCell ref="A139:B139"/>
    <mergeCell ref="A140:B140"/>
    <mergeCell ref="A141:B141"/>
    <mergeCell ref="A114:E114"/>
    <mergeCell ref="F113:H113"/>
    <mergeCell ref="A93:B93"/>
    <mergeCell ref="A112:E112"/>
    <mergeCell ref="A109:E109"/>
    <mergeCell ref="A83:B83"/>
    <mergeCell ref="C83:H83"/>
    <mergeCell ref="A84:B84"/>
    <mergeCell ref="E84:F84"/>
    <mergeCell ref="G85:H94"/>
    <mergeCell ref="L179:M179"/>
    <mergeCell ref="A180:B180"/>
    <mergeCell ref="L180:M180"/>
    <mergeCell ref="A181:B181"/>
    <mergeCell ref="L181:M181"/>
    <mergeCell ref="A179:B179"/>
    <mergeCell ref="A176:H176"/>
    <mergeCell ref="G129:H129"/>
    <mergeCell ref="A132:B132"/>
    <mergeCell ref="E132:F132"/>
    <mergeCell ref="A148:B148"/>
    <mergeCell ref="C135:C136"/>
    <mergeCell ref="A142:H142"/>
    <mergeCell ref="A143:A144"/>
    <mergeCell ref="A170:B170"/>
    <mergeCell ref="A167:B167"/>
    <mergeCell ref="A168:B168"/>
    <mergeCell ref="A169:B169"/>
    <mergeCell ref="L151:M151"/>
    <mergeCell ref="L148:M148"/>
    <mergeCell ref="A149:B149"/>
    <mergeCell ref="L149:M149"/>
    <mergeCell ref="L150:M150"/>
    <mergeCell ref="L152:M152"/>
    <mergeCell ref="A177:H177"/>
    <mergeCell ref="A153:B153"/>
    <mergeCell ref="A154:B154"/>
    <mergeCell ref="A155:B155"/>
    <mergeCell ref="L189:M189"/>
    <mergeCell ref="L182:M182"/>
    <mergeCell ref="A183:B183"/>
    <mergeCell ref="L183:M183"/>
    <mergeCell ref="A184:B184"/>
    <mergeCell ref="L184:M184"/>
    <mergeCell ref="L185:M185"/>
    <mergeCell ref="A186:B186"/>
    <mergeCell ref="L186:M186"/>
    <mergeCell ref="A185:B185"/>
    <mergeCell ref="A182:B182"/>
    <mergeCell ref="A187:B187"/>
    <mergeCell ref="A171:B171"/>
    <mergeCell ref="G166:H173"/>
    <mergeCell ref="G178:H189"/>
    <mergeCell ref="A172:B172"/>
    <mergeCell ref="A173:B173"/>
    <mergeCell ref="L187:M187"/>
    <mergeCell ref="L188:M188"/>
    <mergeCell ref="L178:M178"/>
    <mergeCell ref="A156:H156"/>
    <mergeCell ref="A157:B157"/>
    <mergeCell ref="G157:H164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L200:M200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I10:L10"/>
    <mergeCell ref="B213:H213"/>
    <mergeCell ref="B212:H212"/>
    <mergeCell ref="L201:M201"/>
    <mergeCell ref="A202:B202"/>
    <mergeCell ref="L202:M202"/>
    <mergeCell ref="C202:F202"/>
    <mergeCell ref="L166:M166"/>
    <mergeCell ref="L167:M167"/>
    <mergeCell ref="L168:M168"/>
    <mergeCell ref="L169:M169"/>
    <mergeCell ref="L170:M170"/>
    <mergeCell ref="L171:M171"/>
    <mergeCell ref="L172:M172"/>
    <mergeCell ref="L173:M173"/>
    <mergeCell ref="C173:F173"/>
    <mergeCell ref="A175:H175"/>
    <mergeCell ref="L196:M196"/>
    <mergeCell ref="A197:B197"/>
    <mergeCell ref="L197:M197"/>
    <mergeCell ref="A198:B198"/>
    <mergeCell ref="L198:M198"/>
    <mergeCell ref="A199:B199"/>
    <mergeCell ref="L199:M19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6" max="16383" man="1"/>
    <brk id="132" max="7" man="1"/>
    <brk id="215" max="7" man="1"/>
    <brk id="226" max="16383" man="1"/>
    <brk id="268" max="16383" man="1"/>
    <brk id="31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3320312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8" t="s">
        <v>112</v>
      </c>
      <c r="C3" s="208"/>
      <c r="D3" s="208"/>
      <c r="E3" s="208"/>
      <c r="F3" s="208"/>
      <c r="G3" s="208"/>
      <c r="H3" s="208"/>
    </row>
    <row r="4" spans="1:9" x14ac:dyDescent="0.3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2025-09-12T11:35:35Z</cp:lastPrinted>
  <dcterms:created xsi:type="dcterms:W3CDTF">2019-07-16T09:29:46Z</dcterms:created>
  <dcterms:modified xsi:type="dcterms:W3CDTF">2025-09-12T11:39:26Z</dcterms:modified>
</cp:coreProperties>
</file>