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Report!$A$1:$H$296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5" i="1" l="1"/>
  <c r="L135" i="1"/>
  <c r="E8" i="1" l="1"/>
  <c r="D137" i="1" l="1"/>
  <c r="D136" i="1"/>
  <c r="D135" i="1"/>
  <c r="D134" i="1"/>
  <c r="I146" i="1"/>
  <c r="I145" i="1"/>
  <c r="I144" i="1"/>
  <c r="I143" i="1"/>
  <c r="I142" i="1"/>
  <c r="I141" i="1"/>
  <c r="I140" i="1"/>
  <c r="I139" i="1"/>
  <c r="E144" i="1"/>
  <c r="E146" i="1"/>
  <c r="D146" i="1"/>
  <c r="E145" i="1"/>
  <c r="D145" i="1"/>
  <c r="D144" i="1"/>
  <c r="E143" i="1"/>
  <c r="D143" i="1"/>
  <c r="E142" i="1"/>
  <c r="D142" i="1"/>
  <c r="E141" i="1"/>
  <c r="D141" i="1"/>
  <c r="E140" i="1"/>
  <c r="D140" i="1"/>
  <c r="E139" i="1"/>
  <c r="D139" i="1"/>
  <c r="I134" i="1"/>
  <c r="C109" i="1" l="1"/>
  <c r="F145" i="1"/>
  <c r="H145" i="1" s="1"/>
  <c r="J145" i="1" s="1"/>
  <c r="F144" i="1"/>
  <c r="H144" i="1" s="1"/>
  <c r="J144" i="1" s="1"/>
  <c r="J135" i="1"/>
  <c r="I135" i="1"/>
  <c r="J134" i="1"/>
  <c r="K134" i="1" s="1"/>
  <c r="I129" i="1"/>
  <c r="I127" i="1"/>
  <c r="I123" i="1"/>
  <c r="D123" i="1"/>
  <c r="F123" i="1" s="1"/>
  <c r="H123" i="1" s="1"/>
  <c r="I119" i="1"/>
  <c r="D129" i="1"/>
  <c r="F129" i="1" s="1"/>
  <c r="H129" i="1" s="1"/>
  <c r="D128" i="1"/>
  <c r="F128" i="1" s="1"/>
  <c r="H128" i="1" s="1"/>
  <c r="D127" i="1"/>
  <c r="D126" i="1"/>
  <c r="F126" i="1" s="1"/>
  <c r="H126" i="1" s="1"/>
  <c r="D125" i="1"/>
  <c r="F125" i="1" s="1"/>
  <c r="H125" i="1" s="1"/>
  <c r="D124" i="1"/>
  <c r="F124" i="1" s="1"/>
  <c r="H124" i="1" s="1"/>
  <c r="D122" i="1"/>
  <c r="D121" i="1"/>
  <c r="D120" i="1"/>
  <c r="D119" i="1"/>
  <c r="F127" i="1"/>
  <c r="H127" i="1" s="1"/>
  <c r="E43" i="1"/>
  <c r="K135" i="1" l="1"/>
  <c r="C104" i="1"/>
  <c r="C112" i="1" s="1"/>
  <c r="F146" i="1"/>
  <c r="H146" i="1" s="1"/>
  <c r="J146" i="1" s="1"/>
  <c r="I45" i="1"/>
  <c r="B149" i="1" l="1"/>
  <c r="F120" i="1" l="1"/>
  <c r="H120" i="1" s="1"/>
  <c r="F121" i="1"/>
  <c r="H121" i="1" s="1"/>
  <c r="F122" i="1"/>
  <c r="H122" i="1" s="1"/>
  <c r="F119" i="1"/>
  <c r="H119" i="1" l="1"/>
  <c r="G104" i="1" s="1"/>
  <c r="E104" i="1"/>
  <c r="G58" i="1"/>
  <c r="C58" i="1"/>
  <c r="G56" i="1"/>
  <c r="C56" i="1"/>
  <c r="C54" i="1"/>
  <c r="S33" i="1" l="1"/>
  <c r="F11" i="5" l="1"/>
  <c r="G11" i="5" s="1"/>
  <c r="F10" i="5"/>
  <c r="G10" i="5" s="1"/>
  <c r="F9" i="5"/>
  <c r="G9" i="5" s="1"/>
  <c r="F8" i="5"/>
  <c r="G8" i="5" s="1"/>
  <c r="F7" i="5"/>
  <c r="G7" i="5" s="1"/>
  <c r="F6" i="5"/>
  <c r="G6" i="5" s="1"/>
  <c r="F5" i="5"/>
  <c r="G5" i="5" s="1"/>
  <c r="G12" i="5" s="1"/>
  <c r="D171" i="1"/>
  <c r="B150" i="1"/>
  <c r="F143" i="1"/>
  <c r="H143" i="1" s="1"/>
  <c r="J143" i="1" s="1"/>
  <c r="F142" i="1"/>
  <c r="H142" i="1" s="1"/>
  <c r="J142" i="1" s="1"/>
  <c r="F141" i="1"/>
  <c r="H141" i="1" s="1"/>
  <c r="J141" i="1" s="1"/>
  <c r="F140" i="1"/>
  <c r="H140" i="1" s="1"/>
  <c r="J140" i="1" s="1"/>
  <c r="F139" i="1"/>
  <c r="H139" i="1" s="1"/>
  <c r="J139" i="1" s="1"/>
  <c r="A140" i="1"/>
  <c r="A141" i="1" s="1"/>
  <c r="A142" i="1" s="1"/>
  <c r="A143" i="1" s="1"/>
  <c r="A144" i="1" s="1"/>
  <c r="A145" i="1" s="1"/>
  <c r="A146" i="1" s="1"/>
  <c r="F137" i="1"/>
  <c r="H137" i="1" s="1"/>
  <c r="F136" i="1"/>
  <c r="H136" i="1" s="1"/>
  <c r="F135" i="1"/>
  <c r="H135" i="1" s="1"/>
  <c r="A135" i="1"/>
  <c r="A136" i="1" s="1"/>
  <c r="A137" i="1" s="1"/>
  <c r="F134" i="1"/>
  <c r="A120" i="1"/>
  <c r="A121" i="1" s="1"/>
  <c r="A122" i="1" s="1"/>
  <c r="A123" i="1" s="1"/>
  <c r="A124" i="1" s="1"/>
  <c r="A125" i="1" s="1"/>
  <c r="A126" i="1" s="1"/>
  <c r="A127" i="1" s="1"/>
  <c r="A128" i="1" s="1"/>
  <c r="A129" i="1" s="1"/>
  <c r="F101" i="1"/>
  <c r="B76" i="1"/>
  <c r="D69" i="1"/>
  <c r="D62" i="1"/>
  <c r="G51" i="1"/>
  <c r="G52" i="1" s="1"/>
  <c r="C51" i="1"/>
  <c r="E44" i="1"/>
  <c r="E45" i="1" s="1"/>
  <c r="E31" i="1"/>
  <c r="E28" i="1"/>
  <c r="E26" i="1"/>
  <c r="C16" i="1"/>
  <c r="I15" i="1"/>
  <c r="Z13" i="1"/>
  <c r="E3" i="1"/>
  <c r="H76" i="1"/>
  <c r="H134" i="1" l="1"/>
  <c r="G109" i="1" s="1"/>
  <c r="G112" i="1" s="1"/>
  <c r="E109" i="1"/>
  <c r="E112" i="1" s="1"/>
  <c r="J75" i="1"/>
  <c r="J77" i="1" s="1"/>
  <c r="J78" i="1"/>
  <c r="J79" i="1"/>
  <c r="J80" i="1"/>
  <c r="C79" i="1" s="1"/>
  <c r="D83" i="1"/>
  <c r="D85" i="1"/>
  <c r="D84" i="1"/>
  <c r="D88" i="1"/>
  <c r="D82" i="1"/>
  <c r="D87" i="1"/>
  <c r="D81" i="1"/>
  <c r="D86" i="1"/>
  <c r="J81" i="1"/>
  <c r="D79" i="1" l="1"/>
  <c r="J85" i="1"/>
  <c r="J83" i="1"/>
  <c r="J84" i="1"/>
  <c r="J82" i="1"/>
  <c r="J87" i="1" s="1"/>
  <c r="J88" i="1" s="1"/>
  <c r="C80" i="1" s="1"/>
  <c r="J86" i="1"/>
  <c r="J76" i="1" l="1"/>
  <c r="E79" i="1"/>
  <c r="D80" i="1"/>
  <c r="I76" i="1" s="1"/>
  <c r="G79" i="1"/>
  <c r="D73" i="1" l="1"/>
  <c r="F74" i="1" s="1"/>
  <c r="I77" i="1"/>
  <c r="I75" i="1" s="1"/>
  <c r="C77" i="1" s="1"/>
  <c r="D74"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<sst xmlns="http://schemas.openxmlformats.org/spreadsheetml/2006/main" count="546" uniqueCount="348">
  <si>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</si>
  <si>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</si>
  <si>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</si>
  <si>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</si>
  <si>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</si>
  <si>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</si>
  <si>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</si>
  <si>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</si>
  <si>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</si>
  <si>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</si>
  <si>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</si>
  <si>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</si>
  <si>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</si>
  <si>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</si>
  <si>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</si>
  <si>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</si>
  <si>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</si>
  <si>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</si>
  <si>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</si>
  <si>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</si>
  <si>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</si>
  <si>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</si>
  <si>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</si>
  <si>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</si>
  <si>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</si>
  <si>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</si>
  <si>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</si>
  <si>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</si>
  <si>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</si>
  <si>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</si>
  <si>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</si>
  <si>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</si>
  <si>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</si>
  <si>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</si>
  <si>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</si>
  <si>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</si>
  <si>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</si>
  <si>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</si>
  <si>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</si>
  <si>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</si>
  <si>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</si>
  <si>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</si>
  <si>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</si>
  <si>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</si>
  <si>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</si>
  <si>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</si>
  <si>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</si>
  <si>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</si>
  <si>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</si>
  <si>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</si>
  <si>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</si>
  <si>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</si>
  <si>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</si>
  <si>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</si>
  <si>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</si>
  <si>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</si>
  <si>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</si>
  <si>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</si>
  <si>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</si>
  <si>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</si>
  <si>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</si>
  <si>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</si>
  <si>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</si>
  <si>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</si>
  <si>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</si>
  <si>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</si>
  <si>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</si>
  <si>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</si>
  <si>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</si>
  <si>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</si>
  <si>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</si>
  <si>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</si>
  <si>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</si>
  <si>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</si>
  <si>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</si>
  <si>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</si>
  <si>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</si>
  <si>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</si>
  <si>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</si>
  <si>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</si>
  <si>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</si>
  <si>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</si>
  <si>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</si>
  <si>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</si>
  <si>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</si>
  <si>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</si>
  <si>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</si>
  <si>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</si>
  <si>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</si>
  <si>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</si>
  <si>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</si>
  <si>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</si>
  <si>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</si>
  <si>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</si>
  <si>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</si>
  <si>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</si>
  <si>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</si>
  <si>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</si>
  <si>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</si>
  <si>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</si>
  <si>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</si>
  <si>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</si>
  <si>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</si>
  <si>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</si>
  <si>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</si>
  <si>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</si>
  <si>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</si>
  <si>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</si>
  <si>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</si>
  <si>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</si>
  <si>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</si>
  <si>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</si>
  <si>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</si>
  <si>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</si>
  <si>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</si>
  <si>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</si>
  <si>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</si>
  <si>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</si>
  <si>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</si>
  <si>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</si>
  <si>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</si>
  <si>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</si>
  <si>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</si>
  <si>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</si>
  <si>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</si>
  <si>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</si>
  <si>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</si>
  <si>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</si>
  <si>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</si>
  <si>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</si>
  <si>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</si>
  <si>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</si>
  <si>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</si>
  <si>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</si>
  <si>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</si>
  <si>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</si>
  <si>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</si>
  <si>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</si>
  <si>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</si>
  <si>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</si>
  <si>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</si>
  <si>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</si>
  <si>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</si>
  <si>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</si>
  <si>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</si>
  <si>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</si>
  <si>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</si>
  <si>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</si>
  <si>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</si>
  <si>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</si>
  <si>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</si>
  <si>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</si>
  <si>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</si>
  <si>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</si>
  <si>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</si>
  <si>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</si>
  <si>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</si>
  <si>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</si>
  <si>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</si>
  <si>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</si>
  <si>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</si>
  <si>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</si>
  <si>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</si>
  <si>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</si>
  <si>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</si>
  <si>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</si>
  <si>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</si>
  <si>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</si>
  <si>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</si>
  <si>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</si>
  <si>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</si>
  <si>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</si>
  <si>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</si>
  <si>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</si>
  <si>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</si>
  <si>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</si>
  <si>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</si>
  <si>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</si>
  <si>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</si>
  <si>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</si>
  <si>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</si>
  <si>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</si>
  <si>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</si>
  <si>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</si>
  <si>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</si>
  <si>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</si>
  <si>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</si>
  <si>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</si>
  <si>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</si>
  <si>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</si>
  <si>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</si>
  <si>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</si>
  <si>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</si>
  <si>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</si>
  <si>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</si>
  <si>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</si>
  <si>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</si>
  <si>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</si>
  <si>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</si>
  <si>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</si>
  <si>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</si>
  <si>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</si>
  <si>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</si>
  <si>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</si>
  <si>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</si>
  <si>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</si>
  <si>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</si>
  <si>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</si>
  <si>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</si>
  <si>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</si>
  <si>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</si>
  <si>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</si>
  <si>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</si>
  <si>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</si>
  <si>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</si>
  <si>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</si>
  <si>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</si>
  <si>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</si>
  <si>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</si>
  <si>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</si>
  <si>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</si>
  <si>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</si>
  <si>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</si>
  <si>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</si>
  <si>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</si>
  <si>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</si>
  <si>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</si>
  <si>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</si>
  <si>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</si>
  <si>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</si>
  <si>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</si>
  <si>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</si>
  <si>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</si>
  <si>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</si>
  <si>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</si>
  <si>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</si>
  <si>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</si>
  <si>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</si>
  <si>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</si>
  <si>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</si>
  <si>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</si>
  <si>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</si>
  <si>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</si>
  <si>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</si>
  <si>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</si>
  <si>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</si>
  <si>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</si>
  <si>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</si>
  <si>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</si>
  <si>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</si>
  <si>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</si>
  <si>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</si>
  <si>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</si>
  <si>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</si>
  <si>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</si>
  <si>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</si>
  <si>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</si>
  <si>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</si>
  <si>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</si>
  <si>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</si>
  <si>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</si>
  <si>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</si>
  <si>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</si>
  <si>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</si>
  <si>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</si>
  <si>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</si>
  <si>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</si>
  <si>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</si>
  <si>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</si>
  <si>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</si>
  <si>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</si>
  <si>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</si>
  <si>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</si>
  <si>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</si>
  <si>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</si>
  <si>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</si>
  <si>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</si>
  <si>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</si>
  <si>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</si>
  <si>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</si>
  <si>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</si>
  <si>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</si>
  <si>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</si>
  <si>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</si>
  <si>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</si>
  <si>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</si>
  <si>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</si>
  <si>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</si>
  <si>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</si>
  <si>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</si>
  <si>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</si>
  <si>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</si>
  <si>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</si>
  <si>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</si>
  <si>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</si>
  <si>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</si>
  <si>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</si>
  <si>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</si>
  <si>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</si>
  <si>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</si>
  <si>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</si>
  <si>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</si>
  <si>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Faisal Constructions </t>
  </si>
  <si>
    <t xml:space="preserve">Mr. Shashi Nair 7303046505
</t>
  </si>
  <si>
    <t>P51700048885</t>
  </si>
  <si>
    <t>165/2 CTS No. 47(P)</t>
  </si>
  <si>
    <t>Kohoj Khuntavali</t>
  </si>
  <si>
    <t>A.N.P./NRV/BP/23-24/1492/9449/28</t>
  </si>
  <si>
    <t>ANP/NRV/B.P./2023-24/1492/9449/28</t>
  </si>
  <si>
    <t>Basement + Ground + 1st to 7th Floor</t>
  </si>
  <si>
    <t>As per RERA - 30/06/2025</t>
  </si>
  <si>
    <r>
      <t xml:space="preserve">Proposed Amenities :                                                                                                                                                                                                                         </t>
    </r>
    <r>
      <rPr>
        <b/>
        <sz val="12"/>
        <rFont val="Times New Roman"/>
        <family val="1"/>
      </rPr>
      <t xml:space="preserve">                                               </t>
    </r>
  </si>
  <si>
    <t>Shop</t>
  </si>
  <si>
    <t>Ground Floor For Commercial, Residential, Entrance Lobby, Society Office &amp; Drivers Room</t>
  </si>
  <si>
    <t>Ground Floor For Residential, Commercial, Entrance Lobby, Society Office &amp; Drivers Room</t>
  </si>
  <si>
    <t>RERA Carpet area</t>
  </si>
  <si>
    <t>Shops</t>
  </si>
  <si>
    <t>2BHK</t>
  </si>
  <si>
    <t>1BHK</t>
  </si>
  <si>
    <t>1st to 7th Floor For Residential</t>
  </si>
  <si>
    <t>3BHK</t>
  </si>
  <si>
    <t>Carpet area + Encl Balcony</t>
  </si>
  <si>
    <t>Open Balcony + AP Area</t>
  </si>
  <si>
    <t>We considered Gross carpet area = Net carpet + Enclose balcony + Open Balcony + AP Area.</t>
  </si>
  <si>
    <t>Flats</t>
  </si>
  <si>
    <t>Flats - 60, Shops - 11</t>
  </si>
  <si>
    <t>Approved Plans, CC &amp; Sale Plan.</t>
  </si>
  <si>
    <t>Basement For Parking</t>
  </si>
  <si>
    <t>Mr. Imran 9665631064</t>
  </si>
  <si>
    <t>19.218641,73.195563</t>
  </si>
  <si>
    <t>1B + Gr + 1st to 7th Floor</t>
  </si>
  <si>
    <t>Gautam Nagar</t>
  </si>
  <si>
    <t>Internal Road</t>
  </si>
  <si>
    <t>Ambernath West</t>
  </si>
  <si>
    <t>Shivcharan Apartment</t>
  </si>
  <si>
    <t>18.00 M. Wide Road</t>
  </si>
  <si>
    <t>Other Plot</t>
  </si>
  <si>
    <t>PanvelKar Cmpus</t>
  </si>
  <si>
    <t>https://maps.app.goo.gl/GuFpG6rqEvVzcbPU6</t>
  </si>
  <si>
    <t>Open Plot</t>
  </si>
  <si>
    <t>2.40KM from Ambernath Railway Station</t>
  </si>
  <si>
    <t>Vitrified tiles flooring, Granite Kitchen Platform, Decorative Entrance, etc.</t>
  </si>
  <si>
    <t>Balaji Heights</t>
  </si>
  <si>
    <t>Survey No</t>
  </si>
  <si>
    <t>Sudhir Bhosale</t>
  </si>
  <si>
    <t>Pranita Mhatre</t>
  </si>
  <si>
    <t xml:space="preserve">As per RERA, completion period of project Balaji Heights is expired on 30/06/2025 but still project is under construction
</t>
  </si>
  <si>
    <t>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</si>
</sst>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1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9"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8" xfId="1" applyFont="1" applyBorder="1"/>
    <xf numFmtId="0" fontId="18"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5" xfId="0" applyFont="1" applyFill="1" applyBorder="1"/>
    <xf numFmtId="0" fontId="26" fillId="0" borderId="26"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3" xfId="0" applyFill="1" applyBorder="1"/>
    <xf numFmtId="0" fontId="0" fillId="0" borderId="6"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64" fontId="7" fillId="0" borderId="0" xfId="1" applyNumberFormat="1"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9" fontId="12" fillId="0" borderId="1" xfId="8" applyFont="1" applyFill="1" applyBorder="1" applyAlignment="1" applyProtection="1">
      <alignment horizontal="center" vertical="top" wrapText="1"/>
      <protection locked="0"/>
    </xf>
    <xf numFmtId="2" fontId="7" fillId="0" borderId="0" xfId="1" applyNumberFormat="1" applyFont="1" applyAlignment="1">
      <alignment horizontal="center" vertical="center"/>
    </xf>
    <xf numFmtId="1" fontId="13" fillId="0" borderId="3" xfId="1" applyNumberFormat="1" applyFont="1" applyBorder="1" applyAlignment="1" applyProtection="1">
      <alignment horizontal="center" vertical="top" wrapText="1"/>
      <protection locked="0"/>
    </xf>
    <xf numFmtId="9" fontId="13" fillId="0" borderId="14" xfId="8" applyFont="1" applyFill="1" applyBorder="1" applyAlignment="1" applyProtection="1">
      <alignment horizontal="center" vertical="top" wrapText="1"/>
      <protection locked="0"/>
    </xf>
    <xf numFmtId="0" fontId="7" fillId="0" borderId="0" xfId="1" applyFont="1" applyAlignment="1">
      <alignment vertical="center"/>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0" fontId="26" fillId="0" borderId="7" xfId="0" applyFont="1" applyBorder="1"/>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7" fillId="0" borderId="0" xfId="1" applyFont="1" applyAlignment="1">
      <alignment horizontal="center" vertical="center"/>
    </xf>
    <xf numFmtId="1" fontId="6" fillId="0" borderId="6"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4" fontId="6" fillId="0" borderId="6"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7" fillId="0" borderId="23"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6"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6"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13" fillId="0" borderId="6"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7"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10" fillId="0" borderId="28" xfId="0" applyNumberFormat="1"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4"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8" fillId="0" borderId="14" xfId="1" applyFont="1" applyBorder="1" applyAlignment="1" applyProtection="1">
      <alignment horizontal="left" vertical="top"/>
      <protection locked="0"/>
    </xf>
    <xf numFmtId="0" fontId="7" fillId="0" borderId="1" xfId="0"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0" fontId="8" fillId="0" borderId="14" xfId="1" applyFont="1" applyBorder="1" applyAlignment="1" applyProtection="1">
      <alignment horizontal="center" vertical="top"/>
      <protection locked="0"/>
    </xf>
    <xf numFmtId="1" fontId="6" fillId="0" borderId="19" xfId="1" applyNumberFormat="1" applyFont="1" applyBorder="1" applyAlignment="1" applyProtection="1">
      <alignment horizontal="center" vertical="center" wrapText="1"/>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17" fillId="0" borderId="6" xfId="0" applyNumberFormat="1" applyFont="1" applyBorder="1" applyAlignment="1" applyProtection="1">
      <alignment vertical="top" wrapText="1"/>
      <protection locked="0"/>
    </xf>
    <xf numFmtId="1" fontId="17" fillId="0" borderId="19" xfId="0" applyNumberFormat="1" applyFont="1" applyBorder="1" applyAlignment="1" applyProtection="1">
      <alignment vertical="top" wrapText="1"/>
      <protection locked="0"/>
    </xf>
    <xf numFmtId="1" fontId="17" fillId="0" borderId="7" xfId="0" applyNumberFormat="1" applyFont="1" applyBorder="1" applyAlignment="1" applyProtection="1">
      <alignment vertical="top" wrapText="1"/>
      <protection locked="0"/>
    </xf>
    <xf numFmtId="1" fontId="8" fillId="0" borderId="27" xfId="0"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center" wrapText="1"/>
      <protection locked="0"/>
    </xf>
    <xf numFmtId="0" fontId="12" fillId="0" borderId="1" xfId="1" applyFont="1" applyFill="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Fill="1" applyBorder="1" applyAlignment="1" applyProtection="1">
      <alignment horizontal="left" vertical="top"/>
      <protection locked="0"/>
    </xf>
    <xf numFmtId="0" fontId="12" fillId="0" borderId="6"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12" fillId="0" borderId="7"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6" xfId="1" applyFont="1" applyBorder="1" applyAlignment="1" applyProtection="1">
      <alignment horizontal="center" vertical="top"/>
      <protection locked="0"/>
    </xf>
    <xf numFmtId="0" fontId="13" fillId="0" borderId="19"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0" fontId="8" fillId="0" borderId="20" xfId="1" applyFont="1" applyFill="1" applyBorder="1" applyAlignment="1" applyProtection="1">
      <alignment horizontal="left" vertical="top" wrapText="1"/>
      <protection locked="0"/>
    </xf>
    <xf numFmtId="0" fontId="8" fillId="0" borderId="13" xfId="1" applyFont="1" applyFill="1" applyBorder="1" applyAlignment="1" applyProtection="1">
      <alignment horizontal="left" vertical="top" wrapText="1"/>
      <protection locked="0"/>
    </xf>
    <xf numFmtId="0" fontId="8" fillId="0" borderId="11" xfId="1" applyFont="1" applyFill="1" applyBorder="1" applyAlignment="1" applyProtection="1">
      <alignment horizontal="left" vertical="top" wrapText="1"/>
      <protection locked="0"/>
    </xf>
    <xf numFmtId="0" fontId="8" fillId="0" borderId="12" xfId="1" applyFont="1" applyFill="1" applyBorder="1" applyAlignment="1" applyProtection="1">
      <alignment horizontal="left" vertical="top" wrapText="1"/>
      <protection locked="0"/>
    </xf>
    <xf numFmtId="0" fontId="8" fillId="0" borderId="21" xfId="1" applyFont="1"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6" fillId="0" borderId="6" xfId="1" applyFont="1" applyBorder="1" applyAlignment="1" applyProtection="1">
      <alignment vertical="top" wrapText="1"/>
      <protection locked="0"/>
    </xf>
    <xf numFmtId="0" fontId="6" fillId="0" borderId="19" xfId="1" applyFont="1" applyBorder="1" applyAlignment="1" applyProtection="1">
      <alignment vertical="top" wrapText="1"/>
      <protection locked="0"/>
    </xf>
    <xf numFmtId="0" fontId="6" fillId="0" borderId="7" xfId="1" applyFont="1" applyBorder="1" applyAlignment="1" applyProtection="1">
      <alignment vertical="top" wrapText="1"/>
      <protection locked="0"/>
    </xf>
    <xf numFmtId="0" fontId="13" fillId="0" borderId="6"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0" fontId="12" fillId="0" borderId="23"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12" fillId="0" borderId="23"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1" fontId="12" fillId="0" borderId="1" xfId="1" applyNumberFormat="1" applyFont="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289891</xdr:colOff>
      <xdr:row>215</xdr:row>
      <xdr:rowOff>33130</xdr:rowOff>
    </xdr:from>
    <xdr:to>
      <xdr:col>7</xdr:col>
      <xdr:colOff>467413</xdr:colOff>
      <xdr:row>245</xdr:row>
      <xdr:rowOff>177477</xdr:rowOff>
    </xdr:to>
    <xdr:pic>
      <xdr:nvPicPr>
        <xdr:cNvPr id="2" name="Picture 1"/>
        <xdr:cNvPicPr>
          <a:picLocks noChangeAspect="1"/>
        </xdr:cNvPicPr>
      </xdr:nvPicPr>
      <xdr:blipFill>
        <a:blip xmlns:r="http://schemas.openxmlformats.org/officeDocument/2006/relationships" r:embed="rId1"/>
        <a:stretch>
          <a:fillRect/>
        </a:stretch>
      </xdr:blipFill>
      <xdr:spPr>
        <a:xfrm>
          <a:off x="289891" y="44369934"/>
          <a:ext cx="5760000" cy="6107826"/>
        </a:xfrm>
        <a:prstGeom prst="rect">
          <a:avLst/>
        </a:prstGeom>
        <a:ln>
          <a:solidFill>
            <a:schemeClr val="tx1"/>
          </a:solidFill>
        </a:ln>
      </xdr:spPr>
    </xdr:pic>
    <xdr:clientData/>
  </xdr:twoCellAnchor>
  <xdr:twoCellAnchor>
    <xdr:from>
      <xdr:col>0</xdr:col>
      <xdr:colOff>285750</xdr:colOff>
      <xdr:row>255</xdr:row>
      <xdr:rowOff>19050</xdr:rowOff>
    </xdr:from>
    <xdr:to>
      <xdr:col>7</xdr:col>
      <xdr:colOff>464100</xdr:colOff>
      <xdr:row>293</xdr:row>
      <xdr:rowOff>76607</xdr:rowOff>
    </xdr:to>
    <xdr:grpSp>
      <xdr:nvGrpSpPr>
        <xdr:cNvPr id="19" name="Group 18"/>
        <xdr:cNvGrpSpPr/>
      </xdr:nvGrpSpPr>
      <xdr:grpSpPr>
        <a:xfrm>
          <a:off x="285750" y="50837726"/>
          <a:ext cx="5758879" cy="7722381"/>
          <a:chOff x="570565" y="207034"/>
          <a:chExt cx="5760000" cy="7658507"/>
        </a:xfrm>
      </xdr:grpSpPr>
      <xdr:pic>
        <xdr:nvPicPr>
          <xdr:cNvPr id="20" name="Picture 19"/>
          <xdr:cNvPicPr>
            <a:picLocks noChangeAspect="1"/>
          </xdr:cNvPicPr>
        </xdr:nvPicPr>
        <xdr:blipFill rotWithShape="1">
          <a:blip xmlns:r="http://schemas.openxmlformats.org/officeDocument/2006/relationships" r:embed="rId2"/>
          <a:srcRect l="23270" t="27398" r="31911" b="19772"/>
          <a:stretch/>
        </xdr:blipFill>
        <xdr:spPr>
          <a:xfrm>
            <a:off x="930565" y="207034"/>
            <a:ext cx="5040000" cy="3340118"/>
          </a:xfrm>
          <a:prstGeom prst="rect">
            <a:avLst/>
          </a:prstGeom>
          <a:ln>
            <a:solidFill>
              <a:schemeClr val="tx1"/>
            </a:solidFill>
          </a:ln>
        </xdr:spPr>
      </xdr:pic>
      <xdr:grpSp>
        <xdr:nvGrpSpPr>
          <xdr:cNvPr id="21" name="Group 20"/>
          <xdr:cNvGrpSpPr/>
        </xdr:nvGrpSpPr>
        <xdr:grpSpPr>
          <a:xfrm>
            <a:off x="570565" y="3743865"/>
            <a:ext cx="5760000" cy="4121676"/>
            <a:chOff x="570565" y="3743865"/>
            <a:chExt cx="5760000" cy="4121676"/>
          </a:xfrm>
        </xdr:grpSpPr>
        <xdr:pic>
          <xdr:nvPicPr>
            <xdr:cNvPr id="22" name="Picture 21"/>
            <xdr:cNvPicPr>
              <a:picLocks noChangeAspect="1"/>
            </xdr:cNvPicPr>
          </xdr:nvPicPr>
          <xdr:blipFill rotWithShape="1">
            <a:blip xmlns:r="http://schemas.openxmlformats.org/officeDocument/2006/relationships" r:embed="rId3"/>
            <a:srcRect l="30805" t="23584" r="24906" b="20048"/>
            <a:stretch/>
          </xdr:blipFill>
          <xdr:spPr>
            <a:xfrm>
              <a:off x="570565" y="3743865"/>
              <a:ext cx="5760000" cy="4121676"/>
            </a:xfrm>
            <a:prstGeom prst="rect">
              <a:avLst/>
            </a:prstGeom>
            <a:ln>
              <a:solidFill>
                <a:schemeClr val="tx1"/>
              </a:solidFill>
            </a:ln>
          </xdr:spPr>
        </xdr:pic>
        <xdr:sp macro="" textlink="">
          <xdr:nvSpPr>
            <xdr:cNvPr id="23" name="Rectangle 22"/>
            <xdr:cNvSpPr/>
          </xdr:nvSpPr>
          <xdr:spPr>
            <a:xfrm rot="638788">
              <a:off x="2486469" y="5016500"/>
              <a:ext cx="863600" cy="1168400"/>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8</xdr:col>
      <xdr:colOff>409575</xdr:colOff>
      <xdr:row>169</xdr:row>
      <xdr:rowOff>177800</xdr:rowOff>
    </xdr:from>
    <xdr:to>
      <xdr:col>15</xdr:col>
      <xdr:colOff>578818</xdr:colOff>
      <xdr:row>204</xdr:row>
      <xdr:rowOff>57745</xdr:rowOff>
    </xdr:to>
    <xdr:grpSp>
      <xdr:nvGrpSpPr>
        <xdr:cNvPr id="3" name="Group 2"/>
        <xdr:cNvGrpSpPr/>
      </xdr:nvGrpSpPr>
      <xdr:grpSpPr>
        <a:xfrm>
          <a:off x="6718487" y="33660976"/>
          <a:ext cx="6164390" cy="6928445"/>
          <a:chOff x="95250" y="32905700"/>
          <a:chExt cx="6433518" cy="6766520"/>
        </a:xfrm>
      </xdr:grpSpPr>
      <xdr:pic>
        <xdr:nvPicPr>
          <xdr:cNvPr id="24" name="Picture 2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106858" y="37872220"/>
            <a:ext cx="2387822" cy="180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5012550" y="35730960"/>
            <a:ext cx="1516218" cy="2016000"/>
          </a:xfrm>
          <a:prstGeom prst="rect">
            <a:avLst/>
          </a:prstGeom>
          <a:ln>
            <a:solidFill>
              <a:schemeClr val="tx1"/>
            </a:solidFill>
          </a:ln>
        </xdr:spPr>
      </xdr:pic>
      <xdr:pic>
        <xdr:nvPicPr>
          <xdr:cNvPr id="26" name="Picture 25" descr="https://vsjcllp.vsjadon.com/upload/insp-237768-849.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95250" y="37872220"/>
            <a:ext cx="1353766"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37768-85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708950" y="35730960"/>
            <a:ext cx="1516218" cy="201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37768-862.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360750" y="35730960"/>
            <a:ext cx="1516218" cy="201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7768-877.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560554" y="37872220"/>
            <a:ext cx="2396666"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37768-940.jpg"/>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363139" y="32905700"/>
            <a:ext cx="3581734" cy="27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37768-880.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95250" y="35730960"/>
            <a:ext cx="1516218" cy="201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7768-91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071297" y="32905700"/>
            <a:ext cx="2030649" cy="27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209551</xdr:colOff>
      <xdr:row>171</xdr:row>
      <xdr:rowOff>114300</xdr:rowOff>
    </xdr:from>
    <xdr:to>
      <xdr:col>7</xdr:col>
      <xdr:colOff>476251</xdr:colOff>
      <xdr:row>206</xdr:row>
      <xdr:rowOff>47625</xdr:rowOff>
    </xdr:to>
    <xdr:grpSp>
      <xdr:nvGrpSpPr>
        <xdr:cNvPr id="18" name="Group 17"/>
        <xdr:cNvGrpSpPr/>
      </xdr:nvGrpSpPr>
      <xdr:grpSpPr>
        <a:xfrm>
          <a:off x="209551" y="34000888"/>
          <a:ext cx="5847229" cy="6981825"/>
          <a:chOff x="-750921" y="1456212"/>
          <a:chExt cx="8300573" cy="7947288"/>
        </a:xfrm>
      </xdr:grpSpPr>
      <xdr:pic>
        <xdr:nvPicPr>
          <xdr:cNvPr id="33" name="Picture 32" descr="https://vsjcllp.vsjadon.com/upload/insp-246815-15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458935" y="7195847"/>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6815-84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30588" y="5176777"/>
            <a:ext cx="1432694" cy="19049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6815-844.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50921" y="1456212"/>
            <a:ext cx="2676536" cy="35587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6815-847.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94492" y="5176777"/>
            <a:ext cx="1432694" cy="19049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6815-85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40422" y="5176777"/>
            <a:ext cx="1432694" cy="19049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6815-86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014321" y="5176777"/>
            <a:ext cx="1432694" cy="19049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6815-860.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76926" y="7243500"/>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6815-871.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067062" y="1456212"/>
            <a:ext cx="2676536" cy="35587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6815-931.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723292" y="722545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6815-880.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873116" y="1456212"/>
            <a:ext cx="2676536" cy="355878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uFpG6rqEvVzcbPU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54"/>
  <sheetViews>
    <sheetView tabSelected="1" view="pageBreakPreview" topLeftCell="A136" zoomScale="85" zoomScaleNormal="100" zoomScaleSheetLayoutView="85" zoomScalePageLayoutView="85" workbookViewId="0">
      <selection activeCell="D143" sqref="D143"/>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64" t="s">
        <v>163</v>
      </c>
      <c r="B1" s="164"/>
      <c r="C1" s="164"/>
      <c r="D1" s="164"/>
      <c r="E1" s="164"/>
      <c r="F1" s="164"/>
      <c r="G1" s="164"/>
      <c r="H1" s="164"/>
    </row>
    <row r="2" spans="1:26" ht="16.5" customHeight="1" x14ac:dyDescent="0.25">
      <c r="A2" s="165" t="s">
        <v>0</v>
      </c>
      <c r="B2" s="165"/>
      <c r="C2" s="165"/>
      <c r="D2" s="165"/>
      <c r="E2" s="165"/>
      <c r="F2" s="165"/>
      <c r="G2" s="165"/>
      <c r="H2" s="165"/>
    </row>
    <row r="3" spans="1:26" x14ac:dyDescent="0.25">
      <c r="A3" s="105" t="s">
        <v>1</v>
      </c>
      <c r="B3" s="105"/>
      <c r="C3" s="105"/>
      <c r="D3" s="105"/>
      <c r="E3" s="105" t="str">
        <f ca="1">TEXT(TODAY(),"DD/MM/YYYY")</f>
        <v>11/09/2025</v>
      </c>
      <c r="F3" s="105"/>
      <c r="G3" s="105"/>
      <c r="H3" s="105"/>
      <c r="K3" s="53" t="s">
        <v>235</v>
      </c>
      <c r="L3" s="50" t="s">
        <v>233</v>
      </c>
      <c r="M3" s="50" t="s">
        <v>238</v>
      </c>
      <c r="N3" s="50" t="s">
        <v>236</v>
      </c>
      <c r="O3" s="50" t="s">
        <v>237</v>
      </c>
      <c r="P3" s="50" t="s">
        <v>239</v>
      </c>
    </row>
    <row r="4" spans="1:26" ht="15" customHeight="1" x14ac:dyDescent="0.25">
      <c r="A4" s="105" t="s">
        <v>232</v>
      </c>
      <c r="B4" s="105"/>
      <c r="C4" s="105"/>
      <c r="D4" s="105"/>
      <c r="E4" s="105" t="s">
        <v>233</v>
      </c>
      <c r="F4" s="105"/>
      <c r="G4" s="105"/>
      <c r="H4" s="105"/>
      <c r="K4" s="49" t="s">
        <v>234</v>
      </c>
      <c r="L4" s="50" t="s">
        <v>170</v>
      </c>
      <c r="M4" s="50" t="s">
        <v>243</v>
      </c>
      <c r="N4" s="50" t="s">
        <v>245</v>
      </c>
      <c r="O4" s="50" t="s">
        <v>247</v>
      </c>
      <c r="P4" s="50"/>
    </row>
    <row r="5" spans="1:26" ht="15" customHeight="1" x14ac:dyDescent="0.25">
      <c r="A5" s="105" t="s">
        <v>2</v>
      </c>
      <c r="B5" s="105"/>
      <c r="C5" s="105"/>
      <c r="D5" s="105"/>
      <c r="E5" s="105" t="s">
        <v>242</v>
      </c>
      <c r="F5" s="105"/>
      <c r="G5" s="105"/>
      <c r="H5" s="105"/>
      <c r="K5" s="49"/>
      <c r="L5" s="50" t="s">
        <v>240</v>
      </c>
      <c r="M5" s="50" t="s">
        <v>244</v>
      </c>
      <c r="N5" s="50" t="s">
        <v>246</v>
      </c>
      <c r="O5" s="50" t="s">
        <v>248</v>
      </c>
      <c r="P5" s="50"/>
    </row>
    <row r="6" spans="1:26" x14ac:dyDescent="0.25">
      <c r="A6" s="105" t="s">
        <v>3</v>
      </c>
      <c r="B6" s="105"/>
      <c r="C6" s="105"/>
      <c r="D6" s="105"/>
      <c r="E6" s="167">
        <v>45908</v>
      </c>
      <c r="F6" s="157"/>
      <c r="G6" s="157"/>
      <c r="H6" s="157"/>
      <c r="K6" s="49"/>
      <c r="L6" s="50" t="s">
        <v>241</v>
      </c>
      <c r="M6" s="50"/>
      <c r="N6" s="50"/>
      <c r="O6" s="50" t="s">
        <v>249</v>
      </c>
      <c r="P6" s="50"/>
    </row>
    <row r="7" spans="1:26" ht="16.5" customHeight="1" x14ac:dyDescent="0.25">
      <c r="A7" s="105" t="s">
        <v>4</v>
      </c>
      <c r="B7" s="105"/>
      <c r="C7" s="105"/>
      <c r="D7" s="105"/>
      <c r="E7" s="105" t="s">
        <v>302</v>
      </c>
      <c r="F7" s="105"/>
      <c r="G7" s="105"/>
      <c r="H7" s="105"/>
      <c r="K7" s="49"/>
      <c r="L7" s="50" t="s">
        <v>242</v>
      </c>
      <c r="M7" s="50"/>
      <c r="N7" s="50"/>
      <c r="O7" s="50" t="s">
        <v>249</v>
      </c>
      <c r="P7" s="50"/>
    </row>
    <row r="8" spans="1:26" ht="15" customHeight="1" x14ac:dyDescent="0.25">
      <c r="A8" s="105" t="s">
        <v>5</v>
      </c>
      <c r="B8" s="105"/>
      <c r="C8" s="105"/>
      <c r="D8" s="105"/>
      <c r="E8" s="105" t="str">
        <f>E7</f>
        <v xml:space="preserve">Faisal Constructions </v>
      </c>
      <c r="F8" s="105"/>
      <c r="G8" s="105"/>
      <c r="H8" s="105"/>
      <c r="K8" s="49"/>
      <c r="L8" s="50"/>
      <c r="M8" s="50"/>
      <c r="N8" s="50"/>
      <c r="O8" s="50" t="s">
        <v>250</v>
      </c>
      <c r="P8" s="50"/>
    </row>
    <row r="9" spans="1:26" x14ac:dyDescent="0.25">
      <c r="A9" s="105" t="s">
        <v>6</v>
      </c>
      <c r="B9" s="105"/>
      <c r="C9" s="105"/>
      <c r="D9" s="105"/>
      <c r="E9" s="166" t="s">
        <v>342</v>
      </c>
      <c r="F9" s="166"/>
      <c r="G9" s="166"/>
      <c r="H9" s="166"/>
      <c r="K9" s="49"/>
      <c r="L9" s="50"/>
      <c r="M9" s="50"/>
      <c r="N9" s="50"/>
      <c r="O9" s="50" t="s">
        <v>251</v>
      </c>
      <c r="P9" s="50"/>
    </row>
    <row r="10" spans="1:26" x14ac:dyDescent="0.25">
      <c r="A10" s="105" t="s">
        <v>166</v>
      </c>
      <c r="B10" s="105"/>
      <c r="C10" s="105"/>
      <c r="D10" s="105"/>
      <c r="E10" s="140" t="s">
        <v>303</v>
      </c>
      <c r="F10" s="105"/>
      <c r="G10" s="105"/>
      <c r="H10" s="105"/>
      <c r="K10" s="49"/>
      <c r="L10" s="50"/>
      <c r="M10" s="50"/>
      <c r="N10" s="50"/>
      <c r="O10" s="50"/>
      <c r="P10" s="50"/>
    </row>
    <row r="11" spans="1:26" hidden="1" x14ac:dyDescent="0.25">
      <c r="A11" s="105" t="s">
        <v>167</v>
      </c>
      <c r="B11" s="105"/>
      <c r="C11" s="105"/>
      <c r="D11" s="105"/>
      <c r="E11" s="157" t="s">
        <v>328</v>
      </c>
      <c r="F11" s="157"/>
      <c r="G11" s="157"/>
      <c r="H11" s="157"/>
    </row>
    <row r="12" spans="1:26" x14ac:dyDescent="0.25">
      <c r="A12" s="105" t="s">
        <v>7</v>
      </c>
      <c r="B12" s="105"/>
      <c r="C12" s="105"/>
      <c r="D12" s="105"/>
      <c r="E12" s="105" t="s">
        <v>119</v>
      </c>
      <c r="F12" s="105"/>
      <c r="G12" s="105"/>
      <c r="H12" s="105"/>
    </row>
    <row r="13" spans="1:26" x14ac:dyDescent="0.25">
      <c r="A13" s="105" t="s">
        <v>171</v>
      </c>
      <c r="B13" s="105"/>
      <c r="C13" s="105"/>
      <c r="D13" s="105"/>
      <c r="E13" s="105" t="s">
        <v>28</v>
      </c>
      <c r="F13" s="105"/>
      <c r="G13" s="105"/>
      <c r="H13" s="105"/>
      <c r="S13" s="50" t="s">
        <v>178</v>
      </c>
      <c r="T13" s="50" t="s">
        <v>188</v>
      </c>
      <c r="U13" s="50" t="s">
        <v>172</v>
      </c>
      <c r="V13" s="50" t="s">
        <v>193</v>
      </c>
      <c r="W13" s="50" t="s">
        <v>211</v>
      </c>
      <c r="X13"/>
      <c r="Y13" t="s">
        <v>193</v>
      </c>
      <c r="Z13" t="e">
        <f ca="1">OFFSET($S$13,1,MATCH($G20,$S$13:$W$13,0)-1,15,1)</f>
        <v>#VALUE!</v>
      </c>
    </row>
    <row r="14" spans="1:26" x14ac:dyDescent="0.25">
      <c r="A14" s="95" t="s">
        <v>278</v>
      </c>
      <c r="B14" s="95"/>
      <c r="C14" s="95"/>
      <c r="D14" s="95"/>
      <c r="E14" s="140" t="s">
        <v>326</v>
      </c>
      <c r="F14" s="140"/>
      <c r="G14" s="140"/>
      <c r="H14" s="140"/>
      <c r="S14" s="50" t="s">
        <v>179</v>
      </c>
      <c r="T14" s="50" t="s">
        <v>186</v>
      </c>
      <c r="U14" s="50" t="s">
        <v>208</v>
      </c>
      <c r="V14" s="50" t="s">
        <v>194</v>
      </c>
      <c r="W14" s="50" t="s">
        <v>212</v>
      </c>
      <c r="X14"/>
      <c r="Y14"/>
      <c r="Z14"/>
    </row>
    <row r="15" spans="1:26" x14ac:dyDescent="0.25">
      <c r="A15" s="95" t="s">
        <v>8</v>
      </c>
      <c r="B15" s="95"/>
      <c r="C15" s="95"/>
      <c r="D15" s="95"/>
      <c r="E15" s="140" t="s">
        <v>304</v>
      </c>
      <c r="F15" s="105"/>
      <c r="G15" s="105"/>
      <c r="H15" s="105"/>
      <c r="I15" s="90" t="e">
        <f ca="1">OFFSET($D$5,1,MATCH($J13,$D$5:$H$5,0)-1,15,1)</f>
        <v>#N/A</v>
      </c>
      <c r="J15" s="91"/>
      <c r="K15" s="91"/>
      <c r="L15" s="91"/>
      <c r="M15" s="91"/>
      <c r="N15" s="91"/>
      <c r="O15" s="91"/>
      <c r="P15" s="91"/>
      <c r="S15" s="50" t="s">
        <v>180</v>
      </c>
      <c r="T15" s="50" t="s">
        <v>187</v>
      </c>
      <c r="U15" s="50" t="s">
        <v>209</v>
      </c>
      <c r="V15" s="50" t="s">
        <v>195</v>
      </c>
      <c r="W15" s="50" t="s">
        <v>225</v>
      </c>
      <c r="X15"/>
      <c r="Y15"/>
      <c r="Z15"/>
    </row>
    <row r="16" spans="1:26" ht="48.75" customHeight="1" x14ac:dyDescent="0.25">
      <c r="A16" s="102" t="s">
        <v>9</v>
      </c>
      <c r="B16" s="102"/>
      <c r="C16" s="102" t="str">
        <f>CONCATENATE((IF(OR(E9="",E9="NA"),"",E9)),", ",(IF(OR(A17="",A17="NA"),"",A17)),".",(IF(OR(C17="",C17="NA"),"",C17)),", near ",(IF(OR(C22="",C22="NA"),"",C22)),", ",(IF(OR(C19="",C19="NA"),"",C19)),", ",(IF(OR(C18="",C18="NA"),"",C18)),", ",(IF(OR(G19="",G19="NA"),"",G19)),", ",(IF(OR(C20="",C20="NA"),"",C20)),", ",(IF(OR(C21="",C21="NA"),"",C21)),", ",(IF(OR(G20="",G20="NA"),"",G20))," - ",(IF(OR(G21="",G21="NA"),"",G21)),".")</f>
        <v>Balaji Heights, Survey No.165/2 CTS No. 47(P), near Shivcharan Apartment, Internal Road, Gautam Nagar, Kohoj Khuntavali, Ambernath West, Ambernath, Thane  - 421505.</v>
      </c>
      <c r="D16" s="102"/>
      <c r="E16" s="102"/>
      <c r="F16" s="102"/>
      <c r="G16" s="102"/>
      <c r="H16" s="102"/>
      <c r="S16" s="50" t="s">
        <v>181</v>
      </c>
      <c r="T16" s="50" t="s">
        <v>189</v>
      </c>
      <c r="U16" s="50" t="s">
        <v>210</v>
      </c>
      <c r="V16" s="50" t="s">
        <v>196</v>
      </c>
      <c r="W16" s="50" t="s">
        <v>213</v>
      </c>
      <c r="X16"/>
      <c r="Y16"/>
      <c r="Z16"/>
    </row>
    <row r="17" spans="1:26" x14ac:dyDescent="0.25">
      <c r="A17" s="140" t="s">
        <v>343</v>
      </c>
      <c r="B17" s="140"/>
      <c r="C17" s="140" t="s">
        <v>305</v>
      </c>
      <c r="D17" s="140"/>
      <c r="E17" s="140"/>
      <c r="F17" s="140"/>
      <c r="G17" s="140"/>
      <c r="H17" s="140"/>
      <c r="S17" s="50" t="s">
        <v>182</v>
      </c>
      <c r="T17" s="50" t="s">
        <v>190</v>
      </c>
      <c r="U17" s="50" t="s">
        <v>172</v>
      </c>
      <c r="V17" s="50" t="s">
        <v>197</v>
      </c>
      <c r="W17" s="50" t="s">
        <v>214</v>
      </c>
      <c r="X17"/>
      <c r="Y17"/>
      <c r="Z17"/>
    </row>
    <row r="18" spans="1:26" ht="15.75" customHeight="1" x14ac:dyDescent="0.25">
      <c r="A18" s="140" t="s">
        <v>161</v>
      </c>
      <c r="B18" s="140"/>
      <c r="C18" s="140" t="s">
        <v>331</v>
      </c>
      <c r="D18" s="140"/>
      <c r="E18" s="140"/>
      <c r="F18" s="140"/>
      <c r="G18" s="140"/>
      <c r="H18" s="140"/>
      <c r="S18" s="50" t="s">
        <v>183</v>
      </c>
      <c r="T18" s="50" t="s">
        <v>188</v>
      </c>
      <c r="U18" s="50"/>
      <c r="V18" s="50" t="s">
        <v>198</v>
      </c>
      <c r="W18" s="50" t="s">
        <v>215</v>
      </c>
      <c r="X18"/>
      <c r="Y18"/>
      <c r="Z18"/>
    </row>
    <row r="19" spans="1:26" ht="15.75" customHeight="1" x14ac:dyDescent="0.25">
      <c r="A19" s="102" t="s">
        <v>10</v>
      </c>
      <c r="B19" s="102"/>
      <c r="C19" s="105" t="s">
        <v>332</v>
      </c>
      <c r="D19" s="105"/>
      <c r="E19" s="102" t="s">
        <v>70</v>
      </c>
      <c r="F19" s="102"/>
      <c r="G19" s="140" t="s">
        <v>306</v>
      </c>
      <c r="H19" s="140"/>
      <c r="S19" s="50" t="s">
        <v>184</v>
      </c>
      <c r="T19" s="50" t="s">
        <v>191</v>
      </c>
      <c r="U19" s="50"/>
      <c r="V19" s="50" t="s">
        <v>199</v>
      </c>
      <c r="W19" s="50" t="s">
        <v>216</v>
      </c>
      <c r="X19"/>
      <c r="Y19"/>
      <c r="Z19"/>
    </row>
    <row r="20" spans="1:26" x14ac:dyDescent="0.25">
      <c r="A20" s="95" t="s">
        <v>12</v>
      </c>
      <c r="B20" s="95"/>
      <c r="C20" s="140" t="s">
        <v>333</v>
      </c>
      <c r="D20" s="140"/>
      <c r="E20" s="140" t="s">
        <v>11</v>
      </c>
      <c r="F20" s="140"/>
      <c r="G20" s="171" t="s">
        <v>178</v>
      </c>
      <c r="H20" s="171"/>
      <c r="S20" s="50" t="s">
        <v>185</v>
      </c>
      <c r="T20" s="50" t="s">
        <v>192</v>
      </c>
      <c r="U20" s="50"/>
      <c r="V20" s="50" t="s">
        <v>200</v>
      </c>
      <c r="W20" s="50" t="s">
        <v>217</v>
      </c>
      <c r="X20"/>
      <c r="Y20"/>
      <c r="Z20"/>
    </row>
    <row r="21" spans="1:26" x14ac:dyDescent="0.25">
      <c r="A21" s="95" t="s">
        <v>71</v>
      </c>
      <c r="B21" s="95"/>
      <c r="C21" s="140" t="s">
        <v>184</v>
      </c>
      <c r="D21" s="140"/>
      <c r="E21" s="140" t="s">
        <v>13</v>
      </c>
      <c r="F21" s="140"/>
      <c r="G21" s="140">
        <v>421505</v>
      </c>
      <c r="H21" s="140"/>
      <c r="S21" s="50"/>
      <c r="T21" s="50"/>
      <c r="U21" s="50"/>
      <c r="V21" s="50" t="s">
        <v>201</v>
      </c>
      <c r="W21" s="50" t="s">
        <v>218</v>
      </c>
      <c r="X21"/>
      <c r="Y21"/>
      <c r="Z21"/>
    </row>
    <row r="22" spans="1:26" ht="50.25" customHeight="1" x14ac:dyDescent="0.25">
      <c r="A22" s="95" t="s">
        <v>120</v>
      </c>
      <c r="B22" s="95"/>
      <c r="C22" s="140" t="s">
        <v>334</v>
      </c>
      <c r="D22" s="140"/>
      <c r="E22" s="140" t="s">
        <v>14</v>
      </c>
      <c r="F22" s="140"/>
      <c r="G22" s="140" t="s">
        <v>340</v>
      </c>
      <c r="H22" s="140"/>
      <c r="S22" s="50"/>
      <c r="T22" s="50"/>
      <c r="U22" s="50"/>
      <c r="V22" s="50" t="s">
        <v>202</v>
      </c>
      <c r="W22" s="50" t="s">
        <v>219</v>
      </c>
      <c r="X22"/>
      <c r="Y22"/>
      <c r="Z22"/>
    </row>
    <row r="23" spans="1:26" ht="15" customHeight="1" x14ac:dyDescent="0.25">
      <c r="A23" s="102" t="s">
        <v>73</v>
      </c>
      <c r="B23" s="102"/>
      <c r="C23" s="102"/>
      <c r="D23" s="102"/>
      <c r="E23" s="105" t="s">
        <v>15</v>
      </c>
      <c r="F23" s="105"/>
      <c r="G23" s="105"/>
      <c r="H23" s="105"/>
      <c r="S23" s="50"/>
      <c r="T23" s="50"/>
      <c r="U23" s="50"/>
      <c r="V23" s="50" t="s">
        <v>203</v>
      </c>
      <c r="W23" s="50" t="s">
        <v>220</v>
      </c>
      <c r="X23"/>
      <c r="Y23"/>
      <c r="Z23"/>
    </row>
    <row r="24" spans="1:26" ht="18.75" customHeight="1" x14ac:dyDescent="0.25">
      <c r="A24" s="102"/>
      <c r="B24" s="102"/>
      <c r="C24" s="102"/>
      <c r="D24" s="102"/>
      <c r="E24" s="105"/>
      <c r="F24" s="105"/>
      <c r="G24" s="105"/>
      <c r="H24" s="105"/>
      <c r="S24" s="50"/>
      <c r="T24" s="50"/>
      <c r="U24" s="50"/>
      <c r="V24" s="50" t="s">
        <v>204</v>
      </c>
      <c r="W24" s="50" t="s">
        <v>221</v>
      </c>
      <c r="X24"/>
      <c r="Y24"/>
      <c r="Z24"/>
    </row>
    <row r="25" spans="1:26" ht="15" customHeight="1" x14ac:dyDescent="0.25">
      <c r="A25" s="102" t="s">
        <v>16</v>
      </c>
      <c r="B25" s="102"/>
      <c r="C25" s="102"/>
      <c r="D25" s="102"/>
      <c r="E25" s="140" t="s">
        <v>17</v>
      </c>
      <c r="F25" s="140"/>
      <c r="G25" s="140"/>
      <c r="H25" s="140"/>
      <c r="S25" s="50"/>
      <c r="T25" s="50"/>
      <c r="U25" s="50"/>
      <c r="V25" s="50" t="s">
        <v>205</v>
      </c>
      <c r="W25" s="50" t="s">
        <v>222</v>
      </c>
      <c r="X25"/>
      <c r="Y25"/>
      <c r="Z25"/>
    </row>
    <row r="26" spans="1:26" ht="15" customHeight="1" x14ac:dyDescent="0.25">
      <c r="A26" s="95" t="s">
        <v>18</v>
      </c>
      <c r="B26" s="95"/>
      <c r="C26" s="95"/>
      <c r="D26" s="95"/>
      <c r="E26" s="140" t="str">
        <f>IF(AND(G20="Mumbai"),"Upper Class","Middle Class")</f>
        <v>Middle Class</v>
      </c>
      <c r="F26" s="140"/>
      <c r="G26" s="140"/>
      <c r="H26" s="140"/>
      <c r="S26" s="50"/>
      <c r="T26" s="50"/>
      <c r="U26" s="50"/>
      <c r="V26" s="50" t="s">
        <v>206</v>
      </c>
      <c r="W26" s="50" t="s">
        <v>223</v>
      </c>
      <c r="X26"/>
      <c r="Y26"/>
      <c r="Z26"/>
    </row>
    <row r="27" spans="1:26" x14ac:dyDescent="0.25">
      <c r="A27" s="95" t="s">
        <v>19</v>
      </c>
      <c r="B27" s="95"/>
      <c r="C27" s="95"/>
      <c r="D27" s="95"/>
      <c r="E27" s="140" t="s">
        <v>20</v>
      </c>
      <c r="F27" s="140"/>
      <c r="G27" s="140"/>
      <c r="H27" s="140"/>
      <c r="S27" s="50"/>
      <c r="T27" s="50"/>
      <c r="U27" s="50"/>
      <c r="V27" s="50" t="s">
        <v>207</v>
      </c>
      <c r="W27" s="50" t="s">
        <v>224</v>
      </c>
      <c r="X27"/>
      <c r="Y27"/>
      <c r="Z27"/>
    </row>
    <row r="28" spans="1:26" ht="15.75" customHeight="1" x14ac:dyDescent="0.25">
      <c r="A28" s="95" t="s">
        <v>21</v>
      </c>
      <c r="B28" s="95"/>
      <c r="C28" s="95"/>
      <c r="D28" s="95"/>
      <c r="E28" s="140" t="str">
        <f>IF(AND(G20="Mumbai"),"Developed","Developing")</f>
        <v>Developing</v>
      </c>
      <c r="F28" s="140"/>
      <c r="G28" s="140"/>
      <c r="H28" s="140"/>
    </row>
    <row r="29" spans="1:26" x14ac:dyDescent="0.25">
      <c r="A29" s="95" t="s">
        <v>22</v>
      </c>
      <c r="B29" s="95"/>
      <c r="C29" s="95"/>
      <c r="D29" s="95"/>
      <c r="E29" s="140" t="s">
        <v>23</v>
      </c>
      <c r="F29" s="140"/>
      <c r="G29" s="140"/>
      <c r="H29" s="140"/>
    </row>
    <row r="30" spans="1:26" ht="15.75" customHeight="1" x14ac:dyDescent="0.25">
      <c r="A30" s="95" t="s">
        <v>78</v>
      </c>
      <c r="B30" s="95"/>
      <c r="C30" s="95"/>
      <c r="D30" s="95"/>
      <c r="E30" s="140" t="s">
        <v>79</v>
      </c>
      <c r="F30" s="140"/>
      <c r="G30" s="140"/>
      <c r="H30" s="140"/>
    </row>
    <row r="31" spans="1:26" ht="15" customHeight="1" x14ac:dyDescent="0.25">
      <c r="A31" s="95" t="s">
        <v>30</v>
      </c>
      <c r="B31" s="95"/>
      <c r="C31" s="95"/>
      <c r="D31" s="95"/>
      <c r="E31" s="14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0"/>
      <c r="G31" s="140"/>
      <c r="H31" s="140"/>
    </row>
    <row r="32" spans="1:26" ht="15.75" customHeight="1" x14ac:dyDescent="0.25">
      <c r="A32" s="95" t="s">
        <v>90</v>
      </c>
      <c r="B32" s="95"/>
      <c r="C32" s="95"/>
      <c r="D32" s="95"/>
      <c r="E32" s="140" t="s">
        <v>31</v>
      </c>
      <c r="F32" s="140"/>
      <c r="G32" s="140"/>
      <c r="H32" s="140"/>
    </row>
    <row r="33" spans="1:19" s="19" customFormat="1" x14ac:dyDescent="0.25">
      <c r="A33" s="176" t="s">
        <v>91</v>
      </c>
      <c r="B33" s="176"/>
      <c r="C33" s="173" t="s">
        <v>173</v>
      </c>
      <c r="D33" s="174"/>
      <c r="E33" s="175"/>
      <c r="F33" s="173" t="s">
        <v>29</v>
      </c>
      <c r="G33" s="174"/>
      <c r="H33" s="175"/>
      <c r="S33" s="19" t="e">
        <f ca="1">OFFSET($S$13,1,MATCH($G20,$S$13:$W$13,0)-1,15,1)</f>
        <v>#VALUE!</v>
      </c>
    </row>
    <row r="34" spans="1:19" s="19" customFormat="1" x14ac:dyDescent="0.25">
      <c r="A34" s="172" t="s">
        <v>24</v>
      </c>
      <c r="B34" s="172" t="s">
        <v>28</v>
      </c>
      <c r="C34" s="168" t="s">
        <v>336</v>
      </c>
      <c r="D34" s="169"/>
      <c r="E34" s="170"/>
      <c r="F34" s="168" t="s">
        <v>337</v>
      </c>
      <c r="G34" s="169"/>
      <c r="H34" s="170"/>
    </row>
    <row r="35" spans="1:19" x14ac:dyDescent="0.25">
      <c r="A35" s="172" t="s">
        <v>25</v>
      </c>
      <c r="B35" s="172" t="s">
        <v>28</v>
      </c>
      <c r="C35" s="168" t="s">
        <v>335</v>
      </c>
      <c r="D35" s="169"/>
      <c r="E35" s="170"/>
      <c r="F35" s="168" t="s">
        <v>332</v>
      </c>
      <c r="G35" s="169"/>
      <c r="H35" s="170"/>
    </row>
    <row r="36" spans="1:19" s="19" customFormat="1" x14ac:dyDescent="0.25">
      <c r="A36" s="172" t="s">
        <v>27</v>
      </c>
      <c r="B36" s="172" t="s">
        <v>28</v>
      </c>
      <c r="C36" s="168" t="s">
        <v>336</v>
      </c>
      <c r="D36" s="169"/>
      <c r="E36" s="170"/>
      <c r="F36" s="168" t="s">
        <v>339</v>
      </c>
      <c r="G36" s="169"/>
      <c r="H36" s="170"/>
    </row>
    <row r="37" spans="1:19" x14ac:dyDescent="0.25">
      <c r="A37" s="172" t="s">
        <v>26</v>
      </c>
      <c r="B37" s="172" t="s">
        <v>28</v>
      </c>
      <c r="C37" s="168" t="s">
        <v>336</v>
      </c>
      <c r="D37" s="169"/>
      <c r="E37" s="170"/>
      <c r="F37" s="168" t="s">
        <v>334</v>
      </c>
      <c r="G37" s="169"/>
      <c r="H37" s="170"/>
    </row>
    <row r="38" spans="1:19" x14ac:dyDescent="0.25">
      <c r="A38" s="95" t="s">
        <v>279</v>
      </c>
      <c r="B38" s="95"/>
      <c r="C38" s="95"/>
      <c r="D38" s="95"/>
      <c r="E38" s="95"/>
      <c r="F38" s="95"/>
      <c r="G38" s="95"/>
      <c r="H38" s="95"/>
    </row>
    <row r="39" spans="1:19" ht="15.75" customHeight="1" x14ac:dyDescent="0.25">
      <c r="A39" s="95" t="s">
        <v>164</v>
      </c>
      <c r="B39" s="95"/>
      <c r="C39" s="162" t="s">
        <v>329</v>
      </c>
      <c r="D39" s="162"/>
      <c r="E39" s="162"/>
      <c r="F39" s="162"/>
      <c r="G39" s="162"/>
      <c r="H39" s="162"/>
    </row>
    <row r="40" spans="1:19" x14ac:dyDescent="0.25">
      <c r="A40" s="95" t="s">
        <v>160</v>
      </c>
      <c r="B40" s="95"/>
      <c r="C40" s="179" t="s">
        <v>338</v>
      </c>
      <c r="D40" s="140"/>
      <c r="E40" s="140"/>
      <c r="F40" s="140"/>
      <c r="G40" s="140"/>
      <c r="H40" s="140"/>
    </row>
    <row r="41" spans="1:19" x14ac:dyDescent="0.25">
      <c r="A41" s="162" t="s">
        <v>32</v>
      </c>
      <c r="B41" s="162"/>
      <c r="C41" s="162"/>
      <c r="D41" s="162"/>
      <c r="E41" s="162"/>
      <c r="F41" s="162"/>
      <c r="G41" s="162"/>
      <c r="H41" s="162"/>
    </row>
    <row r="42" spans="1:19" x14ac:dyDescent="0.25">
      <c r="A42" s="95" t="s">
        <v>33</v>
      </c>
      <c r="B42" s="95"/>
      <c r="C42" s="95"/>
      <c r="D42" s="95"/>
      <c r="E42" s="177">
        <v>1339</v>
      </c>
      <c r="F42" s="177"/>
      <c r="G42" s="177"/>
      <c r="H42" s="177"/>
    </row>
    <row r="43" spans="1:19" x14ac:dyDescent="0.25">
      <c r="A43" s="95" t="s">
        <v>34</v>
      </c>
      <c r="B43" s="95"/>
      <c r="C43" s="95"/>
      <c r="D43" s="95"/>
      <c r="E43" s="104">
        <f>1472.9/E42</f>
        <v>1.1000000000000001</v>
      </c>
      <c r="F43" s="104"/>
      <c r="G43" s="104"/>
      <c r="H43" s="104"/>
    </row>
    <row r="44" spans="1:19" x14ac:dyDescent="0.25">
      <c r="A44" s="95" t="s">
        <v>35</v>
      </c>
      <c r="B44" s="95"/>
      <c r="C44" s="95"/>
      <c r="D44" s="95"/>
      <c r="E44" s="104">
        <f>E46/E42-E43</f>
        <v>1.883427931292009</v>
      </c>
      <c r="F44" s="104"/>
      <c r="G44" s="104"/>
      <c r="H44" s="104"/>
    </row>
    <row r="45" spans="1:19" x14ac:dyDescent="0.25">
      <c r="A45" s="95" t="s">
        <v>36</v>
      </c>
      <c r="B45" s="95"/>
      <c r="C45" s="95"/>
      <c r="D45" s="95"/>
      <c r="E45" s="104">
        <f>E43+E44</f>
        <v>2.9834279312920091</v>
      </c>
      <c r="F45" s="104"/>
      <c r="G45" s="104"/>
      <c r="H45" s="104"/>
      <c r="I45" s="65">
        <f>E46/E42</f>
        <v>2.9834279312920091</v>
      </c>
    </row>
    <row r="46" spans="1:19" x14ac:dyDescent="0.25">
      <c r="A46" s="95" t="s">
        <v>89</v>
      </c>
      <c r="B46" s="95"/>
      <c r="C46" s="95"/>
      <c r="D46" s="95"/>
      <c r="E46" s="178">
        <v>3994.81</v>
      </c>
      <c r="F46" s="178"/>
      <c r="G46" s="178"/>
      <c r="H46" s="178"/>
    </row>
    <row r="47" spans="1:19" x14ac:dyDescent="0.25">
      <c r="A47" s="105" t="s">
        <v>37</v>
      </c>
      <c r="B47" s="105"/>
      <c r="C47" s="105"/>
      <c r="D47" s="105"/>
      <c r="E47" s="105" t="s">
        <v>119</v>
      </c>
      <c r="F47" s="105"/>
      <c r="G47" s="105"/>
      <c r="H47" s="105"/>
    </row>
    <row r="48" spans="1:19" x14ac:dyDescent="0.25">
      <c r="A48" s="162" t="s">
        <v>38</v>
      </c>
      <c r="B48" s="162"/>
      <c r="C48" s="162"/>
      <c r="D48" s="162"/>
      <c r="E48" s="162"/>
      <c r="F48" s="162"/>
      <c r="G48" s="162"/>
      <c r="H48" s="162"/>
    </row>
    <row r="49" spans="1:24" ht="33.75" customHeight="1" x14ac:dyDescent="0.25">
      <c r="A49" s="78" t="s">
        <v>149</v>
      </c>
      <c r="B49" s="79"/>
      <c r="C49" s="191" t="s">
        <v>263</v>
      </c>
      <c r="D49" s="192"/>
      <c r="E49" s="192"/>
      <c r="F49" s="192"/>
      <c r="G49" s="192"/>
      <c r="H49" s="193"/>
      <c r="R49" t="s">
        <v>252</v>
      </c>
      <c r="S49" t="s">
        <v>172</v>
      </c>
      <c r="T49" t="s">
        <v>178</v>
      </c>
      <c r="U49" t="s">
        <v>193</v>
      </c>
      <c r="V49" t="s">
        <v>188</v>
      </c>
    </row>
    <row r="50" spans="1:24" ht="15.75" customHeight="1" x14ac:dyDescent="0.25">
      <c r="A50" s="78" t="s">
        <v>39</v>
      </c>
      <c r="B50" s="79"/>
      <c r="C50" s="78" t="s">
        <v>307</v>
      </c>
      <c r="D50" s="80"/>
      <c r="E50" s="79"/>
      <c r="F50" s="17" t="s">
        <v>40</v>
      </c>
      <c r="G50" s="85">
        <v>45348</v>
      </c>
      <c r="H50" s="79"/>
      <c r="R50"/>
      <c r="S50" t="s">
        <v>253</v>
      </c>
      <c r="T50" t="s">
        <v>258</v>
      </c>
      <c r="U50" t="s">
        <v>269</v>
      </c>
      <c r="V50" t="s">
        <v>274</v>
      </c>
    </row>
    <row r="51" spans="1:24" x14ac:dyDescent="0.25">
      <c r="A51" s="78" t="s">
        <v>41</v>
      </c>
      <c r="B51" s="79"/>
      <c r="C51" s="78" t="str">
        <f>C50</f>
        <v>A.N.P./NRV/BP/23-24/1492/9449/28</v>
      </c>
      <c r="D51" s="80"/>
      <c r="E51" s="79"/>
      <c r="F51" s="17" t="s">
        <v>40</v>
      </c>
      <c r="G51" s="85">
        <f>G50</f>
        <v>45348</v>
      </c>
      <c r="H51" s="79"/>
      <c r="R51"/>
      <c r="S51" t="s">
        <v>254</v>
      </c>
      <c r="T51" t="s">
        <v>259</v>
      </c>
      <c r="U51" t="s">
        <v>267</v>
      </c>
      <c r="V51" t="s">
        <v>275</v>
      </c>
    </row>
    <row r="52" spans="1:24" s="20" customFormat="1" ht="15.75" customHeight="1" x14ac:dyDescent="0.25">
      <c r="A52" s="86" t="s">
        <v>153</v>
      </c>
      <c r="B52" s="87"/>
      <c r="C52" s="78" t="s">
        <v>308</v>
      </c>
      <c r="D52" s="80"/>
      <c r="E52" s="79"/>
      <c r="F52" s="17" t="s">
        <v>40</v>
      </c>
      <c r="G52" s="85">
        <f>G51</f>
        <v>45348</v>
      </c>
      <c r="H52" s="79"/>
      <c r="R52"/>
      <c r="S52" t="s">
        <v>255</v>
      </c>
      <c r="T52" t="s">
        <v>260</v>
      </c>
      <c r="U52" t="s">
        <v>257</v>
      </c>
      <c r="V52" t="s">
        <v>276</v>
      </c>
    </row>
    <row r="53" spans="1:24" s="20" customFormat="1" x14ac:dyDescent="0.25">
      <c r="A53" s="88"/>
      <c r="B53" s="89"/>
      <c r="C53" s="78" t="s">
        <v>309</v>
      </c>
      <c r="D53" s="80"/>
      <c r="E53" s="80"/>
      <c r="F53" s="80"/>
      <c r="G53" s="80"/>
      <c r="H53" s="79"/>
      <c r="R53"/>
      <c r="S53" t="s">
        <v>256</v>
      </c>
      <c r="T53" t="s">
        <v>263</v>
      </c>
      <c r="U53" t="s">
        <v>270</v>
      </c>
    </row>
    <row r="54" spans="1:24" s="20" customFormat="1" hidden="1" x14ac:dyDescent="0.25">
      <c r="A54" s="108" t="s">
        <v>280</v>
      </c>
      <c r="B54" s="109"/>
      <c r="C54" s="78" t="str">
        <f>C53</f>
        <v>Basement + Ground + 1st to 7th Floor</v>
      </c>
      <c r="D54" s="80"/>
      <c r="E54" s="79"/>
      <c r="F54" s="17" t="s">
        <v>40</v>
      </c>
      <c r="G54" s="78"/>
      <c r="H54" s="79"/>
      <c r="R54"/>
      <c r="S54" t="s">
        <v>255</v>
      </c>
      <c r="T54" t="s">
        <v>260</v>
      </c>
      <c r="U54" t="s">
        <v>257</v>
      </c>
      <c r="V54" t="s">
        <v>276</v>
      </c>
    </row>
    <row r="55" spans="1:24" s="20" customFormat="1" ht="32.25" hidden="1" customHeight="1" x14ac:dyDescent="0.25">
      <c r="A55" s="110"/>
      <c r="B55" s="111"/>
      <c r="C55" s="188"/>
      <c r="D55" s="189"/>
      <c r="E55" s="189"/>
      <c r="F55" s="189"/>
      <c r="G55" s="189"/>
      <c r="H55" s="190"/>
      <c r="R55"/>
      <c r="S55" t="s">
        <v>257</v>
      </c>
      <c r="T55" t="s">
        <v>261</v>
      </c>
      <c r="U55" t="s">
        <v>271</v>
      </c>
      <c r="V55" s="18"/>
      <c r="W55" s="18"/>
      <c r="X55" s="18"/>
    </row>
    <row r="56" spans="1:24" s="20" customFormat="1" ht="34.5" hidden="1" customHeight="1" x14ac:dyDescent="0.25">
      <c r="A56" s="108" t="s">
        <v>281</v>
      </c>
      <c r="B56" s="109"/>
      <c r="C56" s="78">
        <f>C55</f>
        <v>0</v>
      </c>
      <c r="D56" s="80"/>
      <c r="E56" s="79"/>
      <c r="F56" s="17" t="s">
        <v>40</v>
      </c>
      <c r="G56" s="78">
        <f>G55</f>
        <v>0</v>
      </c>
      <c r="H56" s="79"/>
      <c r="R56"/>
      <c r="S56" s="18"/>
      <c r="T56" t="s">
        <v>262</v>
      </c>
      <c r="U56" t="s">
        <v>272</v>
      </c>
      <c r="V56" s="18"/>
      <c r="W56" s="18"/>
      <c r="X56" s="18"/>
    </row>
    <row r="57" spans="1:24" s="20" customFormat="1" ht="41.25" hidden="1" customHeight="1" x14ac:dyDescent="0.25">
      <c r="A57" s="110"/>
      <c r="B57" s="111"/>
      <c r="C57" s="78"/>
      <c r="D57" s="80"/>
      <c r="E57" s="80"/>
      <c r="F57" s="80"/>
      <c r="G57" s="80"/>
      <c r="H57" s="79"/>
      <c r="R57"/>
      <c r="S57" s="18"/>
      <c r="T57" t="s">
        <v>264</v>
      </c>
      <c r="U57" t="s">
        <v>273</v>
      </c>
      <c r="V57" s="18"/>
      <c r="W57" s="18"/>
      <c r="X57" s="18"/>
    </row>
    <row r="58" spans="1:24" s="20" customFormat="1" ht="15.75" hidden="1" customHeight="1" x14ac:dyDescent="0.25">
      <c r="A58" s="108" t="s">
        <v>282</v>
      </c>
      <c r="B58" s="109"/>
      <c r="C58" s="78">
        <f>C57</f>
        <v>0</v>
      </c>
      <c r="D58" s="80"/>
      <c r="E58" s="79"/>
      <c r="F58" s="17" t="s">
        <v>40</v>
      </c>
      <c r="G58" s="78">
        <f>G57</f>
        <v>0</v>
      </c>
      <c r="H58" s="79"/>
      <c r="R58"/>
      <c r="S58" s="18"/>
      <c r="T58" t="s">
        <v>265</v>
      </c>
      <c r="U58" s="18" t="s">
        <v>296</v>
      </c>
      <c r="V58" s="18"/>
      <c r="W58" s="18"/>
      <c r="X58" s="18"/>
    </row>
    <row r="59" spans="1:24" s="20" customFormat="1" ht="33.75" hidden="1" customHeight="1" x14ac:dyDescent="0.25">
      <c r="A59" s="110"/>
      <c r="B59" s="111"/>
      <c r="C59" s="78"/>
      <c r="D59" s="80"/>
      <c r="E59" s="80"/>
      <c r="F59" s="80"/>
      <c r="G59" s="80"/>
      <c r="H59" s="79"/>
      <c r="R59"/>
      <c r="S59" s="18"/>
      <c r="T59" t="s">
        <v>266</v>
      </c>
      <c r="U59" s="18"/>
      <c r="V59" s="18"/>
      <c r="W59" s="18"/>
      <c r="X59" s="18"/>
    </row>
    <row r="60" spans="1:24" x14ac:dyDescent="0.25">
      <c r="A60" s="96" t="s">
        <v>42</v>
      </c>
      <c r="B60" s="97"/>
      <c r="C60" s="96" t="s">
        <v>103</v>
      </c>
      <c r="D60" s="98"/>
      <c r="E60" s="97"/>
      <c r="F60" s="40" t="s">
        <v>40</v>
      </c>
      <c r="G60" s="106" t="s">
        <v>28</v>
      </c>
      <c r="H60" s="107"/>
      <c r="R60"/>
      <c r="T60" t="s">
        <v>268</v>
      </c>
    </row>
    <row r="61" spans="1:24" x14ac:dyDescent="0.25">
      <c r="A61" s="145" t="s">
        <v>44</v>
      </c>
      <c r="B61" s="145"/>
      <c r="C61" s="145"/>
      <c r="D61" s="145"/>
      <c r="E61" s="145"/>
      <c r="F61" s="145"/>
      <c r="G61" s="145"/>
      <c r="H61" s="145"/>
      <c r="T61" t="s">
        <v>277</v>
      </c>
    </row>
    <row r="62" spans="1:24" x14ac:dyDescent="0.25">
      <c r="A62" s="102" t="s">
        <v>88</v>
      </c>
      <c r="B62" s="102"/>
      <c r="C62" s="102"/>
      <c r="D62" s="95">
        <f>E46</f>
        <v>3994.81</v>
      </c>
      <c r="E62" s="95"/>
      <c r="F62" s="95"/>
      <c r="G62" s="95"/>
      <c r="H62" s="95"/>
      <c r="R62"/>
    </row>
    <row r="63" spans="1:24" x14ac:dyDescent="0.25">
      <c r="A63" s="140" t="s">
        <v>45</v>
      </c>
      <c r="B63" s="105"/>
      <c r="C63" s="105"/>
      <c r="D63" s="105" t="s">
        <v>325</v>
      </c>
      <c r="E63" s="105"/>
      <c r="F63" s="105"/>
      <c r="G63" s="105"/>
      <c r="H63" s="105"/>
      <c r="I63" s="21"/>
      <c r="R63"/>
    </row>
    <row r="64" spans="1:24" x14ac:dyDescent="0.25">
      <c r="A64" s="137" t="s">
        <v>46</v>
      </c>
      <c r="B64" s="138"/>
      <c r="C64" s="139"/>
      <c r="D64" s="135" t="s">
        <v>330</v>
      </c>
      <c r="E64" s="136"/>
      <c r="F64" s="136"/>
      <c r="G64" s="136"/>
      <c r="H64" s="136"/>
      <c r="R64"/>
    </row>
    <row r="65" spans="1:19" ht="15.75" customHeight="1" x14ac:dyDescent="0.25">
      <c r="A65" s="137" t="s">
        <v>86</v>
      </c>
      <c r="B65" s="138"/>
      <c r="C65" s="138"/>
      <c r="D65" s="198" t="s">
        <v>330</v>
      </c>
      <c r="E65" s="199"/>
      <c r="F65" s="199"/>
      <c r="G65" s="199"/>
      <c r="H65" s="200"/>
      <c r="R65"/>
    </row>
    <row r="66" spans="1:19" ht="15.75" hidden="1" customHeight="1" x14ac:dyDescent="0.25">
      <c r="A66" s="194"/>
      <c r="B66" s="195"/>
      <c r="C66" s="195"/>
      <c r="D66" s="205" t="s">
        <v>297</v>
      </c>
      <c r="E66" s="206"/>
      <c r="F66" s="206"/>
      <c r="G66" s="206"/>
      <c r="H66" s="207"/>
      <c r="R66"/>
    </row>
    <row r="67" spans="1:19" ht="15.75" hidden="1" customHeight="1" x14ac:dyDescent="0.25">
      <c r="A67" s="196"/>
      <c r="B67" s="197"/>
      <c r="C67" s="197"/>
      <c r="D67" s="208" t="s">
        <v>168</v>
      </c>
      <c r="E67" s="209"/>
      <c r="F67" s="209"/>
      <c r="G67" s="209"/>
      <c r="H67" s="210"/>
      <c r="S67"/>
    </row>
    <row r="68" spans="1:19" ht="15.75" customHeight="1" x14ac:dyDescent="0.25">
      <c r="A68" s="95" t="s">
        <v>43</v>
      </c>
      <c r="B68" s="95"/>
      <c r="C68" s="95"/>
      <c r="D68" s="211" t="s">
        <v>310</v>
      </c>
      <c r="E68" s="211"/>
      <c r="F68" s="211"/>
      <c r="G68" s="211"/>
      <c r="H68" s="211"/>
      <c r="J68" s="22"/>
      <c r="K68" s="21"/>
      <c r="N68" s="21"/>
      <c r="S68"/>
    </row>
    <row r="69" spans="1:19" ht="15.75" customHeight="1" x14ac:dyDescent="0.25">
      <c r="A69" s="95" t="s">
        <v>84</v>
      </c>
      <c r="B69" s="95"/>
      <c r="C69" s="95"/>
      <c r="D69" s="212" t="str">
        <f>(IF(G60="NA","60 Years After Completion",IF(G60&lt;&gt;"NA",""&amp;60-ROUNDDOWN((E3-G60)/360,0)&amp;" Years"," ")))</f>
        <v>60 Years After Completion</v>
      </c>
      <c r="E69" s="212"/>
      <c r="F69" s="212"/>
      <c r="G69" s="212"/>
      <c r="H69" s="212"/>
      <c r="N69" s="21"/>
      <c r="S69"/>
    </row>
    <row r="70" spans="1:19" ht="15.75" customHeight="1" x14ac:dyDescent="0.25">
      <c r="A70" s="95" t="s">
        <v>85</v>
      </c>
      <c r="B70" s="95"/>
      <c r="C70" s="95"/>
      <c r="D70" s="140" t="s">
        <v>23</v>
      </c>
      <c r="E70" s="140"/>
      <c r="F70" s="140"/>
      <c r="G70" s="140"/>
      <c r="H70" s="140"/>
      <c r="J70" s="23"/>
      <c r="K70" s="23"/>
      <c r="S70"/>
    </row>
    <row r="71" spans="1:19" ht="32.25" customHeight="1" x14ac:dyDescent="0.25">
      <c r="A71" s="105" t="s">
        <v>311</v>
      </c>
      <c r="B71" s="105"/>
      <c r="C71" s="105"/>
      <c r="D71" s="140" t="s">
        <v>341</v>
      </c>
      <c r="E71" s="140"/>
      <c r="F71" s="140"/>
      <c r="G71" s="140"/>
      <c r="H71" s="140"/>
      <c r="S71"/>
    </row>
    <row r="72" spans="1:19" x14ac:dyDescent="0.25">
      <c r="A72" s="102" t="s">
        <v>146</v>
      </c>
      <c r="B72" s="102"/>
      <c r="C72" s="102"/>
      <c r="D72" s="102" t="s">
        <v>28</v>
      </c>
      <c r="E72" s="102"/>
      <c r="F72" s="102"/>
      <c r="G72" s="102"/>
      <c r="H72" s="102"/>
      <c r="I72" s="24"/>
      <c r="J72" s="24"/>
      <c r="K72" s="24"/>
      <c r="L72" s="24"/>
      <c r="M72" s="24"/>
      <c r="N72" s="24"/>
    </row>
    <row r="73" spans="1:19" ht="15.75" customHeight="1" x14ac:dyDescent="0.25">
      <c r="A73" s="103" t="s">
        <v>83</v>
      </c>
      <c r="B73" s="103"/>
      <c r="C73" s="103"/>
      <c r="D73" s="135" t="str">
        <f ca="1">(IF(G79&gt;95%,"Nothing",IF(G79&gt;0%,"Cement, Aggregate, Steel, etc",IF(G79=0%,"Work not yet Started"))))</f>
        <v>Cement, Aggregate, Steel, etc</v>
      </c>
      <c r="E73" s="135"/>
      <c r="F73" s="135"/>
      <c r="G73" s="135"/>
      <c r="H73" s="135"/>
      <c r="J73" s="23"/>
      <c r="S73"/>
    </row>
    <row r="74" spans="1:19" ht="33.75" customHeight="1" thickBot="1" x14ac:dyDescent="0.3">
      <c r="A74" s="141" t="s">
        <v>116</v>
      </c>
      <c r="B74" s="141"/>
      <c r="C74" s="141"/>
      <c r="D74" s="135" t="str">
        <f ca="1">(IF(D73="Nothing","Yes",IF(D73="Cement, Aggregate, Steel, etc","Under Construction",IF(D73="Work not yet Started","Work not yet Started"))))</f>
        <v>Under Construction</v>
      </c>
      <c r="E74" s="135"/>
      <c r="F74" s="135" t="str">
        <f ca="1">(IF(D73="Nothing","Yes",IF(D73="Cement, Aggregate, Steel, etc","Under Construction",IF(D73="Work not yet Started","Work not yet Started"))))</f>
        <v>Under Construction</v>
      </c>
      <c r="G74" s="135"/>
      <c r="H74" s="135"/>
      <c r="S74"/>
    </row>
    <row r="75" spans="1:19" ht="15.75" customHeight="1" x14ac:dyDescent="0.25">
      <c r="A75" s="182" t="s">
        <v>138</v>
      </c>
      <c r="B75" s="183"/>
      <c r="C75" s="184" t="s">
        <v>330</v>
      </c>
      <c r="D75" s="185"/>
      <c r="E75" s="185"/>
      <c r="F75" s="185"/>
      <c r="G75" s="185"/>
      <c r="H75" s="186"/>
      <c r="I75" s="42" t="str">
        <f ca="1">IF(D88=100%,"All work Completed. Possession granted to the Building.",IF(D87=100%,"All work Completed, Waiting for OC",I76&amp;""&amp;I77&amp;""&amp;J76&amp;""&amp;J75&amp;" "&amp;J77))</f>
        <v>Excavation, Plinth, RCC Slab, Brickwork, Internal Plaster, External Plaster, Flooring Completed, Painting upto 6 Floor, Finishing upto 3 Floor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Painting upto 6 Floor, Finishing upto 3 Floor</v>
      </c>
      <c r="S75"/>
    </row>
    <row r="76" spans="1:19" x14ac:dyDescent="0.25">
      <c r="A76" s="15" t="s">
        <v>140</v>
      </c>
      <c r="B76" s="46">
        <f>IF(AND(ISNUMBER(SEARCH("1B",C75))),1,IF(AND(ISNUMBER(SEARCH("2B",C75))),2,IF(AND(ISNUMBER(SEARCH("3B",C75))),3,IF(AND(ISNUMBER(SEARCH("4B",C75))),4,IF(ISNUMBER(SEARCH("5B",C75)),5,0)))))</f>
        <v>1</v>
      </c>
      <c r="C76" s="47" t="s">
        <v>69</v>
      </c>
      <c r="D76" s="47">
        <v>1</v>
      </c>
      <c r="E76" s="47" t="s">
        <v>68</v>
      </c>
      <c r="F76" s="47">
        <v>0</v>
      </c>
      <c r="G76" s="47" t="s">
        <v>77</v>
      </c>
      <c r="H76" s="16">
        <f ca="1">--TRIM(RIGHT(SUBSTITUTE(LEFT(C75,_xlfn.AGGREGATE(16,6,FIND({0,1,2,3,4,5,6,7,8,9},C75,ROW(INDIRECT("1:"&amp;LEN(C75)))),1))," ",REPT(" ",LEN(C75))),LEN(C75)))</f>
        <v>7</v>
      </c>
      <c r="I76" s="44"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 Flooring</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3.950000000000003" customHeight="1" x14ac:dyDescent="0.25">
      <c r="A77" s="166" t="s">
        <v>87</v>
      </c>
      <c r="B77" s="166"/>
      <c r="C77" s="187" t="str">
        <f ca="1">I75</f>
        <v>Excavation, Plinth, RCC Slab, Brickwork, Internal Plaster, External Plaster, Flooring Completed, Painting upto 6 Floor, Finishing upto 3 Floor Completed</v>
      </c>
      <c r="D77" s="187"/>
      <c r="E77" s="187"/>
      <c r="F77" s="187"/>
      <c r="G77" s="187"/>
      <c r="H77" s="187"/>
      <c r="I77" s="77" t="str">
        <f ca="1">IF(I76&lt;&gt;""," Completed","")</f>
        <v xml:space="preserve"> Completed</v>
      </c>
      <c r="J77" s="45" t="str">
        <f ca="1">IF(J75&lt;&gt;"","Completed","")</f>
        <v>Completed</v>
      </c>
      <c r="S77"/>
    </row>
    <row r="78" spans="1:19" ht="15.75" customHeight="1" x14ac:dyDescent="0.25">
      <c r="A78" s="142" t="s">
        <v>47</v>
      </c>
      <c r="B78" s="142"/>
      <c r="C78" s="76" t="s">
        <v>137</v>
      </c>
      <c r="D78" s="76" t="s">
        <v>80</v>
      </c>
      <c r="E78" s="143" t="s">
        <v>82</v>
      </c>
      <c r="F78" s="143"/>
      <c r="G78" s="143" t="s">
        <v>81</v>
      </c>
      <c r="H78" s="143"/>
      <c r="I78" s="13" t="s">
        <v>139</v>
      </c>
      <c r="J78" s="25">
        <f ca="1">H76*25%</f>
        <v>1.75</v>
      </c>
      <c r="S78"/>
    </row>
    <row r="79" spans="1:19" x14ac:dyDescent="0.25">
      <c r="A79" s="142" t="s">
        <v>126</v>
      </c>
      <c r="B79" s="142"/>
      <c r="C79" s="76">
        <f ca="1">J80</f>
        <v>7</v>
      </c>
      <c r="D79" s="70">
        <f ca="1">((100/H76)*C79)/100</f>
        <v>1</v>
      </c>
      <c r="E79" s="144">
        <f ca="1">(((C80/H76*10)+(40/(D76+F76+H76)*C81)+(7.5/(H76)*C82)+(7.5/(H76)*C83)+(10/H76*C84)+(10/H76*C85)+(5/H76*C86)+(5/H76*C87)+(5/H76*C88))/100)</f>
        <v>0.91428571428571426</v>
      </c>
      <c r="F79" s="144"/>
      <c r="G79" s="144">
        <f ca="1">((((C79/H76)*20)+((C80/H76)*25)+(30/(H76+F76+D76)*C81)+(5/H76*C82)+(5/H76*C83)+(5/H76*C84)+(5/H76*C85)+(0/H76*C86)+(0/H76*C87)+(5/H76*C88))/100)</f>
        <v>0.95</v>
      </c>
      <c r="H79" s="144"/>
      <c r="I79" s="13" t="s">
        <v>98</v>
      </c>
      <c r="J79" s="26">
        <f ca="1">H76*50%</f>
        <v>3.5</v>
      </c>
    </row>
    <row r="80" spans="1:19" x14ac:dyDescent="0.25">
      <c r="A80" s="142" t="s">
        <v>48</v>
      </c>
      <c r="B80" s="142"/>
      <c r="C80" s="76">
        <f ca="1">J88</f>
        <v>7</v>
      </c>
      <c r="D80" s="70">
        <f ca="1">((100/H76)*C80)/100</f>
        <v>1</v>
      </c>
      <c r="E80" s="144"/>
      <c r="F80" s="144"/>
      <c r="G80" s="144"/>
      <c r="H80" s="144"/>
      <c r="I80" s="13" t="s">
        <v>99</v>
      </c>
      <c r="J80" s="26">
        <f ca="1">H76</f>
        <v>7</v>
      </c>
      <c r="S80"/>
    </row>
    <row r="81" spans="1:22" ht="15.75" customHeight="1" x14ac:dyDescent="0.25">
      <c r="A81" s="142" t="s">
        <v>127</v>
      </c>
      <c r="B81" s="142"/>
      <c r="C81" s="76">
        <v>8</v>
      </c>
      <c r="D81" s="70">
        <f ca="1">((100/(D76+F76+H76))*C81)/100</f>
        <v>1</v>
      </c>
      <c r="E81" s="144"/>
      <c r="F81" s="144"/>
      <c r="G81" s="144"/>
      <c r="H81" s="144"/>
      <c r="I81" s="13" t="s">
        <v>100</v>
      </c>
      <c r="J81" s="27">
        <f ca="1">(IF(B76&gt;1,(H76/(B76+2)),H76/4))</f>
        <v>1.75</v>
      </c>
      <c r="S81"/>
    </row>
    <row r="82" spans="1:22" ht="15.75" customHeight="1" x14ac:dyDescent="0.25">
      <c r="A82" s="142" t="s">
        <v>134</v>
      </c>
      <c r="B82" s="142" t="s">
        <v>128</v>
      </c>
      <c r="C82" s="76">
        <v>7</v>
      </c>
      <c r="D82" s="70">
        <f ca="1">((100/H76)*C82)/100</f>
        <v>1</v>
      </c>
      <c r="E82" s="144"/>
      <c r="F82" s="144"/>
      <c r="G82" s="144"/>
      <c r="H82" s="144"/>
      <c r="I82" s="13" t="s">
        <v>101</v>
      </c>
      <c r="J82" s="27">
        <f ca="1">(IF(B76&gt;1,(H76/(B76+2)+J81),H76/4+J81))</f>
        <v>3.5</v>
      </c>
    </row>
    <row r="83" spans="1:22" ht="15.75" customHeight="1" x14ac:dyDescent="0.25">
      <c r="A83" s="142" t="s">
        <v>135</v>
      </c>
      <c r="B83" s="142" t="s">
        <v>128</v>
      </c>
      <c r="C83" s="76">
        <v>7</v>
      </c>
      <c r="D83" s="70">
        <f ca="1">((100/H76)*C83)/100</f>
        <v>1</v>
      </c>
      <c r="E83" s="144"/>
      <c r="F83" s="144"/>
      <c r="G83" s="144"/>
      <c r="H83" s="144"/>
      <c r="I83" s="13" t="s">
        <v>144</v>
      </c>
      <c r="J83" s="27">
        <f>(IF(B76&gt;1,(H76/(B76+2)+J82),0))</f>
        <v>0</v>
      </c>
    </row>
    <row r="84" spans="1:22" ht="15" customHeight="1" x14ac:dyDescent="0.25">
      <c r="A84" s="142" t="s">
        <v>133</v>
      </c>
      <c r="B84" s="142" t="s">
        <v>130</v>
      </c>
      <c r="C84" s="76">
        <v>7</v>
      </c>
      <c r="D84" s="70">
        <f ca="1">((100/(H76))*C84)/100</f>
        <v>1</v>
      </c>
      <c r="E84" s="144"/>
      <c r="F84" s="144"/>
      <c r="G84" s="144"/>
      <c r="H84" s="144"/>
      <c r="I84" s="13" t="s">
        <v>141</v>
      </c>
      <c r="J84" s="27">
        <f>(IF(B76&gt;2,(H76/(B76+2)+J83),0))</f>
        <v>0</v>
      </c>
    </row>
    <row r="85" spans="1:22" ht="15.75" customHeight="1" x14ac:dyDescent="0.25">
      <c r="A85" s="142" t="s">
        <v>129</v>
      </c>
      <c r="B85" s="142" t="s">
        <v>129</v>
      </c>
      <c r="C85" s="76">
        <v>7</v>
      </c>
      <c r="D85" s="70">
        <f ca="1">((100/H76)*C85)/100</f>
        <v>1</v>
      </c>
      <c r="E85" s="144"/>
      <c r="F85" s="144"/>
      <c r="G85" s="144"/>
      <c r="H85" s="144"/>
      <c r="I85" s="13" t="s">
        <v>142</v>
      </c>
      <c r="J85" s="28">
        <f>(IF(B76&gt;3,(H76/(B76+2)+J84),0))</f>
        <v>0</v>
      </c>
    </row>
    <row r="86" spans="1:22" ht="15.75" customHeight="1" x14ac:dyDescent="0.25">
      <c r="A86" s="142" t="s">
        <v>136</v>
      </c>
      <c r="B86" s="142"/>
      <c r="C86" s="76">
        <v>6</v>
      </c>
      <c r="D86" s="70">
        <f ca="1">((100/H76)*C86)/100</f>
        <v>0.85714285714285721</v>
      </c>
      <c r="E86" s="144"/>
      <c r="F86" s="144"/>
      <c r="G86" s="144"/>
      <c r="H86" s="144"/>
      <c r="I86" s="13" t="s">
        <v>143</v>
      </c>
      <c r="J86" s="27">
        <f>(IF(B76&gt;4,(H76/(B76+2)+J85),0))</f>
        <v>0</v>
      </c>
    </row>
    <row r="87" spans="1:22" ht="15.75" customHeight="1" x14ac:dyDescent="0.25">
      <c r="A87" s="142" t="s">
        <v>131</v>
      </c>
      <c r="B87" s="142" t="s">
        <v>131</v>
      </c>
      <c r="C87" s="76">
        <v>3</v>
      </c>
      <c r="D87" s="70">
        <f ca="1">((100/(H76))*C87)/100</f>
        <v>0.4285714285714286</v>
      </c>
      <c r="E87" s="144"/>
      <c r="F87" s="144"/>
      <c r="G87" s="144"/>
      <c r="H87" s="144"/>
      <c r="I87" s="13" t="s">
        <v>145</v>
      </c>
      <c r="J87" s="27">
        <f ca="1">(IF(B76=1,(H76/(B76+3)+J82),IF(B76=0,(H76/4+J82),IF(B76&gt;1,0))))</f>
        <v>5.25</v>
      </c>
    </row>
    <row r="88" spans="1:22" ht="16.5" thickBot="1" x14ac:dyDescent="0.3">
      <c r="A88" s="142" t="s">
        <v>132</v>
      </c>
      <c r="B88" s="142"/>
      <c r="C88" s="76">
        <v>0</v>
      </c>
      <c r="D88" s="70">
        <f ca="1">((100/(H76))*C88)/100</f>
        <v>0</v>
      </c>
      <c r="E88" s="144"/>
      <c r="F88" s="144"/>
      <c r="G88" s="144"/>
      <c r="H88" s="144"/>
      <c r="I88" s="14" t="s">
        <v>102</v>
      </c>
      <c r="J88" s="29">
        <f ca="1">(IF(B76&gt;1.5,(H76/(B76+2)+J82+MAX(0,J83-J82)+MAX(0,J84-J83)+MAX(0,J85-J84)+MAX(0,J86-J85)+MAX(0,J87-J86)),IF(B76=1,(H76/(B76+3)+J87),IF(B76=0,H76/4+J87))))</f>
        <v>7</v>
      </c>
    </row>
    <row r="89" spans="1:22" x14ac:dyDescent="0.25">
      <c r="A89" s="133" t="s">
        <v>155</v>
      </c>
      <c r="B89" s="133"/>
      <c r="C89" s="133"/>
      <c r="D89" s="133"/>
      <c r="E89" s="133"/>
      <c r="F89" s="148" t="s">
        <v>159</v>
      </c>
      <c r="G89" s="148"/>
      <c r="H89" s="148"/>
      <c r="R89" t="s">
        <v>252</v>
      </c>
      <c r="S89" t="s">
        <v>172</v>
      </c>
      <c r="T89" t="s">
        <v>178</v>
      </c>
      <c r="U89" t="s">
        <v>193</v>
      </c>
      <c r="V89" t="s">
        <v>188</v>
      </c>
    </row>
    <row r="90" spans="1:22" x14ac:dyDescent="0.25">
      <c r="A90" s="95" t="s">
        <v>157</v>
      </c>
      <c r="B90" s="95"/>
      <c r="C90" s="95"/>
      <c r="D90" s="95"/>
      <c r="E90" s="95"/>
      <c r="F90" s="92">
        <v>5200</v>
      </c>
      <c r="G90" s="92"/>
      <c r="H90" s="92"/>
      <c r="R90"/>
      <c r="S90">
        <v>800000</v>
      </c>
      <c r="T90">
        <v>150000</v>
      </c>
      <c r="U90">
        <v>100000</v>
      </c>
      <c r="V90">
        <v>100000</v>
      </c>
    </row>
    <row r="91" spans="1:22" x14ac:dyDescent="0.25">
      <c r="A91" s="95" t="s">
        <v>156</v>
      </c>
      <c r="B91" s="95"/>
      <c r="C91" s="95"/>
      <c r="D91" s="95"/>
      <c r="E91" s="95"/>
      <c r="F91" s="92">
        <v>9000</v>
      </c>
      <c r="G91" s="92"/>
      <c r="H91" s="92"/>
      <c r="R91"/>
      <c r="S91">
        <v>900000</v>
      </c>
      <c r="T91">
        <v>200000</v>
      </c>
      <c r="U91">
        <v>150000</v>
      </c>
      <c r="V91">
        <v>150000</v>
      </c>
    </row>
    <row r="92" spans="1:22" hidden="1" x14ac:dyDescent="0.25">
      <c r="A92" s="95" t="s">
        <v>158</v>
      </c>
      <c r="B92" s="95"/>
      <c r="C92" s="95"/>
      <c r="D92" s="95"/>
      <c r="E92" s="95"/>
      <c r="F92" s="92"/>
      <c r="G92" s="92"/>
      <c r="H92" s="92"/>
      <c r="R92"/>
      <c r="S92">
        <v>1000000</v>
      </c>
      <c r="T92">
        <v>250000</v>
      </c>
      <c r="U92">
        <v>200000</v>
      </c>
      <c r="V92">
        <v>200000</v>
      </c>
    </row>
    <row r="93" spans="1:22" s="30" customFormat="1" hidden="1" x14ac:dyDescent="0.25">
      <c r="A93" s="95" t="s">
        <v>175</v>
      </c>
      <c r="B93" s="95"/>
      <c r="C93" s="95"/>
      <c r="D93" s="95"/>
      <c r="E93" s="95"/>
      <c r="F93" s="92"/>
      <c r="G93" s="92"/>
      <c r="H93" s="92"/>
      <c r="R93"/>
      <c r="S93">
        <v>1100000</v>
      </c>
      <c r="T93">
        <v>300000</v>
      </c>
      <c r="U93">
        <v>250000</v>
      </c>
      <c r="V93" s="20">
        <v>250000</v>
      </c>
    </row>
    <row r="94" spans="1:22" s="30" customFormat="1" hidden="1" x14ac:dyDescent="0.25">
      <c r="A94" s="95" t="s">
        <v>92</v>
      </c>
      <c r="B94" s="95"/>
      <c r="C94" s="95"/>
      <c r="D94" s="95"/>
      <c r="E94" s="95"/>
      <c r="F94" s="92"/>
      <c r="G94" s="92"/>
      <c r="H94" s="92"/>
      <c r="R94"/>
      <c r="S94">
        <v>1200000</v>
      </c>
      <c r="T94">
        <v>350000</v>
      </c>
      <c r="U94">
        <v>300000</v>
      </c>
      <c r="V94">
        <v>300000</v>
      </c>
    </row>
    <row r="95" spans="1:22" s="30" customFormat="1" hidden="1" x14ac:dyDescent="0.25">
      <c r="A95" s="95" t="s">
        <v>93</v>
      </c>
      <c r="B95" s="95"/>
      <c r="C95" s="95"/>
      <c r="D95" s="95"/>
      <c r="E95" s="95"/>
      <c r="F95" s="92"/>
      <c r="G95" s="92"/>
      <c r="H95" s="92"/>
      <c r="R95"/>
      <c r="S95">
        <v>1300000</v>
      </c>
      <c r="T95">
        <v>400000</v>
      </c>
      <c r="U95">
        <v>350000</v>
      </c>
      <c r="V95" s="20">
        <v>400000</v>
      </c>
    </row>
    <row r="96" spans="1:22" s="30" customFormat="1" hidden="1" x14ac:dyDescent="0.25">
      <c r="A96" s="95" t="s">
        <v>94</v>
      </c>
      <c r="B96" s="95"/>
      <c r="C96" s="95"/>
      <c r="D96" s="95"/>
      <c r="E96" s="95"/>
      <c r="F96" s="92"/>
      <c r="G96" s="92"/>
      <c r="H96" s="92"/>
      <c r="R96"/>
      <c r="S96">
        <v>1400000</v>
      </c>
      <c r="T96">
        <v>500000</v>
      </c>
      <c r="U96">
        <v>400000</v>
      </c>
      <c r="V96"/>
    </row>
    <row r="97" spans="1:22" s="30" customFormat="1" hidden="1" x14ac:dyDescent="0.25">
      <c r="A97" s="95" t="s">
        <v>95</v>
      </c>
      <c r="B97" s="95"/>
      <c r="C97" s="95"/>
      <c r="D97" s="95"/>
      <c r="E97" s="95"/>
      <c r="F97" s="92"/>
      <c r="G97" s="92"/>
      <c r="H97" s="92"/>
      <c r="R97"/>
      <c r="S97">
        <v>1500000</v>
      </c>
      <c r="T97">
        <v>600000</v>
      </c>
      <c r="U97">
        <v>500000</v>
      </c>
      <c r="V97" s="20"/>
    </row>
    <row r="98" spans="1:22" s="30" customFormat="1" hidden="1" x14ac:dyDescent="0.25">
      <c r="A98" s="95" t="s">
        <v>96</v>
      </c>
      <c r="B98" s="95"/>
      <c r="C98" s="95"/>
      <c r="D98" s="95"/>
      <c r="E98" s="95"/>
      <c r="F98" s="92"/>
      <c r="G98" s="92"/>
      <c r="H98" s="92"/>
      <c r="R98"/>
      <c r="S98">
        <v>1600000</v>
      </c>
      <c r="T98">
        <v>700000</v>
      </c>
      <c r="U98">
        <v>600000</v>
      </c>
      <c r="V98"/>
    </row>
    <row r="99" spans="1:22" s="30" customFormat="1" hidden="1" x14ac:dyDescent="0.25">
      <c r="A99" s="95" t="s">
        <v>97</v>
      </c>
      <c r="B99" s="95"/>
      <c r="C99" s="95"/>
      <c r="D99" s="95"/>
      <c r="E99" s="95"/>
      <c r="F99" s="92"/>
      <c r="G99" s="92"/>
      <c r="H99" s="92"/>
      <c r="R99"/>
      <c r="S99">
        <v>1700000</v>
      </c>
      <c r="T99">
        <v>800000</v>
      </c>
      <c r="U99"/>
      <c r="V99" s="20"/>
    </row>
    <row r="100" spans="1:22" x14ac:dyDescent="0.25">
      <c r="A100" s="95" t="s">
        <v>49</v>
      </c>
      <c r="B100" s="95"/>
      <c r="C100" s="95"/>
      <c r="D100" s="95"/>
      <c r="E100" s="95"/>
      <c r="F100" s="161">
        <v>200000</v>
      </c>
      <c r="G100" s="161"/>
      <c r="H100" s="161"/>
      <c r="R100"/>
      <c r="S100">
        <v>1800000</v>
      </c>
      <c r="T100">
        <v>900000</v>
      </c>
      <c r="U100"/>
    </row>
    <row r="101" spans="1:22" s="31" customFormat="1" x14ac:dyDescent="0.25">
      <c r="A101" s="162" t="s">
        <v>50</v>
      </c>
      <c r="B101" s="162"/>
      <c r="C101" s="162"/>
      <c r="D101" s="162"/>
      <c r="E101" s="162"/>
      <c r="F101" s="92">
        <f>F90*0.8</f>
        <v>4160</v>
      </c>
      <c r="G101" s="92"/>
      <c r="H101" s="92"/>
      <c r="R101" s="18"/>
      <c r="S101" s="18"/>
      <c r="T101">
        <v>1000000</v>
      </c>
      <c r="U101"/>
      <c r="V101" s="18"/>
    </row>
    <row r="102" spans="1:22" s="32" customFormat="1" ht="15.75" customHeight="1" x14ac:dyDescent="0.25">
      <c r="A102" s="160" t="s">
        <v>72</v>
      </c>
      <c r="B102" s="160"/>
      <c r="C102" s="160"/>
      <c r="D102" s="160"/>
      <c r="E102" s="160"/>
      <c r="F102" s="160"/>
      <c r="G102" s="160"/>
      <c r="H102" s="160"/>
      <c r="R102"/>
      <c r="S102" s="18"/>
      <c r="T102"/>
      <c r="U102"/>
      <c r="V102" s="18"/>
    </row>
    <row r="103" spans="1:22" s="32" customFormat="1" ht="15.75" customHeight="1" x14ac:dyDescent="0.25">
      <c r="A103" s="94" t="s">
        <v>51</v>
      </c>
      <c r="B103" s="94"/>
      <c r="C103" s="101" t="s">
        <v>75</v>
      </c>
      <c r="D103" s="101"/>
      <c r="E103" s="99" t="s">
        <v>52</v>
      </c>
      <c r="F103" s="99"/>
      <c r="G103" s="94" t="s">
        <v>53</v>
      </c>
      <c r="H103" s="94"/>
      <c r="R103"/>
      <c r="S103" s="18"/>
      <c r="T103"/>
      <c r="U103" s="18"/>
      <c r="V103" s="18"/>
    </row>
    <row r="104" spans="1:22" s="32" customFormat="1" x14ac:dyDescent="0.25">
      <c r="A104" s="100" t="s">
        <v>316</v>
      </c>
      <c r="B104" s="100"/>
      <c r="C104" s="115">
        <f>COUNT(D119:D129)</f>
        <v>11</v>
      </c>
      <c r="D104" s="116"/>
      <c r="E104" s="115">
        <f t="shared" ref="E104" si="0">SUM(F119:F129)</f>
        <v>2291.8708800000004</v>
      </c>
      <c r="F104" s="116"/>
      <c r="G104" s="115">
        <f t="shared" ref="G104" si="1">SUM(H119:H129)</f>
        <v>3437.8063199999997</v>
      </c>
      <c r="H104" s="116"/>
      <c r="R104"/>
      <c r="S104" s="18"/>
      <c r="T104"/>
      <c r="U104" s="18"/>
      <c r="V104" s="18"/>
    </row>
    <row r="105" spans="1:22" s="32" customFormat="1" hidden="1" x14ac:dyDescent="0.25">
      <c r="A105" s="100"/>
      <c r="B105" s="100"/>
      <c r="C105" s="116"/>
      <c r="D105" s="116"/>
      <c r="E105" s="134"/>
      <c r="F105" s="134"/>
      <c r="G105" s="132"/>
      <c r="H105" s="132"/>
      <c r="R105"/>
      <c r="S105" s="18"/>
      <c r="T105"/>
      <c r="U105" s="18"/>
      <c r="V105" s="18"/>
    </row>
    <row r="106" spans="1:22" s="32" customFormat="1" hidden="1" x14ac:dyDescent="0.25">
      <c r="A106" s="160" t="s">
        <v>148</v>
      </c>
      <c r="B106" s="160"/>
      <c r="C106" s="101"/>
      <c r="D106" s="101"/>
      <c r="E106" s="99"/>
      <c r="F106" s="99"/>
      <c r="G106" s="94"/>
      <c r="H106" s="94"/>
      <c r="R106"/>
      <c r="S106" s="18"/>
      <c r="T106"/>
      <c r="U106" s="18"/>
      <c r="V106" s="18"/>
    </row>
    <row r="107" spans="1:22" s="32" customFormat="1" x14ac:dyDescent="0.25">
      <c r="A107" s="160" t="s">
        <v>67</v>
      </c>
      <c r="B107" s="160"/>
      <c r="C107" s="160"/>
      <c r="D107" s="160"/>
      <c r="E107" s="160"/>
      <c r="F107" s="160"/>
      <c r="G107" s="160"/>
      <c r="H107" s="160"/>
      <c r="T107"/>
    </row>
    <row r="108" spans="1:22" s="32" customFormat="1" ht="15.75" customHeight="1" x14ac:dyDescent="0.25">
      <c r="A108" s="94" t="s">
        <v>51</v>
      </c>
      <c r="B108" s="94"/>
      <c r="C108" s="101" t="s">
        <v>75</v>
      </c>
      <c r="D108" s="101"/>
      <c r="E108" s="99" t="s">
        <v>52</v>
      </c>
      <c r="F108" s="99"/>
      <c r="G108" s="94" t="s">
        <v>53</v>
      </c>
      <c r="H108" s="94"/>
      <c r="T108"/>
    </row>
    <row r="109" spans="1:22" s="32" customFormat="1" ht="16.5" thickBot="1" x14ac:dyDescent="0.3">
      <c r="A109" s="100" t="s">
        <v>324</v>
      </c>
      <c r="B109" s="100"/>
      <c r="C109" s="115">
        <f>COUNT(D134:D137)+COUNT(D139:D146)*7</f>
        <v>60</v>
      </c>
      <c r="D109" s="116"/>
      <c r="E109" s="115">
        <f t="shared" ref="E109" si="2">SUM(F134:F137)+SUM(F139:F146)*7</f>
        <v>32725.628278199998</v>
      </c>
      <c r="F109" s="116"/>
      <c r="G109" s="115">
        <f t="shared" ref="G109" si="3">SUM(H134:H137)+SUM(H139:H146)*7</f>
        <v>47452.161003389992</v>
      </c>
      <c r="H109" s="116"/>
      <c r="T109"/>
    </row>
    <row r="110" spans="1:22" s="32" customFormat="1" hidden="1" x14ac:dyDescent="0.25">
      <c r="A110" s="100"/>
      <c r="B110" s="100"/>
      <c r="C110" s="116"/>
      <c r="D110" s="116"/>
      <c r="E110" s="134"/>
      <c r="F110" s="134"/>
      <c r="G110" s="132"/>
      <c r="H110" s="132"/>
      <c r="T110"/>
    </row>
    <row r="111" spans="1:22" s="32" customFormat="1" ht="16.5" hidden="1" thickBot="1" x14ac:dyDescent="0.3">
      <c r="A111" s="201" t="s">
        <v>148</v>
      </c>
      <c r="B111" s="201"/>
      <c r="C111" s="117"/>
      <c r="D111" s="117"/>
      <c r="E111" s="202"/>
      <c r="F111" s="202"/>
      <c r="G111" s="203"/>
      <c r="H111" s="203"/>
      <c r="T111"/>
    </row>
    <row r="112" spans="1:22" s="32" customFormat="1" ht="16.5" thickBot="1" x14ac:dyDescent="0.3">
      <c r="A112" s="155" t="s">
        <v>165</v>
      </c>
      <c r="B112" s="156"/>
      <c r="C112" s="128">
        <f>C104+C109</f>
        <v>71</v>
      </c>
      <c r="D112" s="129"/>
      <c r="E112" s="128">
        <f t="shared" ref="E112" si="4">E104+E109</f>
        <v>35017.4991582</v>
      </c>
      <c r="F112" s="129"/>
      <c r="G112" s="128">
        <f t="shared" ref="G112" si="5">G104+G109</f>
        <v>50889.967323389996</v>
      </c>
      <c r="H112" s="129"/>
      <c r="T112"/>
    </row>
    <row r="113" spans="1:20" s="31" customFormat="1" x14ac:dyDescent="0.25">
      <c r="A113" s="148" t="s">
        <v>54</v>
      </c>
      <c r="B113" s="148"/>
      <c r="C113" s="148"/>
      <c r="D113" s="148"/>
      <c r="E113" s="148"/>
      <c r="F113" s="148"/>
      <c r="G113" s="148"/>
      <c r="H113" s="148"/>
      <c r="T113" s="32"/>
    </row>
    <row r="114" spans="1:20" x14ac:dyDescent="0.25">
      <c r="A114" s="93" t="s">
        <v>174</v>
      </c>
      <c r="B114" s="93"/>
      <c r="C114" s="93"/>
      <c r="D114" s="93"/>
      <c r="E114" s="93"/>
      <c r="F114" s="93"/>
      <c r="G114" s="93"/>
      <c r="H114" s="93"/>
      <c r="T114" s="32"/>
    </row>
    <row r="115" spans="1:20" ht="47.25" customHeight="1" x14ac:dyDescent="0.25">
      <c r="A115" s="146" t="s">
        <v>117</v>
      </c>
      <c r="B115" s="113" t="s">
        <v>176</v>
      </c>
      <c r="C115" s="113" t="s">
        <v>55</v>
      </c>
      <c r="D115" s="113" t="s">
        <v>315</v>
      </c>
      <c r="E115" s="130" t="s">
        <v>154</v>
      </c>
      <c r="F115" s="113" t="s">
        <v>56</v>
      </c>
      <c r="G115" s="130" t="s">
        <v>57</v>
      </c>
      <c r="H115" s="72" t="s">
        <v>147</v>
      </c>
      <c r="T115" s="32"/>
    </row>
    <row r="116" spans="1:20" s="34" customFormat="1" x14ac:dyDescent="0.25">
      <c r="A116" s="147"/>
      <c r="B116" s="114"/>
      <c r="C116" s="114"/>
      <c r="D116" s="114"/>
      <c r="E116" s="131"/>
      <c r="F116" s="114"/>
      <c r="G116" s="131"/>
      <c r="H116" s="73">
        <v>0.5</v>
      </c>
      <c r="T116" s="32"/>
    </row>
    <row r="117" spans="1:20" s="69" customFormat="1" x14ac:dyDescent="0.25">
      <c r="A117" s="118" t="s">
        <v>327</v>
      </c>
      <c r="B117" s="119"/>
      <c r="C117" s="119"/>
      <c r="D117" s="119"/>
      <c r="E117" s="119"/>
      <c r="F117" s="119"/>
      <c r="G117" s="119"/>
      <c r="H117" s="120"/>
      <c r="J117" s="33"/>
      <c r="L117" s="68">
        <v>10.763999999999999</v>
      </c>
      <c r="T117" s="32"/>
    </row>
    <row r="118" spans="1:20" s="34" customFormat="1" x14ac:dyDescent="0.25">
      <c r="A118" s="118" t="s">
        <v>313</v>
      </c>
      <c r="B118" s="119"/>
      <c r="C118" s="119"/>
      <c r="D118" s="119"/>
      <c r="E118" s="119"/>
      <c r="F118" s="119"/>
      <c r="G118" s="119"/>
      <c r="H118" s="120"/>
      <c r="J118" s="33"/>
      <c r="L118" s="66">
        <v>10.763999999999999</v>
      </c>
      <c r="T118" s="32"/>
    </row>
    <row r="119" spans="1:20" s="34" customFormat="1" ht="15.75" customHeight="1" x14ac:dyDescent="0.25">
      <c r="A119" s="82">
        <v>1</v>
      </c>
      <c r="B119" s="83"/>
      <c r="C119" s="39" t="s">
        <v>312</v>
      </c>
      <c r="D119" s="66">
        <f>(15.81)*10.764</f>
        <v>170.17884000000001</v>
      </c>
      <c r="E119" s="39">
        <v>0</v>
      </c>
      <c r="F119" s="58">
        <f>D119+(IF(E119&lt;201,E119,IF(E119&lt;301,E119/2,E119/3)))</f>
        <v>170.17884000000001</v>
      </c>
      <c r="G119" s="59">
        <v>0</v>
      </c>
      <c r="H119" s="58">
        <f>(F119+(IF(G119&lt;101,G119,IF(G119&lt;201,G119/2,IF(G119&lt;=301,G119/3,G119/4)))))*(($H$116)+1)</f>
        <v>255.26826</v>
      </c>
      <c r="I119" s="71">
        <f>2.75*5.75</f>
        <v>15.8125</v>
      </c>
      <c r="L119" s="81"/>
      <c r="M119" s="81"/>
      <c r="N119" s="33"/>
      <c r="T119" s="32"/>
    </row>
    <row r="120" spans="1:20" s="34" customFormat="1" ht="15.75" customHeight="1" x14ac:dyDescent="0.25">
      <c r="A120" s="82">
        <f>A119+1</f>
        <v>2</v>
      </c>
      <c r="B120" s="83"/>
      <c r="C120" s="66" t="s">
        <v>312</v>
      </c>
      <c r="D120" s="66">
        <f>(12.36)*10.764</f>
        <v>133.04303999999999</v>
      </c>
      <c r="E120" s="39">
        <v>0</v>
      </c>
      <c r="F120" s="58">
        <f t="shared" ref="F120:F122" si="6">D120+(IF(E120&lt;201,E120,IF(E120&lt;301,E120/2,E120/3)))</f>
        <v>133.04303999999999</v>
      </c>
      <c r="G120" s="51">
        <v>0</v>
      </c>
      <c r="H120" s="58">
        <f t="shared" ref="H120:H122" si="7">(F120+(IF(G120&lt;101,G120,IF(G120&lt;201,G120/2,IF(G120&lt;=301,G120/3,G120/4)))))*(($H$116)+1)</f>
        <v>199.56455999999997</v>
      </c>
      <c r="I120" s="33"/>
      <c r="L120" s="81"/>
      <c r="M120" s="81"/>
      <c r="N120" s="33"/>
      <c r="T120" s="31"/>
    </row>
    <row r="121" spans="1:20" s="34" customFormat="1" ht="15.75" customHeight="1" x14ac:dyDescent="0.25">
      <c r="A121" s="82">
        <f>A120+1</f>
        <v>3</v>
      </c>
      <c r="B121" s="83"/>
      <c r="C121" s="66" t="s">
        <v>312</v>
      </c>
      <c r="D121" s="66">
        <f>(25.67)*10.764</f>
        <v>276.31187999999997</v>
      </c>
      <c r="E121" s="39">
        <v>0</v>
      </c>
      <c r="F121" s="58">
        <f t="shared" si="6"/>
        <v>276.31187999999997</v>
      </c>
      <c r="G121" s="51">
        <v>0</v>
      </c>
      <c r="H121" s="58">
        <f t="shared" si="7"/>
        <v>414.46781999999996</v>
      </c>
      <c r="I121" s="33"/>
      <c r="L121" s="81"/>
      <c r="M121" s="81"/>
      <c r="N121" s="33"/>
      <c r="T121" s="18"/>
    </row>
    <row r="122" spans="1:20" s="34" customFormat="1" ht="15.75" customHeight="1" x14ac:dyDescent="0.25">
      <c r="A122" s="82">
        <f>A121+1</f>
        <v>4</v>
      </c>
      <c r="B122" s="83"/>
      <c r="C122" s="66" t="s">
        <v>312</v>
      </c>
      <c r="D122" s="66">
        <f>(27.69)*10.764</f>
        <v>298.05516</v>
      </c>
      <c r="E122" s="39">
        <v>0</v>
      </c>
      <c r="F122" s="58">
        <f t="shared" si="6"/>
        <v>298.05516</v>
      </c>
      <c r="G122" s="51">
        <v>0</v>
      </c>
      <c r="H122" s="58">
        <f t="shared" si="7"/>
        <v>447.08274</v>
      </c>
      <c r="I122" s="33"/>
      <c r="L122" s="81"/>
      <c r="M122" s="81"/>
      <c r="N122" s="33"/>
      <c r="T122" s="18"/>
    </row>
    <row r="123" spans="1:20" s="67" customFormat="1" ht="15.75" customHeight="1" x14ac:dyDescent="0.25">
      <c r="A123" s="82">
        <f t="shared" ref="A123:A129" si="8">A122+1</f>
        <v>5</v>
      </c>
      <c r="B123" s="83"/>
      <c r="C123" s="66" t="s">
        <v>312</v>
      </c>
      <c r="D123" s="66">
        <f>(30.41)*10.764</f>
        <v>327.33323999999999</v>
      </c>
      <c r="E123" s="66">
        <v>0</v>
      </c>
      <c r="F123" s="66">
        <f t="shared" ref="F123:F129" si="9">D123+(IF(E123&lt;201,E123,IF(E123&lt;301,E123/2,E123/3)))</f>
        <v>327.33323999999999</v>
      </c>
      <c r="G123" s="66">
        <v>0</v>
      </c>
      <c r="H123" s="66">
        <f t="shared" ref="H123:H129" si="10">(F123+(IF(G123&lt;101,G123,IF(G123&lt;201,G123/2,IF(G123&lt;=301,G123/3,G123/4)))))*(($H$116)+1)</f>
        <v>490.99986000000001</v>
      </c>
      <c r="I123" s="33">
        <f>3.9*5.54+2.75*3.2</f>
        <v>30.405999999999999</v>
      </c>
      <c r="L123" s="81"/>
      <c r="M123" s="81"/>
      <c r="N123" s="33"/>
      <c r="T123" s="18"/>
    </row>
    <row r="124" spans="1:20" s="67" customFormat="1" ht="15.75" customHeight="1" x14ac:dyDescent="0.25">
      <c r="A124" s="82">
        <f t="shared" si="8"/>
        <v>6</v>
      </c>
      <c r="B124" s="83"/>
      <c r="C124" s="66" t="s">
        <v>312</v>
      </c>
      <c r="D124" s="66">
        <f>(25.3)*10.764</f>
        <v>272.32920000000001</v>
      </c>
      <c r="E124" s="66">
        <v>0</v>
      </c>
      <c r="F124" s="66">
        <f t="shared" si="9"/>
        <v>272.32920000000001</v>
      </c>
      <c r="G124" s="66">
        <v>0</v>
      </c>
      <c r="H124" s="66">
        <f t="shared" si="10"/>
        <v>408.49380000000002</v>
      </c>
      <c r="I124" s="33"/>
      <c r="L124" s="81"/>
      <c r="M124" s="81"/>
      <c r="N124" s="33"/>
      <c r="T124" s="18"/>
    </row>
    <row r="125" spans="1:20" s="67" customFormat="1" ht="15.75" customHeight="1" x14ac:dyDescent="0.25">
      <c r="A125" s="82">
        <f t="shared" si="8"/>
        <v>7</v>
      </c>
      <c r="B125" s="83"/>
      <c r="C125" s="66" t="s">
        <v>312</v>
      </c>
      <c r="D125" s="66">
        <f>(15.46)*10.764</f>
        <v>166.41144</v>
      </c>
      <c r="E125" s="66">
        <v>0</v>
      </c>
      <c r="F125" s="66">
        <f t="shared" si="9"/>
        <v>166.41144</v>
      </c>
      <c r="G125" s="66">
        <v>0</v>
      </c>
      <c r="H125" s="66">
        <f t="shared" si="10"/>
        <v>249.61716000000001</v>
      </c>
      <c r="I125" s="33"/>
      <c r="L125" s="81"/>
      <c r="M125" s="81"/>
      <c r="N125" s="33"/>
      <c r="T125" s="18"/>
    </row>
    <row r="126" spans="1:20" s="67" customFormat="1" ht="15.75" customHeight="1" x14ac:dyDescent="0.25">
      <c r="A126" s="82">
        <f t="shared" si="8"/>
        <v>8</v>
      </c>
      <c r="B126" s="83"/>
      <c r="C126" s="66" t="s">
        <v>312</v>
      </c>
      <c r="D126" s="66">
        <f>(14.89)*10.764</f>
        <v>160.27596</v>
      </c>
      <c r="E126" s="66">
        <v>0</v>
      </c>
      <c r="F126" s="66">
        <f t="shared" si="9"/>
        <v>160.27596</v>
      </c>
      <c r="G126" s="66">
        <v>0</v>
      </c>
      <c r="H126" s="66">
        <f t="shared" si="10"/>
        <v>240.41394</v>
      </c>
      <c r="I126" s="33"/>
      <c r="L126" s="81"/>
      <c r="M126" s="81"/>
      <c r="N126" s="33"/>
      <c r="T126" s="18"/>
    </row>
    <row r="127" spans="1:20" s="67" customFormat="1" ht="15.75" customHeight="1" x14ac:dyDescent="0.25">
      <c r="A127" s="82">
        <f t="shared" si="8"/>
        <v>9</v>
      </c>
      <c r="B127" s="83"/>
      <c r="C127" s="66" t="s">
        <v>312</v>
      </c>
      <c r="D127" s="66">
        <f>(11.49)*10.764</f>
        <v>123.67836</v>
      </c>
      <c r="E127" s="66">
        <v>0</v>
      </c>
      <c r="F127" s="66">
        <f t="shared" si="9"/>
        <v>123.67836</v>
      </c>
      <c r="G127" s="66">
        <v>0</v>
      </c>
      <c r="H127" s="66">
        <f t="shared" si="10"/>
        <v>185.51754</v>
      </c>
      <c r="I127" s="33">
        <f>3.65*3.15</f>
        <v>11.497499999999999</v>
      </c>
      <c r="L127" s="81"/>
      <c r="M127" s="81"/>
      <c r="N127" s="33"/>
      <c r="T127" s="18"/>
    </row>
    <row r="128" spans="1:20" s="67" customFormat="1" ht="15.75" customHeight="1" x14ac:dyDescent="0.25">
      <c r="A128" s="82">
        <f t="shared" si="8"/>
        <v>10</v>
      </c>
      <c r="B128" s="83"/>
      <c r="C128" s="66" t="s">
        <v>312</v>
      </c>
      <c r="D128" s="66">
        <f>(15.34)*10.764</f>
        <v>165.11975999999999</v>
      </c>
      <c r="E128" s="66">
        <v>0</v>
      </c>
      <c r="F128" s="66">
        <f t="shared" si="9"/>
        <v>165.11975999999999</v>
      </c>
      <c r="G128" s="66">
        <v>0</v>
      </c>
      <c r="H128" s="66">
        <f t="shared" si="10"/>
        <v>247.67963999999998</v>
      </c>
      <c r="I128" s="33"/>
      <c r="L128" s="81"/>
      <c r="M128" s="81"/>
      <c r="N128" s="33"/>
      <c r="T128" s="18"/>
    </row>
    <row r="129" spans="1:20" s="67" customFormat="1" ht="15.75" customHeight="1" x14ac:dyDescent="0.25">
      <c r="A129" s="82">
        <f t="shared" si="8"/>
        <v>11</v>
      </c>
      <c r="B129" s="83"/>
      <c r="C129" s="66" t="s">
        <v>312</v>
      </c>
      <c r="D129" s="66">
        <f>(18.5)*10.764</f>
        <v>199.13399999999999</v>
      </c>
      <c r="E129" s="66">
        <v>0</v>
      </c>
      <c r="F129" s="66">
        <f t="shared" si="9"/>
        <v>199.13399999999999</v>
      </c>
      <c r="G129" s="66">
        <v>0</v>
      </c>
      <c r="H129" s="66">
        <f t="shared" si="10"/>
        <v>298.70099999999996</v>
      </c>
      <c r="I129" s="33">
        <f>5.58*3.315</f>
        <v>18.497699999999998</v>
      </c>
      <c r="L129" s="81"/>
      <c r="M129" s="81"/>
      <c r="N129" s="33"/>
      <c r="T129" s="18"/>
    </row>
    <row r="130" spans="1:20" s="34" customFormat="1" x14ac:dyDescent="0.25">
      <c r="A130" s="82"/>
      <c r="B130" s="149"/>
      <c r="C130" s="149"/>
      <c r="D130" s="149"/>
      <c r="E130" s="149"/>
      <c r="F130" s="149"/>
      <c r="G130" s="149"/>
      <c r="H130" s="83"/>
      <c r="I130" s="33"/>
      <c r="N130" s="33"/>
    </row>
    <row r="131" spans="1:20" ht="47.25" customHeight="1" x14ac:dyDescent="0.25">
      <c r="A131" s="150" t="s">
        <v>118</v>
      </c>
      <c r="B131" s="146" t="s">
        <v>177</v>
      </c>
      <c r="C131" s="146" t="s">
        <v>55</v>
      </c>
      <c r="D131" s="113" t="s">
        <v>321</v>
      </c>
      <c r="E131" s="113" t="s">
        <v>322</v>
      </c>
      <c r="F131" s="146" t="s">
        <v>56</v>
      </c>
      <c r="G131" s="180" t="s">
        <v>57</v>
      </c>
      <c r="H131" s="64" t="s">
        <v>147</v>
      </c>
      <c r="I131" s="33"/>
      <c r="T131" s="34"/>
    </row>
    <row r="132" spans="1:20" s="34" customFormat="1" x14ac:dyDescent="0.25">
      <c r="A132" s="151"/>
      <c r="B132" s="147"/>
      <c r="C132" s="147"/>
      <c r="D132" s="114"/>
      <c r="E132" s="114"/>
      <c r="F132" s="147"/>
      <c r="G132" s="181"/>
      <c r="H132" s="73">
        <v>0.45</v>
      </c>
      <c r="I132" s="33"/>
      <c r="L132" s="69"/>
      <c r="M132" s="69"/>
    </row>
    <row r="133" spans="1:20" s="34" customFormat="1" ht="15.75" customHeight="1" x14ac:dyDescent="0.25">
      <c r="A133" s="118" t="s">
        <v>314</v>
      </c>
      <c r="B133" s="119"/>
      <c r="C133" s="119"/>
      <c r="D133" s="119"/>
      <c r="E133" s="119"/>
      <c r="F133" s="119"/>
      <c r="G133" s="119"/>
      <c r="H133" s="120"/>
      <c r="J133" s="33"/>
      <c r="L133" s="69"/>
      <c r="M133" s="69"/>
    </row>
    <row r="134" spans="1:20" s="34" customFormat="1" ht="15.75" customHeight="1" x14ac:dyDescent="0.25">
      <c r="A134" s="82">
        <v>1</v>
      </c>
      <c r="B134" s="83"/>
      <c r="C134" s="39" t="s">
        <v>317</v>
      </c>
      <c r="D134" s="68">
        <f>(3.2*3.1+0.9*2+2.15*3.65+2.75*3.65+3.765*2.75+1.4*2.4+1.385*1.885+0.9*1.5)*10.764</f>
        <v>508.91626890000003</v>
      </c>
      <c r="E134" s="39">
        <v>0</v>
      </c>
      <c r="F134" s="39">
        <f>D134+E134</f>
        <v>508.91626890000003</v>
      </c>
      <c r="G134" s="51">
        <v>0</v>
      </c>
      <c r="H134" s="51">
        <f>F134*(($H$132)+1)+(IF(G134&lt;101,G134,IF(G134&lt;201,G134/2,IF(G134&lt;=301,G134/3,G134/4))))</f>
        <v>737.92858990500008</v>
      </c>
      <c r="I134" s="33">
        <f>(3.2*3.95+2.15*3.65+2.75*3.65+3.765*2.75+1.385*1.885+1.4*2.4+0.9*1.5)-0.9*2</f>
        <v>46.399475000000002</v>
      </c>
      <c r="J134" s="33">
        <f>(1.2*2.15+1.2*2.75+1.2*2.75)</f>
        <v>9.18</v>
      </c>
      <c r="K134" s="71">
        <f>I134-J134</f>
        <v>37.219475000000003</v>
      </c>
      <c r="L134" s="74"/>
      <c r="M134" s="74"/>
      <c r="N134" s="33"/>
    </row>
    <row r="135" spans="1:20" s="34" customFormat="1" ht="15.75" customHeight="1" x14ac:dyDescent="0.25">
      <c r="A135" s="82">
        <f>A134+1</f>
        <v>2</v>
      </c>
      <c r="B135" s="83"/>
      <c r="C135" s="39" t="s">
        <v>318</v>
      </c>
      <c r="D135" s="68">
        <f>(3.2*3+0.9*2+2.15*3.65+2.75*3.65+1.2*1.885+1.2*0.9+0.9*1.2+0.45*1.5)*10.764</f>
        <v>370.08784799999995</v>
      </c>
      <c r="E135" s="39">
        <v>0</v>
      </c>
      <c r="F135" s="51">
        <f>D135+E135</f>
        <v>370.08784799999995</v>
      </c>
      <c r="G135" s="51">
        <v>0</v>
      </c>
      <c r="H135" s="51">
        <f>F135*(($H$132)+1)+(IF(G135&lt;101,G135,IF(G135&lt;201,G135/2,IF(G135&lt;=301,G135/3,G135/4))))</f>
        <v>536.62737959999993</v>
      </c>
      <c r="I135" s="33">
        <f>3.2*3.95+2.15*3.65+2.75*3.65+1.2*0.9+1.2*1.885+1.2*0.9</f>
        <v>34.946999999999996</v>
      </c>
      <c r="J135" s="34">
        <f>1.2*(2.15+2.75)</f>
        <v>5.88</v>
      </c>
      <c r="K135" s="71">
        <f>I135-J135</f>
        <v>29.066999999999997</v>
      </c>
      <c r="L135" s="74">
        <f>3.2*3.95+2.15*3.65+2.75*3.65+1.2*1.885+1.2*0.9+1.2*1</f>
        <v>35.067</v>
      </c>
      <c r="M135" s="74">
        <f>30.72+5.15</f>
        <v>35.869999999999997</v>
      </c>
      <c r="N135" s="33"/>
    </row>
    <row r="136" spans="1:20" s="34" customFormat="1" ht="15.75" customHeight="1" x14ac:dyDescent="0.25">
      <c r="A136" s="82">
        <f>A135+1</f>
        <v>3</v>
      </c>
      <c r="B136" s="83"/>
      <c r="C136" s="39" t="s">
        <v>318</v>
      </c>
      <c r="D136" s="68">
        <f>(3.2*3+0.9*2+2.15*3.65+2.75*3.65+1.2*1.885+1.2*0.9+0.9*1.2+0.45*1.5)*10.764</f>
        <v>370.08784799999995</v>
      </c>
      <c r="E136" s="39">
        <v>0</v>
      </c>
      <c r="F136" s="51">
        <f>D136+E136</f>
        <v>370.08784799999995</v>
      </c>
      <c r="G136" s="51">
        <v>0</v>
      </c>
      <c r="H136" s="51">
        <f>F136*(($H$132)+1)+(IF(G136&lt;101,G136,IF(G136&lt;201,G136/2,IF(G136&lt;=301,G136/3,G136/4))))</f>
        <v>536.62737959999993</v>
      </c>
      <c r="I136" s="33"/>
      <c r="L136" s="74"/>
      <c r="M136" s="74"/>
      <c r="N136" s="33"/>
    </row>
    <row r="137" spans="1:20" s="34" customFormat="1" ht="15.75" customHeight="1" x14ac:dyDescent="0.25">
      <c r="A137" s="82">
        <f>A136+1</f>
        <v>4</v>
      </c>
      <c r="B137" s="83"/>
      <c r="C137" s="39" t="s">
        <v>318</v>
      </c>
      <c r="D137" s="68">
        <f>(4.135*3+0.9*3+2.15*3.65+2.75*3.65+1.85*1.2+1.8*1.2)*10.764</f>
        <v>402.25068000000005</v>
      </c>
      <c r="E137" s="39">
        <v>0</v>
      </c>
      <c r="F137" s="51">
        <f>D137+E137</f>
        <v>402.25068000000005</v>
      </c>
      <c r="G137" s="51">
        <v>0</v>
      </c>
      <c r="H137" s="51">
        <f>F137*(($H$132)+1)+(IF(G137&lt;101,G137,IF(G137&lt;201,G137/2,IF(G137&lt;=301,G137/3,G137/4))))</f>
        <v>583.26348600000006</v>
      </c>
      <c r="I137" s="33"/>
      <c r="K137" s="68">
        <v>10.763999999999999</v>
      </c>
      <c r="L137" s="74"/>
      <c r="M137" s="74"/>
      <c r="N137" s="33"/>
      <c r="T137" s="18"/>
    </row>
    <row r="138" spans="1:20" s="34" customFormat="1" x14ac:dyDescent="0.25">
      <c r="A138" s="163" t="s">
        <v>319</v>
      </c>
      <c r="B138" s="163"/>
      <c r="C138" s="163"/>
      <c r="D138" s="163"/>
      <c r="E138" s="163"/>
      <c r="F138" s="163"/>
      <c r="G138" s="163"/>
      <c r="H138" s="163"/>
      <c r="I138" s="33"/>
      <c r="J138" s="34">
        <v>5200</v>
      </c>
      <c r="L138" s="74"/>
      <c r="M138" s="74"/>
    </row>
    <row r="139" spans="1:20" s="34" customFormat="1" x14ac:dyDescent="0.25">
      <c r="A139" s="84">
        <v>1</v>
      </c>
      <c r="B139" s="84"/>
      <c r="C139" s="39" t="s">
        <v>320</v>
      </c>
      <c r="D139" s="68">
        <f>(3.05*4.85+2.15*2.75+2.75*3.35+3.65*2.9+2.75*3.05+2.33*3.65+1.435*2.15+1.2*1.8+1.2*1.8+0.9*1.2+1.5*1.435)*10.764</f>
        <v>732.29913899999997</v>
      </c>
      <c r="E139" s="68">
        <f>(3.05+2.15+2.2+1.5*2.9)*10.764</f>
        <v>126.47699999999999</v>
      </c>
      <c r="F139" s="51">
        <f t="shared" ref="F139:F144" si="11">D139+E139</f>
        <v>858.77613899999994</v>
      </c>
      <c r="G139" s="51">
        <v>0</v>
      </c>
      <c r="H139" s="51">
        <f t="shared" ref="H139:H144" si="12">F139*(($H$132)+1)+(IF(G139&lt;101,G139,IF(G139&lt;201,G139/2,IF(G139&lt;=301,G139/3,G139/4))))</f>
        <v>1245.2254015499998</v>
      </c>
      <c r="I139" s="33">
        <f>(3.05*4.85+2.15*2.75+2.75*3.35+3.65*2.9+2.75*3.05+2.33*3.65+1.435*2.15+1.2*1.8+1.2*1.8+0.9*1.2+1.5*1.435)</f>
        <v>68.032250000000005</v>
      </c>
      <c r="J139" s="34">
        <f>J$138*H139</f>
        <v>6475172.088059999</v>
      </c>
      <c r="L139" s="69"/>
      <c r="M139" s="69"/>
      <c r="N139" s="33"/>
    </row>
    <row r="140" spans="1:20" s="34" customFormat="1" x14ac:dyDescent="0.25">
      <c r="A140" s="84">
        <f>A139+1</f>
        <v>2</v>
      </c>
      <c r="B140" s="84"/>
      <c r="C140" s="39" t="s">
        <v>317</v>
      </c>
      <c r="D140" s="68">
        <f>(3.2*3.1+0.9*2+2.15*3.65+2.75*3.65+3.765*2.75+1.4*2.4+1.385*1.885+0.9*1.5)*10.764</f>
        <v>508.91626890000003</v>
      </c>
      <c r="E140" s="68">
        <f>(1.5*1.8+1*3.65)*10.764</f>
        <v>68.351399999999998</v>
      </c>
      <c r="F140" s="51">
        <f t="shared" si="11"/>
        <v>577.26766889999999</v>
      </c>
      <c r="G140" s="51">
        <v>0</v>
      </c>
      <c r="H140" s="51">
        <f t="shared" si="12"/>
        <v>837.03811990499992</v>
      </c>
      <c r="I140" s="33">
        <f>(3.2*3.1+0.9*2+2.15*3.65+2.75*3.65+3.765*2.75+1.4*2.4+1.385*1.885+0.9*1.5)</f>
        <v>47.279475000000005</v>
      </c>
      <c r="J140" s="75">
        <f t="shared" ref="J140:J146" si="13">J$138*H140</f>
        <v>4352598.2235059999</v>
      </c>
      <c r="L140" s="69"/>
      <c r="M140" s="69"/>
      <c r="N140" s="33"/>
    </row>
    <row r="141" spans="1:20" s="34" customFormat="1" x14ac:dyDescent="0.25">
      <c r="A141" s="84">
        <f>A140+1</f>
        <v>3</v>
      </c>
      <c r="B141" s="84"/>
      <c r="C141" s="39" t="s">
        <v>318</v>
      </c>
      <c r="D141" s="68">
        <f>(3.2*3+0.9*2+2.15*3.65+2.75*3.65+1.2*1.885+1.2*0.9+0.9*1.2+0.45*1.5)*10.764</f>
        <v>370.08784799999995</v>
      </c>
      <c r="E141" s="68">
        <f>(1.5*1.8)*10.764</f>
        <v>29.062799999999999</v>
      </c>
      <c r="F141" s="51">
        <f t="shared" si="11"/>
        <v>399.15064799999993</v>
      </c>
      <c r="G141" s="51">
        <v>0</v>
      </c>
      <c r="H141" s="51">
        <f t="shared" si="12"/>
        <v>578.76843959999985</v>
      </c>
      <c r="I141" s="33">
        <f>(3.2*3+0.9*2+2.15*3.65+2.75*3.65+1.2*1.885+1.2*0.9+0.9*1.2+0.45*1.5)</f>
        <v>34.381999999999998</v>
      </c>
      <c r="J141" s="75">
        <f t="shared" si="13"/>
        <v>3009595.8859199993</v>
      </c>
      <c r="L141" s="69"/>
      <c r="M141" s="69"/>
      <c r="N141" s="33"/>
    </row>
    <row r="142" spans="1:20" s="34" customFormat="1" x14ac:dyDescent="0.25">
      <c r="A142" s="84">
        <f>A141+1</f>
        <v>4</v>
      </c>
      <c r="B142" s="84"/>
      <c r="C142" s="39" t="s">
        <v>318</v>
      </c>
      <c r="D142" s="68">
        <f>(3.2*3+0.9*2+2.15*3.65+2.75*3.65+1.2*1.885+1.2*0.9+0.9*1.2+0.45*1.5)*10.764</f>
        <v>370.08784799999995</v>
      </c>
      <c r="E142" s="68">
        <f>(1.5*1.8)*10.764</f>
        <v>29.062799999999999</v>
      </c>
      <c r="F142" s="51">
        <f t="shared" si="11"/>
        <v>399.15064799999993</v>
      </c>
      <c r="G142" s="51">
        <v>0</v>
      </c>
      <c r="H142" s="51">
        <f t="shared" si="12"/>
        <v>578.76843959999985</v>
      </c>
      <c r="I142" s="33">
        <f>(3.2*3+0.9*2+2.15*3.65+2.75*3.65+1.2*1.885+1.2*0.9+0.9*1.2+0.45*1.5)</f>
        <v>34.381999999999998</v>
      </c>
      <c r="J142" s="75">
        <f t="shared" si="13"/>
        <v>3009595.8859199993</v>
      </c>
      <c r="N142" s="33"/>
    </row>
    <row r="143" spans="1:20" s="34" customFormat="1" x14ac:dyDescent="0.25">
      <c r="A143" s="84">
        <f>A142+1</f>
        <v>5</v>
      </c>
      <c r="B143" s="84"/>
      <c r="C143" s="39" t="s">
        <v>317</v>
      </c>
      <c r="D143" s="68">
        <f>(4.135*3+0.9*3+2.15*3.65+2.75*3.65+3.765*2.75+2.15*1.2+2.15*1.2+1.5*1.2)*10.764</f>
        <v>541.46956499999987</v>
      </c>
      <c r="E143" s="68">
        <f>(1.5*2.8+1*3.65+1*2.75)*10.764</f>
        <v>114.09839999999998</v>
      </c>
      <c r="F143" s="51">
        <f t="shared" si="11"/>
        <v>655.56796499999984</v>
      </c>
      <c r="G143" s="51">
        <v>0</v>
      </c>
      <c r="H143" s="51">
        <f t="shared" si="12"/>
        <v>950.5735492499997</v>
      </c>
      <c r="I143" s="33">
        <f>(4.135*3+0.9*3+2.15*3.65+2.75*3.65+3.765*2.75+2.15*1.2+2.15*1.2+1.5*1.2)</f>
        <v>50.303749999999994</v>
      </c>
      <c r="J143" s="75">
        <f t="shared" si="13"/>
        <v>4942982.4560999982</v>
      </c>
      <c r="N143" s="33"/>
    </row>
    <row r="144" spans="1:20" s="67" customFormat="1" x14ac:dyDescent="0.25">
      <c r="A144" s="84">
        <f>A143+1</f>
        <v>6</v>
      </c>
      <c r="B144" s="84"/>
      <c r="C144" s="66" t="s">
        <v>318</v>
      </c>
      <c r="D144" s="68">
        <f>(3*3.2+0.9*2.1+3.65*2.15+3.65*2.75+1.885*1.2+0.9*1.2+1.2*0.9+0.45*1.8)*10.764</f>
        <v>372.50974799999995</v>
      </c>
      <c r="E144" s="68">
        <f>(1.5*1.8)*10.764</f>
        <v>29.062799999999999</v>
      </c>
      <c r="F144" s="66">
        <f t="shared" si="11"/>
        <v>401.57254799999993</v>
      </c>
      <c r="G144" s="66">
        <v>0</v>
      </c>
      <c r="H144" s="66">
        <f t="shared" si="12"/>
        <v>582.28019459999985</v>
      </c>
      <c r="I144" s="33">
        <f>(3*3.2+0.9*2.1+3.65*2.15+3.65*2.75+1.885*1.2+0.9*1.2+1.2*0.9+0.45*1.8)</f>
        <v>34.606999999999999</v>
      </c>
      <c r="J144" s="75">
        <f t="shared" si="13"/>
        <v>3027857.011919999</v>
      </c>
      <c r="N144" s="33"/>
    </row>
    <row r="145" spans="1:20" s="67" customFormat="1" x14ac:dyDescent="0.25">
      <c r="A145" s="84">
        <f t="shared" ref="A145:A146" si="14">A144+1</f>
        <v>7</v>
      </c>
      <c r="B145" s="84"/>
      <c r="C145" s="66" t="s">
        <v>317</v>
      </c>
      <c r="D145" s="68">
        <f>(3.2*3+0.9*2+2.15*3.65+2.75*3.65+3.35*2.75+1.2*2.035+1.2*1.885+0.9*1.2)*10.764</f>
        <v>476.64606599999996</v>
      </c>
      <c r="E145" s="68">
        <f>(1.5*1.8+2.75+3.65)*10.764</f>
        <v>97.952399999999997</v>
      </c>
      <c r="F145" s="66">
        <f t="shared" ref="F145:F146" si="15">D145+E145</f>
        <v>574.59846599999992</v>
      </c>
      <c r="G145" s="66">
        <v>0</v>
      </c>
      <c r="H145" s="66">
        <f t="shared" ref="H145:H146" si="16">F145*(($H$132)+1)+(IF(G145&lt;101,G145,IF(G145&lt;201,G145/2,IF(G145&lt;=301,G145/3,G145/4))))</f>
        <v>833.16777569999988</v>
      </c>
      <c r="I145" s="33">
        <f>(3.2*3+0.9*2+2.15*3.65+2.75*3.65+3.35*2.75+1.2*2.035+1.2*1.885+0.9*1.2)</f>
        <v>44.281500000000001</v>
      </c>
      <c r="J145" s="75">
        <f t="shared" si="13"/>
        <v>4332472.4336399995</v>
      </c>
      <c r="N145" s="33"/>
    </row>
    <row r="146" spans="1:20" s="67" customFormat="1" x14ac:dyDescent="0.25">
      <c r="A146" s="84">
        <f t="shared" si="14"/>
        <v>8</v>
      </c>
      <c r="B146" s="84"/>
      <c r="C146" s="66" t="s">
        <v>317</v>
      </c>
      <c r="D146" s="68">
        <f>(3.2*3.95+2.635*2.15+3.65*2.75+2.75*2.75+1.885*1.2+1.8*1.2+0.9*1.8+0.45*1.1)*10.764</f>
        <v>456.84837899999997</v>
      </c>
      <c r="E146" s="68">
        <f>(1*2.75+1*3.2+1.5*1.8+1*2.15)*10.764</f>
        <v>116.2512</v>
      </c>
      <c r="F146" s="66">
        <f t="shared" si="15"/>
        <v>573.09957899999995</v>
      </c>
      <c r="G146" s="66">
        <v>0</v>
      </c>
      <c r="H146" s="66">
        <f t="shared" si="16"/>
        <v>830.99438954999994</v>
      </c>
      <c r="I146" s="33">
        <f>(3.2*3.95+2.635*2.15+3.65*2.75+2.75*2.75+1.885*1.2+1.8*1.2+0.9*1.8+0.45*1.1)</f>
        <v>42.442250000000001</v>
      </c>
      <c r="J146" s="75">
        <f t="shared" si="13"/>
        <v>4321170.8256599996</v>
      </c>
      <c r="N146" s="33"/>
    </row>
    <row r="147" spans="1:20" s="32" customFormat="1" x14ac:dyDescent="0.25">
      <c r="A147" s="127" t="s">
        <v>65</v>
      </c>
      <c r="B147" s="127"/>
      <c r="C147" s="127"/>
      <c r="D147" s="127"/>
      <c r="E147" s="127"/>
      <c r="F147" s="127"/>
      <c r="G147" s="127"/>
      <c r="H147" s="127"/>
      <c r="T147" s="34"/>
    </row>
    <row r="148" spans="1:20" s="32" customFormat="1" x14ac:dyDescent="0.25">
      <c r="A148" s="41" t="s">
        <v>151</v>
      </c>
      <c r="B148" s="121" t="s">
        <v>347</v>
      </c>
      <c r="C148" s="122"/>
      <c r="D148" s="122"/>
      <c r="E148" s="122"/>
      <c r="F148" s="122"/>
      <c r="G148" s="122"/>
      <c r="H148" s="123"/>
      <c r="T148" s="34"/>
    </row>
    <row r="149" spans="1:20" s="32" customFormat="1" x14ac:dyDescent="0.25">
      <c r="A149" s="41" t="s">
        <v>151</v>
      </c>
      <c r="B149" s="121" t="str">
        <f>(IF(H131="Saleable area Loading :","We have considered Saleable area of Flats as per our Calculation.","We considered Saleable area of Flat as per Builder area Sheet."))</f>
        <v>We have considered Saleable area of Flats as per our Calculation.</v>
      </c>
      <c r="C149" s="122"/>
      <c r="D149" s="122"/>
      <c r="E149" s="122"/>
      <c r="F149" s="122"/>
      <c r="G149" s="122"/>
      <c r="H149" s="123"/>
      <c r="T149" s="34"/>
    </row>
    <row r="150" spans="1:20" s="32" customFormat="1" x14ac:dyDescent="0.25">
      <c r="A150" s="41" t="s">
        <v>151</v>
      </c>
      <c r="B150" s="121" t="str">
        <f>(IF(H115="Saleable area Loading :","We have considered Saleable area of Commercial as per our Calculation.","We considered Saleable area of Commercial as per Builder area Sheet."))</f>
        <v>We have considered Saleable area of Commercial as per our Calculation.</v>
      </c>
      <c r="C150" s="122"/>
      <c r="D150" s="122"/>
      <c r="E150" s="122"/>
      <c r="F150" s="122"/>
      <c r="G150" s="122"/>
      <c r="H150" s="123"/>
      <c r="T150" s="34"/>
    </row>
    <row r="151" spans="1:20" s="32" customFormat="1" x14ac:dyDescent="0.25">
      <c r="A151" s="41" t="s">
        <v>151</v>
      </c>
      <c r="B151" s="124" t="s">
        <v>121</v>
      </c>
      <c r="C151" s="125"/>
      <c r="D151" s="125"/>
      <c r="E151" s="125"/>
      <c r="F151" s="125"/>
      <c r="G151" s="125"/>
      <c r="H151" s="126"/>
      <c r="T151" s="34"/>
    </row>
    <row r="152" spans="1:20" s="32" customFormat="1" ht="33.75" customHeight="1" x14ac:dyDescent="0.25">
      <c r="A152" s="41" t="s">
        <v>151</v>
      </c>
      <c r="B152" s="124" t="s">
        <v>323</v>
      </c>
      <c r="C152" s="125"/>
      <c r="D152" s="125"/>
      <c r="E152" s="125"/>
      <c r="F152" s="125"/>
      <c r="G152" s="125"/>
      <c r="H152" s="126"/>
      <c r="T152" s="34"/>
    </row>
    <row r="153" spans="1:20" s="32" customFormat="1" x14ac:dyDescent="0.25">
      <c r="A153" s="41" t="s">
        <v>151</v>
      </c>
      <c r="B153" s="124" t="s">
        <v>150</v>
      </c>
      <c r="C153" s="125"/>
      <c r="D153" s="125"/>
      <c r="E153" s="125"/>
      <c r="F153" s="125"/>
      <c r="G153" s="125"/>
      <c r="H153" s="126"/>
    </row>
    <row r="154" spans="1:20" s="32" customFormat="1" x14ac:dyDescent="0.25">
      <c r="A154" s="41" t="s">
        <v>151</v>
      </c>
      <c r="B154" s="124" t="s">
        <v>122</v>
      </c>
      <c r="C154" s="125"/>
      <c r="D154" s="125"/>
      <c r="E154" s="125"/>
      <c r="F154" s="125"/>
      <c r="G154" s="125"/>
      <c r="H154" s="126"/>
    </row>
    <row r="155" spans="1:20" s="32" customFormat="1" ht="34.5" customHeight="1" x14ac:dyDescent="0.25">
      <c r="A155" s="41" t="s">
        <v>151</v>
      </c>
      <c r="B155" s="124" t="s">
        <v>152</v>
      </c>
      <c r="C155" s="125"/>
      <c r="D155" s="125"/>
      <c r="E155" s="125"/>
      <c r="F155" s="125"/>
      <c r="G155" s="125"/>
      <c r="H155" s="126"/>
    </row>
    <row r="156" spans="1:20" s="32" customFormat="1" x14ac:dyDescent="0.25">
      <c r="A156" s="41" t="s">
        <v>151</v>
      </c>
      <c r="B156" s="124" t="s">
        <v>123</v>
      </c>
      <c r="C156" s="125"/>
      <c r="D156" s="125"/>
      <c r="E156" s="125"/>
      <c r="F156" s="125"/>
      <c r="G156" s="125"/>
      <c r="H156" s="126"/>
    </row>
    <row r="157" spans="1:20" s="32" customFormat="1" ht="32.25" customHeight="1" x14ac:dyDescent="0.25">
      <c r="A157" s="48" t="s">
        <v>151</v>
      </c>
      <c r="B157" s="152" t="s">
        <v>346</v>
      </c>
      <c r="C157" s="153"/>
      <c r="D157" s="153"/>
      <c r="E157" s="153"/>
      <c r="F157" s="153"/>
      <c r="G157" s="153"/>
      <c r="H157" s="154"/>
    </row>
    <row r="158" spans="1:20" s="32" customFormat="1" ht="15" hidden="1" customHeight="1" x14ac:dyDescent="0.25">
      <c r="A158" s="52" t="s">
        <v>151</v>
      </c>
      <c r="B158" s="152" t="s">
        <v>231</v>
      </c>
      <c r="C158" s="153"/>
      <c r="D158" s="153"/>
      <c r="E158" s="153"/>
      <c r="F158" s="153"/>
      <c r="G158" s="153"/>
      <c r="H158" s="154"/>
    </row>
    <row r="159" spans="1:20" x14ac:dyDescent="0.25">
      <c r="A159" s="145" t="s">
        <v>58</v>
      </c>
      <c r="B159" s="145"/>
      <c r="C159" s="145"/>
      <c r="D159" s="145"/>
      <c r="E159" s="145"/>
      <c r="F159" s="145"/>
      <c r="G159" s="145"/>
      <c r="H159" s="145"/>
      <c r="T159" s="32"/>
    </row>
    <row r="160" spans="1:20" x14ac:dyDescent="0.25">
      <c r="A160" s="95" t="s">
        <v>59</v>
      </c>
      <c r="B160" s="95"/>
      <c r="C160" s="95"/>
      <c r="D160" s="95"/>
      <c r="E160" s="95"/>
      <c r="F160" s="95"/>
      <c r="G160" s="95"/>
      <c r="H160" s="95"/>
      <c r="T160" s="32"/>
    </row>
    <row r="161" spans="1:20" ht="15.75" customHeight="1" x14ac:dyDescent="0.25">
      <c r="A161" s="112" t="s">
        <v>60</v>
      </c>
      <c r="B161" s="112"/>
      <c r="C161" s="112"/>
      <c r="D161" s="112"/>
      <c r="E161" s="112"/>
      <c r="F161" s="112"/>
      <c r="G161" s="112"/>
      <c r="H161" s="112"/>
      <c r="T161" s="32"/>
    </row>
    <row r="162" spans="1:20" x14ac:dyDescent="0.25">
      <c r="A162" s="95" t="s">
        <v>61</v>
      </c>
      <c r="B162" s="95"/>
      <c r="C162" s="95"/>
      <c r="D162" s="95"/>
      <c r="E162" s="95"/>
      <c r="F162" s="95"/>
      <c r="G162" s="95"/>
      <c r="H162" s="95"/>
      <c r="T162" s="32"/>
    </row>
    <row r="163" spans="1:20" x14ac:dyDescent="0.25">
      <c r="A163" s="95" t="s">
        <v>62</v>
      </c>
      <c r="B163" s="95"/>
      <c r="C163" s="95"/>
      <c r="D163" s="95"/>
      <c r="E163" s="95"/>
      <c r="F163" s="95"/>
      <c r="G163" s="95"/>
      <c r="H163" s="95"/>
      <c r="T163" s="32"/>
    </row>
    <row r="164" spans="1:20" x14ac:dyDescent="0.25">
      <c r="A164" s="95" t="s">
        <v>124</v>
      </c>
      <c r="B164" s="95"/>
      <c r="C164" s="95"/>
      <c r="D164" s="95"/>
      <c r="E164" s="95"/>
      <c r="F164" s="95"/>
      <c r="G164" s="95"/>
      <c r="H164" s="95"/>
      <c r="T164" s="32"/>
    </row>
    <row r="165" spans="1:20" ht="33.950000000000003" customHeight="1" x14ac:dyDescent="0.25">
      <c r="A165" s="102" t="s">
        <v>125</v>
      </c>
      <c r="B165" s="102"/>
      <c r="C165" s="102"/>
      <c r="D165" s="102"/>
      <c r="E165" s="102"/>
      <c r="F165" s="102"/>
      <c r="G165" s="102"/>
      <c r="H165" s="102"/>
    </row>
    <row r="166" spans="1:20" x14ac:dyDescent="0.25">
      <c r="A166" s="159" t="s">
        <v>74</v>
      </c>
      <c r="B166" s="159"/>
      <c r="C166" s="159" t="s">
        <v>344</v>
      </c>
      <c r="D166" s="159"/>
      <c r="E166" s="159" t="s">
        <v>104</v>
      </c>
      <c r="F166" s="159"/>
      <c r="G166" s="159" t="s">
        <v>345</v>
      </c>
      <c r="H166" s="159"/>
    </row>
    <row r="167" spans="1:20" x14ac:dyDescent="0.25">
      <c r="A167" s="158" t="s">
        <v>76</v>
      </c>
      <c r="B167" s="158"/>
      <c r="C167" s="158"/>
      <c r="D167" s="158"/>
      <c r="E167" s="158"/>
      <c r="F167" s="158"/>
      <c r="G167" s="158"/>
      <c r="H167" s="158"/>
    </row>
    <row r="168" spans="1:20" x14ac:dyDescent="0.25">
      <c r="A168" s="158"/>
      <c r="B168" s="158"/>
      <c r="C168" s="158"/>
      <c r="D168" s="158"/>
      <c r="E168" s="158"/>
      <c r="F168" s="158"/>
      <c r="G168" s="158"/>
      <c r="H168" s="158"/>
    </row>
    <row r="169" spans="1:20" x14ac:dyDescent="0.25">
      <c r="A169" s="158"/>
      <c r="B169" s="158"/>
      <c r="C169" s="158"/>
      <c r="D169" s="158"/>
      <c r="E169" s="158"/>
      <c r="F169" s="158"/>
      <c r="G169" s="158"/>
      <c r="H169" s="158"/>
    </row>
    <row r="170" spans="1:20" x14ac:dyDescent="0.25">
      <c r="A170" s="158"/>
      <c r="B170" s="158"/>
      <c r="C170" s="158"/>
      <c r="D170" s="158"/>
      <c r="E170" s="158"/>
      <c r="F170" s="158"/>
      <c r="G170" s="158"/>
      <c r="H170" s="158"/>
    </row>
    <row r="171" spans="1:20" x14ac:dyDescent="0.25">
      <c r="A171" s="35" t="s">
        <v>63</v>
      </c>
      <c r="B171" s="36"/>
      <c r="C171" s="36"/>
      <c r="D171" s="35" t="str">
        <f>E9</f>
        <v>Balaji Heights</v>
      </c>
      <c r="F171" s="36"/>
      <c r="G171" s="36"/>
      <c r="H171" s="36"/>
    </row>
    <row r="172" spans="1:20" x14ac:dyDescent="0.25">
      <c r="A172" s="36"/>
      <c r="B172" s="36"/>
      <c r="C172" s="36"/>
      <c r="D172" s="36"/>
      <c r="E172" s="36"/>
      <c r="F172" s="36"/>
      <c r="G172" s="36"/>
      <c r="H172" s="36"/>
    </row>
    <row r="173" spans="1:20" x14ac:dyDescent="0.25">
      <c r="A173" s="36"/>
      <c r="B173" s="36"/>
      <c r="C173" s="36"/>
      <c r="D173" s="36"/>
      <c r="E173" s="36"/>
      <c r="F173" s="36"/>
      <c r="G173" s="36"/>
      <c r="H173" s="36"/>
    </row>
    <row r="174" spans="1:20" ht="15" customHeight="1" x14ac:dyDescent="0.25"/>
    <row r="214" spans="1:1" x14ac:dyDescent="0.25">
      <c r="A214" s="38" t="s">
        <v>162</v>
      </c>
    </row>
    <row r="254" spans="1:1" x14ac:dyDescent="0.25">
      <c r="A254" s="38" t="s">
        <v>64</v>
      </c>
    </row>
  </sheetData>
  <mergeCells count="317">
    <mergeCell ref="B158:H158"/>
    <mergeCell ref="A94:E94"/>
    <mergeCell ref="A111:B111"/>
    <mergeCell ref="E111:F111"/>
    <mergeCell ref="A99:E99"/>
    <mergeCell ref="G111:H111"/>
    <mergeCell ref="C105:D105"/>
    <mergeCell ref="E105:F105"/>
    <mergeCell ref="G105:H105"/>
    <mergeCell ref="A106:B106"/>
    <mergeCell ref="C106:D106"/>
    <mergeCell ref="E106:F106"/>
    <mergeCell ref="G106:H106"/>
    <mergeCell ref="A110:B110"/>
    <mergeCell ref="C110:D110"/>
    <mergeCell ref="B155:H155"/>
    <mergeCell ref="A120:B120"/>
    <mergeCell ref="A97:E97"/>
    <mergeCell ref="A96:E96"/>
    <mergeCell ref="D70:H70"/>
    <mergeCell ref="C77:H77"/>
    <mergeCell ref="A80:B80"/>
    <mergeCell ref="A82:B82"/>
    <mergeCell ref="E78:F78"/>
    <mergeCell ref="C55:H55"/>
    <mergeCell ref="A78:B78"/>
    <mergeCell ref="A49:B49"/>
    <mergeCell ref="C49:H49"/>
    <mergeCell ref="A65:C67"/>
    <mergeCell ref="D65:H65"/>
    <mergeCell ref="D66:H66"/>
    <mergeCell ref="A63:C63"/>
    <mergeCell ref="C40:H40"/>
    <mergeCell ref="L122:M122"/>
    <mergeCell ref="L121:M121"/>
    <mergeCell ref="L120:M120"/>
    <mergeCell ref="L119:M119"/>
    <mergeCell ref="A86:B86"/>
    <mergeCell ref="C109:D109"/>
    <mergeCell ref="E109:F109"/>
    <mergeCell ref="G109:H109"/>
    <mergeCell ref="A90:E90"/>
    <mergeCell ref="A118:H118"/>
    <mergeCell ref="E115:E116"/>
    <mergeCell ref="F115:F116"/>
    <mergeCell ref="C104:D104"/>
    <mergeCell ref="E104:F104"/>
    <mergeCell ref="B115:B116"/>
    <mergeCell ref="A115:A116"/>
    <mergeCell ref="A45:D45"/>
    <mergeCell ref="A77:B77"/>
    <mergeCell ref="A75:B75"/>
    <mergeCell ref="C75:H75"/>
    <mergeCell ref="A83:B83"/>
    <mergeCell ref="A70:C70"/>
    <mergeCell ref="F91:H91"/>
    <mergeCell ref="A35:B35"/>
    <mergeCell ref="A38:H38"/>
    <mergeCell ref="A37:B37"/>
    <mergeCell ref="C37:E37"/>
    <mergeCell ref="A42:D42"/>
    <mergeCell ref="E42:H42"/>
    <mergeCell ref="A41:H41"/>
    <mergeCell ref="A68:C68"/>
    <mergeCell ref="A69:C69"/>
    <mergeCell ref="D68:H68"/>
    <mergeCell ref="D69:H69"/>
    <mergeCell ref="A44:D44"/>
    <mergeCell ref="E44:H44"/>
    <mergeCell ref="E45:H45"/>
    <mergeCell ref="E46:H46"/>
    <mergeCell ref="E47:H47"/>
    <mergeCell ref="C57:H57"/>
    <mergeCell ref="C59:H59"/>
    <mergeCell ref="G50:H50"/>
    <mergeCell ref="G52:H52"/>
    <mergeCell ref="A51:B51"/>
    <mergeCell ref="A61:H61"/>
    <mergeCell ref="A62:C62"/>
    <mergeCell ref="A39:B39"/>
    <mergeCell ref="C39:H39"/>
    <mergeCell ref="A46:D46"/>
    <mergeCell ref="A47:D47"/>
    <mergeCell ref="A48:H48"/>
    <mergeCell ref="A40:B40"/>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B153:H153"/>
    <mergeCell ref="D115:D116"/>
    <mergeCell ref="A167:H170"/>
    <mergeCell ref="A166:B166"/>
    <mergeCell ref="E166:F166"/>
    <mergeCell ref="C166:D166"/>
    <mergeCell ref="G166:H166"/>
    <mergeCell ref="A102:H102"/>
    <mergeCell ref="A100:E100"/>
    <mergeCell ref="F100:H100"/>
    <mergeCell ref="A101:E101"/>
    <mergeCell ref="F101:H101"/>
    <mergeCell ref="A138:H138"/>
    <mergeCell ref="A109:B109"/>
    <mergeCell ref="A104:B104"/>
    <mergeCell ref="A162:H162"/>
    <mergeCell ref="A107:H107"/>
    <mergeCell ref="A165:H165"/>
    <mergeCell ref="A135:B135"/>
    <mergeCell ref="A23:D24"/>
    <mergeCell ref="E23:H24"/>
    <mergeCell ref="E15:H15"/>
    <mergeCell ref="A84:B84"/>
    <mergeCell ref="A163:H163"/>
    <mergeCell ref="A159:H159"/>
    <mergeCell ref="G108:H108"/>
    <mergeCell ref="C115:C116"/>
    <mergeCell ref="B131:B132"/>
    <mergeCell ref="A160:H160"/>
    <mergeCell ref="F89:H89"/>
    <mergeCell ref="F94:H94"/>
    <mergeCell ref="A134:B134"/>
    <mergeCell ref="A122:B122"/>
    <mergeCell ref="A121:B121"/>
    <mergeCell ref="A130:H130"/>
    <mergeCell ref="E108:F108"/>
    <mergeCell ref="A113:H113"/>
    <mergeCell ref="A131:A132"/>
    <mergeCell ref="F131:F132"/>
    <mergeCell ref="A119:B119"/>
    <mergeCell ref="B157:H157"/>
    <mergeCell ref="A112:B112"/>
    <mergeCell ref="C112:D112"/>
    <mergeCell ref="B156:H156"/>
    <mergeCell ref="B154:H154"/>
    <mergeCell ref="B150:H150"/>
    <mergeCell ref="A89:E89"/>
    <mergeCell ref="F93:H93"/>
    <mergeCell ref="A142:B142"/>
    <mergeCell ref="A117:H117"/>
    <mergeCell ref="A91:E91"/>
    <mergeCell ref="E110:F110"/>
    <mergeCell ref="F95:H95"/>
    <mergeCell ref="D64:H64"/>
    <mergeCell ref="A64:C64"/>
    <mergeCell ref="A71:C71"/>
    <mergeCell ref="D71:H71"/>
    <mergeCell ref="A74:C74"/>
    <mergeCell ref="D74:H74"/>
    <mergeCell ref="A72:C72"/>
    <mergeCell ref="D73:H73"/>
    <mergeCell ref="A79:B79"/>
    <mergeCell ref="G78:H78"/>
    <mergeCell ref="E79:F88"/>
    <mergeCell ref="G79:H88"/>
    <mergeCell ref="A87:B87"/>
    <mergeCell ref="A88:B88"/>
    <mergeCell ref="D67:H67"/>
    <mergeCell ref="A81:B81"/>
    <mergeCell ref="A85:B85"/>
    <mergeCell ref="A147:H147"/>
    <mergeCell ref="A95:E95"/>
    <mergeCell ref="E112:F112"/>
    <mergeCell ref="G112:H112"/>
    <mergeCell ref="A136:B136"/>
    <mergeCell ref="G115:G116"/>
    <mergeCell ref="G110:H110"/>
    <mergeCell ref="A93:E93"/>
    <mergeCell ref="A92:E92"/>
    <mergeCell ref="A137:B137"/>
    <mergeCell ref="C131:C132"/>
    <mergeCell ref="G131:G132"/>
    <mergeCell ref="F92:H92"/>
    <mergeCell ref="G54:H54"/>
    <mergeCell ref="A56:B57"/>
    <mergeCell ref="C56:E56"/>
    <mergeCell ref="G56:H56"/>
    <mergeCell ref="A58:B59"/>
    <mergeCell ref="C58:E58"/>
    <mergeCell ref="G58:H58"/>
    <mergeCell ref="A164:H164"/>
    <mergeCell ref="A161:H161"/>
    <mergeCell ref="A139:B139"/>
    <mergeCell ref="A108:B108"/>
    <mergeCell ref="D131:D132"/>
    <mergeCell ref="E131:E132"/>
    <mergeCell ref="F90:H90"/>
    <mergeCell ref="G104:H104"/>
    <mergeCell ref="F96:H96"/>
    <mergeCell ref="C103:D103"/>
    <mergeCell ref="C111:D111"/>
    <mergeCell ref="A133:H133"/>
    <mergeCell ref="A128:B128"/>
    <mergeCell ref="B148:H148"/>
    <mergeCell ref="B149:H149"/>
    <mergeCell ref="B151:H151"/>
    <mergeCell ref="B152:H152"/>
    <mergeCell ref="C51:E51"/>
    <mergeCell ref="C52:E52"/>
    <mergeCell ref="I15:P15"/>
    <mergeCell ref="F99:H99"/>
    <mergeCell ref="F97:H97"/>
    <mergeCell ref="A114:H114"/>
    <mergeCell ref="G103:H103"/>
    <mergeCell ref="A98:E98"/>
    <mergeCell ref="A60:B60"/>
    <mergeCell ref="C60:E60"/>
    <mergeCell ref="D62:H62"/>
    <mergeCell ref="F98:H98"/>
    <mergeCell ref="E103:F103"/>
    <mergeCell ref="A103:B103"/>
    <mergeCell ref="A105:B105"/>
    <mergeCell ref="C108:D108"/>
    <mergeCell ref="D72:H72"/>
    <mergeCell ref="A73:C73"/>
    <mergeCell ref="E43:H43"/>
    <mergeCell ref="A43:D43"/>
    <mergeCell ref="D63:H63"/>
    <mergeCell ref="G60:H60"/>
    <mergeCell ref="A54:B55"/>
    <mergeCell ref="C54:E54"/>
    <mergeCell ref="A50:B50"/>
    <mergeCell ref="C50:E50"/>
    <mergeCell ref="L128:M128"/>
    <mergeCell ref="A129:B129"/>
    <mergeCell ref="L129:M129"/>
    <mergeCell ref="A144:B144"/>
    <mergeCell ref="A145:B145"/>
    <mergeCell ref="A146:B146"/>
    <mergeCell ref="A123:B123"/>
    <mergeCell ref="L123:M123"/>
    <mergeCell ref="A124:B124"/>
    <mergeCell ref="L124:M124"/>
    <mergeCell ref="A125:B125"/>
    <mergeCell ref="L125:M125"/>
    <mergeCell ref="A126:B126"/>
    <mergeCell ref="L126:M126"/>
    <mergeCell ref="A127:B127"/>
    <mergeCell ref="L127:M127"/>
    <mergeCell ref="A143:B143"/>
    <mergeCell ref="A140:B140"/>
    <mergeCell ref="A141:B141"/>
    <mergeCell ref="G51:H51"/>
    <mergeCell ref="A52:B53"/>
    <mergeCell ref="C53:H53"/>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5:E116">
      <formula1>"Attached Loft area,Attached Otla area,Attached Mezzanine area"</formula1>
    </dataValidation>
    <dataValidation type="list" allowBlank="1" showInputMessage="1" showErrorMessage="1" sqref="G166:H166">
      <formula1>"Kunal Kadam,Pranita Mhatre,Shruti Fule,Pooja Kawale,Neha Dhokale,Shruti Tathare, Hitakshi Mhatre, Sachin Sawant"</formula1>
    </dataValidation>
    <dataValidation type="list" allowBlank="1" showInputMessage="1" showErrorMessage="1" sqref="F89:H89">
      <formula1>"On Saleable Area,On Builtup Area,On Carpet Area,On Plot Area"</formula1>
    </dataValidation>
    <dataValidation type="list" allowBlank="1" showInputMessage="1" showErrorMessage="1" sqref="F100:H100">
      <formula1>OFFSET($S$89,1,MATCH($G20,$S$89:$W$89,0)-1,15,1)</formula1>
    </dataValidation>
    <dataValidation type="list" allowBlank="1" showInputMessage="1" showErrorMessage="1" sqref="B115:B116">
      <formula1>"Shop No. (Sale Plan),Sale / Rehab,Sale / Mhada"</formula1>
    </dataValidation>
    <dataValidation type="list" allowBlank="1" showInputMessage="1" showErrorMessage="1" sqref="B131:B13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1:E132">
      <formula1>"Open Balcony + AP Area,Fungible area,Balcony Area,Chajja Area,Cornice Area,AP Area,WS Area"</formula1>
    </dataValidation>
    <dataValidation type="list" allowBlank="1" showInputMessage="1" showErrorMessage="1" sqref="H132 H11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15 H131">
      <formula1>"Saleable area Loading :,Builder Saleable Area"</formula1>
    </dataValidation>
    <dataValidation type="list" allowBlank="1" showInputMessage="1" showErrorMessage="1" sqref="D115:D116">
      <formula1>"Carpet area,RERA Carpet area"</formula1>
    </dataValidation>
    <dataValidation type="list" allowBlank="1" showInputMessage="1" showErrorMessage="1" sqref="D131:D132">
      <formula1>"Carpet area + Encl Balcony,RERA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170" max="16383" man="1"/>
    <brk id="213" max="16383" man="1"/>
    <brk id="25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04" t="s">
        <v>105</v>
      </c>
      <c r="C3" s="204"/>
      <c r="D3" s="204"/>
      <c r="E3" s="204"/>
      <c r="F3" s="204"/>
      <c r="G3" s="204"/>
      <c r="H3" s="204"/>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9"/>
      <c r="C4" s="49" t="s">
        <v>11</v>
      </c>
      <c r="D4" s="50" t="s">
        <v>178</v>
      </c>
      <c r="E4" s="50" t="s">
        <v>188</v>
      </c>
      <c r="F4" s="50" t="s">
        <v>172</v>
      </c>
      <c r="G4" s="50" t="s">
        <v>193</v>
      </c>
      <c r="H4" s="50" t="s">
        <v>211</v>
      </c>
      <c r="J4" t="s">
        <v>193</v>
      </c>
      <c r="K4" t="s">
        <v>209</v>
      </c>
    </row>
    <row r="5" spans="2:11" x14ac:dyDescent="0.25">
      <c r="B5" s="49"/>
      <c r="C5" s="49"/>
      <c r="D5" s="50" t="s">
        <v>179</v>
      </c>
      <c r="E5" s="50" t="s">
        <v>186</v>
      </c>
      <c r="F5" s="50" t="s">
        <v>208</v>
      </c>
      <c r="G5" s="50" t="s">
        <v>194</v>
      </c>
      <c r="H5" s="50" t="s">
        <v>212</v>
      </c>
    </row>
    <row r="6" spans="2:11" x14ac:dyDescent="0.25">
      <c r="B6" s="49"/>
      <c r="C6" s="49"/>
      <c r="D6" s="50" t="s">
        <v>180</v>
      </c>
      <c r="E6" s="50" t="s">
        <v>187</v>
      </c>
      <c r="F6" s="50" t="s">
        <v>209</v>
      </c>
      <c r="G6" s="50" t="s">
        <v>195</v>
      </c>
      <c r="H6" s="50" t="s">
        <v>225</v>
      </c>
    </row>
    <row r="7" spans="2:11" x14ac:dyDescent="0.25">
      <c r="B7" s="49"/>
      <c r="C7" s="49"/>
      <c r="D7" s="50" t="s">
        <v>181</v>
      </c>
      <c r="E7" s="50" t="s">
        <v>189</v>
      </c>
      <c r="F7" s="50" t="s">
        <v>210</v>
      </c>
      <c r="G7" s="50" t="s">
        <v>196</v>
      </c>
      <c r="H7" s="50" t="s">
        <v>213</v>
      </c>
    </row>
    <row r="8" spans="2:11" x14ac:dyDescent="0.25">
      <c r="B8" s="49"/>
      <c r="C8" s="49"/>
      <c r="D8" s="50" t="s">
        <v>182</v>
      </c>
      <c r="E8" s="50" t="s">
        <v>190</v>
      </c>
      <c r="F8" s="50"/>
      <c r="G8" s="50" t="s">
        <v>197</v>
      </c>
      <c r="H8" s="50" t="s">
        <v>214</v>
      </c>
    </row>
    <row r="9" spans="2:11" x14ac:dyDescent="0.25">
      <c r="B9" s="49"/>
      <c r="C9" s="49"/>
      <c r="D9" s="50" t="s">
        <v>183</v>
      </c>
      <c r="E9" s="50" t="s">
        <v>188</v>
      </c>
      <c r="F9" s="50"/>
      <c r="G9" s="50" t="s">
        <v>198</v>
      </c>
      <c r="H9" s="50" t="s">
        <v>215</v>
      </c>
    </row>
    <row r="10" spans="2:11" x14ac:dyDescent="0.25">
      <c r="B10" s="49"/>
      <c r="C10" s="49"/>
      <c r="D10" s="50" t="s">
        <v>184</v>
      </c>
      <c r="E10" s="50" t="s">
        <v>191</v>
      </c>
      <c r="F10" s="50"/>
      <c r="G10" s="50" t="s">
        <v>199</v>
      </c>
      <c r="H10" s="50" t="s">
        <v>216</v>
      </c>
    </row>
    <row r="11" spans="2:11" x14ac:dyDescent="0.25">
      <c r="B11" s="49"/>
      <c r="C11" s="49"/>
      <c r="D11" s="50" t="s">
        <v>185</v>
      </c>
      <c r="E11" s="50" t="s">
        <v>192</v>
      </c>
      <c r="F11" s="50"/>
      <c r="G11" s="50" t="s">
        <v>200</v>
      </c>
      <c r="H11" s="50" t="s">
        <v>217</v>
      </c>
    </row>
    <row r="12" spans="2:11" x14ac:dyDescent="0.25">
      <c r="B12" s="49"/>
      <c r="C12" s="49"/>
      <c r="D12" s="50"/>
      <c r="E12" s="50"/>
      <c r="F12" s="50"/>
      <c r="G12" s="50" t="s">
        <v>201</v>
      </c>
      <c r="H12" s="50" t="s">
        <v>218</v>
      </c>
    </row>
    <row r="13" spans="2:11" x14ac:dyDescent="0.25">
      <c r="B13" s="49"/>
      <c r="C13" s="49"/>
      <c r="D13" s="50"/>
      <c r="E13" s="50"/>
      <c r="F13" s="50"/>
      <c r="G13" s="50" t="s">
        <v>202</v>
      </c>
      <c r="H13" s="50" t="s">
        <v>219</v>
      </c>
    </row>
    <row r="14" spans="2:11" x14ac:dyDescent="0.25">
      <c r="B14" s="49"/>
      <c r="C14" s="49"/>
      <c r="D14" s="50"/>
      <c r="E14" s="50"/>
      <c r="F14" s="50"/>
      <c r="G14" s="50" t="s">
        <v>203</v>
      </c>
      <c r="H14" s="50" t="s">
        <v>220</v>
      </c>
    </row>
    <row r="15" spans="2:11" x14ac:dyDescent="0.25">
      <c r="B15" s="49"/>
      <c r="C15" s="49"/>
      <c r="D15" s="50"/>
      <c r="E15" s="50"/>
      <c r="F15" s="50"/>
      <c r="G15" s="50" t="s">
        <v>204</v>
      </c>
      <c r="H15" s="50" t="s">
        <v>221</v>
      </c>
    </row>
    <row r="16" spans="2:11" x14ac:dyDescent="0.25">
      <c r="B16" s="49"/>
      <c r="C16" s="49"/>
      <c r="D16" s="50"/>
      <c r="E16" s="50"/>
      <c r="F16" s="50"/>
      <c r="G16" s="50" t="s">
        <v>205</v>
      </c>
      <c r="H16" s="50" t="s">
        <v>222</v>
      </c>
    </row>
    <row r="17" spans="2:8" x14ac:dyDescent="0.25">
      <c r="B17" s="49"/>
      <c r="C17" s="49"/>
      <c r="D17" s="50"/>
      <c r="E17" s="50"/>
      <c r="F17" s="50"/>
      <c r="G17" s="50" t="s">
        <v>206</v>
      </c>
      <c r="H17" s="50" t="s">
        <v>223</v>
      </c>
    </row>
    <row r="18" spans="2:8" x14ac:dyDescent="0.25">
      <c r="B18" s="49"/>
      <c r="C18" s="49"/>
      <c r="D18" s="50"/>
      <c r="E18" s="50"/>
      <c r="F18" s="50"/>
      <c r="G18" s="50" t="s">
        <v>207</v>
      </c>
      <c r="H18" s="50" t="s">
        <v>224</v>
      </c>
    </row>
    <row r="24" spans="2:8" x14ac:dyDescent="0.25">
      <c r="C24" t="s">
        <v>169</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169</v>
      </c>
    </row>
    <row r="33" spans="3:11" x14ac:dyDescent="0.25">
      <c r="J33">
        <v>1</v>
      </c>
      <c r="K33">
        <v>2</v>
      </c>
    </row>
    <row r="34" spans="3:11" x14ac:dyDescent="0.25">
      <c r="C34" s="53" t="s">
        <v>235</v>
      </c>
      <c r="D34" s="50" t="s">
        <v>233</v>
      </c>
      <c r="E34" s="50" t="s">
        <v>238</v>
      </c>
      <c r="F34" s="50" t="s">
        <v>236</v>
      </c>
      <c r="G34" s="50" t="s">
        <v>237</v>
      </c>
      <c r="H34" s="50" t="s">
        <v>239</v>
      </c>
      <c r="J34" t="s">
        <v>193</v>
      </c>
      <c r="K34" t="s">
        <v>209</v>
      </c>
    </row>
    <row r="35" spans="3:11" x14ac:dyDescent="0.25">
      <c r="C35" s="49" t="s">
        <v>234</v>
      </c>
      <c r="D35" s="50" t="s">
        <v>170</v>
      </c>
      <c r="E35" s="50" t="s">
        <v>243</v>
      </c>
      <c r="F35" s="50" t="s">
        <v>245</v>
      </c>
      <c r="G35" s="50" t="s">
        <v>247</v>
      </c>
      <c r="H35" s="50"/>
    </row>
    <row r="36" spans="3:11" x14ac:dyDescent="0.25">
      <c r="C36" s="49"/>
      <c r="D36" s="50" t="s">
        <v>240</v>
      </c>
      <c r="E36" s="50" t="s">
        <v>244</v>
      </c>
      <c r="F36" s="50" t="s">
        <v>246</v>
      </c>
      <c r="G36" s="50" t="s">
        <v>248</v>
      </c>
      <c r="H36" s="50"/>
    </row>
    <row r="37" spans="3:11" x14ac:dyDescent="0.25">
      <c r="C37" s="49"/>
      <c r="D37" s="50" t="s">
        <v>241</v>
      </c>
      <c r="E37" s="50"/>
      <c r="F37" s="50"/>
      <c r="G37" s="50" t="s">
        <v>249</v>
      </c>
      <c r="H37" s="50"/>
    </row>
    <row r="38" spans="3:11" x14ac:dyDescent="0.25">
      <c r="C38" s="49"/>
      <c r="D38" s="50" t="s">
        <v>242</v>
      </c>
      <c r="E38" s="50"/>
      <c r="F38" s="50"/>
      <c r="G38" s="50" t="s">
        <v>249</v>
      </c>
      <c r="H38" s="50"/>
    </row>
    <row r="39" spans="3:11" x14ac:dyDescent="0.25">
      <c r="C39" s="49"/>
      <c r="D39" s="50"/>
      <c r="E39" s="50"/>
      <c r="F39" s="50"/>
      <c r="G39" s="50" t="s">
        <v>250</v>
      </c>
      <c r="H39" s="50"/>
    </row>
    <row r="40" spans="3:11" x14ac:dyDescent="0.25">
      <c r="C40" s="49"/>
      <c r="D40" s="50"/>
      <c r="E40" s="50"/>
      <c r="F40" s="50"/>
      <c r="G40" s="50" t="s">
        <v>251</v>
      </c>
      <c r="H40" s="50"/>
    </row>
    <row r="41" spans="3:11" x14ac:dyDescent="0.25">
      <c r="C41" s="49"/>
      <c r="D41" s="50"/>
      <c r="E41" s="50"/>
      <c r="F41" s="50"/>
      <c r="G41" s="50"/>
      <c r="H41" s="50"/>
    </row>
    <row r="43" spans="3:11" x14ac:dyDescent="0.25">
      <c r="C43" t="s">
        <v>252</v>
      </c>
    </row>
    <row r="44" spans="3:11" x14ac:dyDescent="0.25">
      <c r="C44" t="s">
        <v>172</v>
      </c>
      <c r="D44" t="s">
        <v>253</v>
      </c>
    </row>
    <row r="45" spans="3:11" x14ac:dyDescent="0.25">
      <c r="D45" t="s">
        <v>254</v>
      </c>
    </row>
    <row r="46" spans="3:11" x14ac:dyDescent="0.25">
      <c r="D46" t="s">
        <v>255</v>
      </c>
    </row>
    <row r="47" spans="3:11" x14ac:dyDescent="0.25">
      <c r="D47" t="s">
        <v>256</v>
      </c>
    </row>
    <row r="48" spans="3:11" x14ac:dyDescent="0.25">
      <c r="D48" t="s">
        <v>257</v>
      </c>
    </row>
    <row r="49" spans="3:4" x14ac:dyDescent="0.25">
      <c r="C49" t="s">
        <v>178</v>
      </c>
      <c r="D49" t="s">
        <v>258</v>
      </c>
    </row>
    <row r="50" spans="3:4" x14ac:dyDescent="0.25">
      <c r="D50" t="s">
        <v>259</v>
      </c>
    </row>
    <row r="51" spans="3:4" x14ac:dyDescent="0.25">
      <c r="D51" t="s">
        <v>260</v>
      </c>
    </row>
    <row r="52" spans="3:4" x14ac:dyDescent="0.25">
      <c r="D52" t="s">
        <v>263</v>
      </c>
    </row>
    <row r="53" spans="3:4" x14ac:dyDescent="0.25">
      <c r="D53" t="s">
        <v>261</v>
      </c>
    </row>
    <row r="54" spans="3:4" x14ac:dyDescent="0.25">
      <c r="D54" t="s">
        <v>262</v>
      </c>
    </row>
    <row r="55" spans="3:4" x14ac:dyDescent="0.25">
      <c r="D55" t="s">
        <v>264</v>
      </c>
    </row>
    <row r="56" spans="3:4" x14ac:dyDescent="0.25">
      <c r="D56" t="s">
        <v>265</v>
      </c>
    </row>
    <row r="57" spans="3:4" x14ac:dyDescent="0.25">
      <c r="D57" t="s">
        <v>266</v>
      </c>
    </row>
    <row r="58" spans="3:4" x14ac:dyDescent="0.25">
      <c r="D58" t="s">
        <v>268</v>
      </c>
    </row>
    <row r="59" spans="3:4" x14ac:dyDescent="0.25">
      <c r="D59" t="s">
        <v>277</v>
      </c>
    </row>
    <row r="60" spans="3:4" x14ac:dyDescent="0.25">
      <c r="C60" t="s">
        <v>193</v>
      </c>
      <c r="D60" t="s">
        <v>269</v>
      </c>
    </row>
    <row r="61" spans="3:4" x14ac:dyDescent="0.25">
      <c r="D61" t="s">
        <v>267</v>
      </c>
    </row>
    <row r="62" spans="3:4" x14ac:dyDescent="0.25">
      <c r="D62" t="s">
        <v>257</v>
      </c>
    </row>
    <row r="63" spans="3:4" x14ac:dyDescent="0.25">
      <c r="D63" t="s">
        <v>270</v>
      </c>
    </row>
    <row r="64" spans="3:4" x14ac:dyDescent="0.25">
      <c r="D64" t="s">
        <v>271</v>
      </c>
    </row>
    <row r="65" spans="3:4" x14ac:dyDescent="0.25">
      <c r="D65" t="s">
        <v>272</v>
      </c>
    </row>
    <row r="66" spans="3:4" x14ac:dyDescent="0.25">
      <c r="D66" t="s">
        <v>273</v>
      </c>
    </row>
    <row r="67" spans="3:4" x14ac:dyDescent="0.25">
      <c r="C67" t="s">
        <v>188</v>
      </c>
      <c r="D67" t="s">
        <v>274</v>
      </c>
    </row>
    <row r="68" spans="3:4" x14ac:dyDescent="0.25">
      <c r="D68" t="s">
        <v>275</v>
      </c>
    </row>
    <row r="69" spans="3:4" x14ac:dyDescent="0.2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54">
        <v>1</v>
      </c>
      <c r="C2" s="57" t="s">
        <v>283</v>
      </c>
    </row>
    <row r="3" spans="2:3" x14ac:dyDescent="0.25">
      <c r="B3" s="54">
        <v>2</v>
      </c>
      <c r="C3" s="55" t="s">
        <v>284</v>
      </c>
    </row>
    <row r="4" spans="2:3" x14ac:dyDescent="0.25">
      <c r="B4" s="54">
        <v>3</v>
      </c>
      <c r="C4" s="56" t="s">
        <v>285</v>
      </c>
    </row>
    <row r="5" spans="2:3" ht="30" x14ac:dyDescent="0.25">
      <c r="B5" s="54">
        <v>4</v>
      </c>
      <c r="C5" s="55" t="s">
        <v>286</v>
      </c>
    </row>
    <row r="6" spans="2:3" x14ac:dyDescent="0.25">
      <c r="B6" s="54">
        <v>5</v>
      </c>
      <c r="C6" s="56" t="s">
        <v>287</v>
      </c>
    </row>
    <row r="7" spans="2:3" ht="30" x14ac:dyDescent="0.25">
      <c r="B7" s="54">
        <v>6</v>
      </c>
      <c r="C7" s="55" t="s">
        <v>288</v>
      </c>
    </row>
    <row r="8" spans="2:3" ht="90" x14ac:dyDescent="0.25">
      <c r="B8" s="54">
        <v>7</v>
      </c>
      <c r="C8" s="55" t="s">
        <v>289</v>
      </c>
    </row>
    <row r="9" spans="2:3" x14ac:dyDescent="0.25">
      <c r="B9" s="54">
        <v>8</v>
      </c>
      <c r="C9" s="56" t="s">
        <v>290</v>
      </c>
    </row>
    <row r="10" spans="2:3" x14ac:dyDescent="0.25">
      <c r="B10" s="54">
        <v>9</v>
      </c>
      <c r="C10" s="56" t="s">
        <v>291</v>
      </c>
    </row>
    <row r="11" spans="2:3" x14ac:dyDescent="0.25">
      <c r="B11" s="54">
        <v>10</v>
      </c>
      <c r="C11" s="56" t="s">
        <v>292</v>
      </c>
    </row>
    <row r="12" spans="2:3" x14ac:dyDescent="0.25">
      <c r="B12" s="54">
        <v>11</v>
      </c>
      <c r="C12" s="56" t="s">
        <v>293</v>
      </c>
    </row>
    <row r="13" spans="2:3" x14ac:dyDescent="0.25">
      <c r="B13" s="54">
        <v>12</v>
      </c>
      <c r="C13" s="56" t="s">
        <v>294</v>
      </c>
    </row>
    <row r="14" spans="2:3" x14ac:dyDescent="0.25">
      <c r="B14" s="54">
        <v>13</v>
      </c>
      <c r="C14" s="56" t="s">
        <v>295</v>
      </c>
    </row>
    <row r="15" spans="2:3" x14ac:dyDescent="0.25">
      <c r="B15" s="54">
        <v>14</v>
      </c>
      <c r="C15" s="56" t="s">
        <v>285</v>
      </c>
    </row>
    <row r="16" spans="2:3" x14ac:dyDescent="0.25">
      <c r="B16" s="54">
        <v>15</v>
      </c>
      <c r="C16" s="56" t="s">
        <v>298</v>
      </c>
    </row>
    <row r="17" spans="2:3" ht="31.5" customHeight="1" x14ac:dyDescent="0.25">
      <c r="B17" s="60">
        <v>16</v>
      </c>
      <c r="C17" s="62" t="s">
        <v>299</v>
      </c>
    </row>
    <row r="18" spans="2:3" x14ac:dyDescent="0.25">
      <c r="B18" s="61">
        <v>17</v>
      </c>
      <c r="C18" s="62" t="s">
        <v>300</v>
      </c>
    </row>
    <row r="19" spans="2:3" x14ac:dyDescent="0.25">
      <c r="B19" s="60">
        <v>18</v>
      </c>
      <c r="C19" s="54" t="s">
        <v>301</v>
      </c>
    </row>
    <row r="20" spans="2:3" x14ac:dyDescent="0.25">
      <c r="B20" s="61">
        <v>19</v>
      </c>
      <c r="C20" s="54"/>
    </row>
    <row r="21" spans="2:3" x14ac:dyDescent="0.25">
      <c r="B21" s="63">
        <v>20</v>
      </c>
      <c r="C21" s="54"/>
    </row>
    <row r="22" spans="2:3" x14ac:dyDescent="0.25">
      <c r="B22" s="54"/>
      <c r="C22" s="54"/>
    </row>
    <row r="23" spans="2:3" x14ac:dyDescent="0.25">
      <c r="B23" s="54"/>
      <c r="C23" s="54"/>
    </row>
    <row r="24" spans="2:3" x14ac:dyDescent="0.25">
      <c r="B24" s="54"/>
      <c r="C24" s="54"/>
    </row>
    <row r="25" spans="2:3" x14ac:dyDescent="0.25">
      <c r="B25" s="54"/>
      <c r="C25" s="54"/>
    </row>
    <row r="26" spans="2:3" x14ac:dyDescent="0.25">
      <c r="B26" s="54"/>
      <c r="C26" s="54"/>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2025-09-11T07:28:09Z</cp:lastPrinted>
  <dcterms:created xsi:type="dcterms:W3CDTF">2019-07-16T09:29:46Z</dcterms:created>
  <dcterms:modified xsi:type="dcterms:W3CDTF">2025-09-11T07:31:55Z</dcterms:modified>
</cp:coreProperties>
</file>